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2.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comments3.xml" ContentType="application/vnd.openxmlformats-officedocument.spreadsheetml.comments+xml"/>
  <Override PartName="/xl/threadedComments/threadedComment3.xml" ContentType="application/vnd.ms-excel.threadedcomments+xml"/>
  <Override PartName="/xl/drawings/drawing3.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drawings/drawing4.xml" ContentType="application/vnd.openxmlformats-officedocument.drawing+xml"/>
  <Override PartName="/xl/comments5.xml" ContentType="application/vnd.openxmlformats-officedocument.spreadsheetml.comments+xml"/>
  <Override PartName="/xl/threadedComments/threadedComment5.xml" ContentType="application/vnd.ms-excel.threadedcomments+xml"/>
  <Override PartName="/xl/drawings/drawing5.xml" ContentType="application/vnd.openxmlformats-officedocument.drawing+xml"/>
  <Override PartName="/xl/charts/chartEx2.xml" ContentType="application/vnd.ms-office.chartex+xml"/>
  <Override PartName="/xl/charts/style2.xml" ContentType="application/vnd.ms-office.chartstyle+xml"/>
  <Override PartName="/xl/charts/colors2.xml" ContentType="application/vnd.ms-office.chartcolorstyle+xml"/>
  <Override PartName="/xl/charts/chartEx3.xml" ContentType="application/vnd.ms-office.chartex+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activeX/activeX1.xml" ContentType="application/vnd.ms-office.activeX+xml"/>
  <Override PartName="/xl/activeX/activeX1.bin" ContentType="application/vnd.ms-office.activeX"/>
  <Override PartName="/xl/drawings/drawing8.xml" ContentType="application/vnd.openxmlformats-officedocument.drawing+xml"/>
  <Override PartName="/xl/activeX/activeX2.xml" ContentType="application/vnd.ms-office.activeX+xml"/>
  <Override PartName="/xl/activeX/activeX2.bin" ContentType="application/vnd.ms-office.activeX"/>
  <Override PartName="/xl/drawings/drawing9.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10.xml" ContentType="application/vnd.openxmlformats-officedocument.drawing+xml"/>
  <Override PartName="/xl/activeX/activeX5.xml" ContentType="application/vnd.ms-office.activeX+xml"/>
  <Override PartName="/xl/activeX/activeX5.bin" ContentType="application/vnd.ms-office.activeX"/>
  <Override PartName="/xl/drawings/drawing11.xml" ContentType="application/vnd.openxmlformats-officedocument.drawing+xml"/>
  <Override PartName="/xl/activeX/activeX6.xml" ContentType="application/vnd.ms-office.activeX+xml"/>
  <Override PartName="/xl/activeX/activeX6.bin" ContentType="application/vnd.ms-office.activeX"/>
  <Override PartName="/xl/drawings/drawing12.xml" ContentType="application/vnd.openxmlformats-officedocument.drawing+xml"/>
  <Override PartName="/xl/activeX/activeX7.xml" ContentType="application/vnd.ms-office.activeX+xml"/>
  <Override PartName="/xl/activeX/activeX7.bin" ContentType="application/vnd.ms-office.activeX"/>
  <Override PartName="/xl/drawings/drawing13.xml" ContentType="application/vnd.openxmlformats-officedocument.drawing+xml"/>
  <Override PartName="/xl/activeX/activeX8.xml" ContentType="application/vnd.ms-office.activeX+xml"/>
  <Override PartName="/xl/activeX/activeX8.bin" ContentType="application/vnd.ms-office.activeX"/>
  <Override PartName="/xl/drawings/drawing14.xml" ContentType="application/vnd.openxmlformats-officedocument.drawing+xml"/>
  <Override PartName="/xl/activeX/activeX9.xml" ContentType="application/vnd.ms-office.activeX+xml"/>
  <Override PartName="/xl/activeX/activeX9.bin" ContentType="application/vnd.ms-office.activeX"/>
  <Override PartName="/xl/drawings/drawing15.xml" ContentType="application/vnd.openxmlformats-officedocument.drawing+xml"/>
  <Override PartName="/xl/activeX/activeX10.xml" ContentType="application/vnd.ms-office.activeX+xml"/>
  <Override PartName="/xl/activeX/activeX10.bin" ContentType="application/vnd.ms-office.activeX"/>
  <Override PartName="/xl/drawings/drawing16.xml" ContentType="application/vnd.openxmlformats-officedocument.drawing+xml"/>
  <Override PartName="/xl/activeX/activeX11.xml" ContentType="application/vnd.ms-office.activeX+xml"/>
  <Override PartName="/xl/activeX/activeX11.bin" ContentType="application/vnd.ms-office.activeX"/>
  <Override PartName="/xl/drawings/drawing17.xml" ContentType="application/vnd.openxmlformats-officedocument.drawing+xml"/>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drawings/drawing18.xml" ContentType="application/vnd.openxmlformats-officedocument.drawing+xml"/>
  <Override PartName="/xl/activeX/activeX14.xml" ContentType="application/vnd.ms-office.activeX+xml"/>
  <Override PartName="/xl/activeX/activeX14.bin" ContentType="application/vnd.ms-office.activeX"/>
  <Override PartName="/xl/drawings/drawing19.xml" ContentType="application/vnd.openxmlformats-officedocument.drawing+xml"/>
  <Override PartName="/xl/activeX/activeX15.xml" ContentType="application/vnd.ms-office.activeX+xml"/>
  <Override PartName="/xl/activeX/activeX15.bin" ContentType="application/vnd.ms-office.activeX"/>
  <Override PartName="/xl/drawings/drawing20.xml" ContentType="application/vnd.openxmlformats-officedocument.drawing+xml"/>
  <Override PartName="/xl/activeX/activeX16.xml" ContentType="application/vnd.ms-office.activeX+xml"/>
  <Override PartName="/xl/activeX/activeX16.bin" ContentType="application/vnd.ms-office.activeX"/>
  <Override PartName="/xl/drawings/drawing21.xml" ContentType="application/vnd.openxmlformats-officedocument.drawing+xml"/>
  <Override PartName="/xl/activeX/activeX17.xml" ContentType="application/vnd.ms-office.activeX+xml"/>
  <Override PartName="/xl/activeX/activeX17.bin" ContentType="application/vnd.ms-office.activeX"/>
  <Override PartName="/xl/drawings/drawing22.xml" ContentType="application/vnd.openxmlformats-officedocument.drawing+xml"/>
  <Override PartName="/xl/activeX/activeX18.xml" ContentType="application/vnd.ms-office.activeX+xml"/>
  <Override PartName="/xl/activeX/activeX18.bin" ContentType="application/vnd.ms-office.activeX"/>
  <Override PartName="/xl/drawings/drawing23.xml" ContentType="application/vnd.openxmlformats-officedocument.drawing+xml"/>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drawings/drawing2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davidb\Downloads\"/>
    </mc:Choice>
  </mc:AlternateContent>
  <xr:revisionPtr revIDLastSave="0" documentId="8_{569370FD-9F67-433F-A163-F886BEE7AEB9}" xr6:coauthVersionLast="47" xr6:coauthVersionMax="47" xr10:uidLastSave="{00000000-0000-0000-0000-000000000000}"/>
  <bookViews>
    <workbookView xWindow="28680" yWindow="-120" windowWidth="29040" windowHeight="15720" tabRatio="910" firstSheet="5" activeTab="5" xr2:uid="{00000000-000D-0000-FFFF-FFFF00000000}"/>
  </bookViews>
  <sheets>
    <sheet name="Summary" sheetId="36" state="hidden" r:id="rId1"/>
    <sheet name="1% Overview" sheetId="37" state="hidden" r:id="rId2"/>
    <sheet name="1% Personnel" sheetId="38" state="hidden" r:id="rId3"/>
    <sheet name="2% Overview" sheetId="39" state="hidden" r:id="rId4"/>
    <sheet name="2% Personnel" sheetId="40" state="hidden" r:id="rId5"/>
    <sheet name="3% Overview" sheetId="61" r:id="rId6"/>
    <sheet name="3% Personnel" sheetId="65" r:id="rId7"/>
    <sheet name="Budget-Services" sheetId="4" r:id="rId8"/>
    <sheet name="ARB Budget" sheetId="5" r:id="rId9"/>
    <sheet name="Recap chart" sheetId="6" r:id="rId10"/>
    <sheet name="Budget Recap" sheetId="44" r:id="rId11"/>
    <sheet name="6110" sheetId="7" r:id="rId12"/>
    <sheet name="6120" sheetId="8" r:id="rId13"/>
    <sheet name="6130" sheetId="9" r:id="rId14"/>
    <sheet name="6140" sheetId="10" r:id="rId15"/>
    <sheet name="6150" sheetId="11" r:id="rId16"/>
    <sheet name="6160" sheetId="12" r:id="rId17"/>
    <sheet name="6210" sheetId="13" r:id="rId18"/>
    <sheet name="6215" sheetId="14" r:id="rId19"/>
    <sheet name="6220" sheetId="15" r:id="rId20"/>
    <sheet name="6225" sheetId="16" r:id="rId21"/>
    <sheet name="6235" sheetId="17" r:id="rId22"/>
    <sheet name="6236" sheetId="18" r:id="rId23"/>
    <sheet name="6240" sheetId="19" r:id="rId24"/>
    <sheet name="6250" sheetId="30" r:id="rId25"/>
    <sheet name="6260" sheetId="20" r:id="rId26"/>
    <sheet name="6280" sheetId="21" r:id="rId27"/>
    <sheet name="6285" sheetId="22" r:id="rId28"/>
    <sheet name="6290" sheetId="23" r:id="rId29"/>
    <sheet name="6310" sheetId="24" r:id="rId30"/>
    <sheet name="6320" sheetId="25" r:id="rId31"/>
    <sheet name="6330" sheetId="26" r:id="rId32"/>
    <sheet name="6340" sheetId="27" r:id="rId33"/>
    <sheet name="6350" sheetId="28" r:id="rId34"/>
    <sheet name="6810" sheetId="31" r:id="rId35"/>
    <sheet name="8010" sheetId="29" r:id="rId36"/>
  </sheets>
  <definedNames>
    <definedName name="_xlnm._FilterDatabase" localSheetId="34" hidden="1">'6810'!$E$1:$K$7</definedName>
    <definedName name="_xlnm._FilterDatabase" localSheetId="7" hidden="1">'Budget-Services'!$A$2:$R$347</definedName>
    <definedName name="_xlchart.v1.0" hidden="1">'3% Overview'!$T$7:$T$12</definedName>
    <definedName name="_xlchart.v1.1" hidden="1">'3% Overview'!$U$6</definedName>
    <definedName name="_xlchart.v1.2" hidden="1">'3% Overview'!$U$7:$U$12</definedName>
    <definedName name="_xlchart.v1.3" hidden="1">'3% Overview'!$V$6</definedName>
    <definedName name="_xlchart.v1.4" hidden="1">'3% Overview'!$V$7:$V$12</definedName>
    <definedName name="_xlchart.v1.5" hidden="1">'Recap chart'!$C$8:$C$12</definedName>
    <definedName name="_xlchart.v1.6" hidden="1">'Recap chart'!$E$8:$E$12</definedName>
    <definedName name="_xlchart.v1.7" hidden="1">'Recap chart'!$M$8:$M$12</definedName>
    <definedName name="_xlchart.v1.8" hidden="1">'Recap chart'!$O$8:$O$12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Area" localSheetId="1">'1% Overview'!$A$1:$K$38</definedName>
    <definedName name="_xlnm.Print_Area" localSheetId="2">'1% Personnel'!$A$1:$H$79</definedName>
    <definedName name="_xlnm.Print_Area" localSheetId="3">'2% Overview'!$A$1:$K$38</definedName>
    <definedName name="_xlnm.Print_Area" localSheetId="4">'2% Personnel'!$A$1:$H$79</definedName>
    <definedName name="_xlnm.Print_Area" localSheetId="5">'3% Overview'!$A$1:$M$37</definedName>
    <definedName name="_xlnm.Print_Area" localSheetId="6">'3% Personnel'!$A$1:$H$82</definedName>
    <definedName name="_xlnm.Print_Area" localSheetId="8">'ARB Budget'!$A$1:$I$39</definedName>
    <definedName name="_xlnm.Print_Area" localSheetId="7">'Budget-Services'!$A$1:$L$347</definedName>
    <definedName name="_xlnm.Print_Area" localSheetId="9">'Recap chart'!$A$1:$R$46</definedName>
    <definedName name="_xlnm.Print_Area" localSheetId="0">Summary!$A$1:$H$40</definedName>
    <definedName name="_xlnm.Print_Titles" localSheetId="2">'1% Personnel'!$1:$2</definedName>
    <definedName name="_xlnm.Print_Titles" localSheetId="4">'2% Personnel'!$1:$2</definedName>
    <definedName name="_xlnm.Print_Titles" localSheetId="6">'3% Personnel'!$1:$2</definedName>
    <definedName name="_xlnm.Print_Titles" localSheetId="11">'6110'!$A:$C,'6110'!$1:$1</definedName>
    <definedName name="_xlnm.Print_Titles" localSheetId="12">'6120'!$A:$C,'6120'!$1:$1</definedName>
    <definedName name="_xlnm.Print_Titles" localSheetId="13">'6130'!$A:$C,'6130'!$1:$1</definedName>
    <definedName name="_xlnm.Print_Titles" localSheetId="14">'6140'!$A:$C,'6140'!$1:$1</definedName>
    <definedName name="_xlnm.Print_Titles" localSheetId="15">'6150'!$A:$C,'6150'!$1:$1</definedName>
    <definedName name="_xlnm.Print_Titles" localSheetId="16">'6160'!$A:$C,'6160'!$1:$1</definedName>
    <definedName name="_xlnm.Print_Titles" localSheetId="17">'6210'!$A:$C,'6210'!$1:$1</definedName>
    <definedName name="_xlnm.Print_Titles" localSheetId="18">'6215'!$A:$C,'6215'!$1:$1</definedName>
    <definedName name="_xlnm.Print_Titles" localSheetId="19">'6220'!$A:$C,'6220'!$1:$1</definedName>
    <definedName name="_xlnm.Print_Titles" localSheetId="20">'6225'!$A:$C,'6225'!$1:$1</definedName>
    <definedName name="_xlnm.Print_Titles" localSheetId="21">'6235'!$A:$C,'6235'!$1:$1</definedName>
    <definedName name="_xlnm.Print_Titles" localSheetId="22">'6236'!$A:$C,'6236'!$1:$1</definedName>
    <definedName name="_xlnm.Print_Titles" localSheetId="23">'6240'!$A:$C,'6240'!$1:$1</definedName>
    <definedName name="_xlnm.Print_Titles" localSheetId="25">'6260'!$A:$C,'6260'!$1:$1</definedName>
    <definedName name="_xlnm.Print_Titles" localSheetId="26">'6280'!$A:$C,'6280'!$1:$1</definedName>
    <definedName name="_xlnm.Print_Titles" localSheetId="27">'6285'!$A:$C,'6285'!$1:$1</definedName>
    <definedName name="_xlnm.Print_Titles" localSheetId="33">'6350'!$A:$C,'6350'!$1:$1</definedName>
    <definedName name="_xlnm.Print_Titles" localSheetId="34">'6810'!$A:$C,'6810'!$1:$1</definedName>
    <definedName name="_xlnm.Print_Titles" localSheetId="8">'ARB Budget'!$1:$2</definedName>
    <definedName name="_xlnm.Print_Titles" localSheetId="7">'Budget-Services'!$1:$2</definedName>
    <definedName name="QB_COLUMN_1" localSheetId="11" hidden="1">'6110'!$D$1</definedName>
    <definedName name="QB_COLUMN_1" localSheetId="12" hidden="1">'6120'!$D$1</definedName>
    <definedName name="QB_COLUMN_1" localSheetId="13" hidden="1">'6130'!$D$1</definedName>
    <definedName name="QB_COLUMN_1" localSheetId="14" hidden="1">'6140'!$D$1</definedName>
    <definedName name="QB_COLUMN_1" localSheetId="15" hidden="1">'6150'!$D$1</definedName>
    <definedName name="QB_COLUMN_1" localSheetId="16" hidden="1">'6160'!$D$1</definedName>
    <definedName name="QB_COLUMN_1" localSheetId="17" hidden="1">'6210'!$D$1</definedName>
    <definedName name="QB_COLUMN_1" localSheetId="18" hidden="1">'6215'!$D$1</definedName>
    <definedName name="QB_COLUMN_1" localSheetId="19" hidden="1">'6220'!$D$1</definedName>
    <definedName name="QB_COLUMN_1" localSheetId="20" hidden="1">'6225'!$D$1</definedName>
    <definedName name="QB_COLUMN_1" localSheetId="21" hidden="1">'6235'!$D$1</definedName>
    <definedName name="QB_COLUMN_1" localSheetId="22" hidden="1">'6236'!$D$1</definedName>
    <definedName name="QB_COLUMN_1" localSheetId="23" hidden="1">'6240'!$D$1</definedName>
    <definedName name="QB_COLUMN_1" localSheetId="25" hidden="1">'6260'!$D$1</definedName>
    <definedName name="QB_COLUMN_1" localSheetId="26" hidden="1">'6280'!$D$1</definedName>
    <definedName name="QB_COLUMN_1" localSheetId="27" hidden="1">'6285'!$D$1</definedName>
    <definedName name="QB_COLUMN_1" localSheetId="33" hidden="1">'6350'!$D$1</definedName>
    <definedName name="QB_COLUMN_1" localSheetId="34" hidden="1">'6810'!$D$1</definedName>
    <definedName name="QB_COLUMN_20" localSheetId="11" hidden="1">'6110'!$J$1</definedName>
    <definedName name="QB_COLUMN_20" localSheetId="12" hidden="1">'6120'!$J$1</definedName>
    <definedName name="QB_COLUMN_20" localSheetId="13" hidden="1">'6130'!$J$1</definedName>
    <definedName name="QB_COLUMN_20" localSheetId="14" hidden="1">'6140'!$J$1</definedName>
    <definedName name="QB_COLUMN_20" localSheetId="15" hidden="1">'6150'!$J$1</definedName>
    <definedName name="QB_COLUMN_20" localSheetId="16" hidden="1">'6160'!$J$1</definedName>
    <definedName name="QB_COLUMN_20" localSheetId="17" hidden="1">'6210'!$J$1</definedName>
    <definedName name="QB_COLUMN_20" localSheetId="18" hidden="1">'6215'!$J$1</definedName>
    <definedName name="QB_COLUMN_20" localSheetId="19" hidden="1">'6220'!$J$1</definedName>
    <definedName name="QB_COLUMN_20" localSheetId="20" hidden="1">'6225'!$J$1</definedName>
    <definedName name="QB_COLUMN_20" localSheetId="21" hidden="1">'6235'!$J$1</definedName>
    <definedName name="QB_COLUMN_20" localSheetId="22" hidden="1">'6236'!$J$1</definedName>
    <definedName name="QB_COLUMN_20" localSheetId="23" hidden="1">'6240'!$J$1</definedName>
    <definedName name="QB_COLUMN_20" localSheetId="25" hidden="1">'6260'!$J$1</definedName>
    <definedName name="QB_COLUMN_20" localSheetId="26" hidden="1">'6280'!$J$1</definedName>
    <definedName name="QB_COLUMN_20" localSheetId="27" hidden="1">'6285'!$J$1</definedName>
    <definedName name="QB_COLUMN_20" localSheetId="33" hidden="1">'6350'!$J$1</definedName>
    <definedName name="QB_COLUMN_20" localSheetId="34" hidden="1">'6810'!$J$1</definedName>
    <definedName name="QB_COLUMN_3" localSheetId="11" hidden="1">'6110'!$E$1</definedName>
    <definedName name="QB_COLUMN_3" localSheetId="12" hidden="1">'6120'!$E$1</definedName>
    <definedName name="QB_COLUMN_3" localSheetId="13" hidden="1">'6130'!$E$1</definedName>
    <definedName name="QB_COLUMN_3" localSheetId="14" hidden="1">'6140'!$E$1</definedName>
    <definedName name="QB_COLUMN_3" localSheetId="15" hidden="1">'6150'!$E$1</definedName>
    <definedName name="QB_COLUMN_3" localSheetId="16" hidden="1">'6160'!$E$1</definedName>
    <definedName name="QB_COLUMN_3" localSheetId="17" hidden="1">'6210'!$E$1</definedName>
    <definedName name="QB_COLUMN_3" localSheetId="18" hidden="1">'6215'!$E$1</definedName>
    <definedName name="QB_COLUMN_3" localSheetId="19" hidden="1">'6220'!$E$1</definedName>
    <definedName name="QB_COLUMN_3" localSheetId="20" hidden="1">'6225'!$E$1</definedName>
    <definedName name="QB_COLUMN_3" localSheetId="21" hidden="1">'6235'!$E$1</definedName>
    <definedName name="QB_COLUMN_3" localSheetId="22" hidden="1">'6236'!$E$1</definedName>
    <definedName name="QB_COLUMN_3" localSheetId="23" hidden="1">'6240'!$E$1</definedName>
    <definedName name="QB_COLUMN_3" localSheetId="25" hidden="1">'6260'!$E$1</definedName>
    <definedName name="QB_COLUMN_3" localSheetId="26" hidden="1">'6280'!$E$1</definedName>
    <definedName name="QB_COLUMN_3" localSheetId="27" hidden="1">'6285'!$E$1</definedName>
    <definedName name="QB_COLUMN_3" localSheetId="33" hidden="1">'6350'!$E$1</definedName>
    <definedName name="QB_COLUMN_3" localSheetId="34" hidden="1">'6810'!$E$1</definedName>
    <definedName name="QB_COLUMN_30" localSheetId="11" hidden="1">'6110'!$K$1</definedName>
    <definedName name="QB_COLUMN_30" localSheetId="12" hidden="1">'6120'!$K$1</definedName>
    <definedName name="QB_COLUMN_30" localSheetId="13" hidden="1">'6130'!$K$1</definedName>
    <definedName name="QB_COLUMN_30" localSheetId="14" hidden="1">'6140'!$K$1</definedName>
    <definedName name="QB_COLUMN_30" localSheetId="15" hidden="1">'6150'!$K$1</definedName>
    <definedName name="QB_COLUMN_30" localSheetId="16" hidden="1">'6160'!$K$1</definedName>
    <definedName name="QB_COLUMN_30" localSheetId="17" hidden="1">'6210'!$K$1</definedName>
    <definedName name="QB_COLUMN_30" localSheetId="18" hidden="1">'6215'!$K$1</definedName>
    <definedName name="QB_COLUMN_30" localSheetId="19" hidden="1">'6220'!$K$1</definedName>
    <definedName name="QB_COLUMN_30" localSheetId="20" hidden="1">'6225'!$K$1</definedName>
    <definedName name="QB_COLUMN_30" localSheetId="21" hidden="1">'6235'!$K$1</definedName>
    <definedName name="QB_COLUMN_30" localSheetId="22" hidden="1">'6236'!$K$1</definedName>
    <definedName name="QB_COLUMN_30" localSheetId="23" hidden="1">'6240'!$K$1</definedName>
    <definedName name="QB_COLUMN_30" localSheetId="25" hidden="1">'6260'!$K$1</definedName>
    <definedName name="QB_COLUMN_30" localSheetId="26" hidden="1">'6280'!$K$1</definedName>
    <definedName name="QB_COLUMN_30" localSheetId="27" hidden="1">'6285'!$K$1</definedName>
    <definedName name="QB_COLUMN_30" localSheetId="33" hidden="1">'6350'!$K$1</definedName>
    <definedName name="QB_COLUMN_30" localSheetId="34" hidden="1">'6810'!$K$1</definedName>
    <definedName name="QB_COLUMN_4" localSheetId="11" hidden="1">'6110'!$F$1</definedName>
    <definedName name="QB_COLUMN_4" localSheetId="12" hidden="1">'6120'!$F$1</definedName>
    <definedName name="QB_COLUMN_4" localSheetId="13" hidden="1">'6130'!$F$1</definedName>
    <definedName name="QB_COLUMN_4" localSheetId="14" hidden="1">'6140'!$F$1</definedName>
    <definedName name="QB_COLUMN_4" localSheetId="15" hidden="1">'6150'!$F$1</definedName>
    <definedName name="QB_COLUMN_4" localSheetId="16" hidden="1">'6160'!$F$1</definedName>
    <definedName name="QB_COLUMN_4" localSheetId="17" hidden="1">'6210'!$F$1</definedName>
    <definedName name="QB_COLUMN_4" localSheetId="18" hidden="1">'6215'!$F$1</definedName>
    <definedName name="QB_COLUMN_4" localSheetId="19" hidden="1">'6220'!$F$1</definedName>
    <definedName name="QB_COLUMN_4" localSheetId="20" hidden="1">'6225'!$F$1</definedName>
    <definedName name="QB_COLUMN_4" localSheetId="21" hidden="1">'6235'!$F$1</definedName>
    <definedName name="QB_COLUMN_4" localSheetId="22" hidden="1">'6236'!$F$1</definedName>
    <definedName name="QB_COLUMN_4" localSheetId="23" hidden="1">'6240'!$F$1</definedName>
    <definedName name="QB_COLUMN_4" localSheetId="25" hidden="1">'6260'!$F$1</definedName>
    <definedName name="QB_COLUMN_4" localSheetId="26" hidden="1">'6280'!$F$1</definedName>
    <definedName name="QB_COLUMN_4" localSheetId="27" hidden="1">'6285'!$F$1</definedName>
    <definedName name="QB_COLUMN_4" localSheetId="33" hidden="1">'6350'!$F$1</definedName>
    <definedName name="QB_COLUMN_4" localSheetId="34" hidden="1">'6810'!$F$1</definedName>
    <definedName name="QB_COLUMN_5" localSheetId="11" hidden="1">'6110'!$G$1</definedName>
    <definedName name="QB_COLUMN_5" localSheetId="12" hidden="1">'6120'!$G$1</definedName>
    <definedName name="QB_COLUMN_5" localSheetId="13" hidden="1">'6130'!$G$1</definedName>
    <definedName name="QB_COLUMN_5" localSheetId="14" hidden="1">'6140'!$G$1</definedName>
    <definedName name="QB_COLUMN_5" localSheetId="15" hidden="1">'6150'!$G$1</definedName>
    <definedName name="QB_COLUMN_5" localSheetId="16" hidden="1">'6160'!$G$1</definedName>
    <definedName name="QB_COLUMN_5" localSheetId="17" hidden="1">'6210'!$G$1</definedName>
    <definedName name="QB_COLUMN_5" localSheetId="18" hidden="1">'6215'!$G$1</definedName>
    <definedName name="QB_COLUMN_5" localSheetId="19" hidden="1">'6220'!$G$1</definedName>
    <definedName name="QB_COLUMN_5" localSheetId="20" hidden="1">'6225'!$G$1</definedName>
    <definedName name="QB_COLUMN_5" localSheetId="21" hidden="1">'6235'!$G$1</definedName>
    <definedName name="QB_COLUMN_5" localSheetId="22" hidden="1">'6236'!$G$1</definedName>
    <definedName name="QB_COLUMN_5" localSheetId="23" hidden="1">'6240'!$G$1</definedName>
    <definedName name="QB_COLUMN_5" localSheetId="25" hidden="1">'6260'!$G$1</definedName>
    <definedName name="QB_COLUMN_5" localSheetId="26" hidden="1">'6280'!$G$1</definedName>
    <definedName name="QB_COLUMN_5" localSheetId="27" hidden="1">'6285'!$G$1</definedName>
    <definedName name="QB_COLUMN_5" localSheetId="33" hidden="1">'6350'!$G$1</definedName>
    <definedName name="QB_COLUMN_5" localSheetId="34" hidden="1">'6810'!$G$1</definedName>
    <definedName name="QB_COLUMN_7" localSheetId="11" hidden="1">'6110'!$H$1</definedName>
    <definedName name="QB_COLUMN_7" localSheetId="12" hidden="1">'6120'!$H$1</definedName>
    <definedName name="QB_COLUMN_7" localSheetId="13" hidden="1">'6130'!$H$1</definedName>
    <definedName name="QB_COLUMN_7" localSheetId="14" hidden="1">'6140'!$H$1</definedName>
    <definedName name="QB_COLUMN_7" localSheetId="15" hidden="1">'6150'!$H$1</definedName>
    <definedName name="QB_COLUMN_7" localSheetId="16" hidden="1">'6160'!$H$1</definedName>
    <definedName name="QB_COLUMN_7" localSheetId="17" hidden="1">'6210'!$H$1</definedName>
    <definedName name="QB_COLUMN_7" localSheetId="18" hidden="1">'6215'!$H$1</definedName>
    <definedName name="QB_COLUMN_7" localSheetId="19" hidden="1">'6220'!$H$1</definedName>
    <definedName name="QB_COLUMN_7" localSheetId="20" hidden="1">'6225'!$H$1</definedName>
    <definedName name="QB_COLUMN_7" localSheetId="21" hidden="1">'6235'!$H$1</definedName>
    <definedName name="QB_COLUMN_7" localSheetId="22" hidden="1">'6236'!$H$1</definedName>
    <definedName name="QB_COLUMN_7" localSheetId="23" hidden="1">'6240'!$H$1</definedName>
    <definedName name="QB_COLUMN_7" localSheetId="25" hidden="1">'6260'!$H$1</definedName>
    <definedName name="QB_COLUMN_7" localSheetId="26" hidden="1">'6280'!$H$1</definedName>
    <definedName name="QB_COLUMN_7" localSheetId="27" hidden="1">'6285'!$H$1</definedName>
    <definedName name="QB_COLUMN_7" localSheetId="33" hidden="1">'6350'!$H$1</definedName>
    <definedName name="QB_COLUMN_7" localSheetId="34" hidden="1">'6810'!$H$1</definedName>
    <definedName name="QB_COLUMN_8" localSheetId="11" hidden="1">'6110'!$I$1</definedName>
    <definedName name="QB_COLUMN_8" localSheetId="12" hidden="1">'6120'!$I$1</definedName>
    <definedName name="QB_COLUMN_8" localSheetId="13" hidden="1">'6130'!$I$1</definedName>
    <definedName name="QB_COLUMN_8" localSheetId="14" hidden="1">'6140'!$I$1</definedName>
    <definedName name="QB_COLUMN_8" localSheetId="15" hidden="1">'6150'!$I$1</definedName>
    <definedName name="QB_COLUMN_8" localSheetId="16" hidden="1">'6160'!$I$1</definedName>
    <definedName name="QB_COLUMN_8" localSheetId="17" hidden="1">'6210'!$I$1</definedName>
    <definedName name="QB_COLUMN_8" localSheetId="18" hidden="1">'6215'!$I$1</definedName>
    <definedName name="QB_COLUMN_8" localSheetId="19" hidden="1">'6220'!$I$1</definedName>
    <definedName name="QB_COLUMN_8" localSheetId="20" hidden="1">'6225'!$I$1</definedName>
    <definedName name="QB_COLUMN_8" localSheetId="21" hidden="1">'6235'!$I$1</definedName>
    <definedName name="QB_COLUMN_8" localSheetId="22" hidden="1">'6236'!$I$1</definedName>
    <definedName name="QB_COLUMN_8" localSheetId="23" hidden="1">'6240'!$I$1</definedName>
    <definedName name="QB_COLUMN_8" localSheetId="25" hidden="1">'6260'!$I$1</definedName>
    <definedName name="QB_COLUMN_8" localSheetId="26" hidden="1">'6280'!$I$1</definedName>
    <definedName name="QB_COLUMN_8" localSheetId="27" hidden="1">'6285'!$I$1</definedName>
    <definedName name="QB_COLUMN_8" localSheetId="33" hidden="1">'6350'!$I$1</definedName>
    <definedName name="QB_COLUMN_8" localSheetId="34" hidden="1">'6810'!$I$1</definedName>
    <definedName name="QB_DATA_0" localSheetId="11" hidden="1">'6110'!$4:$4,'6110'!$5:$5,'6110'!$6:$6,'6110'!$7:$7,'6110'!$8:$8,'6110'!$9:$9,'6110'!$10:$10,'6110'!$11:$11,'6110'!$12:$12,'6110'!$13:$13,'6110'!$14:$14,'6110'!$15:$15,'6110'!$16:$16,'6110'!$17:$17,'6110'!$18:$18,'6110'!$19:$19</definedName>
    <definedName name="QB_DATA_0" localSheetId="12" hidden="1">'6120'!$4:$4,'6120'!$5:$5,'6120'!$6:$6,'6120'!$7:$7,'6120'!$8:$8,'6120'!$9:$9</definedName>
    <definedName name="QB_DATA_0" localSheetId="13" hidden="1">'6130'!$4:$4,'6130'!$5:$5,'6130'!$6:$6,'6130'!$7:$7,'6130'!$8:$8,'6130'!$9:$9,'6130'!$10:$10,'6130'!$11:$11,'6130'!$12:$12,'6130'!$13:$13,'6130'!$14:$14,'6130'!$15:$15</definedName>
    <definedName name="QB_DATA_0" localSheetId="14" hidden="1">'6140'!$4:$4</definedName>
    <definedName name="QB_DATA_0" localSheetId="15" hidden="1">'6150'!$4:$4,'6150'!$5:$5,'6150'!$6:$6,'6150'!$7:$7,'6150'!$8:$8,'6150'!$9:$9,'6150'!$10:$10,'6150'!$11:$11,'6150'!$12:$12</definedName>
    <definedName name="QB_DATA_0" localSheetId="16" hidden="1">'6160'!$4:$4,'6160'!$5:$5,'6160'!$6:$6,'6160'!$7:$7</definedName>
    <definedName name="QB_DATA_0" localSheetId="17" hidden="1">'6210'!$4:$4,'6210'!$5:$5,'6210'!$6:$6,'6210'!$7:$7,'6210'!$8:$8,'6210'!$9:$9,'6210'!$10:$10,'6210'!$11:$11,'6210'!$12:$12,'6210'!$13:$13,'6210'!$14:$14,'6210'!$15:$15,'6210'!$16:$16,'6210'!$17:$17,'6210'!$18:$18,'6210'!$19:$19</definedName>
    <definedName name="QB_DATA_0" localSheetId="18" hidden="1">'6215'!$4:$4,'6215'!$5:$5,'6215'!$6:$6,'6215'!$7:$7,'6215'!$8:$8,'6215'!$9:$9,'6215'!$10:$10</definedName>
    <definedName name="QB_DATA_0" localSheetId="19" hidden="1">'6220'!$4:$4,'6220'!$5:$5,'6220'!$6:$6,'6220'!$7:$7,'6220'!$8:$8,'6220'!$9:$9,'6220'!$10:$10,'6220'!$11:$11,'6220'!$12:$12,'6220'!$13:$13</definedName>
    <definedName name="QB_DATA_0" localSheetId="20" hidden="1">'6225'!$4:$4,'6225'!$5:$5,'6225'!$6:$6,'6225'!$7:$7,'6225'!$8:$8,'6225'!$9:$9,'6225'!$10:$10,'6225'!$11:$11,'6225'!$12:$12,'6225'!$13:$13,'6225'!$14:$14,'6225'!$15:$15,'6225'!$16:$16,'6225'!$17:$17,'6225'!$18:$18,'6225'!$19:$19</definedName>
    <definedName name="QB_DATA_0" localSheetId="21" hidden="1">'6235'!$4:$4,'6235'!$5:$5,'6235'!$6:$6,'6235'!$7:$7</definedName>
    <definedName name="QB_DATA_0" localSheetId="22" hidden="1">'6236'!$4:$4,'6236'!$5:$5,'6236'!$6:$6,'6236'!$7:$7,'6236'!$8:$8,'6236'!$9:$9</definedName>
    <definedName name="QB_DATA_0" localSheetId="23" hidden="1">'6240'!$4:$4,'6240'!$5:$5,'6240'!$6:$6,'6240'!$7:$7,'6240'!$8:$8,'6240'!$9:$9,'6240'!$10:$10,'6240'!$11:$11,'6240'!$12:$12,'6240'!$13:$13,'6240'!$14:$14,'6240'!$15:$15,'6240'!$16:$16,'6240'!$17:$17,'6240'!$18:$18,'6240'!$19:$19</definedName>
    <definedName name="QB_DATA_0" localSheetId="25" hidden="1">'6260'!$4:$4,'6260'!$5:$5,'6260'!$6:$6,'6260'!$7:$7,'6260'!$8:$8,'6260'!$9:$9,'6260'!$10:$10,'6260'!$11:$11,'6260'!$12:$12,'6260'!$13:$13,'6260'!$14:$14,'6260'!$15:$15</definedName>
    <definedName name="QB_DATA_0" localSheetId="26" hidden="1">'6280'!$4:$4,'6280'!$5:$5,'6280'!$6:$6,'6280'!$7:$7,'6280'!$8:$8,'6280'!$9:$9,'6280'!$10:$10,'6280'!$11:$11,'6280'!$12:$12,'6280'!$13:$13,'6280'!$14:$14,'6280'!$15:$15,'6280'!$16:$16,'6280'!$17:$17,'6280'!$18:$18,'6280'!$19:$19</definedName>
    <definedName name="QB_DATA_0" localSheetId="27" hidden="1">'6285'!$4:$4,'6285'!$5:$5,'6285'!$6:$6,'6285'!$7:$7,'6285'!$8:$8,'6285'!$9:$9,'6285'!$10:$10,'6285'!$11:$11,'6285'!$12:$12,'6285'!$13:$13,'6285'!$14:$14,'6285'!$15:$15,'6285'!$16:$16,'6285'!$17:$17,'6285'!$18:$18,'6285'!$19:$19</definedName>
    <definedName name="QB_DATA_0" localSheetId="33" hidden="1">'6350'!$4:$4</definedName>
    <definedName name="QB_DATA_0" localSheetId="34" hidden="1">'6810'!$4:$4</definedName>
    <definedName name="QB_DATA_1" localSheetId="11" hidden="1">'6110'!$20:$20</definedName>
    <definedName name="QB_DATA_1" localSheetId="17" hidden="1">'6210'!$20:$20,'6210'!$21:$21,'6210'!$22:$22,'6210'!$23:$23,'6210'!$24:$24,'6210'!$25:$25,'6210'!$26:$26,'6210'!$27:$27,'6210'!$28:$28,'6210'!$29:$29,'6210'!$30:$30,'6210'!$31:$31,'6210'!$32:$32,'6210'!$33:$33,'6210'!$34:$34,'6210'!$35:$35</definedName>
    <definedName name="QB_DATA_1" localSheetId="20" hidden="1">'6225'!$20:$20,'6225'!$21:$21,'6225'!$22:$22,'6225'!$23:$23,'6225'!$24:$24</definedName>
    <definedName name="QB_DATA_1" localSheetId="23" hidden="1">'6240'!$20:$20</definedName>
    <definedName name="QB_DATA_1" localSheetId="26" hidden="1">'6280'!#REF!,'6280'!$20:$20</definedName>
    <definedName name="QB_DATA_1" localSheetId="27" hidden="1">'6285'!$20:$20</definedName>
    <definedName name="QB_DATA_2" localSheetId="17" hidden="1">'6210'!$36:$36,'6210'!$37:$37,'6210'!$38:$38,'6210'!$39:$39,'6210'!$40:$40,'6210'!$41:$41,'6210'!$42:$42,'6210'!$43:$43,'6210'!$44:$44,'6210'!$45:$45,'6210'!$46:$46,'6210'!$47:$47,'6210'!$48:$48,'6210'!$49:$49,'6210'!$50:$50,'6210'!$51:$51</definedName>
    <definedName name="QB_DATA_3" localSheetId="17" hidden="1">'6210'!$52:$52,'6210'!$53:$53,'6210'!$54:$54,'6210'!$55:$55,'6210'!$56:$56,'6210'!$57:$57,'6210'!$58:$58,'6210'!$59:$59,'6210'!$60:$60,'6210'!$61:$61,'6210'!$62:$62,'6210'!$63:$63,'6210'!$64:$64,'6210'!$65:$65,'6210'!$66:$66,'6210'!$67:$67</definedName>
    <definedName name="QB_DATA_4" localSheetId="17" hidden="1">'6210'!$68:$68,'6210'!$69:$69,'6210'!$70:$70,'6210'!$71:$71,'6210'!$72:$72,'6210'!$73:$73,'6210'!$74:$74,'6210'!$75:$75</definedName>
    <definedName name="QB_FORMULA_0" localSheetId="11" hidden="1">'6110'!$K$21,'6110'!$K$22,'6110'!$K$23</definedName>
    <definedName name="QB_FORMULA_0" localSheetId="12" hidden="1">'6120'!$K$10,'6120'!$K$11,'6120'!$K$12</definedName>
    <definedName name="QB_FORMULA_0" localSheetId="13" hidden="1">'6130'!$K$16,'6130'!$K$17,'6130'!$K$18</definedName>
    <definedName name="QB_FORMULA_0" localSheetId="14" hidden="1">'6140'!$K$5,'6140'!$K$6,'6140'!$K$7</definedName>
    <definedName name="QB_FORMULA_0" localSheetId="15" hidden="1">'6150'!$K$13,'6150'!$K$14,'6150'!$K$15</definedName>
    <definedName name="QB_FORMULA_0" localSheetId="16" hidden="1">'6160'!$K$8,'6160'!$K$9,'6160'!$K$10</definedName>
    <definedName name="QB_FORMULA_0" localSheetId="17" hidden="1">'6210'!$K$76,'6210'!$K$77,'6210'!$K$78</definedName>
    <definedName name="QB_FORMULA_0" localSheetId="18" hidden="1">'6215'!$K$11,'6215'!$K$12,'6215'!$K$13</definedName>
    <definedName name="QB_FORMULA_0" localSheetId="19" hidden="1">'6220'!$K$14,'6220'!$K$15,'6220'!$K$16</definedName>
    <definedName name="QB_FORMULA_0" localSheetId="20" hidden="1">'6225'!$K$25,'6225'!$K$26,'6225'!$K$27</definedName>
    <definedName name="QB_FORMULA_0" localSheetId="21" hidden="1">'6235'!$K$8,'6235'!$K$9,'6235'!$K$10</definedName>
    <definedName name="QB_FORMULA_0" localSheetId="22" hidden="1">'6236'!$K$10,'6236'!$K$11,'6236'!$K$12</definedName>
    <definedName name="QB_FORMULA_0" localSheetId="23" hidden="1">'6240'!$K$21,'6240'!$K$22,'6240'!$K$23</definedName>
    <definedName name="QB_FORMULA_0" localSheetId="25" hidden="1">'6260'!$K$16,'6260'!$K$17</definedName>
    <definedName name="QB_FORMULA_0" localSheetId="26" hidden="1">'6280'!$K$21,'6280'!$K$22,'6280'!$K$23</definedName>
    <definedName name="QB_FORMULA_0" localSheetId="27" hidden="1">'6285'!$K$21,'6285'!$K$22,'6285'!$K$23</definedName>
    <definedName name="QB_FORMULA_0" localSheetId="33" hidden="1">'6350'!$K$5,'6350'!$K$6,'6350'!$K$7</definedName>
    <definedName name="QB_FORMULA_0" localSheetId="34" hidden="1">'6810'!$K$5,'6810'!$K$6,'6810'!$K$7</definedName>
    <definedName name="QB_ROW_161020" localSheetId="16" hidden="1">'6160'!$C$3</definedName>
    <definedName name="QB_ROW_161320" localSheetId="16" hidden="1">'6160'!$C$8</definedName>
    <definedName name="QB_ROW_163010" localSheetId="11" hidden="1">'6110'!$B$2</definedName>
    <definedName name="QB_ROW_163010" localSheetId="12" hidden="1">'6120'!$B$2</definedName>
    <definedName name="QB_ROW_163010" localSheetId="13" hidden="1">'6130'!$B$2</definedName>
    <definedName name="QB_ROW_163010" localSheetId="14" hidden="1">'6140'!$B$2</definedName>
    <definedName name="QB_ROW_163010" localSheetId="15" hidden="1">'6150'!$B$2</definedName>
    <definedName name="QB_ROW_163010" localSheetId="16" hidden="1">'6160'!$B$2</definedName>
    <definedName name="QB_ROW_163310" localSheetId="11" hidden="1">'6110'!$B$22</definedName>
    <definedName name="QB_ROW_163310" localSheetId="12" hidden="1">'6120'!$B$11</definedName>
    <definedName name="QB_ROW_163310" localSheetId="13" hidden="1">'6130'!$B$17</definedName>
    <definedName name="QB_ROW_163310" localSheetId="14" hidden="1">'6140'!$B$6</definedName>
    <definedName name="QB_ROW_163310" localSheetId="15" hidden="1">'6150'!$B$14</definedName>
    <definedName name="QB_ROW_163310" localSheetId="16" hidden="1">'6160'!$B$9</definedName>
    <definedName name="QB_ROW_164020" localSheetId="22" hidden="1">'6236'!$C$3</definedName>
    <definedName name="QB_ROW_164320" localSheetId="22" hidden="1">'6236'!$C$10</definedName>
    <definedName name="QB_ROW_165020" localSheetId="20" hidden="1">'6225'!$C$3</definedName>
    <definedName name="QB_ROW_165320" localSheetId="20" hidden="1">'6225'!$C$25</definedName>
    <definedName name="QB_ROW_166020" localSheetId="18" hidden="1">'6215'!$C$3</definedName>
    <definedName name="QB_ROW_166320" localSheetId="18" hidden="1">'6215'!$C$11</definedName>
    <definedName name="QB_ROW_168010" localSheetId="17" hidden="1">'6210'!$B$2</definedName>
    <definedName name="QB_ROW_168010" localSheetId="18" hidden="1">'6215'!$B$2</definedName>
    <definedName name="QB_ROW_168010" localSheetId="19" hidden="1">'6220'!$B$2</definedName>
    <definedName name="QB_ROW_168010" localSheetId="20" hidden="1">'6225'!$B$2</definedName>
    <definedName name="QB_ROW_168010" localSheetId="21" hidden="1">'6235'!$B$2</definedName>
    <definedName name="QB_ROW_168010" localSheetId="22" hidden="1">'6236'!$B$2</definedName>
    <definedName name="QB_ROW_168010" localSheetId="23" hidden="1">'6240'!$B$2</definedName>
    <definedName name="QB_ROW_168010" localSheetId="25" hidden="1">'6260'!$B$2</definedName>
    <definedName name="QB_ROW_168010" localSheetId="26" hidden="1">'6280'!$B$2</definedName>
    <definedName name="QB_ROW_168010" localSheetId="27" hidden="1">'6285'!$B$2</definedName>
    <definedName name="QB_ROW_168310" localSheetId="17" hidden="1">'6210'!$B$77</definedName>
    <definedName name="QB_ROW_168310" localSheetId="18" hidden="1">'6215'!$B$12</definedName>
    <definedName name="QB_ROW_168310" localSheetId="19" hidden="1">'6220'!$B$15</definedName>
    <definedName name="QB_ROW_168310" localSheetId="20" hidden="1">'6225'!$B$26</definedName>
    <definedName name="QB_ROW_168310" localSheetId="21" hidden="1">'6235'!$B$9</definedName>
    <definedName name="QB_ROW_168310" localSheetId="22" hidden="1">'6236'!$B$11</definedName>
    <definedName name="QB_ROW_168310" localSheetId="23" hidden="1">'6240'!$B$22</definedName>
    <definedName name="QB_ROW_168310" localSheetId="25" hidden="1">'6260'!$B$16</definedName>
    <definedName name="QB_ROW_168310" localSheetId="26" hidden="1">'6280'!$B$22</definedName>
    <definedName name="QB_ROW_168310" localSheetId="27" hidden="1">'6285'!$B$22</definedName>
    <definedName name="QB_ROW_169020" localSheetId="27" hidden="1">'6285'!$C$3</definedName>
    <definedName name="QB_ROW_169320" localSheetId="27" hidden="1">'6285'!$C$21</definedName>
    <definedName name="QB_ROW_172010" localSheetId="34" hidden="1">'6810'!$B$2</definedName>
    <definedName name="QB_ROW_172310" localSheetId="34" hidden="1">'6810'!$B$6</definedName>
    <definedName name="QB_ROW_179020" localSheetId="26" hidden="1">'6280'!$C$3</definedName>
    <definedName name="QB_ROW_179320" localSheetId="26" hidden="1">'6280'!$C$21</definedName>
    <definedName name="QB_ROW_181020" localSheetId="25" hidden="1">'6260'!$C$3</definedName>
    <definedName name="QB_ROW_181320" localSheetId="25" hidden="1">'6260'!$C$15</definedName>
    <definedName name="QB_ROW_183020" localSheetId="34" hidden="1">'6810'!$C$3</definedName>
    <definedName name="QB_ROW_183320" localSheetId="34" hidden="1">'6810'!$C$5</definedName>
    <definedName name="QB_ROW_184020" localSheetId="17" hidden="1">'6210'!$C$3</definedName>
    <definedName name="QB_ROW_184320" localSheetId="17" hidden="1">'6210'!$C$76</definedName>
    <definedName name="QB_ROW_186020" localSheetId="23" hidden="1">'6240'!$C$3</definedName>
    <definedName name="QB_ROW_186320" localSheetId="23" hidden="1">'6240'!$C$21</definedName>
    <definedName name="QB_ROW_187020" localSheetId="13" hidden="1">'6130'!$C$3</definedName>
    <definedName name="QB_ROW_187320" localSheetId="13" hidden="1">'6130'!$C$16</definedName>
    <definedName name="QB_ROW_188020" localSheetId="19" hidden="1">'6220'!$C$3</definedName>
    <definedName name="QB_ROW_188320" localSheetId="19" hidden="1">'6220'!$C$14</definedName>
    <definedName name="QB_ROW_189020" localSheetId="14" hidden="1">'6140'!$C$3</definedName>
    <definedName name="QB_ROW_189320" localSheetId="14" hidden="1">'6140'!$C$5</definedName>
    <definedName name="QB_ROW_191020" localSheetId="11" hidden="1">'6110'!$C$3</definedName>
    <definedName name="QB_ROW_191320" localSheetId="11" hidden="1">'6110'!$C$21</definedName>
    <definedName name="QB_ROW_192020" localSheetId="12" hidden="1">'6120'!$C$3</definedName>
    <definedName name="QB_ROW_192320" localSheetId="12" hidden="1">'6120'!$C$10</definedName>
    <definedName name="QB_ROW_193020" localSheetId="15" hidden="1">'6150'!$C$3</definedName>
    <definedName name="QB_ROW_193320" localSheetId="15" hidden="1">'6150'!$C$13</definedName>
    <definedName name="QB_ROW_213020" localSheetId="21" hidden="1">'6235'!$C$3</definedName>
    <definedName name="QB_ROW_213320" localSheetId="21" hidden="1">'6235'!$C$8</definedName>
    <definedName name="QB_ROW_217020" localSheetId="33" hidden="1">'6350'!$C$3</definedName>
    <definedName name="QB_ROW_217320" localSheetId="33" hidden="1">'6350'!$C$5</definedName>
    <definedName name="QB_ROW_232010" localSheetId="33" hidden="1">'6350'!$B$2</definedName>
    <definedName name="QB_ROW_232310" localSheetId="33" hidden="1">'6350'!$B$6</definedName>
    <definedName name="QB_ROW_25301" localSheetId="11" hidden="1">'6110'!$A$23</definedName>
    <definedName name="QB_ROW_25301" localSheetId="12" hidden="1">'6120'!$A$12</definedName>
    <definedName name="QB_ROW_25301" localSheetId="13" hidden="1">'6130'!$A$18</definedName>
    <definedName name="QB_ROW_25301" localSheetId="14" hidden="1">'6140'!$A$7</definedName>
    <definedName name="QB_ROW_25301" localSheetId="15" hidden="1">'6150'!$A$15</definedName>
    <definedName name="QB_ROW_25301" localSheetId="16" hidden="1">'6160'!$A$10</definedName>
    <definedName name="QB_ROW_25301" localSheetId="17" hidden="1">'6210'!$A$78</definedName>
    <definedName name="QB_ROW_25301" localSheetId="18" hidden="1">'6215'!$A$13</definedName>
    <definedName name="QB_ROW_25301" localSheetId="19" hidden="1">'6220'!$A$16</definedName>
    <definedName name="QB_ROW_25301" localSheetId="20" hidden="1">'6225'!$A$27</definedName>
    <definedName name="QB_ROW_25301" localSheetId="21" hidden="1">'6235'!$A$10</definedName>
    <definedName name="QB_ROW_25301" localSheetId="22" hidden="1">'6236'!$A$12</definedName>
    <definedName name="QB_ROW_25301" localSheetId="23" hidden="1">'6240'!$A$23</definedName>
    <definedName name="QB_ROW_25301" localSheetId="25" hidden="1">'6260'!$A$17</definedName>
    <definedName name="QB_ROW_25301" localSheetId="26" hidden="1">'6280'!$A$23</definedName>
    <definedName name="QB_ROW_25301" localSheetId="27" hidden="1">'6285'!$A$23</definedName>
    <definedName name="QB_ROW_25301" localSheetId="33" hidden="1">'6350'!$A$7</definedName>
    <definedName name="QB_ROW_25301" localSheetId="34" hidden="1">'6810'!$A$7</definedName>
    <definedName name="QBCANSUPPORTUPDATE" localSheetId="11">TRUE</definedName>
    <definedName name="QBCANSUPPORTUPDATE" localSheetId="12">TRUE</definedName>
    <definedName name="QBCANSUPPORTUPDATE" localSheetId="13">TRUE</definedName>
    <definedName name="QBCANSUPPORTUPDATE" localSheetId="14">TRUE</definedName>
    <definedName name="QBCANSUPPORTUPDATE" localSheetId="15">TRUE</definedName>
    <definedName name="QBCANSUPPORTUPDATE" localSheetId="16">TRUE</definedName>
    <definedName name="QBCANSUPPORTUPDATE" localSheetId="17">TRUE</definedName>
    <definedName name="QBCANSUPPORTUPDATE" localSheetId="18">TRUE</definedName>
    <definedName name="QBCANSUPPORTUPDATE" localSheetId="19">TRUE</definedName>
    <definedName name="QBCANSUPPORTUPDATE" localSheetId="20">TRUE</definedName>
    <definedName name="QBCANSUPPORTUPDATE" localSheetId="21">TRUE</definedName>
    <definedName name="QBCANSUPPORTUPDATE" localSheetId="22">TRUE</definedName>
    <definedName name="QBCANSUPPORTUPDATE" localSheetId="23">TRUE</definedName>
    <definedName name="QBCANSUPPORTUPDATE" localSheetId="25">TRUE</definedName>
    <definedName name="QBCANSUPPORTUPDATE" localSheetId="26">TRUE</definedName>
    <definedName name="QBCANSUPPORTUPDATE" localSheetId="27">TRUE</definedName>
    <definedName name="QBCANSUPPORTUPDATE" localSheetId="33">TRUE</definedName>
    <definedName name="QBCANSUPPORTUPDATE" localSheetId="34">TRUE</definedName>
    <definedName name="QBCOMPANYFILENAME" localSheetId="11">"Q:\williamson county appraisal district.qbw"</definedName>
    <definedName name="QBCOMPANYFILENAME" localSheetId="12">"Q:\williamson county appraisal district.qbw"</definedName>
    <definedName name="QBCOMPANYFILENAME" localSheetId="13">"Q:\williamson county appraisal district.qbw"</definedName>
    <definedName name="QBCOMPANYFILENAME" localSheetId="14">"Q:\williamson county appraisal district.qbw"</definedName>
    <definedName name="QBCOMPANYFILENAME" localSheetId="15">"Q:\williamson county appraisal district.qbw"</definedName>
    <definedName name="QBCOMPANYFILENAME" localSheetId="16">"Q:\williamson county appraisal district.qbw"</definedName>
    <definedName name="QBCOMPANYFILENAME" localSheetId="17">"Q:\williamson county appraisal district.qbw"</definedName>
    <definedName name="QBCOMPANYFILENAME" localSheetId="18">"Q:\williamson county appraisal district.qbw"</definedName>
    <definedName name="QBCOMPANYFILENAME" localSheetId="19">"Q:\williamson county appraisal district.qbw"</definedName>
    <definedName name="QBCOMPANYFILENAME" localSheetId="20">"Q:\williamson county appraisal district.qbw"</definedName>
    <definedName name="QBCOMPANYFILENAME" localSheetId="21">"Q:\williamson county appraisal district.qbw"</definedName>
    <definedName name="QBCOMPANYFILENAME" localSheetId="22">"Q:\williamson county appraisal district.qbw"</definedName>
    <definedName name="QBCOMPANYFILENAME" localSheetId="23">"Q:\williamson county appraisal district.qbw"</definedName>
    <definedName name="QBCOMPANYFILENAME" localSheetId="25">"Q:\williamson county appraisal district.qbw"</definedName>
    <definedName name="QBCOMPANYFILENAME" localSheetId="26">"Q:\williamson county appraisal district.qbw"</definedName>
    <definedName name="QBCOMPANYFILENAME" localSheetId="27">"Q:\williamson county appraisal district.qbw"</definedName>
    <definedName name="QBCOMPANYFILENAME" localSheetId="33">"Q:\williamson county appraisal district.qbw"</definedName>
    <definedName name="QBCOMPANYFILENAME" localSheetId="34">"Q:\Williamson County Appraisal District.QBW"</definedName>
    <definedName name="QBENDDATE" localSheetId="11">20230215</definedName>
    <definedName name="QBENDDATE" localSheetId="12">20230215</definedName>
    <definedName name="QBENDDATE" localSheetId="13">20230213</definedName>
    <definedName name="QBENDDATE" localSheetId="14">20230215</definedName>
    <definedName name="QBENDDATE" localSheetId="15">20230215</definedName>
    <definedName name="QBENDDATE" localSheetId="16">20230215</definedName>
    <definedName name="QBENDDATE" localSheetId="17">20230215</definedName>
    <definedName name="QBENDDATE" localSheetId="18">20230215</definedName>
    <definedName name="QBENDDATE" localSheetId="19">20230215</definedName>
    <definedName name="QBENDDATE" localSheetId="20">20230215</definedName>
    <definedName name="QBENDDATE" localSheetId="21">20230213</definedName>
    <definedName name="QBENDDATE" localSheetId="22">20230215</definedName>
    <definedName name="QBENDDATE" localSheetId="23">20230215</definedName>
    <definedName name="QBENDDATE" localSheetId="25">20230215</definedName>
    <definedName name="QBENDDATE" localSheetId="26">20230215</definedName>
    <definedName name="QBENDDATE" localSheetId="27">20230215</definedName>
    <definedName name="QBENDDATE" localSheetId="33">20230213</definedName>
    <definedName name="QBENDDATE" localSheetId="34">20210125</definedName>
    <definedName name="QBHEADERSONSCREEN" localSheetId="11">FALSE</definedName>
    <definedName name="QBHEADERSONSCREEN" localSheetId="12">FALSE</definedName>
    <definedName name="QBHEADERSONSCREEN" localSheetId="13">FALSE</definedName>
    <definedName name="QBHEADERSONSCREEN" localSheetId="14">FALSE</definedName>
    <definedName name="QBHEADERSONSCREEN" localSheetId="15">FALSE</definedName>
    <definedName name="QBHEADERSONSCREEN" localSheetId="16">FALSE</definedName>
    <definedName name="QBHEADERSONSCREEN" localSheetId="17">FALSE</definedName>
    <definedName name="QBHEADERSONSCREEN" localSheetId="18">FALSE</definedName>
    <definedName name="QBHEADERSONSCREEN" localSheetId="19">FALSE</definedName>
    <definedName name="QBHEADERSONSCREEN" localSheetId="20">FALSE</definedName>
    <definedName name="QBHEADERSONSCREEN" localSheetId="21">FALSE</definedName>
    <definedName name="QBHEADERSONSCREEN" localSheetId="22">FALSE</definedName>
    <definedName name="QBHEADERSONSCREEN" localSheetId="23">FALSE</definedName>
    <definedName name="QBHEADERSONSCREEN" localSheetId="25">FALSE</definedName>
    <definedName name="QBHEADERSONSCREEN" localSheetId="26">FALSE</definedName>
    <definedName name="QBHEADERSONSCREEN" localSheetId="27">FALSE</definedName>
    <definedName name="QBHEADERSONSCREEN" localSheetId="33">FALSE</definedName>
    <definedName name="QBHEADERSONSCREEN" localSheetId="34">FALSE</definedName>
    <definedName name="QBMETADATASIZE" localSheetId="11">7622</definedName>
    <definedName name="QBMETADATASIZE" localSheetId="12">7622</definedName>
    <definedName name="QBMETADATASIZE" localSheetId="13">7622</definedName>
    <definedName name="QBMETADATASIZE" localSheetId="14">7622</definedName>
    <definedName name="QBMETADATASIZE" localSheetId="15">7622</definedName>
    <definedName name="QBMETADATASIZE" localSheetId="16">7622</definedName>
    <definedName name="QBMETADATASIZE" localSheetId="17">7622</definedName>
    <definedName name="QBMETADATASIZE" localSheetId="18">7622</definedName>
    <definedName name="QBMETADATASIZE" localSheetId="19">7622</definedName>
    <definedName name="QBMETADATASIZE" localSheetId="20">7622</definedName>
    <definedName name="QBMETADATASIZE" localSheetId="21">7622</definedName>
    <definedName name="QBMETADATASIZE" localSheetId="22">7622</definedName>
    <definedName name="QBMETADATASIZE" localSheetId="23">7622</definedName>
    <definedName name="QBMETADATASIZE" localSheetId="25">7622</definedName>
    <definedName name="QBMETADATASIZE" localSheetId="26">7622</definedName>
    <definedName name="QBMETADATASIZE" localSheetId="27">7622</definedName>
    <definedName name="QBMETADATASIZE" localSheetId="33">7622</definedName>
    <definedName name="QBMETADATASIZE" localSheetId="34">7622</definedName>
    <definedName name="QBPRESERVECOLOR" localSheetId="11">FALSE</definedName>
    <definedName name="QBPRESERVECOLOR" localSheetId="12">FALSE</definedName>
    <definedName name="QBPRESERVECOLOR" localSheetId="13">FALSE</definedName>
    <definedName name="QBPRESERVECOLOR" localSheetId="14">FALSE</definedName>
    <definedName name="QBPRESERVECOLOR" localSheetId="15">FALSE</definedName>
    <definedName name="QBPRESERVECOLOR" localSheetId="16">FALSE</definedName>
    <definedName name="QBPRESERVECOLOR" localSheetId="17">FALSE</definedName>
    <definedName name="QBPRESERVECOLOR" localSheetId="18">FALSE</definedName>
    <definedName name="QBPRESERVECOLOR" localSheetId="19">FALSE</definedName>
    <definedName name="QBPRESERVECOLOR" localSheetId="20">FALSE</definedName>
    <definedName name="QBPRESERVECOLOR" localSheetId="21">FALSE</definedName>
    <definedName name="QBPRESERVECOLOR" localSheetId="22">FALSE</definedName>
    <definedName name="QBPRESERVECOLOR" localSheetId="23">FALSE</definedName>
    <definedName name="QBPRESERVECOLOR" localSheetId="25">FALSE</definedName>
    <definedName name="QBPRESERVECOLOR" localSheetId="26">FALSE</definedName>
    <definedName name="QBPRESERVECOLOR" localSheetId="27">FALSE</definedName>
    <definedName name="QBPRESERVECOLOR" localSheetId="33">FALSE</definedName>
    <definedName name="QBPRESERVECOLOR" localSheetId="34">FALSE</definedName>
    <definedName name="QBPRESERVEFONT" localSheetId="11">FALSE</definedName>
    <definedName name="QBPRESERVEFONT" localSheetId="12">FALSE</definedName>
    <definedName name="QBPRESERVEFONT" localSheetId="13">FALSE</definedName>
    <definedName name="QBPRESERVEFONT" localSheetId="14">FALSE</definedName>
    <definedName name="QBPRESERVEFONT" localSheetId="15">FALSE</definedName>
    <definedName name="QBPRESERVEFONT" localSheetId="16">FALSE</definedName>
    <definedName name="QBPRESERVEFONT" localSheetId="17">FALSE</definedName>
    <definedName name="QBPRESERVEFONT" localSheetId="18">FALSE</definedName>
    <definedName name="QBPRESERVEFONT" localSheetId="19">FALSE</definedName>
    <definedName name="QBPRESERVEFONT" localSheetId="20">FALSE</definedName>
    <definedName name="QBPRESERVEFONT" localSheetId="21">FALSE</definedName>
    <definedName name="QBPRESERVEFONT" localSheetId="22">FALSE</definedName>
    <definedName name="QBPRESERVEFONT" localSheetId="23">FALSE</definedName>
    <definedName name="QBPRESERVEFONT" localSheetId="25">FALSE</definedName>
    <definedName name="QBPRESERVEFONT" localSheetId="26">FALSE</definedName>
    <definedName name="QBPRESERVEFONT" localSheetId="27">FALSE</definedName>
    <definedName name="QBPRESERVEFONT" localSheetId="33">FALSE</definedName>
    <definedName name="QBPRESERVEFONT" localSheetId="34">FALSE</definedName>
    <definedName name="QBPRESERVEROWHEIGHT" localSheetId="11">FALSE</definedName>
    <definedName name="QBPRESERVEROWHEIGHT" localSheetId="12">FALSE</definedName>
    <definedName name="QBPRESERVEROWHEIGHT" localSheetId="13">FALSE</definedName>
    <definedName name="QBPRESERVEROWHEIGHT" localSheetId="14">FALSE</definedName>
    <definedName name="QBPRESERVEROWHEIGHT" localSheetId="15">FALSE</definedName>
    <definedName name="QBPRESERVEROWHEIGHT" localSheetId="16">FALSE</definedName>
    <definedName name="QBPRESERVEROWHEIGHT" localSheetId="17">FALSE</definedName>
    <definedName name="QBPRESERVEROWHEIGHT" localSheetId="18">FALSE</definedName>
    <definedName name="QBPRESERVEROWHEIGHT" localSheetId="19">FALSE</definedName>
    <definedName name="QBPRESERVEROWHEIGHT" localSheetId="20">FALSE</definedName>
    <definedName name="QBPRESERVEROWHEIGHT" localSheetId="21">FALSE</definedName>
    <definedName name="QBPRESERVEROWHEIGHT" localSheetId="22">FALSE</definedName>
    <definedName name="QBPRESERVEROWHEIGHT" localSheetId="23">FALSE</definedName>
    <definedName name="QBPRESERVEROWHEIGHT" localSheetId="25">FALSE</definedName>
    <definedName name="QBPRESERVEROWHEIGHT" localSheetId="26">FALSE</definedName>
    <definedName name="QBPRESERVEROWHEIGHT" localSheetId="27">FALSE</definedName>
    <definedName name="QBPRESERVEROWHEIGHT" localSheetId="33">FALSE</definedName>
    <definedName name="QBPRESERVEROWHEIGHT" localSheetId="34">FALSE</definedName>
    <definedName name="QBPRESERVESPACE" localSheetId="11">FALSE</definedName>
    <definedName name="QBPRESERVESPACE" localSheetId="12">FALSE</definedName>
    <definedName name="QBPRESERVESPACE" localSheetId="13">FALSE</definedName>
    <definedName name="QBPRESERVESPACE" localSheetId="14">FALSE</definedName>
    <definedName name="QBPRESERVESPACE" localSheetId="15">FALSE</definedName>
    <definedName name="QBPRESERVESPACE" localSheetId="16">FALSE</definedName>
    <definedName name="QBPRESERVESPACE" localSheetId="17">FALSE</definedName>
    <definedName name="QBPRESERVESPACE" localSheetId="18">FALSE</definedName>
    <definedName name="QBPRESERVESPACE" localSheetId="19">FALSE</definedName>
    <definedName name="QBPRESERVESPACE" localSheetId="20">FALSE</definedName>
    <definedName name="QBPRESERVESPACE" localSheetId="21">FALSE</definedName>
    <definedName name="QBPRESERVESPACE" localSheetId="22">FALSE</definedName>
    <definedName name="QBPRESERVESPACE" localSheetId="23">FALSE</definedName>
    <definedName name="QBPRESERVESPACE" localSheetId="25">FALSE</definedName>
    <definedName name="QBPRESERVESPACE" localSheetId="26">FALSE</definedName>
    <definedName name="QBPRESERVESPACE" localSheetId="27">FALSE</definedName>
    <definedName name="QBPRESERVESPACE" localSheetId="33">FALSE</definedName>
    <definedName name="QBPRESERVESPACE" localSheetId="34">FALSE</definedName>
    <definedName name="QBREPORTCOLAXIS" localSheetId="11">0</definedName>
    <definedName name="QBREPORTCOLAXIS" localSheetId="12">0</definedName>
    <definedName name="QBREPORTCOLAXIS" localSheetId="13">0</definedName>
    <definedName name="QBREPORTCOLAXIS" localSheetId="14">0</definedName>
    <definedName name="QBREPORTCOLAXIS" localSheetId="15">0</definedName>
    <definedName name="QBREPORTCOLAXIS" localSheetId="16">0</definedName>
    <definedName name="QBREPORTCOLAXIS" localSheetId="17">0</definedName>
    <definedName name="QBREPORTCOLAXIS" localSheetId="18">0</definedName>
    <definedName name="QBREPORTCOLAXIS" localSheetId="19">0</definedName>
    <definedName name="QBREPORTCOLAXIS" localSheetId="20">0</definedName>
    <definedName name="QBREPORTCOLAXIS" localSheetId="21">0</definedName>
    <definedName name="QBREPORTCOLAXIS" localSheetId="22">0</definedName>
    <definedName name="QBREPORTCOLAXIS" localSheetId="23">0</definedName>
    <definedName name="QBREPORTCOLAXIS" localSheetId="25">0</definedName>
    <definedName name="QBREPORTCOLAXIS" localSheetId="26">0</definedName>
    <definedName name="QBREPORTCOLAXIS" localSheetId="27">0</definedName>
    <definedName name="QBREPORTCOLAXIS" localSheetId="33">0</definedName>
    <definedName name="QBREPORTCOLAXIS" localSheetId="34">0</definedName>
    <definedName name="QBREPORTCOMPANYID" localSheetId="11">"b08a18a08e4f48359dec696f3262895f"</definedName>
    <definedName name="QBREPORTCOMPANYID" localSheetId="12">"b08a18a08e4f48359dec696f3262895f"</definedName>
    <definedName name="QBREPORTCOMPANYID" localSheetId="13">"b08a18a08e4f48359dec696f3262895f"</definedName>
    <definedName name="QBREPORTCOMPANYID" localSheetId="14">"b08a18a08e4f48359dec696f3262895f"</definedName>
    <definedName name="QBREPORTCOMPANYID" localSheetId="15">"b08a18a08e4f48359dec696f3262895f"</definedName>
    <definedName name="QBREPORTCOMPANYID" localSheetId="16">"b08a18a08e4f48359dec696f3262895f"</definedName>
    <definedName name="QBREPORTCOMPANYID" localSheetId="17">"b08a18a08e4f48359dec696f3262895f"</definedName>
    <definedName name="QBREPORTCOMPANYID" localSheetId="18">"b08a18a08e4f48359dec696f3262895f"</definedName>
    <definedName name="QBREPORTCOMPANYID" localSheetId="19">"b08a18a08e4f48359dec696f3262895f"</definedName>
    <definedName name="QBREPORTCOMPANYID" localSheetId="20">"b08a18a08e4f48359dec696f3262895f"</definedName>
    <definedName name="QBREPORTCOMPANYID" localSheetId="21">"b08a18a08e4f48359dec696f3262895f"</definedName>
    <definedName name="QBREPORTCOMPANYID" localSheetId="22">"b08a18a08e4f48359dec696f3262895f"</definedName>
    <definedName name="QBREPORTCOMPANYID" localSheetId="23">"b08a18a08e4f48359dec696f3262895f"</definedName>
    <definedName name="QBREPORTCOMPANYID" localSheetId="25">"b08a18a08e4f48359dec696f3262895f"</definedName>
    <definedName name="QBREPORTCOMPANYID" localSheetId="26">"b08a18a08e4f48359dec696f3262895f"</definedName>
    <definedName name="QBREPORTCOMPANYID" localSheetId="27">"b08a18a08e4f48359dec696f3262895f"</definedName>
    <definedName name="QBREPORTCOMPANYID" localSheetId="33">"b08a18a08e4f48359dec696f3262895f"</definedName>
    <definedName name="QBREPORTCOMPANYID" localSheetId="34">"b08a18a08e4f48359dec696f3262895f"</definedName>
    <definedName name="QBREPORTCOMPARECOL_ANNUALBUDGET" localSheetId="11">FALSE</definedName>
    <definedName name="QBREPORTCOMPARECOL_ANNUALBUDGET" localSheetId="12">FALSE</definedName>
    <definedName name="QBREPORTCOMPARECOL_ANNUALBUDGET" localSheetId="13">FALSE</definedName>
    <definedName name="QBREPORTCOMPARECOL_ANNUALBUDGET" localSheetId="14">FALSE</definedName>
    <definedName name="QBREPORTCOMPARECOL_ANNUALBUDGET" localSheetId="15">FALSE</definedName>
    <definedName name="QBREPORTCOMPARECOL_ANNUALBUDGET" localSheetId="16">FALSE</definedName>
    <definedName name="QBREPORTCOMPARECOL_ANNUALBUDGET" localSheetId="17">FALSE</definedName>
    <definedName name="QBREPORTCOMPARECOL_ANNUALBUDGET" localSheetId="18">FALSE</definedName>
    <definedName name="QBREPORTCOMPARECOL_ANNUALBUDGET" localSheetId="19">FALSE</definedName>
    <definedName name="QBREPORTCOMPARECOL_ANNUALBUDGET" localSheetId="20">FALSE</definedName>
    <definedName name="QBREPORTCOMPARECOL_ANNUALBUDGET" localSheetId="21">FALSE</definedName>
    <definedName name="QBREPORTCOMPARECOL_ANNUALBUDGET" localSheetId="22">FALSE</definedName>
    <definedName name="QBREPORTCOMPARECOL_ANNUALBUDGET" localSheetId="23">FALSE</definedName>
    <definedName name="QBREPORTCOMPARECOL_ANNUALBUDGET" localSheetId="25">FALSE</definedName>
    <definedName name="QBREPORTCOMPARECOL_ANNUALBUDGET" localSheetId="26">FALSE</definedName>
    <definedName name="QBREPORTCOMPARECOL_ANNUALBUDGET" localSheetId="27">FALSE</definedName>
    <definedName name="QBREPORTCOMPARECOL_ANNUALBUDGET" localSheetId="33">FALSE</definedName>
    <definedName name="QBREPORTCOMPARECOL_ANNUALBUDGET" localSheetId="34">FALSE</definedName>
    <definedName name="QBREPORTCOMPARECOL_AVGCOGS" localSheetId="11">FALSE</definedName>
    <definedName name="QBREPORTCOMPARECOL_AVGCOGS" localSheetId="12">FALSE</definedName>
    <definedName name="QBREPORTCOMPARECOL_AVGCOGS" localSheetId="13">FALSE</definedName>
    <definedName name="QBREPORTCOMPARECOL_AVGCOGS" localSheetId="14">FALSE</definedName>
    <definedName name="QBREPORTCOMPARECOL_AVGCOGS" localSheetId="15">FALSE</definedName>
    <definedName name="QBREPORTCOMPARECOL_AVGCOGS" localSheetId="16">FALSE</definedName>
    <definedName name="QBREPORTCOMPARECOL_AVGCOGS" localSheetId="17">FALSE</definedName>
    <definedName name="QBREPORTCOMPARECOL_AVGCOGS" localSheetId="18">FALSE</definedName>
    <definedName name="QBREPORTCOMPARECOL_AVGCOGS" localSheetId="19">FALSE</definedName>
    <definedName name="QBREPORTCOMPARECOL_AVGCOGS" localSheetId="20">FALSE</definedName>
    <definedName name="QBREPORTCOMPARECOL_AVGCOGS" localSheetId="21">FALSE</definedName>
    <definedName name="QBREPORTCOMPARECOL_AVGCOGS" localSheetId="22">FALSE</definedName>
    <definedName name="QBREPORTCOMPARECOL_AVGCOGS" localSheetId="23">FALSE</definedName>
    <definedName name="QBREPORTCOMPARECOL_AVGCOGS" localSheetId="25">FALSE</definedName>
    <definedName name="QBREPORTCOMPARECOL_AVGCOGS" localSheetId="26">FALSE</definedName>
    <definedName name="QBREPORTCOMPARECOL_AVGCOGS" localSheetId="27">FALSE</definedName>
    <definedName name="QBREPORTCOMPARECOL_AVGCOGS" localSheetId="33">FALSE</definedName>
    <definedName name="QBREPORTCOMPARECOL_AVGCOGS" localSheetId="34">FALSE</definedName>
    <definedName name="QBREPORTCOMPARECOL_AVGPRICE" localSheetId="11">FALSE</definedName>
    <definedName name="QBREPORTCOMPARECOL_AVGPRICE" localSheetId="12">FALSE</definedName>
    <definedName name="QBREPORTCOMPARECOL_AVGPRICE" localSheetId="13">FALSE</definedName>
    <definedName name="QBREPORTCOMPARECOL_AVGPRICE" localSheetId="14">FALSE</definedName>
    <definedName name="QBREPORTCOMPARECOL_AVGPRICE" localSheetId="15">FALSE</definedName>
    <definedName name="QBREPORTCOMPARECOL_AVGPRICE" localSheetId="16">FALSE</definedName>
    <definedName name="QBREPORTCOMPARECOL_AVGPRICE" localSheetId="17">FALSE</definedName>
    <definedName name="QBREPORTCOMPARECOL_AVGPRICE" localSheetId="18">FALSE</definedName>
    <definedName name="QBREPORTCOMPARECOL_AVGPRICE" localSheetId="19">FALSE</definedName>
    <definedName name="QBREPORTCOMPARECOL_AVGPRICE" localSheetId="20">FALSE</definedName>
    <definedName name="QBREPORTCOMPARECOL_AVGPRICE" localSheetId="21">FALSE</definedName>
    <definedName name="QBREPORTCOMPARECOL_AVGPRICE" localSheetId="22">FALSE</definedName>
    <definedName name="QBREPORTCOMPARECOL_AVGPRICE" localSheetId="23">FALSE</definedName>
    <definedName name="QBREPORTCOMPARECOL_AVGPRICE" localSheetId="25">FALSE</definedName>
    <definedName name="QBREPORTCOMPARECOL_AVGPRICE" localSheetId="26">FALSE</definedName>
    <definedName name="QBREPORTCOMPARECOL_AVGPRICE" localSheetId="27">FALSE</definedName>
    <definedName name="QBREPORTCOMPARECOL_AVGPRICE" localSheetId="33">FALSE</definedName>
    <definedName name="QBREPORTCOMPARECOL_AVGPRICE" localSheetId="34">FALSE</definedName>
    <definedName name="QBREPORTCOMPARECOL_BUDDIFF" localSheetId="11">FALSE</definedName>
    <definedName name="QBREPORTCOMPARECOL_BUDDIFF" localSheetId="12">FALSE</definedName>
    <definedName name="QBREPORTCOMPARECOL_BUDDIFF" localSheetId="13">FALSE</definedName>
    <definedName name="QBREPORTCOMPARECOL_BUDDIFF" localSheetId="14">FALSE</definedName>
    <definedName name="QBREPORTCOMPARECOL_BUDDIFF" localSheetId="15">FALSE</definedName>
    <definedName name="QBREPORTCOMPARECOL_BUDDIFF" localSheetId="16">FALSE</definedName>
    <definedName name="QBREPORTCOMPARECOL_BUDDIFF" localSheetId="17">FALSE</definedName>
    <definedName name="QBREPORTCOMPARECOL_BUDDIFF" localSheetId="18">FALSE</definedName>
    <definedName name="QBREPORTCOMPARECOL_BUDDIFF" localSheetId="19">FALSE</definedName>
    <definedName name="QBREPORTCOMPARECOL_BUDDIFF" localSheetId="20">FALSE</definedName>
    <definedName name="QBREPORTCOMPARECOL_BUDDIFF" localSheetId="21">FALSE</definedName>
    <definedName name="QBREPORTCOMPARECOL_BUDDIFF" localSheetId="22">FALSE</definedName>
    <definedName name="QBREPORTCOMPARECOL_BUDDIFF" localSheetId="23">FALSE</definedName>
    <definedName name="QBREPORTCOMPARECOL_BUDDIFF" localSheetId="25">FALSE</definedName>
    <definedName name="QBREPORTCOMPARECOL_BUDDIFF" localSheetId="26">FALSE</definedName>
    <definedName name="QBREPORTCOMPARECOL_BUDDIFF" localSheetId="27">FALSE</definedName>
    <definedName name="QBREPORTCOMPARECOL_BUDDIFF" localSheetId="33">FALSE</definedName>
    <definedName name="QBREPORTCOMPARECOL_BUDDIFF" localSheetId="34">FALSE</definedName>
    <definedName name="QBREPORTCOMPARECOL_BUDGET" localSheetId="11">FALSE</definedName>
    <definedName name="QBREPORTCOMPARECOL_BUDGET" localSheetId="12">FALSE</definedName>
    <definedName name="QBREPORTCOMPARECOL_BUDGET" localSheetId="13">FALSE</definedName>
    <definedName name="QBREPORTCOMPARECOL_BUDGET" localSheetId="14">FALSE</definedName>
    <definedName name="QBREPORTCOMPARECOL_BUDGET" localSheetId="15">FALSE</definedName>
    <definedName name="QBREPORTCOMPARECOL_BUDGET" localSheetId="16">FALSE</definedName>
    <definedName name="QBREPORTCOMPARECOL_BUDGET" localSheetId="17">FALSE</definedName>
    <definedName name="QBREPORTCOMPARECOL_BUDGET" localSheetId="18">FALSE</definedName>
    <definedName name="QBREPORTCOMPARECOL_BUDGET" localSheetId="19">FALSE</definedName>
    <definedName name="QBREPORTCOMPARECOL_BUDGET" localSheetId="20">FALSE</definedName>
    <definedName name="QBREPORTCOMPARECOL_BUDGET" localSheetId="21">FALSE</definedName>
    <definedName name="QBREPORTCOMPARECOL_BUDGET" localSheetId="22">FALSE</definedName>
    <definedName name="QBREPORTCOMPARECOL_BUDGET" localSheetId="23">FALSE</definedName>
    <definedName name="QBREPORTCOMPARECOL_BUDGET" localSheetId="25">FALSE</definedName>
    <definedName name="QBREPORTCOMPARECOL_BUDGET" localSheetId="26">FALSE</definedName>
    <definedName name="QBREPORTCOMPARECOL_BUDGET" localSheetId="27">FALSE</definedName>
    <definedName name="QBREPORTCOMPARECOL_BUDGET" localSheetId="33">FALSE</definedName>
    <definedName name="QBREPORTCOMPARECOL_BUDGET" localSheetId="34">FALSE</definedName>
    <definedName name="QBREPORTCOMPARECOL_BUDPCT" localSheetId="11">FALSE</definedName>
    <definedName name="QBREPORTCOMPARECOL_BUDPCT" localSheetId="12">FALSE</definedName>
    <definedName name="QBREPORTCOMPARECOL_BUDPCT" localSheetId="13">FALSE</definedName>
    <definedName name="QBREPORTCOMPARECOL_BUDPCT" localSheetId="14">FALSE</definedName>
    <definedName name="QBREPORTCOMPARECOL_BUDPCT" localSheetId="15">FALSE</definedName>
    <definedName name="QBREPORTCOMPARECOL_BUDPCT" localSheetId="16">FALSE</definedName>
    <definedName name="QBREPORTCOMPARECOL_BUDPCT" localSheetId="17">FALSE</definedName>
    <definedName name="QBREPORTCOMPARECOL_BUDPCT" localSheetId="18">FALSE</definedName>
    <definedName name="QBREPORTCOMPARECOL_BUDPCT" localSheetId="19">FALSE</definedName>
    <definedName name="QBREPORTCOMPARECOL_BUDPCT" localSheetId="20">FALSE</definedName>
    <definedName name="QBREPORTCOMPARECOL_BUDPCT" localSheetId="21">FALSE</definedName>
    <definedName name="QBREPORTCOMPARECOL_BUDPCT" localSheetId="22">FALSE</definedName>
    <definedName name="QBREPORTCOMPARECOL_BUDPCT" localSheetId="23">FALSE</definedName>
    <definedName name="QBREPORTCOMPARECOL_BUDPCT" localSheetId="25">FALSE</definedName>
    <definedName name="QBREPORTCOMPARECOL_BUDPCT" localSheetId="26">FALSE</definedName>
    <definedName name="QBREPORTCOMPARECOL_BUDPCT" localSheetId="27">FALSE</definedName>
    <definedName name="QBREPORTCOMPARECOL_BUDPCT" localSheetId="33">FALSE</definedName>
    <definedName name="QBREPORTCOMPARECOL_BUDPCT" localSheetId="34">FALSE</definedName>
    <definedName name="QBREPORTCOMPARECOL_COGS" localSheetId="11">FALSE</definedName>
    <definedName name="QBREPORTCOMPARECOL_COGS" localSheetId="12">FALSE</definedName>
    <definedName name="QBREPORTCOMPARECOL_COGS" localSheetId="13">FALSE</definedName>
    <definedName name="QBREPORTCOMPARECOL_COGS" localSheetId="14">FALSE</definedName>
    <definedName name="QBREPORTCOMPARECOL_COGS" localSheetId="15">FALSE</definedName>
    <definedName name="QBREPORTCOMPARECOL_COGS" localSheetId="16">FALSE</definedName>
    <definedName name="QBREPORTCOMPARECOL_COGS" localSheetId="17">FALSE</definedName>
    <definedName name="QBREPORTCOMPARECOL_COGS" localSheetId="18">FALSE</definedName>
    <definedName name="QBREPORTCOMPARECOL_COGS" localSheetId="19">FALSE</definedName>
    <definedName name="QBREPORTCOMPARECOL_COGS" localSheetId="20">FALSE</definedName>
    <definedName name="QBREPORTCOMPARECOL_COGS" localSheetId="21">FALSE</definedName>
    <definedName name="QBREPORTCOMPARECOL_COGS" localSheetId="22">FALSE</definedName>
    <definedName name="QBREPORTCOMPARECOL_COGS" localSheetId="23">FALSE</definedName>
    <definedName name="QBREPORTCOMPARECOL_COGS" localSheetId="25">FALSE</definedName>
    <definedName name="QBREPORTCOMPARECOL_COGS" localSheetId="26">FALSE</definedName>
    <definedName name="QBREPORTCOMPARECOL_COGS" localSheetId="27">FALSE</definedName>
    <definedName name="QBREPORTCOMPARECOL_COGS" localSheetId="33">FALSE</definedName>
    <definedName name="QBREPORTCOMPARECOL_COGS" localSheetId="34">FALSE</definedName>
    <definedName name="QBREPORTCOMPARECOL_EXCLUDEAMOUNT" localSheetId="11">FALSE</definedName>
    <definedName name="QBREPORTCOMPARECOL_EXCLUDEAMOUNT" localSheetId="12">FALSE</definedName>
    <definedName name="QBREPORTCOMPARECOL_EXCLUDEAMOUNT" localSheetId="13">FALSE</definedName>
    <definedName name="QBREPORTCOMPARECOL_EXCLUDEAMOUNT" localSheetId="14">FALSE</definedName>
    <definedName name="QBREPORTCOMPARECOL_EXCLUDEAMOUNT" localSheetId="15">FALSE</definedName>
    <definedName name="QBREPORTCOMPARECOL_EXCLUDEAMOUNT" localSheetId="16">FALSE</definedName>
    <definedName name="QBREPORTCOMPARECOL_EXCLUDEAMOUNT" localSheetId="17">FALSE</definedName>
    <definedName name="QBREPORTCOMPARECOL_EXCLUDEAMOUNT" localSheetId="18">FALSE</definedName>
    <definedName name="QBREPORTCOMPARECOL_EXCLUDEAMOUNT" localSheetId="19">FALSE</definedName>
    <definedName name="QBREPORTCOMPARECOL_EXCLUDEAMOUNT" localSheetId="20">FALSE</definedName>
    <definedName name="QBREPORTCOMPARECOL_EXCLUDEAMOUNT" localSheetId="21">FALSE</definedName>
    <definedName name="QBREPORTCOMPARECOL_EXCLUDEAMOUNT" localSheetId="22">FALSE</definedName>
    <definedName name="QBREPORTCOMPARECOL_EXCLUDEAMOUNT" localSheetId="23">FALSE</definedName>
    <definedName name="QBREPORTCOMPARECOL_EXCLUDEAMOUNT" localSheetId="25">FALSE</definedName>
    <definedName name="QBREPORTCOMPARECOL_EXCLUDEAMOUNT" localSheetId="26">FALSE</definedName>
    <definedName name="QBREPORTCOMPARECOL_EXCLUDEAMOUNT" localSheetId="27">FALSE</definedName>
    <definedName name="QBREPORTCOMPARECOL_EXCLUDEAMOUNT" localSheetId="33">FALSE</definedName>
    <definedName name="QBREPORTCOMPARECOL_EXCLUDEAMOUNT" localSheetId="34">FALSE</definedName>
    <definedName name="QBREPORTCOMPARECOL_EXCLUDECURPERIOD" localSheetId="11">FALSE</definedName>
    <definedName name="QBREPORTCOMPARECOL_EXCLUDECURPERIOD" localSheetId="12">FALSE</definedName>
    <definedName name="QBREPORTCOMPARECOL_EXCLUDECURPERIOD" localSheetId="13">FALSE</definedName>
    <definedName name="QBREPORTCOMPARECOL_EXCLUDECURPERIOD" localSheetId="14">FALSE</definedName>
    <definedName name="QBREPORTCOMPARECOL_EXCLUDECURPERIOD" localSheetId="15">FALSE</definedName>
    <definedName name="QBREPORTCOMPARECOL_EXCLUDECURPERIOD" localSheetId="16">FALSE</definedName>
    <definedName name="QBREPORTCOMPARECOL_EXCLUDECURPERIOD" localSheetId="17">FALSE</definedName>
    <definedName name="QBREPORTCOMPARECOL_EXCLUDECURPERIOD" localSheetId="18">FALSE</definedName>
    <definedName name="QBREPORTCOMPARECOL_EXCLUDECURPERIOD" localSheetId="19">FALSE</definedName>
    <definedName name="QBREPORTCOMPARECOL_EXCLUDECURPERIOD" localSheetId="20">FALSE</definedName>
    <definedName name="QBREPORTCOMPARECOL_EXCLUDECURPERIOD" localSheetId="21">FALSE</definedName>
    <definedName name="QBREPORTCOMPARECOL_EXCLUDECURPERIOD" localSheetId="22">FALSE</definedName>
    <definedName name="QBREPORTCOMPARECOL_EXCLUDECURPERIOD" localSheetId="23">FALSE</definedName>
    <definedName name="QBREPORTCOMPARECOL_EXCLUDECURPERIOD" localSheetId="25">FALSE</definedName>
    <definedName name="QBREPORTCOMPARECOL_EXCLUDECURPERIOD" localSheetId="26">FALSE</definedName>
    <definedName name="QBREPORTCOMPARECOL_EXCLUDECURPERIOD" localSheetId="27">FALSE</definedName>
    <definedName name="QBREPORTCOMPARECOL_EXCLUDECURPERIOD" localSheetId="33">FALSE</definedName>
    <definedName name="QBREPORTCOMPARECOL_EXCLUDECURPERIOD" localSheetId="34">FALSE</definedName>
    <definedName name="QBREPORTCOMPARECOL_FORECAST" localSheetId="11">FALSE</definedName>
    <definedName name="QBREPORTCOMPARECOL_FORECAST" localSheetId="12">FALSE</definedName>
    <definedName name="QBREPORTCOMPARECOL_FORECAST" localSheetId="13">FALSE</definedName>
    <definedName name="QBREPORTCOMPARECOL_FORECAST" localSheetId="14">FALSE</definedName>
    <definedName name="QBREPORTCOMPARECOL_FORECAST" localSheetId="15">FALSE</definedName>
    <definedName name="QBREPORTCOMPARECOL_FORECAST" localSheetId="16">FALSE</definedName>
    <definedName name="QBREPORTCOMPARECOL_FORECAST" localSheetId="17">FALSE</definedName>
    <definedName name="QBREPORTCOMPARECOL_FORECAST" localSheetId="18">FALSE</definedName>
    <definedName name="QBREPORTCOMPARECOL_FORECAST" localSheetId="19">FALSE</definedName>
    <definedName name="QBREPORTCOMPARECOL_FORECAST" localSheetId="20">FALSE</definedName>
    <definedName name="QBREPORTCOMPARECOL_FORECAST" localSheetId="21">FALSE</definedName>
    <definedName name="QBREPORTCOMPARECOL_FORECAST" localSheetId="22">FALSE</definedName>
    <definedName name="QBREPORTCOMPARECOL_FORECAST" localSheetId="23">FALSE</definedName>
    <definedName name="QBREPORTCOMPARECOL_FORECAST" localSheetId="25">FALSE</definedName>
    <definedName name="QBREPORTCOMPARECOL_FORECAST" localSheetId="26">FALSE</definedName>
    <definedName name="QBREPORTCOMPARECOL_FORECAST" localSheetId="27">FALSE</definedName>
    <definedName name="QBREPORTCOMPARECOL_FORECAST" localSheetId="33">FALSE</definedName>
    <definedName name="QBREPORTCOMPARECOL_FORECAST" localSheetId="34">FALSE</definedName>
    <definedName name="QBREPORTCOMPARECOL_GROSSMARGIN" localSheetId="11">FALSE</definedName>
    <definedName name="QBREPORTCOMPARECOL_GROSSMARGIN" localSheetId="12">FALSE</definedName>
    <definedName name="QBREPORTCOMPARECOL_GROSSMARGIN" localSheetId="13">FALSE</definedName>
    <definedName name="QBREPORTCOMPARECOL_GROSSMARGIN" localSheetId="14">FALSE</definedName>
    <definedName name="QBREPORTCOMPARECOL_GROSSMARGIN" localSheetId="15">FALSE</definedName>
    <definedName name="QBREPORTCOMPARECOL_GROSSMARGIN" localSheetId="16">FALSE</definedName>
    <definedName name="QBREPORTCOMPARECOL_GROSSMARGIN" localSheetId="17">FALSE</definedName>
    <definedName name="QBREPORTCOMPARECOL_GROSSMARGIN" localSheetId="18">FALSE</definedName>
    <definedName name="QBREPORTCOMPARECOL_GROSSMARGIN" localSheetId="19">FALSE</definedName>
    <definedName name="QBREPORTCOMPARECOL_GROSSMARGIN" localSheetId="20">FALSE</definedName>
    <definedName name="QBREPORTCOMPARECOL_GROSSMARGIN" localSheetId="21">FALSE</definedName>
    <definedName name="QBREPORTCOMPARECOL_GROSSMARGIN" localSheetId="22">FALSE</definedName>
    <definedName name="QBREPORTCOMPARECOL_GROSSMARGIN" localSheetId="23">FALSE</definedName>
    <definedName name="QBREPORTCOMPARECOL_GROSSMARGIN" localSheetId="25">FALSE</definedName>
    <definedName name="QBREPORTCOMPARECOL_GROSSMARGIN" localSheetId="26">FALSE</definedName>
    <definedName name="QBREPORTCOMPARECOL_GROSSMARGIN" localSheetId="27">FALSE</definedName>
    <definedName name="QBREPORTCOMPARECOL_GROSSMARGIN" localSheetId="33">FALSE</definedName>
    <definedName name="QBREPORTCOMPARECOL_GROSSMARGIN" localSheetId="34">FALSE</definedName>
    <definedName name="QBREPORTCOMPARECOL_GROSSMARGINPCT" localSheetId="11">FALSE</definedName>
    <definedName name="QBREPORTCOMPARECOL_GROSSMARGINPCT" localSheetId="12">FALSE</definedName>
    <definedName name="QBREPORTCOMPARECOL_GROSSMARGINPCT" localSheetId="13">FALSE</definedName>
    <definedName name="QBREPORTCOMPARECOL_GROSSMARGINPCT" localSheetId="14">FALSE</definedName>
    <definedName name="QBREPORTCOMPARECOL_GROSSMARGINPCT" localSheetId="15">FALSE</definedName>
    <definedName name="QBREPORTCOMPARECOL_GROSSMARGINPCT" localSheetId="16">FALSE</definedName>
    <definedName name="QBREPORTCOMPARECOL_GROSSMARGINPCT" localSheetId="17">FALSE</definedName>
    <definedName name="QBREPORTCOMPARECOL_GROSSMARGINPCT" localSheetId="18">FALSE</definedName>
    <definedName name="QBREPORTCOMPARECOL_GROSSMARGINPCT" localSheetId="19">FALSE</definedName>
    <definedName name="QBREPORTCOMPARECOL_GROSSMARGINPCT" localSheetId="20">FALSE</definedName>
    <definedName name="QBREPORTCOMPARECOL_GROSSMARGINPCT" localSheetId="21">FALSE</definedName>
    <definedName name="QBREPORTCOMPARECOL_GROSSMARGINPCT" localSheetId="22">FALSE</definedName>
    <definedName name="QBREPORTCOMPARECOL_GROSSMARGINPCT" localSheetId="23">FALSE</definedName>
    <definedName name="QBREPORTCOMPARECOL_GROSSMARGINPCT" localSheetId="25">FALSE</definedName>
    <definedName name="QBREPORTCOMPARECOL_GROSSMARGINPCT" localSheetId="26">FALSE</definedName>
    <definedName name="QBREPORTCOMPARECOL_GROSSMARGINPCT" localSheetId="27">FALSE</definedName>
    <definedName name="QBREPORTCOMPARECOL_GROSSMARGINPCT" localSheetId="33">FALSE</definedName>
    <definedName name="QBREPORTCOMPARECOL_GROSSMARGINPCT" localSheetId="34">FALSE</definedName>
    <definedName name="QBREPORTCOMPARECOL_HOURS" localSheetId="11">FALSE</definedName>
    <definedName name="QBREPORTCOMPARECOL_HOURS" localSheetId="12">FALSE</definedName>
    <definedName name="QBREPORTCOMPARECOL_HOURS" localSheetId="13">FALSE</definedName>
    <definedName name="QBREPORTCOMPARECOL_HOURS" localSheetId="14">FALSE</definedName>
    <definedName name="QBREPORTCOMPARECOL_HOURS" localSheetId="15">FALSE</definedName>
    <definedName name="QBREPORTCOMPARECOL_HOURS" localSheetId="16">FALSE</definedName>
    <definedName name="QBREPORTCOMPARECOL_HOURS" localSheetId="17">FALSE</definedName>
    <definedName name="QBREPORTCOMPARECOL_HOURS" localSheetId="18">FALSE</definedName>
    <definedName name="QBREPORTCOMPARECOL_HOURS" localSheetId="19">FALSE</definedName>
    <definedName name="QBREPORTCOMPARECOL_HOURS" localSheetId="20">FALSE</definedName>
    <definedName name="QBREPORTCOMPARECOL_HOURS" localSheetId="21">FALSE</definedName>
    <definedName name="QBREPORTCOMPARECOL_HOURS" localSheetId="22">FALSE</definedName>
    <definedName name="QBREPORTCOMPARECOL_HOURS" localSheetId="23">FALSE</definedName>
    <definedName name="QBREPORTCOMPARECOL_HOURS" localSheetId="25">FALSE</definedName>
    <definedName name="QBREPORTCOMPARECOL_HOURS" localSheetId="26">FALSE</definedName>
    <definedName name="QBREPORTCOMPARECOL_HOURS" localSheetId="27">FALSE</definedName>
    <definedName name="QBREPORTCOMPARECOL_HOURS" localSheetId="33">FALSE</definedName>
    <definedName name="QBREPORTCOMPARECOL_HOURS" localSheetId="34">FALSE</definedName>
    <definedName name="QBREPORTCOMPARECOL_PCTCOL" localSheetId="11">FALSE</definedName>
    <definedName name="QBREPORTCOMPARECOL_PCTCOL" localSheetId="12">FALSE</definedName>
    <definedName name="QBREPORTCOMPARECOL_PCTCOL" localSheetId="13">FALSE</definedName>
    <definedName name="QBREPORTCOMPARECOL_PCTCOL" localSheetId="14">FALSE</definedName>
    <definedName name="QBREPORTCOMPARECOL_PCTCOL" localSheetId="15">FALSE</definedName>
    <definedName name="QBREPORTCOMPARECOL_PCTCOL" localSheetId="16">FALSE</definedName>
    <definedName name="QBREPORTCOMPARECOL_PCTCOL" localSheetId="17">FALSE</definedName>
    <definedName name="QBREPORTCOMPARECOL_PCTCOL" localSheetId="18">FALSE</definedName>
    <definedName name="QBREPORTCOMPARECOL_PCTCOL" localSheetId="19">FALSE</definedName>
    <definedName name="QBREPORTCOMPARECOL_PCTCOL" localSheetId="20">FALSE</definedName>
    <definedName name="QBREPORTCOMPARECOL_PCTCOL" localSheetId="21">FALSE</definedName>
    <definedName name="QBREPORTCOMPARECOL_PCTCOL" localSheetId="22">FALSE</definedName>
    <definedName name="QBREPORTCOMPARECOL_PCTCOL" localSheetId="23">FALSE</definedName>
    <definedName name="QBREPORTCOMPARECOL_PCTCOL" localSheetId="25">FALSE</definedName>
    <definedName name="QBREPORTCOMPARECOL_PCTCOL" localSheetId="26">FALSE</definedName>
    <definedName name="QBREPORTCOMPARECOL_PCTCOL" localSheetId="27">FALSE</definedName>
    <definedName name="QBREPORTCOMPARECOL_PCTCOL" localSheetId="33">FALSE</definedName>
    <definedName name="QBREPORTCOMPARECOL_PCTCOL" localSheetId="34">FALSE</definedName>
    <definedName name="QBREPORTCOMPARECOL_PCTEXPENSE" localSheetId="11">FALSE</definedName>
    <definedName name="QBREPORTCOMPARECOL_PCTEXPENSE" localSheetId="12">FALSE</definedName>
    <definedName name="QBREPORTCOMPARECOL_PCTEXPENSE" localSheetId="13">FALSE</definedName>
    <definedName name="QBREPORTCOMPARECOL_PCTEXPENSE" localSheetId="14">FALSE</definedName>
    <definedName name="QBREPORTCOMPARECOL_PCTEXPENSE" localSheetId="15">FALSE</definedName>
    <definedName name="QBREPORTCOMPARECOL_PCTEXPENSE" localSheetId="16">FALSE</definedName>
    <definedName name="QBREPORTCOMPARECOL_PCTEXPENSE" localSheetId="17">FALSE</definedName>
    <definedName name="QBREPORTCOMPARECOL_PCTEXPENSE" localSheetId="18">FALSE</definedName>
    <definedName name="QBREPORTCOMPARECOL_PCTEXPENSE" localSheetId="19">FALSE</definedName>
    <definedName name="QBREPORTCOMPARECOL_PCTEXPENSE" localSheetId="20">FALSE</definedName>
    <definedName name="QBREPORTCOMPARECOL_PCTEXPENSE" localSheetId="21">FALSE</definedName>
    <definedName name="QBREPORTCOMPARECOL_PCTEXPENSE" localSheetId="22">FALSE</definedName>
    <definedName name="QBREPORTCOMPARECOL_PCTEXPENSE" localSheetId="23">FALSE</definedName>
    <definedName name="QBREPORTCOMPARECOL_PCTEXPENSE" localSheetId="25">FALSE</definedName>
    <definedName name="QBREPORTCOMPARECOL_PCTEXPENSE" localSheetId="26">FALSE</definedName>
    <definedName name="QBREPORTCOMPARECOL_PCTEXPENSE" localSheetId="27">FALSE</definedName>
    <definedName name="QBREPORTCOMPARECOL_PCTEXPENSE" localSheetId="33">FALSE</definedName>
    <definedName name="QBREPORTCOMPARECOL_PCTEXPENSE" localSheetId="34">FALSE</definedName>
    <definedName name="QBREPORTCOMPARECOL_PCTINCOME" localSheetId="11">FALSE</definedName>
    <definedName name="QBREPORTCOMPARECOL_PCTINCOME" localSheetId="12">FALSE</definedName>
    <definedName name="QBREPORTCOMPARECOL_PCTINCOME" localSheetId="13">FALSE</definedName>
    <definedName name="QBREPORTCOMPARECOL_PCTINCOME" localSheetId="14">FALSE</definedName>
    <definedName name="QBREPORTCOMPARECOL_PCTINCOME" localSheetId="15">FALSE</definedName>
    <definedName name="QBREPORTCOMPARECOL_PCTINCOME" localSheetId="16">FALSE</definedName>
    <definedName name="QBREPORTCOMPARECOL_PCTINCOME" localSheetId="17">FALSE</definedName>
    <definedName name="QBREPORTCOMPARECOL_PCTINCOME" localSheetId="18">FALSE</definedName>
    <definedName name="QBREPORTCOMPARECOL_PCTINCOME" localSheetId="19">FALSE</definedName>
    <definedName name="QBREPORTCOMPARECOL_PCTINCOME" localSheetId="20">FALSE</definedName>
    <definedName name="QBREPORTCOMPARECOL_PCTINCOME" localSheetId="21">FALSE</definedName>
    <definedName name="QBREPORTCOMPARECOL_PCTINCOME" localSheetId="22">FALSE</definedName>
    <definedName name="QBREPORTCOMPARECOL_PCTINCOME" localSheetId="23">FALSE</definedName>
    <definedName name="QBREPORTCOMPARECOL_PCTINCOME" localSheetId="25">FALSE</definedName>
    <definedName name="QBREPORTCOMPARECOL_PCTINCOME" localSheetId="26">FALSE</definedName>
    <definedName name="QBREPORTCOMPARECOL_PCTINCOME" localSheetId="27">FALSE</definedName>
    <definedName name="QBREPORTCOMPARECOL_PCTINCOME" localSheetId="33">FALSE</definedName>
    <definedName name="QBREPORTCOMPARECOL_PCTINCOME" localSheetId="34">FALSE</definedName>
    <definedName name="QBREPORTCOMPARECOL_PCTOFSALES" localSheetId="11">FALSE</definedName>
    <definedName name="QBREPORTCOMPARECOL_PCTOFSALES" localSheetId="12">FALSE</definedName>
    <definedName name="QBREPORTCOMPARECOL_PCTOFSALES" localSheetId="13">FALSE</definedName>
    <definedName name="QBREPORTCOMPARECOL_PCTOFSALES" localSheetId="14">FALSE</definedName>
    <definedName name="QBREPORTCOMPARECOL_PCTOFSALES" localSheetId="15">FALSE</definedName>
    <definedName name="QBREPORTCOMPARECOL_PCTOFSALES" localSheetId="16">FALSE</definedName>
    <definedName name="QBREPORTCOMPARECOL_PCTOFSALES" localSheetId="17">FALSE</definedName>
    <definedName name="QBREPORTCOMPARECOL_PCTOFSALES" localSheetId="18">FALSE</definedName>
    <definedName name="QBREPORTCOMPARECOL_PCTOFSALES" localSheetId="19">FALSE</definedName>
    <definedName name="QBREPORTCOMPARECOL_PCTOFSALES" localSheetId="20">FALSE</definedName>
    <definedName name="QBREPORTCOMPARECOL_PCTOFSALES" localSheetId="21">FALSE</definedName>
    <definedName name="QBREPORTCOMPARECOL_PCTOFSALES" localSheetId="22">FALSE</definedName>
    <definedName name="QBREPORTCOMPARECOL_PCTOFSALES" localSheetId="23">FALSE</definedName>
    <definedName name="QBREPORTCOMPARECOL_PCTOFSALES" localSheetId="25">FALSE</definedName>
    <definedName name="QBREPORTCOMPARECOL_PCTOFSALES" localSheetId="26">FALSE</definedName>
    <definedName name="QBREPORTCOMPARECOL_PCTOFSALES" localSheetId="27">FALSE</definedName>
    <definedName name="QBREPORTCOMPARECOL_PCTOFSALES" localSheetId="33">FALSE</definedName>
    <definedName name="QBREPORTCOMPARECOL_PCTOFSALES" localSheetId="34">FALSE</definedName>
    <definedName name="QBREPORTCOMPARECOL_PCTROW" localSheetId="11">FALSE</definedName>
    <definedName name="QBREPORTCOMPARECOL_PCTROW" localSheetId="12">FALSE</definedName>
    <definedName name="QBREPORTCOMPARECOL_PCTROW" localSheetId="13">FALSE</definedName>
    <definedName name="QBREPORTCOMPARECOL_PCTROW" localSheetId="14">FALSE</definedName>
    <definedName name="QBREPORTCOMPARECOL_PCTROW" localSheetId="15">FALSE</definedName>
    <definedName name="QBREPORTCOMPARECOL_PCTROW" localSheetId="16">FALSE</definedName>
    <definedName name="QBREPORTCOMPARECOL_PCTROW" localSheetId="17">FALSE</definedName>
    <definedName name="QBREPORTCOMPARECOL_PCTROW" localSheetId="18">FALSE</definedName>
    <definedName name="QBREPORTCOMPARECOL_PCTROW" localSheetId="19">FALSE</definedName>
    <definedName name="QBREPORTCOMPARECOL_PCTROW" localSheetId="20">FALSE</definedName>
    <definedName name="QBREPORTCOMPARECOL_PCTROW" localSheetId="21">FALSE</definedName>
    <definedName name="QBREPORTCOMPARECOL_PCTROW" localSheetId="22">FALSE</definedName>
    <definedName name="QBREPORTCOMPARECOL_PCTROW" localSheetId="23">FALSE</definedName>
    <definedName name="QBREPORTCOMPARECOL_PCTROW" localSheetId="25">FALSE</definedName>
    <definedName name="QBREPORTCOMPARECOL_PCTROW" localSheetId="26">FALSE</definedName>
    <definedName name="QBREPORTCOMPARECOL_PCTROW" localSheetId="27">FALSE</definedName>
    <definedName name="QBREPORTCOMPARECOL_PCTROW" localSheetId="33">FALSE</definedName>
    <definedName name="QBREPORTCOMPARECOL_PCTROW" localSheetId="34">FALSE</definedName>
    <definedName name="QBREPORTCOMPARECOL_PPDIFF" localSheetId="11">FALSE</definedName>
    <definedName name="QBREPORTCOMPARECOL_PPDIFF" localSheetId="12">FALSE</definedName>
    <definedName name="QBREPORTCOMPARECOL_PPDIFF" localSheetId="13">FALSE</definedName>
    <definedName name="QBREPORTCOMPARECOL_PPDIFF" localSheetId="14">FALSE</definedName>
    <definedName name="QBREPORTCOMPARECOL_PPDIFF" localSheetId="15">FALSE</definedName>
    <definedName name="QBREPORTCOMPARECOL_PPDIFF" localSheetId="16">FALSE</definedName>
    <definedName name="QBREPORTCOMPARECOL_PPDIFF" localSheetId="17">FALSE</definedName>
    <definedName name="QBREPORTCOMPARECOL_PPDIFF" localSheetId="18">FALSE</definedName>
    <definedName name="QBREPORTCOMPARECOL_PPDIFF" localSheetId="19">FALSE</definedName>
    <definedName name="QBREPORTCOMPARECOL_PPDIFF" localSheetId="20">FALSE</definedName>
    <definedName name="QBREPORTCOMPARECOL_PPDIFF" localSheetId="21">FALSE</definedName>
    <definedName name="QBREPORTCOMPARECOL_PPDIFF" localSheetId="22">FALSE</definedName>
    <definedName name="QBREPORTCOMPARECOL_PPDIFF" localSheetId="23">FALSE</definedName>
    <definedName name="QBREPORTCOMPARECOL_PPDIFF" localSheetId="25">FALSE</definedName>
    <definedName name="QBREPORTCOMPARECOL_PPDIFF" localSheetId="26">FALSE</definedName>
    <definedName name="QBREPORTCOMPARECOL_PPDIFF" localSheetId="27">FALSE</definedName>
    <definedName name="QBREPORTCOMPARECOL_PPDIFF" localSheetId="33">FALSE</definedName>
    <definedName name="QBREPORTCOMPARECOL_PPDIFF" localSheetId="34">FALSE</definedName>
    <definedName name="QBREPORTCOMPARECOL_PPPCT" localSheetId="11">FALSE</definedName>
    <definedName name="QBREPORTCOMPARECOL_PPPCT" localSheetId="12">FALSE</definedName>
    <definedName name="QBREPORTCOMPARECOL_PPPCT" localSheetId="13">FALSE</definedName>
    <definedName name="QBREPORTCOMPARECOL_PPPCT" localSheetId="14">FALSE</definedName>
    <definedName name="QBREPORTCOMPARECOL_PPPCT" localSheetId="15">FALSE</definedName>
    <definedName name="QBREPORTCOMPARECOL_PPPCT" localSheetId="16">FALSE</definedName>
    <definedName name="QBREPORTCOMPARECOL_PPPCT" localSheetId="17">FALSE</definedName>
    <definedName name="QBREPORTCOMPARECOL_PPPCT" localSheetId="18">FALSE</definedName>
    <definedName name="QBREPORTCOMPARECOL_PPPCT" localSheetId="19">FALSE</definedName>
    <definedName name="QBREPORTCOMPARECOL_PPPCT" localSheetId="20">FALSE</definedName>
    <definedName name="QBREPORTCOMPARECOL_PPPCT" localSheetId="21">FALSE</definedName>
    <definedName name="QBREPORTCOMPARECOL_PPPCT" localSheetId="22">FALSE</definedName>
    <definedName name="QBREPORTCOMPARECOL_PPPCT" localSheetId="23">FALSE</definedName>
    <definedName name="QBREPORTCOMPARECOL_PPPCT" localSheetId="25">FALSE</definedName>
    <definedName name="QBREPORTCOMPARECOL_PPPCT" localSheetId="26">FALSE</definedName>
    <definedName name="QBREPORTCOMPARECOL_PPPCT" localSheetId="27">FALSE</definedName>
    <definedName name="QBREPORTCOMPARECOL_PPPCT" localSheetId="33">FALSE</definedName>
    <definedName name="QBREPORTCOMPARECOL_PPPCT" localSheetId="34">FALSE</definedName>
    <definedName name="QBREPORTCOMPARECOL_PREVPERIOD" localSheetId="11">FALSE</definedName>
    <definedName name="QBREPORTCOMPARECOL_PREVPERIOD" localSheetId="12">FALSE</definedName>
    <definedName name="QBREPORTCOMPARECOL_PREVPERIOD" localSheetId="13">FALSE</definedName>
    <definedName name="QBREPORTCOMPARECOL_PREVPERIOD" localSheetId="14">FALSE</definedName>
    <definedName name="QBREPORTCOMPARECOL_PREVPERIOD" localSheetId="15">FALSE</definedName>
    <definedName name="QBREPORTCOMPARECOL_PREVPERIOD" localSheetId="16">FALSE</definedName>
    <definedName name="QBREPORTCOMPARECOL_PREVPERIOD" localSheetId="17">FALSE</definedName>
    <definedName name="QBREPORTCOMPARECOL_PREVPERIOD" localSheetId="18">FALSE</definedName>
    <definedName name="QBREPORTCOMPARECOL_PREVPERIOD" localSheetId="19">FALSE</definedName>
    <definedName name="QBREPORTCOMPARECOL_PREVPERIOD" localSheetId="20">FALSE</definedName>
    <definedName name="QBREPORTCOMPARECOL_PREVPERIOD" localSheetId="21">FALSE</definedName>
    <definedName name="QBREPORTCOMPARECOL_PREVPERIOD" localSheetId="22">FALSE</definedName>
    <definedName name="QBREPORTCOMPARECOL_PREVPERIOD" localSheetId="23">FALSE</definedName>
    <definedName name="QBREPORTCOMPARECOL_PREVPERIOD" localSheetId="25">FALSE</definedName>
    <definedName name="QBREPORTCOMPARECOL_PREVPERIOD" localSheetId="26">FALSE</definedName>
    <definedName name="QBREPORTCOMPARECOL_PREVPERIOD" localSheetId="27">FALSE</definedName>
    <definedName name="QBREPORTCOMPARECOL_PREVPERIOD" localSheetId="33">FALSE</definedName>
    <definedName name="QBREPORTCOMPARECOL_PREVPERIOD" localSheetId="34">FALSE</definedName>
    <definedName name="QBREPORTCOMPARECOL_PREVYEAR" localSheetId="11">FALSE</definedName>
    <definedName name="QBREPORTCOMPARECOL_PREVYEAR" localSheetId="12">FALSE</definedName>
    <definedName name="QBREPORTCOMPARECOL_PREVYEAR" localSheetId="13">FALSE</definedName>
    <definedName name="QBREPORTCOMPARECOL_PREVYEAR" localSheetId="14">FALSE</definedName>
    <definedName name="QBREPORTCOMPARECOL_PREVYEAR" localSheetId="15">FALSE</definedName>
    <definedName name="QBREPORTCOMPARECOL_PREVYEAR" localSheetId="16">FALSE</definedName>
    <definedName name="QBREPORTCOMPARECOL_PREVYEAR" localSheetId="17">FALSE</definedName>
    <definedName name="QBREPORTCOMPARECOL_PREVYEAR" localSheetId="18">FALSE</definedName>
    <definedName name="QBREPORTCOMPARECOL_PREVYEAR" localSheetId="19">FALSE</definedName>
    <definedName name="QBREPORTCOMPARECOL_PREVYEAR" localSheetId="20">FALSE</definedName>
    <definedName name="QBREPORTCOMPARECOL_PREVYEAR" localSheetId="21">FALSE</definedName>
    <definedName name="QBREPORTCOMPARECOL_PREVYEAR" localSheetId="22">FALSE</definedName>
    <definedName name="QBREPORTCOMPARECOL_PREVYEAR" localSheetId="23">FALSE</definedName>
    <definedName name="QBREPORTCOMPARECOL_PREVYEAR" localSheetId="25">FALSE</definedName>
    <definedName name="QBREPORTCOMPARECOL_PREVYEAR" localSheetId="26">FALSE</definedName>
    <definedName name="QBREPORTCOMPARECOL_PREVYEAR" localSheetId="27">FALSE</definedName>
    <definedName name="QBREPORTCOMPARECOL_PREVYEAR" localSheetId="33">FALSE</definedName>
    <definedName name="QBREPORTCOMPARECOL_PREVYEAR" localSheetId="34">FALSE</definedName>
    <definedName name="QBREPORTCOMPARECOL_PYDIFF" localSheetId="11">FALSE</definedName>
    <definedName name="QBREPORTCOMPARECOL_PYDIFF" localSheetId="12">FALSE</definedName>
    <definedName name="QBREPORTCOMPARECOL_PYDIFF" localSheetId="13">FALSE</definedName>
    <definedName name="QBREPORTCOMPARECOL_PYDIFF" localSheetId="14">FALSE</definedName>
    <definedName name="QBREPORTCOMPARECOL_PYDIFF" localSheetId="15">FALSE</definedName>
    <definedName name="QBREPORTCOMPARECOL_PYDIFF" localSheetId="16">FALSE</definedName>
    <definedName name="QBREPORTCOMPARECOL_PYDIFF" localSheetId="17">FALSE</definedName>
    <definedName name="QBREPORTCOMPARECOL_PYDIFF" localSheetId="18">FALSE</definedName>
    <definedName name="QBREPORTCOMPARECOL_PYDIFF" localSheetId="19">FALSE</definedName>
    <definedName name="QBREPORTCOMPARECOL_PYDIFF" localSheetId="20">FALSE</definedName>
    <definedName name="QBREPORTCOMPARECOL_PYDIFF" localSheetId="21">FALSE</definedName>
    <definedName name="QBREPORTCOMPARECOL_PYDIFF" localSheetId="22">FALSE</definedName>
    <definedName name="QBREPORTCOMPARECOL_PYDIFF" localSheetId="23">FALSE</definedName>
    <definedName name="QBREPORTCOMPARECOL_PYDIFF" localSheetId="25">FALSE</definedName>
    <definedName name="QBREPORTCOMPARECOL_PYDIFF" localSheetId="26">FALSE</definedName>
    <definedName name="QBREPORTCOMPARECOL_PYDIFF" localSheetId="27">FALSE</definedName>
    <definedName name="QBREPORTCOMPARECOL_PYDIFF" localSheetId="33">FALSE</definedName>
    <definedName name="QBREPORTCOMPARECOL_PYDIFF" localSheetId="34">FALSE</definedName>
    <definedName name="QBREPORTCOMPARECOL_PYPCT" localSheetId="11">FALSE</definedName>
    <definedName name="QBREPORTCOMPARECOL_PYPCT" localSheetId="12">FALSE</definedName>
    <definedName name="QBREPORTCOMPARECOL_PYPCT" localSheetId="13">FALSE</definedName>
    <definedName name="QBREPORTCOMPARECOL_PYPCT" localSheetId="14">FALSE</definedName>
    <definedName name="QBREPORTCOMPARECOL_PYPCT" localSheetId="15">FALSE</definedName>
    <definedName name="QBREPORTCOMPARECOL_PYPCT" localSheetId="16">FALSE</definedName>
    <definedName name="QBREPORTCOMPARECOL_PYPCT" localSheetId="17">FALSE</definedName>
    <definedName name="QBREPORTCOMPARECOL_PYPCT" localSheetId="18">FALSE</definedName>
    <definedName name="QBREPORTCOMPARECOL_PYPCT" localSheetId="19">FALSE</definedName>
    <definedName name="QBREPORTCOMPARECOL_PYPCT" localSheetId="20">FALSE</definedName>
    <definedName name="QBREPORTCOMPARECOL_PYPCT" localSheetId="21">FALSE</definedName>
    <definedName name="QBREPORTCOMPARECOL_PYPCT" localSheetId="22">FALSE</definedName>
    <definedName name="QBREPORTCOMPARECOL_PYPCT" localSheetId="23">FALSE</definedName>
    <definedName name="QBREPORTCOMPARECOL_PYPCT" localSheetId="25">FALSE</definedName>
    <definedName name="QBREPORTCOMPARECOL_PYPCT" localSheetId="26">FALSE</definedName>
    <definedName name="QBREPORTCOMPARECOL_PYPCT" localSheetId="27">FALSE</definedName>
    <definedName name="QBREPORTCOMPARECOL_PYPCT" localSheetId="33">FALSE</definedName>
    <definedName name="QBREPORTCOMPARECOL_PYPCT" localSheetId="34">FALSE</definedName>
    <definedName name="QBREPORTCOMPARECOL_QTY" localSheetId="11">FALSE</definedName>
    <definedName name="QBREPORTCOMPARECOL_QTY" localSheetId="12">FALSE</definedName>
    <definedName name="QBREPORTCOMPARECOL_QTY" localSheetId="13">FALSE</definedName>
    <definedName name="QBREPORTCOMPARECOL_QTY" localSheetId="14">FALSE</definedName>
    <definedName name="QBREPORTCOMPARECOL_QTY" localSheetId="15">FALSE</definedName>
    <definedName name="QBREPORTCOMPARECOL_QTY" localSheetId="16">FALSE</definedName>
    <definedName name="QBREPORTCOMPARECOL_QTY" localSheetId="17">FALSE</definedName>
    <definedName name="QBREPORTCOMPARECOL_QTY" localSheetId="18">FALSE</definedName>
    <definedName name="QBREPORTCOMPARECOL_QTY" localSheetId="19">FALSE</definedName>
    <definedName name="QBREPORTCOMPARECOL_QTY" localSheetId="20">FALSE</definedName>
    <definedName name="QBREPORTCOMPARECOL_QTY" localSheetId="21">FALSE</definedName>
    <definedName name="QBREPORTCOMPARECOL_QTY" localSheetId="22">FALSE</definedName>
    <definedName name="QBREPORTCOMPARECOL_QTY" localSheetId="23">FALSE</definedName>
    <definedName name="QBREPORTCOMPARECOL_QTY" localSheetId="25">FALSE</definedName>
    <definedName name="QBREPORTCOMPARECOL_QTY" localSheetId="26">FALSE</definedName>
    <definedName name="QBREPORTCOMPARECOL_QTY" localSheetId="27">FALSE</definedName>
    <definedName name="QBREPORTCOMPARECOL_QTY" localSheetId="33">FALSE</definedName>
    <definedName name="QBREPORTCOMPARECOL_QTY" localSheetId="34">FALSE</definedName>
    <definedName name="QBREPORTCOMPARECOL_RATE" localSheetId="11">FALSE</definedName>
    <definedName name="QBREPORTCOMPARECOL_RATE" localSheetId="12">FALSE</definedName>
    <definedName name="QBREPORTCOMPARECOL_RATE" localSheetId="13">FALSE</definedName>
    <definedName name="QBREPORTCOMPARECOL_RATE" localSheetId="14">FALSE</definedName>
    <definedName name="QBREPORTCOMPARECOL_RATE" localSheetId="15">FALSE</definedName>
    <definedName name="QBREPORTCOMPARECOL_RATE" localSheetId="16">FALSE</definedName>
    <definedName name="QBREPORTCOMPARECOL_RATE" localSheetId="17">FALSE</definedName>
    <definedName name="QBREPORTCOMPARECOL_RATE" localSheetId="18">FALSE</definedName>
    <definedName name="QBREPORTCOMPARECOL_RATE" localSheetId="19">FALSE</definedName>
    <definedName name="QBREPORTCOMPARECOL_RATE" localSheetId="20">FALSE</definedName>
    <definedName name="QBREPORTCOMPARECOL_RATE" localSheetId="21">FALSE</definedName>
    <definedName name="QBREPORTCOMPARECOL_RATE" localSheetId="22">FALSE</definedName>
    <definedName name="QBREPORTCOMPARECOL_RATE" localSheetId="23">FALSE</definedName>
    <definedName name="QBREPORTCOMPARECOL_RATE" localSheetId="25">FALSE</definedName>
    <definedName name="QBREPORTCOMPARECOL_RATE" localSheetId="26">FALSE</definedName>
    <definedName name="QBREPORTCOMPARECOL_RATE" localSheetId="27">FALSE</definedName>
    <definedName name="QBREPORTCOMPARECOL_RATE" localSheetId="33">FALSE</definedName>
    <definedName name="QBREPORTCOMPARECOL_RATE" localSheetId="34">FALSE</definedName>
    <definedName name="QBREPORTCOMPARECOL_TRIPBILLEDMILES" localSheetId="11">FALSE</definedName>
    <definedName name="QBREPORTCOMPARECOL_TRIPBILLEDMILES" localSheetId="12">FALSE</definedName>
    <definedName name="QBREPORTCOMPARECOL_TRIPBILLEDMILES" localSheetId="13">FALSE</definedName>
    <definedName name="QBREPORTCOMPARECOL_TRIPBILLEDMILES" localSheetId="14">FALSE</definedName>
    <definedName name="QBREPORTCOMPARECOL_TRIPBILLEDMILES" localSheetId="15">FALSE</definedName>
    <definedName name="QBREPORTCOMPARECOL_TRIPBILLEDMILES" localSheetId="16">FALSE</definedName>
    <definedName name="QBREPORTCOMPARECOL_TRIPBILLEDMILES" localSheetId="17">FALSE</definedName>
    <definedName name="QBREPORTCOMPARECOL_TRIPBILLEDMILES" localSheetId="18">FALSE</definedName>
    <definedName name="QBREPORTCOMPARECOL_TRIPBILLEDMILES" localSheetId="19">FALSE</definedName>
    <definedName name="QBREPORTCOMPARECOL_TRIPBILLEDMILES" localSheetId="20">FALSE</definedName>
    <definedName name="QBREPORTCOMPARECOL_TRIPBILLEDMILES" localSheetId="21">FALSE</definedName>
    <definedName name="QBREPORTCOMPARECOL_TRIPBILLEDMILES" localSheetId="22">FALSE</definedName>
    <definedName name="QBREPORTCOMPARECOL_TRIPBILLEDMILES" localSheetId="23">FALSE</definedName>
    <definedName name="QBREPORTCOMPARECOL_TRIPBILLEDMILES" localSheetId="25">FALSE</definedName>
    <definedName name="QBREPORTCOMPARECOL_TRIPBILLEDMILES" localSheetId="26">FALSE</definedName>
    <definedName name="QBREPORTCOMPARECOL_TRIPBILLEDMILES" localSheetId="27">FALSE</definedName>
    <definedName name="QBREPORTCOMPARECOL_TRIPBILLEDMILES" localSheetId="33">FALSE</definedName>
    <definedName name="QBREPORTCOMPARECOL_TRIPBILLEDMILES" localSheetId="34">FALSE</definedName>
    <definedName name="QBREPORTCOMPARECOL_TRIPBILLINGAMOUNT" localSheetId="11">FALSE</definedName>
    <definedName name="QBREPORTCOMPARECOL_TRIPBILLINGAMOUNT" localSheetId="12">FALSE</definedName>
    <definedName name="QBREPORTCOMPARECOL_TRIPBILLINGAMOUNT" localSheetId="13">FALSE</definedName>
    <definedName name="QBREPORTCOMPARECOL_TRIPBILLINGAMOUNT" localSheetId="14">FALSE</definedName>
    <definedName name="QBREPORTCOMPARECOL_TRIPBILLINGAMOUNT" localSheetId="15">FALSE</definedName>
    <definedName name="QBREPORTCOMPARECOL_TRIPBILLINGAMOUNT" localSheetId="16">FALSE</definedName>
    <definedName name="QBREPORTCOMPARECOL_TRIPBILLINGAMOUNT" localSheetId="17">FALSE</definedName>
    <definedName name="QBREPORTCOMPARECOL_TRIPBILLINGAMOUNT" localSheetId="18">FALSE</definedName>
    <definedName name="QBREPORTCOMPARECOL_TRIPBILLINGAMOUNT" localSheetId="19">FALSE</definedName>
    <definedName name="QBREPORTCOMPARECOL_TRIPBILLINGAMOUNT" localSheetId="20">FALSE</definedName>
    <definedName name="QBREPORTCOMPARECOL_TRIPBILLINGAMOUNT" localSheetId="21">FALSE</definedName>
    <definedName name="QBREPORTCOMPARECOL_TRIPBILLINGAMOUNT" localSheetId="22">FALSE</definedName>
    <definedName name="QBREPORTCOMPARECOL_TRIPBILLINGAMOUNT" localSheetId="23">FALSE</definedName>
    <definedName name="QBREPORTCOMPARECOL_TRIPBILLINGAMOUNT" localSheetId="25">FALSE</definedName>
    <definedName name="QBREPORTCOMPARECOL_TRIPBILLINGAMOUNT" localSheetId="26">FALSE</definedName>
    <definedName name="QBREPORTCOMPARECOL_TRIPBILLINGAMOUNT" localSheetId="27">FALSE</definedName>
    <definedName name="QBREPORTCOMPARECOL_TRIPBILLINGAMOUNT" localSheetId="33">FALSE</definedName>
    <definedName name="QBREPORTCOMPARECOL_TRIPBILLINGAMOUNT" localSheetId="34">FALSE</definedName>
    <definedName name="QBREPORTCOMPARECOL_TRIPMILES" localSheetId="11">FALSE</definedName>
    <definedName name="QBREPORTCOMPARECOL_TRIPMILES" localSheetId="12">FALSE</definedName>
    <definedName name="QBREPORTCOMPARECOL_TRIPMILES" localSheetId="13">FALSE</definedName>
    <definedName name="QBREPORTCOMPARECOL_TRIPMILES" localSheetId="14">FALSE</definedName>
    <definedName name="QBREPORTCOMPARECOL_TRIPMILES" localSheetId="15">FALSE</definedName>
    <definedName name="QBREPORTCOMPARECOL_TRIPMILES" localSheetId="16">FALSE</definedName>
    <definedName name="QBREPORTCOMPARECOL_TRIPMILES" localSheetId="17">FALSE</definedName>
    <definedName name="QBREPORTCOMPARECOL_TRIPMILES" localSheetId="18">FALSE</definedName>
    <definedName name="QBREPORTCOMPARECOL_TRIPMILES" localSheetId="19">FALSE</definedName>
    <definedName name="QBREPORTCOMPARECOL_TRIPMILES" localSheetId="20">FALSE</definedName>
    <definedName name="QBREPORTCOMPARECOL_TRIPMILES" localSheetId="21">FALSE</definedName>
    <definedName name="QBREPORTCOMPARECOL_TRIPMILES" localSheetId="22">FALSE</definedName>
    <definedName name="QBREPORTCOMPARECOL_TRIPMILES" localSheetId="23">FALSE</definedName>
    <definedName name="QBREPORTCOMPARECOL_TRIPMILES" localSheetId="25">FALSE</definedName>
    <definedName name="QBREPORTCOMPARECOL_TRIPMILES" localSheetId="26">FALSE</definedName>
    <definedName name="QBREPORTCOMPARECOL_TRIPMILES" localSheetId="27">FALSE</definedName>
    <definedName name="QBREPORTCOMPARECOL_TRIPMILES" localSheetId="33">FALSE</definedName>
    <definedName name="QBREPORTCOMPARECOL_TRIPMILES" localSheetId="34">FALSE</definedName>
    <definedName name="QBREPORTCOMPARECOL_TRIPNOTBILLABLEMILES" localSheetId="11">FALSE</definedName>
    <definedName name="QBREPORTCOMPARECOL_TRIPNOTBILLABLEMILES" localSheetId="12">FALSE</definedName>
    <definedName name="QBREPORTCOMPARECOL_TRIPNOTBILLABLEMILES" localSheetId="13">FALSE</definedName>
    <definedName name="QBREPORTCOMPARECOL_TRIPNOTBILLABLEMILES" localSheetId="14">FALSE</definedName>
    <definedName name="QBREPORTCOMPARECOL_TRIPNOTBILLABLEMILES" localSheetId="15">FALSE</definedName>
    <definedName name="QBREPORTCOMPARECOL_TRIPNOTBILLABLEMILES" localSheetId="16">FALSE</definedName>
    <definedName name="QBREPORTCOMPARECOL_TRIPNOTBILLABLEMILES" localSheetId="17">FALSE</definedName>
    <definedName name="QBREPORTCOMPARECOL_TRIPNOTBILLABLEMILES" localSheetId="18">FALSE</definedName>
    <definedName name="QBREPORTCOMPARECOL_TRIPNOTBILLABLEMILES" localSheetId="19">FALSE</definedName>
    <definedName name="QBREPORTCOMPARECOL_TRIPNOTBILLABLEMILES" localSheetId="20">FALSE</definedName>
    <definedName name="QBREPORTCOMPARECOL_TRIPNOTBILLABLEMILES" localSheetId="21">FALSE</definedName>
    <definedName name="QBREPORTCOMPARECOL_TRIPNOTBILLABLEMILES" localSheetId="22">FALSE</definedName>
    <definedName name="QBREPORTCOMPARECOL_TRIPNOTBILLABLEMILES" localSheetId="23">FALSE</definedName>
    <definedName name="QBREPORTCOMPARECOL_TRIPNOTBILLABLEMILES" localSheetId="25">FALSE</definedName>
    <definedName name="QBREPORTCOMPARECOL_TRIPNOTBILLABLEMILES" localSheetId="26">FALSE</definedName>
    <definedName name="QBREPORTCOMPARECOL_TRIPNOTBILLABLEMILES" localSheetId="27">FALSE</definedName>
    <definedName name="QBREPORTCOMPARECOL_TRIPNOTBILLABLEMILES" localSheetId="33">FALSE</definedName>
    <definedName name="QBREPORTCOMPARECOL_TRIPNOTBILLABLEMILES" localSheetId="34">FALSE</definedName>
    <definedName name="QBREPORTCOMPARECOL_TRIPTAXDEDUCTIBLEAMOUNT" localSheetId="11">FALSE</definedName>
    <definedName name="QBREPORTCOMPARECOL_TRIPTAXDEDUCTIBLEAMOUNT" localSheetId="12">FALSE</definedName>
    <definedName name="QBREPORTCOMPARECOL_TRIPTAXDEDUCTIBLEAMOUNT" localSheetId="13">FALSE</definedName>
    <definedName name="QBREPORTCOMPARECOL_TRIPTAXDEDUCTIBLEAMOUNT" localSheetId="14">FALSE</definedName>
    <definedName name="QBREPORTCOMPARECOL_TRIPTAXDEDUCTIBLEAMOUNT" localSheetId="15">FALSE</definedName>
    <definedName name="QBREPORTCOMPARECOL_TRIPTAXDEDUCTIBLEAMOUNT" localSheetId="16">FALSE</definedName>
    <definedName name="QBREPORTCOMPARECOL_TRIPTAXDEDUCTIBLEAMOUNT" localSheetId="17">FALSE</definedName>
    <definedName name="QBREPORTCOMPARECOL_TRIPTAXDEDUCTIBLEAMOUNT" localSheetId="18">FALSE</definedName>
    <definedName name="QBREPORTCOMPARECOL_TRIPTAXDEDUCTIBLEAMOUNT" localSheetId="19">FALSE</definedName>
    <definedName name="QBREPORTCOMPARECOL_TRIPTAXDEDUCTIBLEAMOUNT" localSheetId="20">FALSE</definedName>
    <definedName name="QBREPORTCOMPARECOL_TRIPTAXDEDUCTIBLEAMOUNT" localSheetId="21">FALSE</definedName>
    <definedName name="QBREPORTCOMPARECOL_TRIPTAXDEDUCTIBLEAMOUNT" localSheetId="22">FALSE</definedName>
    <definedName name="QBREPORTCOMPARECOL_TRIPTAXDEDUCTIBLEAMOUNT" localSheetId="23">FALSE</definedName>
    <definedName name="QBREPORTCOMPARECOL_TRIPTAXDEDUCTIBLEAMOUNT" localSheetId="25">FALSE</definedName>
    <definedName name="QBREPORTCOMPARECOL_TRIPTAXDEDUCTIBLEAMOUNT" localSheetId="26">FALSE</definedName>
    <definedName name="QBREPORTCOMPARECOL_TRIPTAXDEDUCTIBLEAMOUNT" localSheetId="27">FALSE</definedName>
    <definedName name="QBREPORTCOMPARECOL_TRIPTAXDEDUCTIBLEAMOUNT" localSheetId="33">FALSE</definedName>
    <definedName name="QBREPORTCOMPARECOL_TRIPTAXDEDUCTIBLEAMOUNT" localSheetId="34">FALSE</definedName>
    <definedName name="QBREPORTCOMPARECOL_TRIPUNBILLEDMILES" localSheetId="11">FALSE</definedName>
    <definedName name="QBREPORTCOMPARECOL_TRIPUNBILLEDMILES" localSheetId="12">FALSE</definedName>
    <definedName name="QBREPORTCOMPARECOL_TRIPUNBILLEDMILES" localSheetId="13">FALSE</definedName>
    <definedName name="QBREPORTCOMPARECOL_TRIPUNBILLEDMILES" localSheetId="14">FALSE</definedName>
    <definedName name="QBREPORTCOMPARECOL_TRIPUNBILLEDMILES" localSheetId="15">FALSE</definedName>
    <definedName name="QBREPORTCOMPARECOL_TRIPUNBILLEDMILES" localSheetId="16">FALSE</definedName>
    <definedName name="QBREPORTCOMPARECOL_TRIPUNBILLEDMILES" localSheetId="17">FALSE</definedName>
    <definedName name="QBREPORTCOMPARECOL_TRIPUNBILLEDMILES" localSheetId="18">FALSE</definedName>
    <definedName name="QBREPORTCOMPARECOL_TRIPUNBILLEDMILES" localSheetId="19">FALSE</definedName>
    <definedName name="QBREPORTCOMPARECOL_TRIPUNBILLEDMILES" localSheetId="20">FALSE</definedName>
    <definedName name="QBREPORTCOMPARECOL_TRIPUNBILLEDMILES" localSheetId="21">FALSE</definedName>
    <definedName name="QBREPORTCOMPARECOL_TRIPUNBILLEDMILES" localSheetId="22">FALSE</definedName>
    <definedName name="QBREPORTCOMPARECOL_TRIPUNBILLEDMILES" localSheetId="23">FALSE</definedName>
    <definedName name="QBREPORTCOMPARECOL_TRIPUNBILLEDMILES" localSheetId="25">FALSE</definedName>
    <definedName name="QBREPORTCOMPARECOL_TRIPUNBILLEDMILES" localSheetId="26">FALSE</definedName>
    <definedName name="QBREPORTCOMPARECOL_TRIPUNBILLEDMILES" localSheetId="27">FALSE</definedName>
    <definedName name="QBREPORTCOMPARECOL_TRIPUNBILLEDMILES" localSheetId="33">FALSE</definedName>
    <definedName name="QBREPORTCOMPARECOL_TRIPUNBILLEDMILES" localSheetId="34">FALSE</definedName>
    <definedName name="QBREPORTCOMPARECOL_YTD" localSheetId="11">FALSE</definedName>
    <definedName name="QBREPORTCOMPARECOL_YTD" localSheetId="12">FALSE</definedName>
    <definedName name="QBREPORTCOMPARECOL_YTD" localSheetId="13">FALSE</definedName>
    <definedName name="QBREPORTCOMPARECOL_YTD" localSheetId="14">FALSE</definedName>
    <definedName name="QBREPORTCOMPARECOL_YTD" localSheetId="15">FALSE</definedName>
    <definedName name="QBREPORTCOMPARECOL_YTD" localSheetId="16">FALSE</definedName>
    <definedName name="QBREPORTCOMPARECOL_YTD" localSheetId="17">FALSE</definedName>
    <definedName name="QBREPORTCOMPARECOL_YTD" localSheetId="18">FALSE</definedName>
    <definedName name="QBREPORTCOMPARECOL_YTD" localSheetId="19">FALSE</definedName>
    <definedName name="QBREPORTCOMPARECOL_YTD" localSheetId="20">FALSE</definedName>
    <definedName name="QBREPORTCOMPARECOL_YTD" localSheetId="21">FALSE</definedName>
    <definedName name="QBREPORTCOMPARECOL_YTD" localSheetId="22">FALSE</definedName>
    <definedName name="QBREPORTCOMPARECOL_YTD" localSheetId="23">FALSE</definedName>
    <definedName name="QBREPORTCOMPARECOL_YTD" localSheetId="25">FALSE</definedName>
    <definedName name="QBREPORTCOMPARECOL_YTD" localSheetId="26">FALSE</definedName>
    <definedName name="QBREPORTCOMPARECOL_YTD" localSheetId="27">FALSE</definedName>
    <definedName name="QBREPORTCOMPARECOL_YTD" localSheetId="33">FALSE</definedName>
    <definedName name="QBREPORTCOMPARECOL_YTD" localSheetId="34">FALSE</definedName>
    <definedName name="QBREPORTCOMPARECOL_YTDBUDGET" localSheetId="11">FALSE</definedName>
    <definedName name="QBREPORTCOMPARECOL_YTDBUDGET" localSheetId="12">FALSE</definedName>
    <definedName name="QBREPORTCOMPARECOL_YTDBUDGET" localSheetId="13">FALSE</definedName>
    <definedName name="QBREPORTCOMPARECOL_YTDBUDGET" localSheetId="14">FALSE</definedName>
    <definedName name="QBREPORTCOMPARECOL_YTDBUDGET" localSheetId="15">FALSE</definedName>
    <definedName name="QBREPORTCOMPARECOL_YTDBUDGET" localSheetId="16">FALSE</definedName>
    <definedName name="QBREPORTCOMPARECOL_YTDBUDGET" localSheetId="17">FALSE</definedName>
    <definedName name="QBREPORTCOMPARECOL_YTDBUDGET" localSheetId="18">FALSE</definedName>
    <definedName name="QBREPORTCOMPARECOL_YTDBUDGET" localSheetId="19">FALSE</definedName>
    <definedName name="QBREPORTCOMPARECOL_YTDBUDGET" localSheetId="20">FALSE</definedName>
    <definedName name="QBREPORTCOMPARECOL_YTDBUDGET" localSheetId="21">FALSE</definedName>
    <definedName name="QBREPORTCOMPARECOL_YTDBUDGET" localSheetId="22">FALSE</definedName>
    <definedName name="QBREPORTCOMPARECOL_YTDBUDGET" localSheetId="23">FALSE</definedName>
    <definedName name="QBREPORTCOMPARECOL_YTDBUDGET" localSheetId="25">FALSE</definedName>
    <definedName name="QBREPORTCOMPARECOL_YTDBUDGET" localSheetId="26">FALSE</definedName>
    <definedName name="QBREPORTCOMPARECOL_YTDBUDGET" localSheetId="27">FALSE</definedName>
    <definedName name="QBREPORTCOMPARECOL_YTDBUDGET" localSheetId="33">FALSE</definedName>
    <definedName name="QBREPORTCOMPARECOL_YTDBUDGET" localSheetId="34">FALSE</definedName>
    <definedName name="QBREPORTCOMPARECOL_YTDPCT" localSheetId="11">FALSE</definedName>
    <definedName name="QBREPORTCOMPARECOL_YTDPCT" localSheetId="12">FALSE</definedName>
    <definedName name="QBREPORTCOMPARECOL_YTDPCT" localSheetId="13">FALSE</definedName>
    <definedName name="QBREPORTCOMPARECOL_YTDPCT" localSheetId="14">FALSE</definedName>
    <definedName name="QBREPORTCOMPARECOL_YTDPCT" localSheetId="15">FALSE</definedName>
    <definedName name="QBREPORTCOMPARECOL_YTDPCT" localSheetId="16">FALSE</definedName>
    <definedName name="QBREPORTCOMPARECOL_YTDPCT" localSheetId="17">FALSE</definedName>
    <definedName name="QBREPORTCOMPARECOL_YTDPCT" localSheetId="18">FALSE</definedName>
    <definedName name="QBREPORTCOMPARECOL_YTDPCT" localSheetId="19">FALSE</definedName>
    <definedName name="QBREPORTCOMPARECOL_YTDPCT" localSheetId="20">FALSE</definedName>
    <definedName name="QBREPORTCOMPARECOL_YTDPCT" localSheetId="21">FALSE</definedName>
    <definedName name="QBREPORTCOMPARECOL_YTDPCT" localSheetId="22">FALSE</definedName>
    <definedName name="QBREPORTCOMPARECOL_YTDPCT" localSheetId="23">FALSE</definedName>
    <definedName name="QBREPORTCOMPARECOL_YTDPCT" localSheetId="25">FALSE</definedName>
    <definedName name="QBREPORTCOMPARECOL_YTDPCT" localSheetId="26">FALSE</definedName>
    <definedName name="QBREPORTCOMPARECOL_YTDPCT" localSheetId="27">FALSE</definedName>
    <definedName name="QBREPORTCOMPARECOL_YTDPCT" localSheetId="33">FALSE</definedName>
    <definedName name="QBREPORTCOMPARECOL_YTDPCT" localSheetId="34">FALSE</definedName>
    <definedName name="QBREPORTROWAXIS" localSheetId="11">12</definedName>
    <definedName name="QBREPORTROWAXIS" localSheetId="12">12</definedName>
    <definedName name="QBREPORTROWAXIS" localSheetId="13">12</definedName>
    <definedName name="QBREPORTROWAXIS" localSheetId="14">12</definedName>
    <definedName name="QBREPORTROWAXIS" localSheetId="15">12</definedName>
    <definedName name="QBREPORTROWAXIS" localSheetId="16">12</definedName>
    <definedName name="QBREPORTROWAXIS" localSheetId="17">12</definedName>
    <definedName name="QBREPORTROWAXIS" localSheetId="18">12</definedName>
    <definedName name="QBREPORTROWAXIS" localSheetId="19">12</definedName>
    <definedName name="QBREPORTROWAXIS" localSheetId="20">12</definedName>
    <definedName name="QBREPORTROWAXIS" localSheetId="21">12</definedName>
    <definedName name="QBREPORTROWAXIS" localSheetId="22">12</definedName>
    <definedName name="QBREPORTROWAXIS" localSheetId="23">12</definedName>
    <definedName name="QBREPORTROWAXIS" localSheetId="25">12</definedName>
    <definedName name="QBREPORTROWAXIS" localSheetId="26">12</definedName>
    <definedName name="QBREPORTROWAXIS" localSheetId="27">12</definedName>
    <definedName name="QBREPORTROWAXIS" localSheetId="33">12</definedName>
    <definedName name="QBREPORTROWAXIS" localSheetId="34">12</definedName>
    <definedName name="QBREPORTSUBCOLAXIS" localSheetId="11">0</definedName>
    <definedName name="QBREPORTSUBCOLAXIS" localSheetId="12">0</definedName>
    <definedName name="QBREPORTSUBCOLAXIS" localSheetId="13">0</definedName>
    <definedName name="QBREPORTSUBCOLAXIS" localSheetId="14">0</definedName>
    <definedName name="QBREPORTSUBCOLAXIS" localSheetId="15">0</definedName>
    <definedName name="QBREPORTSUBCOLAXIS" localSheetId="16">0</definedName>
    <definedName name="QBREPORTSUBCOLAXIS" localSheetId="17">0</definedName>
    <definedName name="QBREPORTSUBCOLAXIS" localSheetId="18">0</definedName>
    <definedName name="QBREPORTSUBCOLAXIS" localSheetId="19">0</definedName>
    <definedName name="QBREPORTSUBCOLAXIS" localSheetId="20">0</definedName>
    <definedName name="QBREPORTSUBCOLAXIS" localSheetId="21">0</definedName>
    <definedName name="QBREPORTSUBCOLAXIS" localSheetId="22">0</definedName>
    <definedName name="QBREPORTSUBCOLAXIS" localSheetId="23">0</definedName>
    <definedName name="QBREPORTSUBCOLAXIS" localSheetId="25">0</definedName>
    <definedName name="QBREPORTSUBCOLAXIS" localSheetId="26">0</definedName>
    <definedName name="QBREPORTSUBCOLAXIS" localSheetId="27">0</definedName>
    <definedName name="QBREPORTSUBCOLAXIS" localSheetId="33">0</definedName>
    <definedName name="QBREPORTSUBCOLAXIS" localSheetId="34">0</definedName>
    <definedName name="QBREPORTTYPE" localSheetId="11">61</definedName>
    <definedName name="QBREPORTTYPE" localSheetId="12">61</definedName>
    <definedName name="QBREPORTTYPE" localSheetId="13">61</definedName>
    <definedName name="QBREPORTTYPE" localSheetId="14">61</definedName>
    <definedName name="QBREPORTTYPE" localSheetId="15">61</definedName>
    <definedName name="QBREPORTTYPE" localSheetId="16">61</definedName>
    <definedName name="QBREPORTTYPE" localSheetId="17">61</definedName>
    <definedName name="QBREPORTTYPE" localSheetId="18">61</definedName>
    <definedName name="QBREPORTTYPE" localSheetId="19">61</definedName>
    <definedName name="QBREPORTTYPE" localSheetId="20">61</definedName>
    <definedName name="QBREPORTTYPE" localSheetId="21">61</definedName>
    <definedName name="QBREPORTTYPE" localSheetId="22">61</definedName>
    <definedName name="QBREPORTTYPE" localSheetId="23">61</definedName>
    <definedName name="QBREPORTTYPE" localSheetId="25">61</definedName>
    <definedName name="QBREPORTTYPE" localSheetId="26">61</definedName>
    <definedName name="QBREPORTTYPE" localSheetId="27">61</definedName>
    <definedName name="QBREPORTTYPE" localSheetId="33">61</definedName>
    <definedName name="QBREPORTTYPE" localSheetId="34">61</definedName>
    <definedName name="QBROWHEADERS" localSheetId="11">3</definedName>
    <definedName name="QBROWHEADERS" localSheetId="12">3</definedName>
    <definedName name="QBROWHEADERS" localSheetId="13">3</definedName>
    <definedName name="QBROWHEADERS" localSheetId="14">3</definedName>
    <definedName name="QBROWHEADERS" localSheetId="15">3</definedName>
    <definedName name="QBROWHEADERS" localSheetId="16">3</definedName>
    <definedName name="QBROWHEADERS" localSheetId="17">3</definedName>
    <definedName name="QBROWHEADERS" localSheetId="18">3</definedName>
    <definedName name="QBROWHEADERS" localSheetId="19">3</definedName>
    <definedName name="QBROWHEADERS" localSheetId="20">3</definedName>
    <definedName name="QBROWHEADERS" localSheetId="21">3</definedName>
    <definedName name="QBROWHEADERS" localSheetId="22">3</definedName>
    <definedName name="QBROWHEADERS" localSheetId="23">3</definedName>
    <definedName name="QBROWHEADERS" localSheetId="25">3</definedName>
    <definedName name="QBROWHEADERS" localSheetId="26">3</definedName>
    <definedName name="QBROWHEADERS" localSheetId="27">3</definedName>
    <definedName name="QBROWHEADERS" localSheetId="33">3</definedName>
    <definedName name="QBROWHEADERS" localSheetId="34">3</definedName>
    <definedName name="QBSTARTDATE" localSheetId="11">20230101</definedName>
    <definedName name="QBSTARTDATE" localSheetId="12">20230101</definedName>
    <definedName name="QBSTARTDATE" localSheetId="13">20230101</definedName>
    <definedName name="QBSTARTDATE" localSheetId="14">20230101</definedName>
    <definedName name="QBSTARTDATE" localSheetId="15">20230101</definedName>
    <definedName name="QBSTARTDATE" localSheetId="16">20230101</definedName>
    <definedName name="QBSTARTDATE" localSheetId="17">20230101</definedName>
    <definedName name="QBSTARTDATE" localSheetId="18">20230101</definedName>
    <definedName name="QBSTARTDATE" localSheetId="19">20230101</definedName>
    <definedName name="QBSTARTDATE" localSheetId="20">20230101</definedName>
    <definedName name="QBSTARTDATE" localSheetId="21">20230101</definedName>
    <definedName name="QBSTARTDATE" localSheetId="22">20230101</definedName>
    <definedName name="QBSTARTDATE" localSheetId="23">20230101</definedName>
    <definedName name="QBSTARTDATE" localSheetId="25">20230101</definedName>
    <definedName name="QBSTARTDATE" localSheetId="26">20230101</definedName>
    <definedName name="QBSTARTDATE" localSheetId="27">20230101</definedName>
    <definedName name="QBSTARTDATE" localSheetId="33">20230101</definedName>
    <definedName name="QBSTARTDATE" localSheetId="34">20210101</definedName>
    <definedName name="Z_1E23C528_1A93_4869_8FED_629E3BA1C1FB_.wvu.Cols" localSheetId="8">'ARB Budget'!$G:$H</definedName>
    <definedName name="Z_1E23C528_1A93_4869_8FED_629E3BA1C1FB_.wvu.Cols" localSheetId="7">'Budget-Services'!$J:$K</definedName>
    <definedName name="Z_1E23C528_1A93_4869_8FED_629E3BA1C1FB_.wvu.PrintArea" localSheetId="8">'ARB Budget'!$A$2:$I$39</definedName>
    <definedName name="Z_1E23C528_1A93_4869_8FED_629E3BA1C1FB_.wvu.PrintArea" localSheetId="7">'Budget-Services'!$B$2:$L$347</definedName>
    <definedName name="Z_1E23C528_1A93_4869_8FED_629E3BA1C1FB_.wvu.PrintTitles" localSheetId="7">'Budget-Services'!$2:$2</definedName>
    <definedName name="Z_240D0F1E_8A4A_44D9_9D18_FC2DB01D505B_.wvu.Cols" localSheetId="8">'ARB Budget'!$G:$H</definedName>
    <definedName name="Z_311A91B1_0912_4AA5_9366_B03CF50601A2_.wvu.PrintTitles" localSheetId="7">'Budget-Services'!$2:$2</definedName>
    <definedName name="Z_34964384_DFBD_46D8_9B9F_2D86A517A166_.wvu.PrintTitles" localSheetId="7">'Budget-Services'!$2:$2</definedName>
    <definedName name="Z_462CB3DC_B2E4_454C_83C1_B844BA7D19AA_.wvu.PrintTitles" localSheetId="7">'Budget-Services'!$2:$2</definedName>
    <definedName name="Z_6D2BABDE_BF95_4644_811C_B4DB4C5FF4DD_.wvu.PrintTitles" localSheetId="7">'Budget-Services'!$2:$2</definedName>
    <definedName name="Z_7B966C76_DF97_4627_BB3C_77955DB39D00_.wvu.PrintTitles" localSheetId="7">'Budget-Services'!$2:$2</definedName>
    <definedName name="Z_867852E4_99EF_4389_8FD0_AFAB4495F746_.wvu.PrintTitles" localSheetId="7">'Budget-Services'!$2:$2</definedName>
    <definedName name="Z_87C375DB_B8D6_4CDB_A372_B6AF8E723C83_.wvu.Cols" localSheetId="8">'ARB Budget'!$G:$H</definedName>
    <definedName name="Z_8AFAE271_A818_42D9_A8EF_972712D95EDE_.wvu.Cols" localSheetId="8">'ARB Budget'!$G:$H</definedName>
    <definedName name="Z_8AFAE271_A818_42D9_A8EF_972712D95EDE_.wvu.Cols" localSheetId="7">'Budget-Services'!$J:$K</definedName>
    <definedName name="Z_8AFAE271_A818_42D9_A8EF_972712D95EDE_.wvu.PrintArea" localSheetId="7">'Budget-Services'!$B$2:$L$347</definedName>
    <definedName name="Z_8AFAE271_A818_42D9_A8EF_972712D95EDE_.wvu.PrintTitles" localSheetId="7">'Budget-Services'!$2:$2</definedName>
    <definedName name="Z_C064177C_B77C_40AF_A193_4D3DF85CE067_.wvu.Cols" localSheetId="8">'ARB Budget'!$G:$H</definedName>
    <definedName name="Z_C064177C_B77C_40AF_A193_4D3DF85CE067_.wvu.Cols" localSheetId="7">'Budget-Services'!$J:$K</definedName>
    <definedName name="Z_C064177C_B77C_40AF_A193_4D3DF85CE067_.wvu.PrintArea" localSheetId="8">'ARB Budget'!$A$2:$I$39</definedName>
    <definedName name="Z_C064177C_B77C_40AF_A193_4D3DF85CE067_.wvu.PrintArea" localSheetId="7">'Budget-Services'!$B$2:$L$347</definedName>
    <definedName name="Z_C064177C_B77C_40AF_A193_4D3DF85CE067_.wvu.PrintTitles" localSheetId="7">'Budget-Services'!$2:$2</definedName>
    <definedName name="Z_C48E47E7_FA0B_4A20_94A3_280718E1E67E_.wvu.PrintTitles" localSheetId="7">'Budget-Services'!$2:$2</definedName>
    <definedName name="Z_C67EED5A_831B_42B7_8FDB_8094D4B26582_.wvu.PrintTitles" localSheetId="7">'Budget-Services'!$2:$2</definedName>
    <definedName name="Z_E4A729BB_04B9_4DDA_A845_D330ECD6C6DE_.wvu.PrintTitles" localSheetId="7">'Budget-Services'!$2:$2</definedName>
    <definedName name="Z_FB8A7251_402B_4E68_AD89_100C31417887_.wvu.Cols" localSheetId="8">'ARB Budget'!$G:$H</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9" i="4" l="1"/>
  <c r="E46" i="65"/>
  <c r="E40" i="65"/>
  <c r="E41" i="65" l="1"/>
  <c r="E44" i="65"/>
  <c r="C39" i="44"/>
  <c r="D39" i="44" s="1"/>
  <c r="B40" i="44"/>
  <c r="B39" i="44"/>
  <c r="C37" i="44"/>
  <c r="B31" i="44"/>
  <c r="B32" i="44"/>
  <c r="B33" i="44"/>
  <c r="B34" i="44"/>
  <c r="B35" i="44"/>
  <c r="B36" i="44"/>
  <c r="B37" i="44"/>
  <c r="B38" i="44"/>
  <c r="C11" i="44"/>
  <c r="C13" i="44"/>
  <c r="C14" i="44"/>
  <c r="C15" i="44"/>
  <c r="C10" i="44"/>
  <c r="B11" i="44"/>
  <c r="B12" i="44"/>
  <c r="B13" i="44"/>
  <c r="B14" i="44"/>
  <c r="B15" i="44"/>
  <c r="B16" i="44"/>
  <c r="B17" i="44"/>
  <c r="B18" i="44"/>
  <c r="B19" i="44"/>
  <c r="B20" i="44"/>
  <c r="B21" i="44"/>
  <c r="B22" i="44"/>
  <c r="B23" i="44"/>
  <c r="B24" i="44"/>
  <c r="B25" i="44"/>
  <c r="B26" i="44"/>
  <c r="B27" i="44"/>
  <c r="B28" i="44"/>
  <c r="B29" i="44"/>
  <c r="B30" i="44"/>
  <c r="B10" i="44"/>
  <c r="N29" i="61"/>
  <c r="N26" i="61"/>
  <c r="N14" i="61"/>
  <c r="N6" i="61"/>
  <c r="E39" i="44" l="1"/>
  <c r="L3" i="61"/>
  <c r="U12" i="61"/>
  <c r="P33" i="61"/>
  <c r="O33" i="61"/>
  <c r="O31" i="61"/>
  <c r="O30" i="61"/>
  <c r="O27" i="61"/>
  <c r="O17" i="61"/>
  <c r="O11" i="61"/>
  <c r="O5" i="61"/>
  <c r="E211" i="4"/>
  <c r="E16" i="65"/>
  <c r="K5" i="65"/>
  <c r="E45" i="65" l="1"/>
  <c r="E24" i="65" l="1"/>
  <c r="E25" i="65" s="1"/>
  <c r="H82" i="65"/>
  <c r="E78" i="65"/>
  <c r="E67" i="65"/>
  <c r="E35" i="65"/>
  <c r="E19" i="65"/>
  <c r="M30" i="61"/>
  <c r="E37" i="65" l="1"/>
  <c r="F31" i="5"/>
  <c r="F30" i="5"/>
  <c r="F26" i="5"/>
  <c r="F9" i="5"/>
  <c r="F8" i="5"/>
  <c r="F7" i="5"/>
  <c r="F6" i="5"/>
  <c r="F5" i="5"/>
  <c r="F10" i="5" s="1"/>
  <c r="F4" i="5"/>
  <c r="I256" i="4" l="1"/>
  <c r="H246" i="4"/>
  <c r="I34" i="61"/>
  <c r="I31" i="61"/>
  <c r="I27" i="61"/>
  <c r="L228" i="4" l="1"/>
  <c r="I225" i="4"/>
  <c r="M225" i="4" s="1"/>
  <c r="M16" i="4" l="1"/>
  <c r="M17" i="4"/>
  <c r="M40" i="4"/>
  <c r="M41" i="4"/>
  <c r="M62" i="4"/>
  <c r="M63" i="4"/>
  <c r="M66" i="4"/>
  <c r="M67" i="4"/>
  <c r="M80" i="4"/>
  <c r="M81" i="4"/>
  <c r="M92" i="4"/>
  <c r="M93" i="4"/>
  <c r="M132" i="4"/>
  <c r="M133" i="4"/>
  <c r="M142" i="4"/>
  <c r="M143" i="4"/>
  <c r="M152" i="4"/>
  <c r="M153" i="4"/>
  <c r="M181" i="4"/>
  <c r="M182" i="4"/>
  <c r="M186" i="4"/>
  <c r="M187" i="4"/>
  <c r="M191" i="4"/>
  <c r="M192" i="4"/>
  <c r="M229" i="4"/>
  <c r="M230" i="4"/>
  <c r="M233" i="4"/>
  <c r="M234" i="4"/>
  <c r="M258" i="4"/>
  <c r="M259" i="4"/>
  <c r="M300" i="4"/>
  <c r="M301" i="4"/>
  <c r="M323" i="4"/>
  <c r="M324" i="4"/>
  <c r="M332" i="4"/>
  <c r="M333" i="4"/>
  <c r="M336" i="4"/>
  <c r="M337" i="4"/>
  <c r="M342" i="4"/>
  <c r="M343" i="4"/>
  <c r="M346" i="4"/>
  <c r="G34" i="61"/>
  <c r="G31" i="61"/>
  <c r="I290" i="4"/>
  <c r="M290" i="4" s="1"/>
  <c r="I288" i="4"/>
  <c r="M288" i="4" s="1"/>
  <c r="I289" i="4"/>
  <c r="M289" i="4" s="1"/>
  <c r="I291" i="4"/>
  <c r="M291" i="4" s="1"/>
  <c r="I265" i="4"/>
  <c r="M265" i="4" s="1"/>
  <c r="I264" i="4"/>
  <c r="M264" i="4" s="1"/>
  <c r="I263" i="4"/>
  <c r="M263" i="4" s="1"/>
  <c r="I262" i="4"/>
  <c r="M262" i="4" s="1"/>
  <c r="I261" i="4"/>
  <c r="M261" i="4" s="1"/>
  <c r="I260" i="4"/>
  <c r="M260" i="4" s="1"/>
  <c r="I251" i="4"/>
  <c r="M251" i="4" s="1"/>
  <c r="I248" i="4"/>
  <c r="M248" i="4" s="1"/>
  <c r="I237" i="4"/>
  <c r="M237" i="4" s="1"/>
  <c r="I150" i="4"/>
  <c r="M150" i="4" s="1"/>
  <c r="I136" i="4" l="1"/>
  <c r="M136" i="4" s="1"/>
  <c r="I135" i="4" l="1"/>
  <c r="M135" i="4" s="1"/>
  <c r="I64" i="4"/>
  <c r="M64" i="4" s="1"/>
  <c r="I35" i="4"/>
  <c r="M35" i="4" s="1"/>
  <c r="I31" i="4"/>
  <c r="M31" i="4" s="1"/>
  <c r="I32" i="4"/>
  <c r="M32" i="4" s="1"/>
  <c r="I30" i="4"/>
  <c r="M30" i="4" s="1"/>
  <c r="I29" i="4"/>
  <c r="M29" i="4" s="1"/>
  <c r="I12" i="4"/>
  <c r="M12" i="4" s="1"/>
  <c r="I13" i="4"/>
  <c r="M13" i="4" s="1"/>
  <c r="E43" i="65"/>
  <c r="I65" i="4" l="1"/>
  <c r="E9" i="65"/>
  <c r="E42" i="65" l="1"/>
  <c r="I226" i="4" l="1"/>
  <c r="M226" i="4" s="1"/>
  <c r="I227" i="4"/>
  <c r="M227" i="4" s="1"/>
  <c r="I38" i="4" l="1"/>
  <c r="M38" i="4" s="1"/>
  <c r="I37" i="4"/>
  <c r="M37" i="4" s="1"/>
  <c r="I308" i="4"/>
  <c r="M308" i="4" s="1"/>
  <c r="I94" i="4"/>
  <c r="M94" i="4" s="1"/>
  <c r="I10" i="5" l="1"/>
  <c r="I305" i="4"/>
  <c r="L322" i="4"/>
  <c r="I193" i="4"/>
  <c r="M193" i="4" s="1"/>
  <c r="I194" i="4"/>
  <c r="M194" i="4" s="1"/>
  <c r="I195" i="4"/>
  <c r="M195" i="4" s="1"/>
  <c r="I196" i="4"/>
  <c r="M196" i="4" s="1"/>
  <c r="I197" i="4"/>
  <c r="M197" i="4" s="1"/>
  <c r="I198" i="4"/>
  <c r="I199" i="4"/>
  <c r="I200" i="4"/>
  <c r="M200" i="4" s="1"/>
  <c r="I201" i="4"/>
  <c r="M201" i="4" s="1"/>
  <c r="I202" i="4"/>
  <c r="M202" i="4" s="1"/>
  <c r="I203" i="4"/>
  <c r="M203" i="4" s="1"/>
  <c r="I204" i="4"/>
  <c r="M204" i="4" s="1"/>
  <c r="I205" i="4"/>
  <c r="M205" i="4" s="1"/>
  <c r="I206" i="4"/>
  <c r="M206" i="4" s="1"/>
  <c r="I207" i="4"/>
  <c r="M207" i="4" s="1"/>
  <c r="I208" i="4"/>
  <c r="M208" i="4" s="1"/>
  <c r="I209" i="4"/>
  <c r="M209" i="4" s="1"/>
  <c r="I210" i="4"/>
  <c r="M210" i="4" s="1"/>
  <c r="I211" i="4"/>
  <c r="M211" i="4" s="1"/>
  <c r="I212" i="4"/>
  <c r="M212" i="4" s="1"/>
  <c r="I213" i="4"/>
  <c r="M213" i="4" s="1"/>
  <c r="I214" i="4"/>
  <c r="M214" i="4" s="1"/>
  <c r="I215" i="4"/>
  <c r="M215" i="4" s="1"/>
  <c r="I216" i="4"/>
  <c r="M216" i="4" s="1"/>
  <c r="I217" i="4"/>
  <c r="M217" i="4" s="1"/>
  <c r="I218" i="4"/>
  <c r="M218" i="4" s="1"/>
  <c r="I219" i="4"/>
  <c r="M219" i="4" s="1"/>
  <c r="I220" i="4"/>
  <c r="M220" i="4" s="1"/>
  <c r="I221" i="4"/>
  <c r="M221" i="4" s="1"/>
  <c r="I222" i="4"/>
  <c r="M222" i="4" s="1"/>
  <c r="I223" i="4"/>
  <c r="M223" i="4" s="1"/>
  <c r="I224" i="4"/>
  <c r="M224" i="4" s="1"/>
  <c r="K15" i="65"/>
  <c r="M199" i="4" l="1"/>
  <c r="I228" i="4"/>
  <c r="M228" i="4" s="1"/>
  <c r="M305" i="4"/>
  <c r="M198" i="4"/>
  <c r="H12" i="65"/>
  <c r="K31" i="61"/>
  <c r="K34" i="61" s="1"/>
  <c r="K37" i="61" s="1"/>
  <c r="H31" i="61" l="1"/>
  <c r="H34" i="61" s="1"/>
  <c r="H37" i="61" s="1"/>
  <c r="F31" i="61"/>
  <c r="F34" i="61" s="1"/>
  <c r="F37" i="61" s="1"/>
  <c r="D31" i="61"/>
  <c r="D34" i="61" s="1"/>
  <c r="D37" i="61" s="1"/>
  <c r="B31" i="61"/>
  <c r="B34" i="61" s="1"/>
  <c r="B37" i="61" s="1"/>
  <c r="E27" i="61"/>
  <c r="E31" i="61" s="1"/>
  <c r="E34" i="61" s="1"/>
  <c r="C27" i="61"/>
  <c r="C31" i="61" s="1"/>
  <c r="C34" i="61" s="1"/>
  <c r="H78" i="65"/>
  <c r="H73" i="65"/>
  <c r="H67" i="65"/>
  <c r="E66" i="65"/>
  <c r="H63" i="65"/>
  <c r="H59" i="65"/>
  <c r="H55" i="65"/>
  <c r="H52" i="65"/>
  <c r="H47" i="65"/>
  <c r="H35" i="65"/>
  <c r="E34" i="65"/>
  <c r="E33" i="65"/>
  <c r="E32" i="65"/>
  <c r="E31" i="65"/>
  <c r="E30" i="65"/>
  <c r="E29" i="65"/>
  <c r="H25" i="65"/>
  <c r="E23" i="65"/>
  <c r="E22" i="65"/>
  <c r="H19" i="65"/>
  <c r="E17" i="65"/>
  <c r="K7" i="65"/>
  <c r="E4" i="65" s="1"/>
  <c r="E5" i="65" l="1"/>
  <c r="E50" i="65" s="1"/>
  <c r="D67" i="65"/>
  <c r="L7" i="61"/>
  <c r="H80" i="65"/>
  <c r="H37" i="65"/>
  <c r="E51" i="65"/>
  <c r="J31" i="61"/>
  <c r="O34" i="61"/>
  <c r="E52" i="65" l="1"/>
  <c r="E61" i="65" s="1"/>
  <c r="E63" i="65" s="1"/>
  <c r="E12" i="65"/>
  <c r="M7" i="61"/>
  <c r="D37" i="65"/>
  <c r="E71" i="65"/>
  <c r="E73" i="65" s="1"/>
  <c r="E80" i="65" s="1"/>
  <c r="E47" i="65"/>
  <c r="M3" i="61"/>
  <c r="E57" i="65" l="1"/>
  <c r="E59" i="65" s="1"/>
  <c r="E58" i="65"/>
  <c r="D12" i="65"/>
  <c r="E82" i="65"/>
  <c r="L4" i="61"/>
  <c r="M4" i="61" s="1"/>
  <c r="D47" i="65"/>
  <c r="L5" i="61"/>
  <c r="C12" i="44" s="1"/>
  <c r="D73" i="65"/>
  <c r="E54" i="65"/>
  <c r="E55" i="65" s="1"/>
  <c r="M5" i="61" l="1"/>
  <c r="P5" i="61"/>
  <c r="U7" i="61" s="1"/>
  <c r="D8" i="6" s="1"/>
  <c r="D59" i="65"/>
  <c r="D80" i="65"/>
  <c r="L8" i="61"/>
  <c r="M8" i="61" s="1"/>
  <c r="D63" i="65"/>
  <c r="L6" i="61"/>
  <c r="M6" i="61" s="1"/>
  <c r="D82" i="65"/>
  <c r="I252" i="4" l="1"/>
  <c r="M252" i="4" s="1"/>
  <c r="I37" i="5"/>
  <c r="I39" i="5" s="1"/>
  <c r="F35" i="5"/>
  <c r="I32" i="5"/>
  <c r="F32" i="5"/>
  <c r="I27" i="5"/>
  <c r="I344" i="4"/>
  <c r="M344" i="4" s="1"/>
  <c r="L341" i="4"/>
  <c r="I340" i="4"/>
  <c r="M340" i="4" s="1"/>
  <c r="I339" i="4"/>
  <c r="I338" i="4"/>
  <c r="M338" i="4" s="1"/>
  <c r="L335" i="4"/>
  <c r="L331" i="4"/>
  <c r="I330" i="4"/>
  <c r="I329" i="4"/>
  <c r="M329" i="4" s="1"/>
  <c r="I328" i="4"/>
  <c r="M328" i="4" s="1"/>
  <c r="I327" i="4"/>
  <c r="M327" i="4" s="1"/>
  <c r="I326" i="4"/>
  <c r="M326" i="4" s="1"/>
  <c r="I325" i="4"/>
  <c r="M325" i="4" s="1"/>
  <c r="I272" i="4"/>
  <c r="M272" i="4" s="1"/>
  <c r="I271" i="4"/>
  <c r="M271" i="4" s="1"/>
  <c r="I270" i="4"/>
  <c r="M270" i="4" s="1"/>
  <c r="M339" i="4" l="1"/>
  <c r="I341" i="4"/>
  <c r="M341" i="4" s="1"/>
  <c r="M330" i="4"/>
  <c r="I331" i="4"/>
  <c r="M331" i="4" s="1"/>
  <c r="L26" i="61"/>
  <c r="I269" i="4"/>
  <c r="M269" i="4" s="1"/>
  <c r="I268" i="4"/>
  <c r="M268" i="4" s="1"/>
  <c r="I267" i="4"/>
  <c r="M267" i="4" s="1"/>
  <c r="I246" i="4"/>
  <c r="M246" i="4" s="1"/>
  <c r="C33" i="44" l="1"/>
  <c r="M26" i="61"/>
  <c r="L28" i="61"/>
  <c r="J34" i="61"/>
  <c r="J37" i="61" s="1"/>
  <c r="I245" i="4"/>
  <c r="M245" i="4" s="1"/>
  <c r="I236" i="4"/>
  <c r="M236" i="4" s="1"/>
  <c r="L190" i="4"/>
  <c r="L185" i="4"/>
  <c r="L180" i="4"/>
  <c r="L151" i="4"/>
  <c r="L141" i="4"/>
  <c r="I105" i="4"/>
  <c r="M105" i="4" s="1"/>
  <c r="I104" i="4"/>
  <c r="M104" i="4" s="1"/>
  <c r="C35" i="44" l="1"/>
  <c r="M28" i="61"/>
  <c r="L21" i="61"/>
  <c r="I98" i="4"/>
  <c r="M98" i="4" s="1"/>
  <c r="L91" i="4"/>
  <c r="L79" i="4"/>
  <c r="L61" i="4"/>
  <c r="L39" i="4"/>
  <c r="L15" i="4"/>
  <c r="E32" i="5"/>
  <c r="I59" i="4"/>
  <c r="M59" i="4" s="1"/>
  <c r="I34" i="4"/>
  <c r="M34" i="4" s="1"/>
  <c r="I126" i="4"/>
  <c r="M126" i="4" s="1"/>
  <c r="H307" i="4"/>
  <c r="I309" i="4"/>
  <c r="M309" i="4" s="1"/>
  <c r="E4" i="5"/>
  <c r="I304" i="4"/>
  <c r="M304" i="4" s="1"/>
  <c r="H146" i="4"/>
  <c r="I146" i="4" s="1"/>
  <c r="M146" i="4" s="1"/>
  <c r="H148" i="4"/>
  <c r="H145" i="4"/>
  <c r="H147" i="4"/>
  <c r="I138" i="4"/>
  <c r="M138" i="4" s="1"/>
  <c r="I129" i="4"/>
  <c r="M129" i="4" s="1"/>
  <c r="I130" i="4"/>
  <c r="M130" i="4" s="1"/>
  <c r="I120" i="4"/>
  <c r="M120" i="4" s="1"/>
  <c r="I19" i="4"/>
  <c r="M19" i="4" s="1"/>
  <c r="I10" i="4"/>
  <c r="M10" i="4" s="1"/>
  <c r="I310" i="4"/>
  <c r="M310" i="4" s="1"/>
  <c r="I255" i="4"/>
  <c r="M255" i="4" s="1"/>
  <c r="I18" i="4"/>
  <c r="M18" i="4" s="1"/>
  <c r="I21" i="4"/>
  <c r="M21" i="4" s="1"/>
  <c r="L345" i="4"/>
  <c r="M21" i="61" l="1"/>
  <c r="C28" i="44"/>
  <c r="O146" i="4"/>
  <c r="P146" i="4" s="1"/>
  <c r="L257" i="4"/>
  <c r="C188" i="4" l="1"/>
  <c r="C189" i="4" s="1"/>
  <c r="I189" i="4" l="1"/>
  <c r="M189" i="4" s="1"/>
  <c r="I238" i="4" l="1"/>
  <c r="M238" i="4" s="1"/>
  <c r="F24" i="5" l="1"/>
  <c r="I286" i="4"/>
  <c r="M286" i="4" s="1"/>
  <c r="I46" i="4"/>
  <c r="M46" i="4" s="1"/>
  <c r="I45" i="4"/>
  <c r="M45" i="4" s="1"/>
  <c r="I44" i="4"/>
  <c r="M44" i="4" s="1"/>
  <c r="I43" i="4"/>
  <c r="M43" i="4" s="1"/>
  <c r="I42" i="4"/>
  <c r="M42" i="4" s="1"/>
  <c r="I241" i="4" l="1"/>
  <c r="M241" i="4" s="1"/>
  <c r="I321" i="4"/>
  <c r="M321" i="4" s="1"/>
  <c r="I166" i="4"/>
  <c r="I60" i="4"/>
  <c r="M60" i="4" s="1"/>
  <c r="I33" i="4"/>
  <c r="M33" i="4" s="1"/>
  <c r="I36" i="4"/>
  <c r="I247" i="4"/>
  <c r="I239" i="4"/>
  <c r="I240" i="4"/>
  <c r="O239" i="4" l="1"/>
  <c r="P239" i="4" s="1"/>
  <c r="M239" i="4"/>
  <c r="O247" i="4"/>
  <c r="P247" i="4" s="1"/>
  <c r="M247" i="4"/>
  <c r="O166" i="4"/>
  <c r="P166" i="4" s="1"/>
  <c r="M166" i="4"/>
  <c r="O240" i="4"/>
  <c r="P240" i="4" s="1"/>
  <c r="M240" i="4"/>
  <c r="M36" i="4"/>
  <c r="O241" i="4"/>
  <c r="P241" i="4" s="1"/>
  <c r="L299" i="4" l="1"/>
  <c r="I128" i="4"/>
  <c r="M128" i="4" s="1"/>
  <c r="H144" i="4"/>
  <c r="I122" i="4" l="1"/>
  <c r="M122" i="4" s="1"/>
  <c r="I103" i="4"/>
  <c r="M103" i="4" s="1"/>
  <c r="I78" i="4"/>
  <c r="M78" i="4" s="1"/>
  <c r="L65" i="4"/>
  <c r="M65" i="4" l="1"/>
  <c r="B6" i="5" l="1"/>
  <c r="B7" i="5" s="1"/>
  <c r="B8" i="5" s="1"/>
  <c r="B9" i="5" s="1"/>
  <c r="E37" i="44" l="1"/>
  <c r="B42" i="44"/>
  <c r="F36" i="5" l="1"/>
  <c r="F37" i="5" s="1"/>
  <c r="F25" i="5"/>
  <c r="F23" i="5"/>
  <c r="F22" i="5"/>
  <c r="F21" i="5"/>
  <c r="F20" i="5"/>
  <c r="F19" i="5"/>
  <c r="F18" i="5"/>
  <c r="F14" i="5"/>
  <c r="F13" i="5"/>
  <c r="I298" i="4"/>
  <c r="M298" i="4" s="1"/>
  <c r="I297" i="4"/>
  <c r="M297" i="4" s="1"/>
  <c r="I296" i="4"/>
  <c r="M296" i="4" s="1"/>
  <c r="I295" i="4"/>
  <c r="M295" i="4" s="1"/>
  <c r="I294" i="4"/>
  <c r="M294" i="4" s="1"/>
  <c r="I293" i="4"/>
  <c r="M293" i="4" s="1"/>
  <c r="I292" i="4"/>
  <c r="M292" i="4" s="1"/>
  <c r="I287" i="4"/>
  <c r="M287" i="4" s="1"/>
  <c r="I285" i="4"/>
  <c r="M285" i="4" s="1"/>
  <c r="I284" i="4"/>
  <c r="M284" i="4" s="1"/>
  <c r="I283" i="4"/>
  <c r="M283" i="4" s="1"/>
  <c r="I282" i="4"/>
  <c r="M282" i="4" s="1"/>
  <c r="I281" i="4"/>
  <c r="M281" i="4" s="1"/>
  <c r="I280" i="4"/>
  <c r="M280" i="4" s="1"/>
  <c r="I279" i="4"/>
  <c r="M279" i="4" s="1"/>
  <c r="I278" i="4"/>
  <c r="M278" i="4" s="1"/>
  <c r="I277" i="4"/>
  <c r="M277" i="4" s="1"/>
  <c r="I276" i="4"/>
  <c r="M276" i="4" s="1"/>
  <c r="I275" i="4"/>
  <c r="M275" i="4" s="1"/>
  <c r="I274" i="4"/>
  <c r="M274" i="4" s="1"/>
  <c r="I273" i="4"/>
  <c r="M273" i="4" s="1"/>
  <c r="I266" i="4"/>
  <c r="M266" i="4" s="1"/>
  <c r="I249" i="4"/>
  <c r="M249" i="4" s="1"/>
  <c r="I254" i="4"/>
  <c r="I253" i="4"/>
  <c r="I250" i="4"/>
  <c r="M250" i="4" s="1"/>
  <c r="I244" i="4"/>
  <c r="M244" i="4" s="1"/>
  <c r="I243" i="4"/>
  <c r="M243" i="4" s="1"/>
  <c r="I242" i="4"/>
  <c r="M242" i="4" s="1"/>
  <c r="I235" i="4"/>
  <c r="I231" i="4"/>
  <c r="O199" i="4"/>
  <c r="I188" i="4"/>
  <c r="I184" i="4"/>
  <c r="I183" i="4"/>
  <c r="M183" i="4" s="1"/>
  <c r="I179" i="4"/>
  <c r="M179" i="4" s="1"/>
  <c r="I178" i="4"/>
  <c r="M178" i="4" s="1"/>
  <c r="I177" i="4"/>
  <c r="M177" i="4" s="1"/>
  <c r="I176" i="4"/>
  <c r="M176" i="4" s="1"/>
  <c r="I175" i="4"/>
  <c r="M175" i="4" s="1"/>
  <c r="I173" i="4"/>
  <c r="M173" i="4" s="1"/>
  <c r="I172" i="4"/>
  <c r="M172" i="4" s="1"/>
  <c r="I171" i="4"/>
  <c r="M171" i="4" s="1"/>
  <c r="I170" i="4"/>
  <c r="M170" i="4" s="1"/>
  <c r="I169" i="4"/>
  <c r="M169" i="4" s="1"/>
  <c r="I168" i="4"/>
  <c r="M168" i="4" s="1"/>
  <c r="I165" i="4"/>
  <c r="M165" i="4" s="1"/>
  <c r="I164" i="4"/>
  <c r="M164" i="4" s="1"/>
  <c r="I163" i="4"/>
  <c r="M163" i="4" s="1"/>
  <c r="I162" i="4"/>
  <c r="M162" i="4" s="1"/>
  <c r="I161" i="4"/>
  <c r="M161" i="4" s="1"/>
  <c r="I160" i="4"/>
  <c r="M160" i="4" s="1"/>
  <c r="I159" i="4"/>
  <c r="M159" i="4" s="1"/>
  <c r="I158" i="4"/>
  <c r="M158" i="4" s="1"/>
  <c r="I157" i="4"/>
  <c r="M157" i="4" s="1"/>
  <c r="I156" i="4"/>
  <c r="M156" i="4" s="1"/>
  <c r="I155" i="4"/>
  <c r="M155" i="4" s="1"/>
  <c r="I154" i="4"/>
  <c r="I149" i="4"/>
  <c r="M149" i="4" s="1"/>
  <c r="I148" i="4"/>
  <c r="M148" i="4" s="1"/>
  <c r="I147" i="4"/>
  <c r="M147" i="4" s="1"/>
  <c r="I145" i="4"/>
  <c r="M145" i="4" s="1"/>
  <c r="I144" i="4"/>
  <c r="I140" i="4"/>
  <c r="M140" i="4" s="1"/>
  <c r="I139" i="4"/>
  <c r="M139" i="4" s="1"/>
  <c r="I134" i="4"/>
  <c r="I127" i="4"/>
  <c r="M127" i="4" s="1"/>
  <c r="I125" i="4"/>
  <c r="M125" i="4" s="1"/>
  <c r="I124" i="4"/>
  <c r="M124" i="4" s="1"/>
  <c r="I123" i="4"/>
  <c r="M123" i="4" s="1"/>
  <c r="I121" i="4"/>
  <c r="M121" i="4" s="1"/>
  <c r="I119" i="4"/>
  <c r="M119" i="4" s="1"/>
  <c r="I118" i="4"/>
  <c r="M118" i="4" s="1"/>
  <c r="I117" i="4"/>
  <c r="M117" i="4" s="1"/>
  <c r="I116" i="4"/>
  <c r="M116" i="4" s="1"/>
  <c r="I115" i="4"/>
  <c r="M115" i="4" s="1"/>
  <c r="I114" i="4"/>
  <c r="M114" i="4" s="1"/>
  <c r="I113" i="4"/>
  <c r="M113" i="4" s="1"/>
  <c r="I112" i="4"/>
  <c r="M112" i="4" s="1"/>
  <c r="I111" i="4"/>
  <c r="M111" i="4" s="1"/>
  <c r="I110" i="4"/>
  <c r="M110" i="4" s="1"/>
  <c r="I108" i="4"/>
  <c r="M108" i="4" s="1"/>
  <c r="I107" i="4"/>
  <c r="M107" i="4" s="1"/>
  <c r="I106" i="4"/>
  <c r="M106" i="4" s="1"/>
  <c r="I102" i="4"/>
  <c r="M102" i="4" s="1"/>
  <c r="I101" i="4"/>
  <c r="I100" i="4"/>
  <c r="M100" i="4" s="1"/>
  <c r="I99" i="4"/>
  <c r="M99" i="4" s="1"/>
  <c r="I97" i="4"/>
  <c r="M97" i="4" s="1"/>
  <c r="I96" i="4"/>
  <c r="M96" i="4" s="1"/>
  <c r="I95" i="4"/>
  <c r="M95" i="4" s="1"/>
  <c r="I90" i="4"/>
  <c r="M90" i="4" s="1"/>
  <c r="I89" i="4"/>
  <c r="M89" i="4" s="1"/>
  <c r="I88" i="4"/>
  <c r="M88" i="4" s="1"/>
  <c r="I87" i="4"/>
  <c r="M87" i="4" s="1"/>
  <c r="I86" i="4"/>
  <c r="M86" i="4" s="1"/>
  <c r="I85" i="4"/>
  <c r="M85" i="4" s="1"/>
  <c r="I84" i="4"/>
  <c r="M84" i="4" s="1"/>
  <c r="I83" i="4"/>
  <c r="M83" i="4" s="1"/>
  <c r="I82" i="4"/>
  <c r="I77" i="4"/>
  <c r="M77" i="4" s="1"/>
  <c r="I76" i="4"/>
  <c r="M76" i="4" s="1"/>
  <c r="I75" i="4"/>
  <c r="M75" i="4" s="1"/>
  <c r="I74" i="4"/>
  <c r="M74" i="4" s="1"/>
  <c r="I73" i="4"/>
  <c r="M73" i="4" s="1"/>
  <c r="I72" i="4"/>
  <c r="M72" i="4" s="1"/>
  <c r="I71" i="4"/>
  <c r="M71" i="4" s="1"/>
  <c r="I70" i="4"/>
  <c r="M70" i="4" s="1"/>
  <c r="I69" i="4"/>
  <c r="M69" i="4" s="1"/>
  <c r="I68" i="4"/>
  <c r="I58" i="4"/>
  <c r="M58" i="4" s="1"/>
  <c r="I57" i="4"/>
  <c r="M57" i="4" s="1"/>
  <c r="I56" i="4"/>
  <c r="M56" i="4" s="1"/>
  <c r="I55" i="4"/>
  <c r="M55" i="4" s="1"/>
  <c r="I54" i="4"/>
  <c r="M54" i="4" s="1"/>
  <c r="I53" i="4"/>
  <c r="M53" i="4" s="1"/>
  <c r="I52" i="4"/>
  <c r="M52" i="4" s="1"/>
  <c r="I51" i="4"/>
  <c r="M51" i="4" s="1"/>
  <c r="I50" i="4"/>
  <c r="M50" i="4" s="1"/>
  <c r="I49" i="4"/>
  <c r="M49" i="4" s="1"/>
  <c r="I48" i="4"/>
  <c r="M48" i="4" s="1"/>
  <c r="I47" i="4"/>
  <c r="M47" i="4" s="1"/>
  <c r="I28" i="4"/>
  <c r="M28" i="4" s="1"/>
  <c r="I27" i="4"/>
  <c r="M27" i="4" s="1"/>
  <c r="I26" i="4"/>
  <c r="M26" i="4" s="1"/>
  <c r="I25" i="4"/>
  <c r="M25" i="4" s="1"/>
  <c r="I24" i="4"/>
  <c r="M24" i="4" s="1"/>
  <c r="I23" i="4"/>
  <c r="M23" i="4" s="1"/>
  <c r="I22" i="4"/>
  <c r="M22" i="4" s="1"/>
  <c r="I20" i="4"/>
  <c r="I14" i="4"/>
  <c r="M14" i="4" s="1"/>
  <c r="I11" i="4"/>
  <c r="M11" i="4" s="1"/>
  <c r="I9" i="4"/>
  <c r="M9" i="4" s="1"/>
  <c r="I8" i="4"/>
  <c r="M8" i="4" s="1"/>
  <c r="I7" i="4"/>
  <c r="M7" i="4" s="1"/>
  <c r="I6" i="4"/>
  <c r="M6" i="4" s="1"/>
  <c r="I5" i="4"/>
  <c r="M5" i="4" s="1"/>
  <c r="I4" i="4"/>
  <c r="I320" i="4"/>
  <c r="M320" i="4" s="1"/>
  <c r="M235" i="4" l="1"/>
  <c r="I257" i="4"/>
  <c r="M257" i="4" s="1"/>
  <c r="M20" i="4"/>
  <c r="I39" i="4"/>
  <c r="M39" i="4" s="1"/>
  <c r="M154" i="4"/>
  <c r="M4" i="4"/>
  <c r="I15" i="4"/>
  <c r="M15" i="4" s="1"/>
  <c r="M82" i="4"/>
  <c r="I91" i="4"/>
  <c r="M91" i="4" s="1"/>
  <c r="M188" i="4"/>
  <c r="I190" i="4"/>
  <c r="M190" i="4" s="1"/>
  <c r="I232" i="4"/>
  <c r="M231" i="4"/>
  <c r="M134" i="4"/>
  <c r="M68" i="4"/>
  <c r="I79" i="4"/>
  <c r="M79" i="4" s="1"/>
  <c r="O254" i="4"/>
  <c r="P254" i="4" s="1"/>
  <c r="M254" i="4"/>
  <c r="O253" i="4"/>
  <c r="P253" i="4" s="1"/>
  <c r="M253" i="4"/>
  <c r="M184" i="4"/>
  <c r="I185" i="4"/>
  <c r="M185" i="4" s="1"/>
  <c r="M144" i="4"/>
  <c r="I151" i="4"/>
  <c r="M151" i="4" s="1"/>
  <c r="M101" i="4"/>
  <c r="F15" i="5"/>
  <c r="I61" i="4"/>
  <c r="J95" i="4"/>
  <c r="K95" i="4" s="1"/>
  <c r="L131" i="4"/>
  <c r="F27" i="5"/>
  <c r="I299" i="4"/>
  <c r="M299" i="4" s="1"/>
  <c r="L12" i="61"/>
  <c r="O243" i="4"/>
  <c r="P243" i="4" s="1"/>
  <c r="H65" i="4"/>
  <c r="C19" i="44" l="1"/>
  <c r="M12" i="61"/>
  <c r="L22" i="61"/>
  <c r="L19" i="61"/>
  <c r="L20" i="61"/>
  <c r="M61" i="4"/>
  <c r="F39" i="5"/>
  <c r="L33" i="61" s="1"/>
  <c r="M33" i="61" s="1"/>
  <c r="L17" i="61"/>
  <c r="L9" i="61"/>
  <c r="L24" i="61"/>
  <c r="L14" i="61"/>
  <c r="L13" i="61"/>
  <c r="L11" i="61"/>
  <c r="L10" i="61"/>
  <c r="L23" i="61"/>
  <c r="H61" i="4"/>
  <c r="O277" i="4"/>
  <c r="P277" i="4" s="1"/>
  <c r="I334" i="4"/>
  <c r="J334" i="4"/>
  <c r="M24" i="61" l="1"/>
  <c r="C31" i="44"/>
  <c r="C29" i="44"/>
  <c r="M22" i="61"/>
  <c r="C24" i="44"/>
  <c r="M17" i="61"/>
  <c r="C17" i="44"/>
  <c r="M10" i="61"/>
  <c r="C27" i="44"/>
  <c r="M20" i="61"/>
  <c r="C30" i="44"/>
  <c r="M23" i="61"/>
  <c r="C18" i="44"/>
  <c r="M11" i="61"/>
  <c r="C20" i="44"/>
  <c r="M13" i="61"/>
  <c r="C21" i="44"/>
  <c r="M14" i="61"/>
  <c r="M9" i="61"/>
  <c r="C16" i="44"/>
  <c r="P11" i="61"/>
  <c r="U8" i="61" s="1"/>
  <c r="C26" i="44"/>
  <c r="M19" i="61"/>
  <c r="M334" i="4"/>
  <c r="I335" i="4"/>
  <c r="M335" i="4" s="1"/>
  <c r="O334" i="4"/>
  <c r="P334" i="4" s="1"/>
  <c r="J335" i="4"/>
  <c r="K334" i="4"/>
  <c r="K335" i="4" s="1"/>
  <c r="D9" i="6" l="1"/>
  <c r="L27" i="61"/>
  <c r="C34" i="44" l="1"/>
  <c r="P27" i="61"/>
  <c r="U10" i="61" s="1"/>
  <c r="E14" i="44"/>
  <c r="D11" i="6" l="1"/>
  <c r="E11" i="44"/>
  <c r="I15" i="5"/>
  <c r="I345" i="4"/>
  <c r="M345" i="4" s="1"/>
  <c r="O248" i="4"/>
  <c r="P248" i="4" s="1"/>
  <c r="I311" i="4"/>
  <c r="M311" i="4" s="1"/>
  <c r="O252" i="4"/>
  <c r="P252" i="4" s="1"/>
  <c r="O287" i="4"/>
  <c r="P287" i="4" s="1"/>
  <c r="L29" i="61" l="1"/>
  <c r="E15" i="5"/>
  <c r="I303" i="4"/>
  <c r="M303" i="4" s="1"/>
  <c r="C36" i="44" l="1"/>
  <c r="P30" i="61"/>
  <c r="U11" i="61" s="1"/>
  <c r="E12" i="44"/>
  <c r="E15" i="44"/>
  <c r="O219" i="4"/>
  <c r="P219" i="4" s="1"/>
  <c r="O221" i="4"/>
  <c r="P221" i="4" s="1"/>
  <c r="I319" i="4"/>
  <c r="M319" i="4" s="1"/>
  <c r="I312" i="4"/>
  <c r="M312" i="4" s="1"/>
  <c r="I314" i="4"/>
  <c r="M314" i="4" s="1"/>
  <c r="I315" i="4"/>
  <c r="I316" i="4"/>
  <c r="M316" i="4" s="1"/>
  <c r="O296" i="4"/>
  <c r="P296" i="4" s="1"/>
  <c r="D12" i="6" l="1"/>
  <c r="M315" i="4"/>
  <c r="E13" i="44"/>
  <c r="D10" i="44"/>
  <c r="E10" i="44"/>
  <c r="H174" i="4"/>
  <c r="I174" i="4" s="1"/>
  <c r="M174" i="4" s="1"/>
  <c r="I109" i="4" l="1"/>
  <c r="M109" i="4" l="1"/>
  <c r="I131" i="4"/>
  <c r="M131" i="4" s="1"/>
  <c r="D37" i="44"/>
  <c r="L15" i="61" l="1"/>
  <c r="G37" i="36"/>
  <c r="M15" i="61" l="1"/>
  <c r="C22" i="44"/>
  <c r="D79" i="38"/>
  <c r="D77" i="38"/>
  <c r="D63" i="38"/>
  <c r="D59" i="38"/>
  <c r="D55" i="38"/>
  <c r="D43" i="38"/>
  <c r="D34" i="38"/>
  <c r="D10" i="38"/>
  <c r="E42" i="38"/>
  <c r="E40" i="38"/>
  <c r="E38" i="38"/>
  <c r="E37" i="38"/>
  <c r="D79" i="40"/>
  <c r="D77" i="40"/>
  <c r="D59" i="40"/>
  <c r="D55" i="40"/>
  <c r="D43" i="40"/>
  <c r="D34" i="40"/>
  <c r="D10" i="40"/>
  <c r="E42" i="40" l="1"/>
  <c r="E40" i="40"/>
  <c r="E38" i="40"/>
  <c r="E37" i="40"/>
  <c r="E57" i="38" l="1"/>
  <c r="E57" i="40"/>
  <c r="J37" i="39" l="1"/>
  <c r="J37" i="37"/>
  <c r="E37" i="36"/>
  <c r="C37" i="36"/>
  <c r="E54" i="38" l="1"/>
  <c r="E53" i="38"/>
  <c r="E54" i="40"/>
  <c r="E53" i="40"/>
  <c r="O51" i="4" l="1"/>
  <c r="P51" i="4" s="1"/>
  <c r="O25" i="4"/>
  <c r="P25" i="4" s="1"/>
  <c r="H75" i="38" l="1"/>
  <c r="H63" i="38"/>
  <c r="H59" i="38"/>
  <c r="H55" i="38"/>
  <c r="H51" i="38"/>
  <c r="H48" i="38"/>
  <c r="H43" i="38"/>
  <c r="H32" i="38"/>
  <c r="H67" i="38" s="1"/>
  <c r="H69" i="38" s="1"/>
  <c r="H77" i="38" s="1"/>
  <c r="H23" i="38"/>
  <c r="H17" i="38"/>
  <c r="H34" i="38" s="1"/>
  <c r="H10" i="38"/>
  <c r="H79" i="38" s="1"/>
  <c r="H75" i="40"/>
  <c r="H63" i="40"/>
  <c r="H59" i="40"/>
  <c r="H55" i="40"/>
  <c r="H51" i="40"/>
  <c r="H48" i="40"/>
  <c r="H43" i="40"/>
  <c r="H32" i="40"/>
  <c r="H67" i="40" s="1"/>
  <c r="H69" i="40" s="1"/>
  <c r="H77" i="40" s="1"/>
  <c r="H23" i="40"/>
  <c r="H17" i="40"/>
  <c r="H34" i="40" s="1"/>
  <c r="H10" i="40"/>
  <c r="H79" i="40" s="1"/>
  <c r="M34" i="39" l="1"/>
  <c r="M31" i="39"/>
  <c r="M28" i="39"/>
  <c r="M17" i="39"/>
  <c r="M11" i="39"/>
  <c r="M5" i="39"/>
  <c r="M34" i="37"/>
  <c r="M31" i="37"/>
  <c r="M28" i="37"/>
  <c r="M17" i="37"/>
  <c r="M11" i="37"/>
  <c r="M5" i="37"/>
  <c r="K31" i="37"/>
  <c r="E41" i="38"/>
  <c r="E39" i="38"/>
  <c r="K31" i="39"/>
  <c r="E41" i="40"/>
  <c r="E39" i="40"/>
  <c r="O148" i="4"/>
  <c r="P148" i="4" s="1"/>
  <c r="M32" i="37" l="1"/>
  <c r="M35" i="37" s="1"/>
  <c r="P262" i="4"/>
  <c r="P233" i="4"/>
  <c r="P132" i="4"/>
  <c r="P56" i="4"/>
  <c r="P40" i="4"/>
  <c r="E4" i="40" l="1"/>
  <c r="E5" i="40" s="1"/>
  <c r="O147" i="4" l="1"/>
  <c r="P147" i="4" s="1"/>
  <c r="I302" i="4" l="1"/>
  <c r="I306" i="4"/>
  <c r="M306" i="4" s="1"/>
  <c r="I307" i="4"/>
  <c r="M307" i="4" s="1"/>
  <c r="I313" i="4"/>
  <c r="M313" i="4" s="1"/>
  <c r="I317" i="4"/>
  <c r="M317" i="4" s="1"/>
  <c r="I318" i="4"/>
  <c r="M318" i="4" s="1"/>
  <c r="O264" i="4"/>
  <c r="M302" i="4" l="1"/>
  <c r="I322" i="4"/>
  <c r="O195" i="4"/>
  <c r="M322" i="4" l="1"/>
  <c r="L25" i="61"/>
  <c r="H322" i="4"/>
  <c r="O278" i="4"/>
  <c r="P278" i="4" s="1"/>
  <c r="M25" i="61" l="1"/>
  <c r="C32" i="44"/>
  <c r="E32" i="44" s="1"/>
  <c r="E24" i="36"/>
  <c r="E31" i="36"/>
  <c r="C24" i="36"/>
  <c r="C31" i="36"/>
  <c r="J7" i="39"/>
  <c r="J7" i="37"/>
  <c r="I32" i="37"/>
  <c r="I35" i="37" s="1"/>
  <c r="I38" i="37" s="1"/>
  <c r="H32" i="37"/>
  <c r="H35" i="37" s="1"/>
  <c r="H38" i="37" s="1"/>
  <c r="D32" i="37"/>
  <c r="D35" i="37" s="1"/>
  <c r="D38" i="37" s="1"/>
  <c r="C32" i="37"/>
  <c r="C35" i="37" s="1"/>
  <c r="B32" i="37"/>
  <c r="B35" i="37" s="1"/>
  <c r="B38" i="37" s="1"/>
  <c r="G28" i="37"/>
  <c r="G32" i="37" s="1"/>
  <c r="G35" i="37" s="1"/>
  <c r="E28" i="37"/>
  <c r="E32" i="37" s="1"/>
  <c r="E35" i="37" s="1"/>
  <c r="F26" i="37"/>
  <c r="F32" i="37" s="1"/>
  <c r="F35" i="37" s="1"/>
  <c r="F38" i="37" s="1"/>
  <c r="I32" i="39"/>
  <c r="I35" i="39" s="1"/>
  <c r="I38" i="39" s="1"/>
  <c r="H32" i="39"/>
  <c r="H35" i="39" s="1"/>
  <c r="H38" i="39" s="1"/>
  <c r="D32" i="39"/>
  <c r="D35" i="39" s="1"/>
  <c r="D38" i="39" s="1"/>
  <c r="C32" i="39"/>
  <c r="C35" i="39" s="1"/>
  <c r="B32" i="39"/>
  <c r="B35" i="39" s="1"/>
  <c r="B38" i="39" s="1"/>
  <c r="M32" i="39"/>
  <c r="M35" i="39" s="1"/>
  <c r="G28" i="39"/>
  <c r="G32" i="39" s="1"/>
  <c r="G35" i="39" s="1"/>
  <c r="E28" i="39"/>
  <c r="E32" i="39" s="1"/>
  <c r="E35" i="39" s="1"/>
  <c r="F26" i="39"/>
  <c r="F32" i="39" s="1"/>
  <c r="F35" i="39" s="1"/>
  <c r="F38" i="39" s="1"/>
  <c r="E75" i="38"/>
  <c r="E63" i="38"/>
  <c r="E62" i="38"/>
  <c r="E31" i="38"/>
  <c r="E30" i="38"/>
  <c r="E29" i="38"/>
  <c r="E32" i="38" s="1"/>
  <c r="E28" i="38"/>
  <c r="E27" i="38"/>
  <c r="E26" i="38"/>
  <c r="E22" i="38"/>
  <c r="E21" i="38"/>
  <c r="E20" i="38"/>
  <c r="E23" i="38" s="1"/>
  <c r="N18" i="38"/>
  <c r="E15" i="38"/>
  <c r="M14" i="38"/>
  <c r="E14" i="38"/>
  <c r="E17" i="38" s="1"/>
  <c r="M7" i="38"/>
  <c r="M8" i="38" s="1"/>
  <c r="E4" i="38"/>
  <c r="E5" i="38" s="1"/>
  <c r="E75" i="40"/>
  <c r="E62" i="40"/>
  <c r="E63" i="40" s="1"/>
  <c r="E31" i="40"/>
  <c r="E30" i="40"/>
  <c r="E29" i="40"/>
  <c r="E28" i="40"/>
  <c r="E27" i="40"/>
  <c r="E26" i="40"/>
  <c r="E32" i="40" s="1"/>
  <c r="E22" i="40"/>
  <c r="E21" i="40"/>
  <c r="E20" i="40"/>
  <c r="E23" i="40" s="1"/>
  <c r="N18" i="40"/>
  <c r="E15" i="40"/>
  <c r="E17" i="40" s="1"/>
  <c r="E34" i="40" s="1"/>
  <c r="J4" i="39" s="1"/>
  <c r="K4" i="39" s="1"/>
  <c r="M14" i="40"/>
  <c r="E14" i="40"/>
  <c r="M9" i="40"/>
  <c r="M12" i="40" s="1"/>
  <c r="M8" i="40"/>
  <c r="M7" i="40"/>
  <c r="K7" i="37" l="1"/>
  <c r="C7" i="36"/>
  <c r="D7" i="36" s="1"/>
  <c r="K7" i="39"/>
  <c r="E7" i="36"/>
  <c r="F7" i="36" s="1"/>
  <c r="E4" i="36"/>
  <c r="F4" i="36" s="1"/>
  <c r="E34" i="38"/>
  <c r="J4" i="37" s="1"/>
  <c r="K4" i="37" s="1"/>
  <c r="E43" i="38"/>
  <c r="J5" i="37" s="1"/>
  <c r="K5" i="37" s="1"/>
  <c r="E47" i="38"/>
  <c r="M9" i="38"/>
  <c r="M12" i="38" s="1"/>
  <c r="E47" i="40"/>
  <c r="E46" i="40"/>
  <c r="E48" i="40" s="1"/>
  <c r="F31" i="36"/>
  <c r="D31" i="36"/>
  <c r="C4" i="36" l="1"/>
  <c r="D4" i="36" s="1"/>
  <c r="C5" i="36"/>
  <c r="D5" i="36" s="1"/>
  <c r="E46" i="38"/>
  <c r="E48" i="38" s="1"/>
  <c r="E10" i="38"/>
  <c r="J3" i="37" s="1"/>
  <c r="E67" i="38"/>
  <c r="E69" i="38" s="1"/>
  <c r="E77" i="38" s="1"/>
  <c r="J8" i="37" s="1"/>
  <c r="K8" i="37" s="1"/>
  <c r="E50" i="40"/>
  <c r="E51" i="40" s="1"/>
  <c r="E10" i="40"/>
  <c r="J3" i="39" s="1"/>
  <c r="E67" i="40"/>
  <c r="E69" i="40" s="1"/>
  <c r="E77" i="40" s="1"/>
  <c r="J8" i="39" s="1"/>
  <c r="K8" i="39" s="1"/>
  <c r="E43" i="40"/>
  <c r="J5" i="39" s="1"/>
  <c r="K5" i="39" l="1"/>
  <c r="N5" i="39"/>
  <c r="K3" i="37"/>
  <c r="K3" i="39"/>
  <c r="E55" i="40"/>
  <c r="E3" i="36"/>
  <c r="F3" i="36" s="1"/>
  <c r="E59" i="40"/>
  <c r="E79" i="40" s="1"/>
  <c r="J6" i="39"/>
  <c r="E8" i="36"/>
  <c r="F8" i="36" s="1"/>
  <c r="E5" i="36"/>
  <c r="C8" i="36"/>
  <c r="D8" i="36" s="1"/>
  <c r="C3" i="36"/>
  <c r="E50" i="38"/>
  <c r="E51" i="38" s="1"/>
  <c r="F5" i="36" l="1"/>
  <c r="K6" i="39"/>
  <c r="D3" i="36"/>
  <c r="E6" i="36"/>
  <c r="F6" i="36" s="1"/>
  <c r="E59" i="38"/>
  <c r="E79" i="38" s="1"/>
  <c r="J6" i="37"/>
  <c r="E55" i="38"/>
  <c r="C94" i="4"/>
  <c r="J94" i="4"/>
  <c r="C95" i="4" l="1"/>
  <c r="K6" i="37"/>
  <c r="N5" i="37"/>
  <c r="S7" i="39"/>
  <c r="C6" i="36"/>
  <c r="H345" i="4"/>
  <c r="D6" i="36" l="1"/>
  <c r="S7" i="37"/>
  <c r="O279" i="4" l="1"/>
  <c r="P279" i="4" s="1"/>
  <c r="G24" i="36" l="1"/>
  <c r="G31" i="36"/>
  <c r="H31" i="36" s="1"/>
  <c r="B32" i="36"/>
  <c r="B35" i="36" s="1"/>
  <c r="B38" i="36" s="1"/>
  <c r="G7" i="36" l="1"/>
  <c r="H7" i="36" s="1"/>
  <c r="D63" i="40" s="1"/>
  <c r="D14" i="44"/>
  <c r="D12" i="44" l="1"/>
  <c r="G5" i="36"/>
  <c r="H5" i="36" s="1"/>
  <c r="G3" i="36"/>
  <c r="H3" i="36" s="1"/>
  <c r="G4" i="36" l="1"/>
  <c r="H4" i="36" s="1"/>
  <c r="G8" i="36"/>
  <c r="H8" i="36" s="1"/>
  <c r="D15" i="44"/>
  <c r="D13" i="44"/>
  <c r="D11" i="44" l="1"/>
  <c r="G6" i="36"/>
  <c r="D53" i="6" s="1"/>
  <c r="H6" i="36" l="1"/>
  <c r="O338" i="4" l="1"/>
  <c r="P338" i="4" s="1"/>
  <c r="O308" i="4"/>
  <c r="P308" i="4" s="1"/>
  <c r="O238" i="4"/>
  <c r="P238" i="4" s="1"/>
  <c r="O106" i="4"/>
  <c r="P106" i="4" s="1"/>
  <c r="O26" i="4"/>
  <c r="P26" i="4" s="1"/>
  <c r="O34" i="4"/>
  <c r="P34" i="4" s="1"/>
  <c r="O20" i="4"/>
  <c r="P20" i="4" s="1"/>
  <c r="O194" i="4"/>
  <c r="P194" i="4" s="1"/>
  <c r="O196" i="4"/>
  <c r="P196" i="4" s="1"/>
  <c r="P199" i="4"/>
  <c r="O201" i="4"/>
  <c r="P201" i="4" s="1"/>
  <c r="O203" i="4"/>
  <c r="P203" i="4" s="1"/>
  <c r="O205" i="4"/>
  <c r="P205" i="4" s="1"/>
  <c r="O209" i="4"/>
  <c r="P209" i="4" s="1"/>
  <c r="O210" i="4"/>
  <c r="P210" i="4" s="1"/>
  <c r="O211" i="4"/>
  <c r="P211" i="4" s="1"/>
  <c r="O212" i="4"/>
  <c r="P212" i="4" s="1"/>
  <c r="O214" i="4"/>
  <c r="P214" i="4" s="1"/>
  <c r="O215" i="4"/>
  <c r="P215" i="4" s="1"/>
  <c r="O216" i="4"/>
  <c r="P216" i="4" s="1"/>
  <c r="O217" i="4"/>
  <c r="P217" i="4" s="1"/>
  <c r="O218" i="4"/>
  <c r="P218" i="4" s="1"/>
  <c r="O220" i="4"/>
  <c r="P220" i="4" s="1"/>
  <c r="O224" i="4"/>
  <c r="O150" i="4"/>
  <c r="P150" i="4" s="1"/>
  <c r="O144" i="4"/>
  <c r="O122" i="4"/>
  <c r="P122" i="4" s="1"/>
  <c r="C235" i="4"/>
  <c r="C260" i="4"/>
  <c r="O316" i="4"/>
  <c r="P316" i="4" s="1"/>
  <c r="O317" i="4"/>
  <c r="P317" i="4" s="1"/>
  <c r="O319" i="4"/>
  <c r="P319" i="4" s="1"/>
  <c r="O314" i="4"/>
  <c r="P314" i="4" s="1"/>
  <c r="O315" i="4"/>
  <c r="P315" i="4" s="1"/>
  <c r="O302" i="4"/>
  <c r="P302" i="4" s="1"/>
  <c r="O303" i="4"/>
  <c r="P303" i="4" s="1"/>
  <c r="O145" i="4"/>
  <c r="P145" i="4" s="1"/>
  <c r="O154" i="4"/>
  <c r="P154" i="4" s="1"/>
  <c r="H137" i="4"/>
  <c r="C134" i="4"/>
  <c r="O77" i="4"/>
  <c r="P77" i="4" s="1"/>
  <c r="O76" i="4"/>
  <c r="P76" i="4" s="1"/>
  <c r="O7" i="4"/>
  <c r="P7" i="4" s="1"/>
  <c r="O43" i="4"/>
  <c r="P43" i="4" s="1"/>
  <c r="O44" i="4"/>
  <c r="P44" i="4" s="1"/>
  <c r="O8" i="4"/>
  <c r="P8" i="4" s="1"/>
  <c r="O53" i="4"/>
  <c r="P53" i="4" s="1"/>
  <c r="O108" i="4"/>
  <c r="P108" i="4" s="1"/>
  <c r="O109" i="4"/>
  <c r="P109" i="4" s="1"/>
  <c r="O110" i="4"/>
  <c r="P110" i="4" s="1"/>
  <c r="O111" i="4"/>
  <c r="P111" i="4" s="1"/>
  <c r="O112" i="4"/>
  <c r="P112" i="4" s="1"/>
  <c r="O113" i="4"/>
  <c r="P113" i="4" s="1"/>
  <c r="O114" i="4"/>
  <c r="P114" i="4" s="1"/>
  <c r="O116" i="4"/>
  <c r="O117" i="4"/>
  <c r="P117" i="4" s="1"/>
  <c r="O118" i="4"/>
  <c r="P118" i="4" s="1"/>
  <c r="O119" i="4"/>
  <c r="P119" i="4" s="1"/>
  <c r="O120" i="4"/>
  <c r="P120" i="4" s="1"/>
  <c r="O121" i="4"/>
  <c r="P121" i="4" s="1"/>
  <c r="O124" i="4"/>
  <c r="P124" i="4" s="1"/>
  <c r="O125" i="4"/>
  <c r="P125" i="4" s="1"/>
  <c r="O126" i="4"/>
  <c r="P126" i="4" s="1"/>
  <c r="O127" i="4"/>
  <c r="P127" i="4" s="1"/>
  <c r="O129" i="4"/>
  <c r="P129" i="4" s="1"/>
  <c r="C96" i="4"/>
  <c r="C193" i="4"/>
  <c r="B35" i="5"/>
  <c r="B30" i="5"/>
  <c r="B18" i="5"/>
  <c r="B13" i="5"/>
  <c r="B4" i="5"/>
  <c r="J345" i="4"/>
  <c r="K345" i="4"/>
  <c r="C344" i="4"/>
  <c r="C338" i="4"/>
  <c r="C339" i="4" s="1"/>
  <c r="C325" i="4"/>
  <c r="C302" i="4"/>
  <c r="C231" i="4"/>
  <c r="C183" i="4"/>
  <c r="C154" i="4"/>
  <c r="C144" i="4"/>
  <c r="C82" i="4"/>
  <c r="C68" i="4"/>
  <c r="C69" i="4" s="1"/>
  <c r="C70" i="4" s="1"/>
  <c r="C71" i="4" s="1"/>
  <c r="C72" i="4" s="1"/>
  <c r="C73" i="4" s="1"/>
  <c r="C74" i="4" s="1"/>
  <c r="C75" i="4" s="1"/>
  <c r="C76" i="4" s="1"/>
  <c r="C77" i="4" s="1"/>
  <c r="C78" i="4" s="1"/>
  <c r="C64" i="4"/>
  <c r="C42" i="4"/>
  <c r="C18" i="4"/>
  <c r="C4" i="4"/>
  <c r="O71" i="4"/>
  <c r="P71" i="4" s="1"/>
  <c r="H167" i="4"/>
  <c r="I167" i="4" s="1"/>
  <c r="E37" i="5"/>
  <c r="N11" i="6"/>
  <c r="N9" i="6"/>
  <c r="O311" i="4"/>
  <c r="P311" i="4" s="1"/>
  <c r="O313" i="4"/>
  <c r="P313" i="4" s="1"/>
  <c r="O312" i="4"/>
  <c r="P312" i="4" s="1"/>
  <c r="O307" i="4"/>
  <c r="P307" i="4" s="1"/>
  <c r="O306" i="4"/>
  <c r="P306" i="4" s="1"/>
  <c r="O251" i="4"/>
  <c r="P251" i="4" s="1"/>
  <c r="O246" i="4"/>
  <c r="P246" i="4" s="1"/>
  <c r="O245" i="4"/>
  <c r="P245" i="4" s="1"/>
  <c r="O242" i="4"/>
  <c r="P242" i="4" s="1"/>
  <c r="O236" i="4"/>
  <c r="P236" i="4" s="1"/>
  <c r="L232" i="4"/>
  <c r="M232" i="4" s="1"/>
  <c r="O184" i="4"/>
  <c r="P184" i="4" s="1"/>
  <c r="O179" i="4"/>
  <c r="P179" i="4" s="1"/>
  <c r="O176" i="4"/>
  <c r="P176" i="4" s="1"/>
  <c r="O175" i="4"/>
  <c r="P175" i="4" s="1"/>
  <c r="O174" i="4"/>
  <c r="P174" i="4" s="1"/>
  <c r="O173" i="4"/>
  <c r="P173" i="4" s="1"/>
  <c r="O172" i="4"/>
  <c r="P172" i="4" s="1"/>
  <c r="O171" i="4"/>
  <c r="P171" i="4" s="1"/>
  <c r="O170" i="4"/>
  <c r="P170" i="4" s="1"/>
  <c r="O169" i="4"/>
  <c r="P169" i="4" s="1"/>
  <c r="O168" i="4"/>
  <c r="P168" i="4" s="1"/>
  <c r="O164" i="4"/>
  <c r="P164" i="4" s="1"/>
  <c r="O163" i="4"/>
  <c r="P163" i="4" s="1"/>
  <c r="O162" i="4"/>
  <c r="P162" i="4" s="1"/>
  <c r="O161" i="4"/>
  <c r="P161" i="4" s="1"/>
  <c r="O160" i="4"/>
  <c r="P160" i="4" s="1"/>
  <c r="O159" i="4"/>
  <c r="P159" i="4" s="1"/>
  <c r="O158" i="4"/>
  <c r="P158" i="4" s="1"/>
  <c r="O157" i="4"/>
  <c r="P157" i="4" s="1"/>
  <c r="O156" i="4"/>
  <c r="P156" i="4" s="1"/>
  <c r="O155" i="4"/>
  <c r="P155" i="4" s="1"/>
  <c r="O140" i="4"/>
  <c r="P140" i="4" s="1"/>
  <c r="O139" i="4"/>
  <c r="P139" i="4" s="1"/>
  <c r="O135" i="4"/>
  <c r="P135" i="4" s="1"/>
  <c r="O103" i="4"/>
  <c r="P103" i="4" s="1"/>
  <c r="O101" i="4"/>
  <c r="P101" i="4" s="1"/>
  <c r="O100" i="4"/>
  <c r="P100" i="4" s="1"/>
  <c r="O99" i="4"/>
  <c r="P99" i="4" s="1"/>
  <c r="O98" i="4"/>
  <c r="P98" i="4" s="1"/>
  <c r="O97" i="4"/>
  <c r="P97" i="4" s="1"/>
  <c r="O96" i="4"/>
  <c r="P96" i="4" s="1"/>
  <c r="O94" i="4"/>
  <c r="P94" i="4" s="1"/>
  <c r="O84" i="4"/>
  <c r="P84" i="4" s="1"/>
  <c r="O90" i="4"/>
  <c r="P90" i="4" s="1"/>
  <c r="O89" i="4"/>
  <c r="P89" i="4" s="1"/>
  <c r="O86" i="4"/>
  <c r="P86" i="4" s="1"/>
  <c r="O85" i="4"/>
  <c r="O88" i="4"/>
  <c r="P88" i="4" s="1"/>
  <c r="O83" i="4"/>
  <c r="P83" i="4" s="1"/>
  <c r="O78" i="4"/>
  <c r="P78" i="4" s="1"/>
  <c r="O75" i="4"/>
  <c r="P75" i="4" s="1"/>
  <c r="O74" i="4"/>
  <c r="P74" i="4" s="1"/>
  <c r="O73" i="4"/>
  <c r="P73" i="4" s="1"/>
  <c r="O72" i="4"/>
  <c r="P72" i="4" s="1"/>
  <c r="O69" i="4"/>
  <c r="P69" i="4" s="1"/>
  <c r="O68" i="4"/>
  <c r="P68" i="4" s="1"/>
  <c r="O57" i="4"/>
  <c r="P57" i="4" s="1"/>
  <c r="O60" i="4"/>
  <c r="P60" i="4" s="1"/>
  <c r="O58" i="4"/>
  <c r="P58" i="4" s="1"/>
  <c r="O55" i="4"/>
  <c r="P55" i="4" s="1"/>
  <c r="O54" i="4"/>
  <c r="P54" i="4" s="1"/>
  <c r="O52" i="4"/>
  <c r="P52" i="4" s="1"/>
  <c r="O50" i="4"/>
  <c r="P50" i="4" s="1"/>
  <c r="O49" i="4"/>
  <c r="P49" i="4" s="1"/>
  <c r="O48" i="4"/>
  <c r="P48" i="4" s="1"/>
  <c r="O47" i="4"/>
  <c r="P47" i="4" s="1"/>
  <c r="O46" i="4"/>
  <c r="P46" i="4" s="1"/>
  <c r="O36" i="4"/>
  <c r="P36" i="4" s="1"/>
  <c r="O35" i="4"/>
  <c r="P35" i="4" s="1"/>
  <c r="O33" i="4"/>
  <c r="P33" i="4" s="1"/>
  <c r="O32" i="4"/>
  <c r="P32" i="4" s="1"/>
  <c r="O31" i="4"/>
  <c r="P31" i="4" s="1"/>
  <c r="O30" i="4"/>
  <c r="P30" i="4" s="1"/>
  <c r="O28" i="4"/>
  <c r="P28" i="4" s="1"/>
  <c r="O27" i="4"/>
  <c r="P27" i="4" s="1"/>
  <c r="O24" i="4"/>
  <c r="P24" i="4" s="1"/>
  <c r="O23" i="4"/>
  <c r="P23" i="4" s="1"/>
  <c r="O22" i="4"/>
  <c r="P22" i="4" s="1"/>
  <c r="O21" i="4"/>
  <c r="P21" i="4" s="1"/>
  <c r="O14" i="4"/>
  <c r="P14" i="4" s="1"/>
  <c r="O13" i="4"/>
  <c r="P13" i="4" s="1"/>
  <c r="O12" i="4"/>
  <c r="P12" i="4" s="1"/>
  <c r="O11" i="4"/>
  <c r="P11" i="4" s="1"/>
  <c r="O9" i="4"/>
  <c r="P9" i="4" s="1"/>
  <c r="O6" i="4"/>
  <c r="P6" i="4" s="1"/>
  <c r="O5" i="4"/>
  <c r="P5" i="4" s="1"/>
  <c r="O204" i="4"/>
  <c r="P204" i="4" s="1"/>
  <c r="O102" i="4"/>
  <c r="P102" i="4" s="1"/>
  <c r="O177" i="4"/>
  <c r="P177" i="4" s="1"/>
  <c r="O178" i="4"/>
  <c r="P178" i="4" s="1"/>
  <c r="O318" i="4"/>
  <c r="P318" i="4" s="1"/>
  <c r="O107" i="4"/>
  <c r="P107" i="4" s="1"/>
  <c r="O82" i="4"/>
  <c r="P82" i="4" s="1"/>
  <c r="G13" i="5"/>
  <c r="J68" i="4"/>
  <c r="J154" i="4"/>
  <c r="J4" i="4"/>
  <c r="G4" i="5"/>
  <c r="J188" i="4"/>
  <c r="J193" i="4"/>
  <c r="J235" i="4"/>
  <c r="J231" i="4"/>
  <c r="J82" i="4"/>
  <c r="J325" i="4"/>
  <c r="G30" i="5"/>
  <c r="J96" i="4"/>
  <c r="G18" i="5"/>
  <c r="G35" i="5"/>
  <c r="J183" i="4"/>
  <c r="J338" i="4"/>
  <c r="J144" i="4"/>
  <c r="J64" i="4"/>
  <c r="J302" i="4"/>
  <c r="J18" i="4"/>
  <c r="J134" i="4"/>
  <c r="J42" i="4"/>
  <c r="J260" i="4"/>
  <c r="M167" i="4" l="1"/>
  <c r="I180" i="4"/>
  <c r="L347" i="4"/>
  <c r="L18" i="61"/>
  <c r="P232" i="4"/>
  <c r="C83" i="4"/>
  <c r="C84" i="4" s="1"/>
  <c r="C85" i="4" s="1"/>
  <c r="C86" i="4" s="1"/>
  <c r="C87" i="4" s="1"/>
  <c r="C88" i="4" s="1"/>
  <c r="C89" i="4" s="1"/>
  <c r="C90" i="4" s="1"/>
  <c r="O207" i="4"/>
  <c r="P207" i="4" s="1"/>
  <c r="P190" i="4"/>
  <c r="I137" i="4"/>
  <c r="O95" i="4"/>
  <c r="P95" i="4" s="1"/>
  <c r="B19" i="5"/>
  <c r="B14" i="5"/>
  <c r="B31" i="5"/>
  <c r="B36" i="5"/>
  <c r="B5" i="5"/>
  <c r="E27" i="5"/>
  <c r="H232" i="4"/>
  <c r="H341" i="4"/>
  <c r="H91" i="4"/>
  <c r="O123" i="4"/>
  <c r="P123" i="4" s="1"/>
  <c r="O206" i="4"/>
  <c r="O213" i="4"/>
  <c r="P213" i="4" s="1"/>
  <c r="O193" i="4"/>
  <c r="P193" i="4" s="1"/>
  <c r="O149" i="4"/>
  <c r="P149" i="4" s="1"/>
  <c r="C155" i="4"/>
  <c r="C184" i="4"/>
  <c r="C194" i="4"/>
  <c r="C326" i="4"/>
  <c r="C303" i="4"/>
  <c r="C43" i="4"/>
  <c r="C145" i="4"/>
  <c r="C261" i="4"/>
  <c r="O235" i="4"/>
  <c r="P235" i="4" s="1"/>
  <c r="O42" i="4"/>
  <c r="P42" i="4" s="1"/>
  <c r="P144" i="4"/>
  <c r="O87" i="4"/>
  <c r="P87" i="4" s="1"/>
  <c r="O134" i="4"/>
  <c r="P134" i="4" s="1"/>
  <c r="O340" i="4"/>
  <c r="P340" i="4" s="1"/>
  <c r="O165" i="4"/>
  <c r="O64" i="4"/>
  <c r="O70" i="4"/>
  <c r="P70" i="4" s="1"/>
  <c r="O188" i="4"/>
  <c r="P188" i="4" s="1"/>
  <c r="O231" i="4"/>
  <c r="P231" i="4" s="1"/>
  <c r="C236" i="4"/>
  <c r="C238" i="4" s="1"/>
  <c r="C239" i="4" s="1"/>
  <c r="C240" i="4" s="1"/>
  <c r="C241" i="4" s="1"/>
  <c r="C242" i="4" s="1"/>
  <c r="C243" i="4" s="1"/>
  <c r="C244" i="4" s="1"/>
  <c r="C245" i="4" s="1"/>
  <c r="C246" i="4" s="1"/>
  <c r="C247" i="4" s="1"/>
  <c r="C248" i="4" s="1"/>
  <c r="C249" i="4" s="1"/>
  <c r="C250" i="4" s="1"/>
  <c r="C251" i="4" s="1"/>
  <c r="O19" i="4"/>
  <c r="P19" i="4" s="1"/>
  <c r="O197" i="4"/>
  <c r="O45" i="4"/>
  <c r="P45" i="4" s="1"/>
  <c r="O244" i="4"/>
  <c r="P244" i="4" s="1"/>
  <c r="O104" i="4"/>
  <c r="P104" i="4" s="1"/>
  <c r="O208" i="4"/>
  <c r="P208" i="4" s="1"/>
  <c r="J30" i="37"/>
  <c r="C30" i="36" s="1"/>
  <c r="J30" i="39"/>
  <c r="E30" i="36" s="1"/>
  <c r="C97" i="4"/>
  <c r="O29" i="4"/>
  <c r="P29" i="4" s="1"/>
  <c r="O105" i="4"/>
  <c r="P105" i="4" s="1"/>
  <c r="P224" i="4"/>
  <c r="O223" i="4"/>
  <c r="P223" i="4" s="1"/>
  <c r="O222" i="4"/>
  <c r="P222" i="4" s="1"/>
  <c r="O18" i="4"/>
  <c r="P18" i="4" s="1"/>
  <c r="O183" i="4"/>
  <c r="P183" i="4" s="1"/>
  <c r="O136" i="4"/>
  <c r="P136" i="4" s="1"/>
  <c r="C19" i="4"/>
  <c r="C5" i="4"/>
  <c r="C135" i="4"/>
  <c r="O339" i="4"/>
  <c r="P339" i="4" s="1"/>
  <c r="H18" i="5"/>
  <c r="K94" i="4"/>
  <c r="K42" i="4"/>
  <c r="K64" i="4"/>
  <c r="K65" i="4" s="1"/>
  <c r="J65" i="4"/>
  <c r="K193" i="4"/>
  <c r="K154" i="4"/>
  <c r="K231" i="4"/>
  <c r="K232" i="4" s="1"/>
  <c r="J232" i="4"/>
  <c r="H30" i="5"/>
  <c r="K96" i="4"/>
  <c r="K260" i="4"/>
  <c r="K144" i="4"/>
  <c r="K325" i="4"/>
  <c r="H13" i="5"/>
  <c r="H4" i="5"/>
  <c r="J190" i="4"/>
  <c r="K188" i="4"/>
  <c r="K190" i="4" s="1"/>
  <c r="H35" i="5"/>
  <c r="J155" i="4"/>
  <c r="J135" i="4"/>
  <c r="G36" i="5"/>
  <c r="J303" i="4"/>
  <c r="G5" i="5"/>
  <c r="J145" i="4"/>
  <c r="J19" i="4"/>
  <c r="J69" i="4"/>
  <c r="J236" i="4"/>
  <c r="J43" i="4"/>
  <c r="J194" i="4"/>
  <c r="J326" i="4"/>
  <c r="J5" i="4"/>
  <c r="G19" i="5"/>
  <c r="J261" i="4"/>
  <c r="G31" i="5"/>
  <c r="G14" i="5"/>
  <c r="J184" i="4"/>
  <c r="C25" i="44" l="1"/>
  <c r="M18" i="61"/>
  <c r="M137" i="4"/>
  <c r="I141" i="4"/>
  <c r="M141" i="4" s="1"/>
  <c r="M180" i="4"/>
  <c r="C252" i="4"/>
  <c r="C253" i="4" s="1"/>
  <c r="C254" i="4" s="1"/>
  <c r="C255" i="4" s="1"/>
  <c r="K19" i="4"/>
  <c r="C146" i="4"/>
  <c r="E35" i="44"/>
  <c r="E29" i="44"/>
  <c r="E19" i="44"/>
  <c r="E21" i="44"/>
  <c r="O137" i="4"/>
  <c r="P137" i="4" s="1"/>
  <c r="G32" i="5"/>
  <c r="H31" i="5"/>
  <c r="H32" i="5" s="1"/>
  <c r="H5" i="5"/>
  <c r="G37" i="5"/>
  <c r="H36" i="5"/>
  <c r="H37" i="5" s="1"/>
  <c r="H14" i="5"/>
  <c r="H15" i="5" s="1"/>
  <c r="G15" i="5"/>
  <c r="H19" i="5"/>
  <c r="B20" i="5"/>
  <c r="H185" i="4"/>
  <c r="H257" i="4"/>
  <c r="H228" i="4"/>
  <c r="H180" i="4"/>
  <c r="H151" i="4"/>
  <c r="H131" i="4"/>
  <c r="H79" i="4"/>
  <c r="H299" i="4"/>
  <c r="H39" i="4"/>
  <c r="E10" i="5"/>
  <c r="K326" i="4"/>
  <c r="K43" i="4"/>
  <c r="K155" i="4"/>
  <c r="C98" i="4"/>
  <c r="C262" i="4"/>
  <c r="C304" i="4"/>
  <c r="C305" i="4" s="1"/>
  <c r="C306" i="4" s="1"/>
  <c r="C307" i="4" s="1"/>
  <c r="C308" i="4" s="1"/>
  <c r="C309" i="4" s="1"/>
  <c r="C310" i="4" s="1"/>
  <c r="C311" i="4" s="1"/>
  <c r="C312" i="4" s="1"/>
  <c r="C313" i="4" s="1"/>
  <c r="C314" i="4" s="1"/>
  <c r="C315" i="4" s="1"/>
  <c r="C316" i="4" s="1"/>
  <c r="C317" i="4" s="1"/>
  <c r="C318" i="4" s="1"/>
  <c r="C319" i="4" s="1"/>
  <c r="C320" i="4" s="1"/>
  <c r="C321" i="4" s="1"/>
  <c r="C328" i="4"/>
  <c r="C195" i="4"/>
  <c r="C44" i="4"/>
  <c r="C156" i="4"/>
  <c r="O260" i="4"/>
  <c r="P260" i="4" s="1"/>
  <c r="G30" i="36"/>
  <c r="D36" i="44"/>
  <c r="O167" i="4"/>
  <c r="P167" i="4" s="1"/>
  <c r="K235" i="4"/>
  <c r="J21" i="39"/>
  <c r="K21" i="39" s="1"/>
  <c r="J21" i="37"/>
  <c r="K21" i="37" s="1"/>
  <c r="J19" i="39"/>
  <c r="K19" i="39" s="1"/>
  <c r="J19" i="37"/>
  <c r="K19" i="37" s="1"/>
  <c r="J12" i="39"/>
  <c r="K12" i="39" s="1"/>
  <c r="J12" i="37"/>
  <c r="K12" i="37" s="1"/>
  <c r="J26" i="39"/>
  <c r="K26" i="39" s="1"/>
  <c r="J26" i="37"/>
  <c r="K26" i="37" s="1"/>
  <c r="J23" i="37"/>
  <c r="K23" i="37" s="1"/>
  <c r="J23" i="39"/>
  <c r="K23" i="39" s="1"/>
  <c r="J15" i="39"/>
  <c r="J15" i="37"/>
  <c r="J28" i="39"/>
  <c r="J28" i="37"/>
  <c r="J18" i="39"/>
  <c r="K18" i="39" s="1"/>
  <c r="J18" i="37"/>
  <c r="K18" i="37" s="1"/>
  <c r="J27" i="39"/>
  <c r="K27" i="39" s="1"/>
  <c r="J27" i="37"/>
  <c r="K27" i="37" s="1"/>
  <c r="J11" i="39"/>
  <c r="K11" i="39" s="1"/>
  <c r="J11" i="37"/>
  <c r="K11" i="37" s="1"/>
  <c r="J13" i="39"/>
  <c r="K13" i="39" s="1"/>
  <c r="J13" i="37"/>
  <c r="K13" i="37" s="1"/>
  <c r="J29" i="39"/>
  <c r="J29" i="37"/>
  <c r="J22" i="39"/>
  <c r="K22" i="39" s="1"/>
  <c r="J22" i="37"/>
  <c r="K22" i="37" s="1"/>
  <c r="J10" i="37"/>
  <c r="K10" i="37" s="1"/>
  <c r="J10" i="39"/>
  <c r="K10" i="39" s="1"/>
  <c r="J16" i="37"/>
  <c r="K16" i="37" s="1"/>
  <c r="J25" i="39"/>
  <c r="K25" i="39" s="1"/>
  <c r="J25" i="37"/>
  <c r="K25" i="37" s="1"/>
  <c r="J17" i="39"/>
  <c r="K17" i="39" s="1"/>
  <c r="J17" i="37"/>
  <c r="J14" i="39"/>
  <c r="K14" i="39" s="1"/>
  <c r="J14" i="37"/>
  <c r="K14" i="37" s="1"/>
  <c r="N12" i="6"/>
  <c r="O325" i="4"/>
  <c r="P325" i="4" s="1"/>
  <c r="K68" i="4"/>
  <c r="K261" i="4"/>
  <c r="O261" i="4" s="1"/>
  <c r="P261" i="4" s="1"/>
  <c r="K183" i="4"/>
  <c r="K338" i="4"/>
  <c r="K194" i="4"/>
  <c r="K82" i="4"/>
  <c r="O322" i="4"/>
  <c r="P322" i="4" s="1"/>
  <c r="O91" i="4"/>
  <c r="K134" i="4"/>
  <c r="K184" i="4"/>
  <c r="K302" i="4"/>
  <c r="K18" i="4"/>
  <c r="K303" i="4"/>
  <c r="O341" i="4"/>
  <c r="P341" i="4" s="1"/>
  <c r="N8" i="6"/>
  <c r="O151" i="4"/>
  <c r="P151" i="4" s="1"/>
  <c r="O180" i="4"/>
  <c r="P180" i="4" s="1"/>
  <c r="O79" i="4"/>
  <c r="O39" i="4"/>
  <c r="P39" i="4" s="1"/>
  <c r="C136" i="4"/>
  <c r="C20" i="4"/>
  <c r="O185" i="4"/>
  <c r="P185" i="4" s="1"/>
  <c r="O131" i="4"/>
  <c r="P131" i="4" s="1"/>
  <c r="N10" i="6"/>
  <c r="O61" i="4"/>
  <c r="C6" i="4"/>
  <c r="O257" i="4"/>
  <c r="P257" i="4" s="1"/>
  <c r="J97" i="4"/>
  <c r="J44" i="4"/>
  <c r="J6" i="4"/>
  <c r="J195" i="4"/>
  <c r="J339" i="4"/>
  <c r="J20" i="4"/>
  <c r="J70" i="4"/>
  <c r="J136" i="4"/>
  <c r="G20" i="5"/>
  <c r="C237" i="4" l="1"/>
  <c r="C256" i="4"/>
  <c r="I347" i="4"/>
  <c r="M347" i="4" s="1"/>
  <c r="J16" i="39"/>
  <c r="K16" i="39" s="1"/>
  <c r="L16" i="61"/>
  <c r="C147" i="4"/>
  <c r="H331" i="4"/>
  <c r="J20" i="37"/>
  <c r="K20" i="37" s="1"/>
  <c r="J20" i="39"/>
  <c r="K20" i="39" s="1"/>
  <c r="H190" i="4"/>
  <c r="E27" i="44"/>
  <c r="E20" i="44"/>
  <c r="O141" i="4"/>
  <c r="P141" i="4" s="1"/>
  <c r="H141" i="4"/>
  <c r="K195" i="4"/>
  <c r="O326" i="4"/>
  <c r="P326" i="4" s="1"/>
  <c r="K145" i="4"/>
  <c r="K97" i="4"/>
  <c r="J304" i="4"/>
  <c r="J262" i="4"/>
  <c r="J156" i="4"/>
  <c r="J146" i="4"/>
  <c r="J98" i="4"/>
  <c r="J328" i="4"/>
  <c r="M16" i="61" l="1"/>
  <c r="C23" i="44"/>
  <c r="P17" i="61"/>
  <c r="U9" i="61" s="1"/>
  <c r="L31" i="61"/>
  <c r="K146" i="4"/>
  <c r="C148" i="4"/>
  <c r="E18" i="44"/>
  <c r="E28" i="44"/>
  <c r="E31" i="44"/>
  <c r="E24" i="44"/>
  <c r="E22" i="44"/>
  <c r="E30" i="44"/>
  <c r="E23" i="44"/>
  <c r="E26" i="44"/>
  <c r="E17" i="44"/>
  <c r="E25" i="44"/>
  <c r="E33" i="44"/>
  <c r="H20" i="5"/>
  <c r="B21" i="5"/>
  <c r="E39" i="5"/>
  <c r="O331" i="4"/>
  <c r="P331" i="4" s="1"/>
  <c r="K339" i="4"/>
  <c r="K262" i="4"/>
  <c r="K156" i="4"/>
  <c r="K98" i="4"/>
  <c r="K44" i="4"/>
  <c r="K185" i="4"/>
  <c r="J185" i="4"/>
  <c r="K328" i="4"/>
  <c r="C340" i="4"/>
  <c r="C157" i="4"/>
  <c r="C99" i="4"/>
  <c r="C45" i="4"/>
  <c r="C263" i="4"/>
  <c r="C196" i="4"/>
  <c r="C7" i="4"/>
  <c r="C329" i="4"/>
  <c r="K236" i="4"/>
  <c r="C17" i="36"/>
  <c r="D17" i="36" s="1"/>
  <c r="K17" i="37"/>
  <c r="N31" i="37"/>
  <c r="K29" i="37"/>
  <c r="N28" i="37"/>
  <c r="K28" i="37"/>
  <c r="N17" i="37"/>
  <c r="K15" i="37"/>
  <c r="N31" i="39"/>
  <c r="K29" i="39"/>
  <c r="N28" i="39"/>
  <c r="K28" i="39"/>
  <c r="N17" i="39"/>
  <c r="K15" i="39"/>
  <c r="J34" i="37"/>
  <c r="J34" i="39"/>
  <c r="C14" i="36"/>
  <c r="D14" i="36" s="1"/>
  <c r="E10" i="36"/>
  <c r="F10" i="36" s="1"/>
  <c r="C11" i="36"/>
  <c r="D11" i="36" s="1"/>
  <c r="C28" i="36"/>
  <c r="D28" i="36" s="1"/>
  <c r="C12" i="36"/>
  <c r="D12" i="36" s="1"/>
  <c r="E14" i="36"/>
  <c r="F14" i="36" s="1"/>
  <c r="C10" i="36"/>
  <c r="D10" i="36" s="1"/>
  <c r="E11" i="36"/>
  <c r="F11" i="36" s="1"/>
  <c r="E28" i="36"/>
  <c r="F28" i="36" s="1"/>
  <c r="E12" i="36"/>
  <c r="F12" i="36" s="1"/>
  <c r="C22" i="36"/>
  <c r="D22" i="36" s="1"/>
  <c r="C27" i="36"/>
  <c r="D27" i="36" s="1"/>
  <c r="C15" i="36"/>
  <c r="D15" i="36" s="1"/>
  <c r="E17" i="36"/>
  <c r="F17" i="36" s="1"/>
  <c r="E22" i="36"/>
  <c r="F22" i="36" s="1"/>
  <c r="E27" i="36"/>
  <c r="F27" i="36" s="1"/>
  <c r="E15" i="36"/>
  <c r="F15" i="36" s="1"/>
  <c r="C25" i="36"/>
  <c r="D25" i="36" s="1"/>
  <c r="C29" i="36"/>
  <c r="D29" i="36" s="1"/>
  <c r="C18" i="36"/>
  <c r="D18" i="36" s="1"/>
  <c r="E23" i="36"/>
  <c r="F23" i="36" s="1"/>
  <c r="C19" i="36"/>
  <c r="D19" i="36" s="1"/>
  <c r="E25" i="36"/>
  <c r="E29" i="36"/>
  <c r="F29" i="36" s="1"/>
  <c r="E18" i="36"/>
  <c r="F18" i="36" s="1"/>
  <c r="C23" i="36"/>
  <c r="D23" i="36" s="1"/>
  <c r="E19" i="36"/>
  <c r="F19" i="36" s="1"/>
  <c r="C16" i="36"/>
  <c r="D16" i="36" s="1"/>
  <c r="C13" i="36"/>
  <c r="D13" i="36" s="1"/>
  <c r="C20" i="36"/>
  <c r="D20" i="36" s="1"/>
  <c r="C26" i="36"/>
  <c r="D26" i="36" s="1"/>
  <c r="C21" i="36"/>
  <c r="D21" i="36" s="1"/>
  <c r="E16" i="36"/>
  <c r="F16" i="36" s="1"/>
  <c r="E13" i="36"/>
  <c r="F13" i="36" s="1"/>
  <c r="E20" i="36"/>
  <c r="F20" i="36" s="1"/>
  <c r="E26" i="36"/>
  <c r="F26" i="36" s="1"/>
  <c r="E21" i="36"/>
  <c r="F21" i="36" s="1"/>
  <c r="G26" i="36"/>
  <c r="H26" i="36" s="1"/>
  <c r="G22" i="36"/>
  <c r="H22" i="36" s="1"/>
  <c r="G12" i="36"/>
  <c r="H12" i="36" s="1"/>
  <c r="G27" i="36"/>
  <c r="H27" i="36" s="1"/>
  <c r="G28" i="36"/>
  <c r="G20" i="36"/>
  <c r="H20" i="36" s="1"/>
  <c r="G29" i="36"/>
  <c r="G13" i="36"/>
  <c r="H13" i="36" s="1"/>
  <c r="G25" i="36"/>
  <c r="H25" i="36" s="1"/>
  <c r="G16" i="36"/>
  <c r="H16" i="36" s="1"/>
  <c r="G14" i="36"/>
  <c r="H14" i="36" s="1"/>
  <c r="G10" i="36"/>
  <c r="H10" i="36" s="1"/>
  <c r="G19" i="36"/>
  <c r="H19" i="36" s="1"/>
  <c r="G23" i="36"/>
  <c r="H23" i="36" s="1"/>
  <c r="G15" i="36"/>
  <c r="G17" i="36"/>
  <c r="H17" i="36" s="1"/>
  <c r="G11" i="36"/>
  <c r="H11" i="36" s="1"/>
  <c r="G21" i="36"/>
  <c r="H21" i="36" s="1"/>
  <c r="G18" i="36"/>
  <c r="H18" i="36" s="1"/>
  <c r="K5" i="4"/>
  <c r="K135" i="4"/>
  <c r="K69" i="4"/>
  <c r="C137" i="4"/>
  <c r="C21" i="4"/>
  <c r="N13" i="6"/>
  <c r="G21" i="5"/>
  <c r="G6" i="5"/>
  <c r="J7" i="4"/>
  <c r="J83" i="4"/>
  <c r="J45" i="4"/>
  <c r="J238" i="4"/>
  <c r="J71" i="4"/>
  <c r="J196" i="4"/>
  <c r="J340" i="4"/>
  <c r="J320" i="4"/>
  <c r="J21" i="4"/>
  <c r="J147" i="4"/>
  <c r="J329" i="4"/>
  <c r="J306" i="4"/>
  <c r="J148" i="4"/>
  <c r="J263" i="4"/>
  <c r="J157" i="4"/>
  <c r="P31" i="61" l="1"/>
  <c r="D10" i="6"/>
  <c r="U13" i="61"/>
  <c r="V9" i="61" s="1"/>
  <c r="M31" i="61"/>
  <c r="C38" i="44"/>
  <c r="C40" i="44" s="1"/>
  <c r="L34" i="61"/>
  <c r="M34" i="61" s="1"/>
  <c r="P34" i="61"/>
  <c r="R31" i="61"/>
  <c r="K147" i="4"/>
  <c r="C149" i="4"/>
  <c r="C150" i="4" s="1"/>
  <c r="C138" i="4"/>
  <c r="C139" i="4" s="1"/>
  <c r="C140" i="4" s="1"/>
  <c r="O10" i="6"/>
  <c r="O12" i="6"/>
  <c r="O11" i="6"/>
  <c r="O9" i="6"/>
  <c r="O8" i="6"/>
  <c r="K320" i="4"/>
  <c r="D26" i="44"/>
  <c r="H6" i="5"/>
  <c r="H21" i="5"/>
  <c r="B22" i="5"/>
  <c r="K340" i="4"/>
  <c r="K341" i="4" s="1"/>
  <c r="D35" i="44"/>
  <c r="D22" i="44"/>
  <c r="K45" i="4"/>
  <c r="K157" i="4"/>
  <c r="K329" i="4"/>
  <c r="J341" i="4"/>
  <c r="K196" i="4"/>
  <c r="K306" i="4"/>
  <c r="C46" i="4"/>
  <c r="C47" i="4" s="1"/>
  <c r="C48" i="4" s="1"/>
  <c r="C49" i="4" s="1"/>
  <c r="C50" i="4" s="1"/>
  <c r="C51" i="4" s="1"/>
  <c r="C52" i="4" s="1"/>
  <c r="C53" i="4" s="1"/>
  <c r="C54" i="4" s="1"/>
  <c r="C55" i="4" s="1"/>
  <c r="C56" i="4" s="1"/>
  <c r="C57" i="4" s="1"/>
  <c r="C58" i="4" s="1"/>
  <c r="C59" i="4" s="1"/>
  <c r="C60" i="4" s="1"/>
  <c r="C100" i="4"/>
  <c r="C158" i="4"/>
  <c r="C330" i="4"/>
  <c r="C8" i="4"/>
  <c r="C197" i="4"/>
  <c r="C198" i="4" s="1"/>
  <c r="C199" i="4" s="1"/>
  <c r="C200" i="4" s="1"/>
  <c r="C201" i="4" s="1"/>
  <c r="C202" i="4" s="1"/>
  <c r="C203" i="4" s="1"/>
  <c r="C204" i="4" s="1"/>
  <c r="C205" i="4" s="1"/>
  <c r="C206" i="4" s="1"/>
  <c r="C207" i="4" s="1"/>
  <c r="C208" i="4" s="1"/>
  <c r="C209" i="4" s="1"/>
  <c r="C210" i="4" s="1"/>
  <c r="C211" i="4" s="1"/>
  <c r="C212" i="4" s="1"/>
  <c r="C213" i="4" s="1"/>
  <c r="C214" i="4" s="1"/>
  <c r="C215" i="4" s="1"/>
  <c r="C216" i="4" s="1"/>
  <c r="C217" i="4" s="1"/>
  <c r="C218" i="4" s="1"/>
  <c r="C219" i="4" s="1"/>
  <c r="C220" i="4" s="1"/>
  <c r="C221" i="4" s="1"/>
  <c r="C222" i="4" s="1"/>
  <c r="C223" i="4" s="1"/>
  <c r="C224" i="4" s="1"/>
  <c r="O328" i="4"/>
  <c r="P328" i="4" s="1"/>
  <c r="D34" i="44"/>
  <c r="C264" i="4"/>
  <c r="D55" i="6"/>
  <c r="D27" i="44"/>
  <c r="D31" i="44"/>
  <c r="D28" i="44"/>
  <c r="D32" i="44"/>
  <c r="D24" i="44"/>
  <c r="D33" i="44"/>
  <c r="D30" i="44"/>
  <c r="D23" i="44"/>
  <c r="D21" i="44"/>
  <c r="D18" i="44"/>
  <c r="D17" i="44"/>
  <c r="D25" i="44"/>
  <c r="D29" i="44"/>
  <c r="D19" i="44"/>
  <c r="D20" i="44"/>
  <c r="D58" i="6"/>
  <c r="F25" i="36"/>
  <c r="C34" i="36"/>
  <c r="D34" i="36" s="1"/>
  <c r="N34" i="37"/>
  <c r="S12" i="37" s="1"/>
  <c r="K34" i="37"/>
  <c r="E34" i="36"/>
  <c r="F34" i="36" s="1"/>
  <c r="N34" i="39"/>
  <c r="S12" i="39" s="1"/>
  <c r="K34" i="39"/>
  <c r="S9" i="39"/>
  <c r="S10" i="37"/>
  <c r="S11" i="39"/>
  <c r="S9" i="37"/>
  <c r="S11" i="37"/>
  <c r="S10" i="39"/>
  <c r="H28" i="36"/>
  <c r="D56" i="6"/>
  <c r="H15" i="36"/>
  <c r="H29" i="36"/>
  <c r="D57" i="6"/>
  <c r="G34" i="36"/>
  <c r="H34" i="36" s="1"/>
  <c r="K20" i="4"/>
  <c r="K136" i="4"/>
  <c r="K70" i="4"/>
  <c r="K6" i="4"/>
  <c r="C22" i="4"/>
  <c r="J149" i="4"/>
  <c r="J99" i="4"/>
  <c r="J22" i="4"/>
  <c r="G22" i="5"/>
  <c r="J84" i="4"/>
  <c r="J139" i="4"/>
  <c r="J137" i="4"/>
  <c r="V7" i="61" l="1"/>
  <c r="V12" i="61"/>
  <c r="V8" i="61"/>
  <c r="V10" i="61"/>
  <c r="V11" i="61"/>
  <c r="L37" i="61"/>
  <c r="M37" i="61" s="1"/>
  <c r="Q33" i="61"/>
  <c r="Q30" i="61"/>
  <c r="Q37" i="61"/>
  <c r="Q5" i="61"/>
  <c r="Q27" i="61"/>
  <c r="Q11" i="61"/>
  <c r="Q17" i="61"/>
  <c r="K137" i="4"/>
  <c r="O13" i="6"/>
  <c r="O329" i="4"/>
  <c r="P329" i="4" s="1"/>
  <c r="K99" i="4"/>
  <c r="J158" i="4"/>
  <c r="G7" i="5"/>
  <c r="J197" i="4"/>
  <c r="J330" i="4"/>
  <c r="J8" i="4"/>
  <c r="J46" i="4"/>
  <c r="J100" i="4"/>
  <c r="J307" i="4"/>
  <c r="J264" i="4"/>
  <c r="J72" i="4"/>
  <c r="J150" i="4"/>
  <c r="V13" i="61" l="1"/>
  <c r="Q34" i="61"/>
  <c r="K264" i="4"/>
  <c r="H22" i="5"/>
  <c r="H7" i="5"/>
  <c r="B23" i="5"/>
  <c r="K330" i="4"/>
  <c r="J331" i="4"/>
  <c r="K158" i="4"/>
  <c r="K307" i="4"/>
  <c r="K100" i="4"/>
  <c r="K46" i="4"/>
  <c r="K197" i="4"/>
  <c r="C9" i="4"/>
  <c r="C10" i="4" s="1"/>
  <c r="C265" i="4"/>
  <c r="C266" i="4" s="1"/>
  <c r="C267" i="4" s="1"/>
  <c r="C268" i="4" s="1"/>
  <c r="C269" i="4" s="1"/>
  <c r="C270" i="4" s="1"/>
  <c r="C271" i="4" s="1"/>
  <c r="C272" i="4" s="1"/>
  <c r="C273" i="4" s="1"/>
  <c r="C274" i="4" s="1"/>
  <c r="C275" i="4" s="1"/>
  <c r="C276" i="4" s="1"/>
  <c r="C277" i="4" s="1"/>
  <c r="C278" i="4" s="1"/>
  <c r="C279" i="4" s="1"/>
  <c r="C280" i="4" s="1"/>
  <c r="C281" i="4" s="1"/>
  <c r="C282" i="4" s="1"/>
  <c r="C283" i="4" s="1"/>
  <c r="C284" i="4" s="1"/>
  <c r="C285" i="4" s="1"/>
  <c r="C286" i="4" s="1"/>
  <c r="C287" i="4" s="1"/>
  <c r="C288" i="4" s="1"/>
  <c r="C289" i="4" s="1"/>
  <c r="C290" i="4" s="1"/>
  <c r="C291" i="4" s="1"/>
  <c r="C292" i="4" s="1"/>
  <c r="C293" i="4" s="1"/>
  <c r="C294" i="4" s="1"/>
  <c r="C295" i="4" s="1"/>
  <c r="C296" i="4" s="1"/>
  <c r="C297" i="4" s="1"/>
  <c r="C298" i="4" s="1"/>
  <c r="C159" i="4"/>
  <c r="C101" i="4"/>
  <c r="K238" i="4"/>
  <c r="K71" i="4"/>
  <c r="K21" i="4"/>
  <c r="K83" i="4"/>
  <c r="C23" i="4"/>
  <c r="G9" i="5"/>
  <c r="G23" i="5"/>
  <c r="J140" i="4"/>
  <c r="J265" i="4"/>
  <c r="J88" i="4"/>
  <c r="J73" i="4"/>
  <c r="J159" i="4"/>
  <c r="J23" i="4"/>
  <c r="J9" i="4"/>
  <c r="O330" i="4" l="1"/>
  <c r="P330" i="4" s="1"/>
  <c r="K265" i="4"/>
  <c r="H23" i="5"/>
  <c r="H9" i="5"/>
  <c r="H10" i="5" s="1"/>
  <c r="G10" i="5"/>
  <c r="B24" i="5"/>
  <c r="K331" i="4"/>
  <c r="K159" i="4"/>
  <c r="O265" i="4"/>
  <c r="P265" i="4" s="1"/>
  <c r="K148" i="4"/>
  <c r="C102" i="4"/>
  <c r="C160" i="4"/>
  <c r="K139" i="4"/>
  <c r="J141" i="4"/>
  <c r="K140" i="4"/>
  <c r="K84" i="4"/>
  <c r="K22" i="4"/>
  <c r="K7" i="4"/>
  <c r="K72" i="4"/>
  <c r="C24" i="4"/>
  <c r="J308" i="4"/>
  <c r="J101" i="4"/>
  <c r="J47" i="4"/>
  <c r="K308" i="4" l="1"/>
  <c r="K101" i="4"/>
  <c r="J85" i="4"/>
  <c r="G24" i="5"/>
  <c r="J74" i="4"/>
  <c r="J24" i="4"/>
  <c r="J102" i="4"/>
  <c r="J10" i="4"/>
  <c r="J311" i="4"/>
  <c r="J160" i="4"/>
  <c r="H24" i="5" l="1"/>
  <c r="B25" i="5"/>
  <c r="K149" i="4"/>
  <c r="K47" i="4"/>
  <c r="K160" i="4"/>
  <c r="K311" i="4"/>
  <c r="K102" i="4"/>
  <c r="C25" i="4"/>
  <c r="C11" i="4"/>
  <c r="C161" i="4"/>
  <c r="C103" i="4"/>
  <c r="K141" i="4"/>
  <c r="K8" i="4"/>
  <c r="K23" i="4"/>
  <c r="K73" i="4"/>
  <c r="K88" i="4"/>
  <c r="J161" i="4"/>
  <c r="J25" i="4"/>
  <c r="J75" i="4"/>
  <c r="G25" i="5"/>
  <c r="J103" i="4"/>
  <c r="J312" i="4"/>
  <c r="J48" i="4"/>
  <c r="J266" i="4"/>
  <c r="J11" i="4"/>
  <c r="H25" i="5" l="1"/>
  <c r="B26" i="5"/>
  <c r="K266" i="4"/>
  <c r="O266" i="4" s="1"/>
  <c r="P266" i="4" s="1"/>
  <c r="K48" i="4"/>
  <c r="K103" i="4"/>
  <c r="K312" i="4"/>
  <c r="K161" i="4"/>
  <c r="C12" i="4"/>
  <c r="C104" i="4"/>
  <c r="C26" i="4"/>
  <c r="C162" i="4"/>
  <c r="K9" i="4"/>
  <c r="K24" i="4"/>
  <c r="K74" i="4"/>
  <c r="K85" i="4"/>
  <c r="J49" i="4"/>
  <c r="J313" i="4"/>
  <c r="J162" i="4"/>
  <c r="J86" i="4"/>
  <c r="G26" i="5"/>
  <c r="J87" i="4"/>
  <c r="J267" i="4"/>
  <c r="J12" i="4"/>
  <c r="H26" i="5" l="1"/>
  <c r="H27" i="5" s="1"/>
  <c r="H39" i="5" s="1"/>
  <c r="G27" i="5"/>
  <c r="G39" i="5" s="1"/>
  <c r="K313" i="4"/>
  <c r="K150" i="4"/>
  <c r="K151" i="4" s="1"/>
  <c r="J151" i="4"/>
  <c r="K49" i="4"/>
  <c r="K162" i="4"/>
  <c r="K267" i="4"/>
  <c r="O267" i="4" s="1"/>
  <c r="P267" i="4" s="1"/>
  <c r="C105" i="4"/>
  <c r="C13" i="4"/>
  <c r="C163" i="4"/>
  <c r="C27" i="4"/>
  <c r="K75" i="4"/>
  <c r="K86" i="4"/>
  <c r="J198" i="4"/>
  <c r="J268" i="4"/>
  <c r="J13" i="4"/>
  <c r="J26" i="4"/>
  <c r="J163" i="4"/>
  <c r="J104" i="4"/>
  <c r="K198" i="4" l="1"/>
  <c r="K104" i="4"/>
  <c r="J200" i="4"/>
  <c r="J105" i="4"/>
  <c r="K200" i="4" l="1"/>
  <c r="K26" i="4"/>
  <c r="J314" i="4"/>
  <c r="J202" i="4"/>
  <c r="J76" i="4"/>
  <c r="J27" i="4"/>
  <c r="J50" i="4"/>
  <c r="K202" i="4" l="1"/>
  <c r="K268" i="4"/>
  <c r="O268" i="4" s="1"/>
  <c r="P268" i="4" s="1"/>
  <c r="K50" i="4"/>
  <c r="K314" i="4"/>
  <c r="K105" i="4"/>
  <c r="K27" i="4"/>
  <c r="K163" i="4"/>
  <c r="C14" i="4"/>
  <c r="C106" i="4"/>
  <c r="C28" i="4"/>
  <c r="C164" i="4"/>
  <c r="K11" i="4"/>
  <c r="K87" i="4"/>
  <c r="J28" i="4"/>
  <c r="J51" i="4"/>
  <c r="J14" i="4"/>
  <c r="J269" i="4"/>
  <c r="J89" i="4"/>
  <c r="J219" i="4"/>
  <c r="J106" i="4"/>
  <c r="J90" i="4"/>
  <c r="J315" i="4"/>
  <c r="J164" i="4"/>
  <c r="K219" i="4" l="1"/>
  <c r="K269" i="4"/>
  <c r="O269" i="4" s="1"/>
  <c r="P269" i="4" s="1"/>
  <c r="K28" i="4"/>
  <c r="K106" i="4"/>
  <c r="K315" i="4"/>
  <c r="K51" i="4"/>
  <c r="K164" i="4"/>
  <c r="C29" i="4"/>
  <c r="C107" i="4"/>
  <c r="C165" i="4"/>
  <c r="C166" i="4" s="1"/>
  <c r="C167" i="4" s="1"/>
  <c r="C168" i="4" s="1"/>
  <c r="C169" i="4" s="1"/>
  <c r="C170" i="4" s="1"/>
  <c r="C171" i="4" s="1"/>
  <c r="C172" i="4" s="1"/>
  <c r="C173" i="4" s="1"/>
  <c r="C174" i="4" s="1"/>
  <c r="C175" i="4" s="1"/>
  <c r="C176" i="4" s="1"/>
  <c r="C177" i="4" s="1"/>
  <c r="C178" i="4" s="1"/>
  <c r="C179" i="4" s="1"/>
  <c r="K89" i="4"/>
  <c r="K12" i="4"/>
  <c r="K90" i="4"/>
  <c r="J91" i="4"/>
  <c r="K76" i="4"/>
  <c r="J270" i="4"/>
  <c r="J29" i="4"/>
  <c r="J52" i="4"/>
  <c r="J165" i="4"/>
  <c r="J316" i="4"/>
  <c r="J221" i="4"/>
  <c r="J199" i="4"/>
  <c r="J77" i="4"/>
  <c r="K221" i="4" l="1"/>
  <c r="K199" i="4"/>
  <c r="J201" i="4"/>
  <c r="K316" i="4" l="1"/>
  <c r="K29" i="4"/>
  <c r="K52" i="4"/>
  <c r="K270" i="4"/>
  <c r="O270" i="4" s="1"/>
  <c r="P270" i="4" s="1"/>
  <c r="K165" i="4"/>
  <c r="K201" i="4"/>
  <c r="C108" i="4"/>
  <c r="C30" i="4"/>
  <c r="K14" i="4"/>
  <c r="J15" i="4"/>
  <c r="K13" i="4"/>
  <c r="K91" i="4"/>
  <c r="J53" i="4"/>
  <c r="J317" i="4"/>
  <c r="J107" i="4"/>
  <c r="J30" i="4"/>
  <c r="J78" i="4"/>
  <c r="J108" i="4"/>
  <c r="J167" i="4"/>
  <c r="J271" i="4"/>
  <c r="J203" i="4"/>
  <c r="K107" i="4" l="1"/>
  <c r="K167" i="4"/>
  <c r="K271" i="4"/>
  <c r="O271" i="4" s="1"/>
  <c r="P271" i="4" s="1"/>
  <c r="K53" i="4"/>
  <c r="K30" i="4"/>
  <c r="K108" i="4"/>
  <c r="K317" i="4"/>
  <c r="K203" i="4"/>
  <c r="C31" i="4"/>
  <c r="C109" i="4"/>
  <c r="J272" i="4"/>
  <c r="J168" i="4"/>
  <c r="J54" i="4"/>
  <c r="J318" i="4"/>
  <c r="J31" i="4"/>
  <c r="J242" i="4"/>
  <c r="K242" i="4" l="1"/>
  <c r="J243" i="4"/>
  <c r="K243" i="4" l="1"/>
  <c r="K318" i="4"/>
  <c r="K54" i="4"/>
  <c r="K31" i="4"/>
  <c r="K272" i="4"/>
  <c r="O272" i="4" s="1"/>
  <c r="P272" i="4" s="1"/>
  <c r="K168" i="4"/>
  <c r="C110" i="4"/>
  <c r="C32" i="4"/>
  <c r="K77" i="4"/>
  <c r="K78" i="4"/>
  <c r="J79" i="4"/>
  <c r="J319" i="4"/>
  <c r="J55" i="4"/>
  <c r="J32" i="4"/>
  <c r="J244" i="4"/>
  <c r="J109" i="4"/>
  <c r="K244" i="4" l="1"/>
  <c r="K109" i="4"/>
  <c r="J169" i="4"/>
  <c r="J110" i="4"/>
  <c r="J273" i="4"/>
  <c r="K169" i="4" l="1"/>
  <c r="K273" i="4"/>
  <c r="O273" i="4" s="1"/>
  <c r="P273" i="4" s="1"/>
  <c r="K32" i="4"/>
  <c r="K55" i="4"/>
  <c r="K110" i="4"/>
  <c r="K319" i="4"/>
  <c r="C33" i="4"/>
  <c r="C34" i="4" s="1"/>
  <c r="C35" i="4" s="1"/>
  <c r="C36" i="4" s="1"/>
  <c r="C37" i="4" s="1"/>
  <c r="C38" i="4" s="1"/>
  <c r="C111" i="4"/>
  <c r="K79" i="4"/>
  <c r="J204" i="4"/>
  <c r="J245" i="4"/>
  <c r="J33" i="4"/>
  <c r="J111" i="4"/>
  <c r="K245" i="4" l="1"/>
  <c r="K204" i="4"/>
  <c r="J205" i="4"/>
  <c r="J246" i="4"/>
  <c r="K246" i="4" l="1"/>
  <c r="K111" i="4"/>
  <c r="K33" i="4"/>
  <c r="K205" i="4"/>
  <c r="C112" i="4"/>
  <c r="J248" i="4"/>
  <c r="J274" i="4"/>
  <c r="J170" i="4"/>
  <c r="J249" i="4"/>
  <c r="J206" i="4"/>
  <c r="J57" i="4"/>
  <c r="J56" i="4"/>
  <c r="K248" i="4" l="1"/>
  <c r="K249" i="4"/>
  <c r="K274" i="4"/>
  <c r="O274" i="4" s="1"/>
  <c r="P274" i="4" s="1"/>
  <c r="J275" i="4"/>
  <c r="K275" i="4" l="1"/>
  <c r="K170" i="4"/>
  <c r="J250" i="4"/>
  <c r="J171" i="4"/>
  <c r="K250" i="4" l="1"/>
  <c r="J322" i="4"/>
  <c r="K56" i="4"/>
  <c r="O275" i="4"/>
  <c r="P275" i="4" s="1"/>
  <c r="K57" i="4"/>
  <c r="K322" i="4"/>
  <c r="K206" i="4"/>
  <c r="K171" i="4"/>
  <c r="C113" i="4"/>
  <c r="J113" i="4"/>
  <c r="J277" i="4"/>
  <c r="J112" i="4"/>
  <c r="J276" i="4"/>
  <c r="J207" i="4"/>
  <c r="J251" i="4"/>
  <c r="J34" i="4"/>
  <c r="J172" i="4"/>
  <c r="K251" i="4" l="1"/>
  <c r="K277" i="4"/>
  <c r="K112" i="4"/>
  <c r="K172" i="4"/>
  <c r="K113" i="4"/>
  <c r="K276" i="4"/>
  <c r="O276" i="4" s="1"/>
  <c r="P276" i="4" s="1"/>
  <c r="K34" i="4"/>
  <c r="K207" i="4"/>
  <c r="C114" i="4"/>
  <c r="J58" i="4"/>
  <c r="K58" i="4" l="1"/>
  <c r="J278" i="4"/>
  <c r="J252" i="4"/>
  <c r="K252" i="4" l="1"/>
  <c r="K278" i="4"/>
  <c r="C115" i="4"/>
  <c r="J173" i="4"/>
  <c r="J253" i="4"/>
  <c r="J114" i="4"/>
  <c r="J35" i="4"/>
  <c r="K253" i="4" l="1"/>
  <c r="K173" i="4"/>
  <c r="K114" i="4"/>
  <c r="J254" i="4"/>
  <c r="J60" i="4"/>
  <c r="J208" i="4"/>
  <c r="J115" i="4"/>
  <c r="K254" i="4" l="1"/>
  <c r="K257" i="4" s="1"/>
  <c r="J257" i="4"/>
  <c r="K115" i="4"/>
  <c r="K35" i="4"/>
  <c r="J279" i="4"/>
  <c r="J174" i="4"/>
  <c r="K174" i="4" l="1"/>
  <c r="K60" i="4"/>
  <c r="K279" i="4"/>
  <c r="K208" i="4"/>
  <c r="C116" i="4"/>
  <c r="J280" i="4"/>
  <c r="J36" i="4"/>
  <c r="J209" i="4"/>
  <c r="J116" i="4"/>
  <c r="K61" i="4" l="1"/>
  <c r="J61" i="4"/>
  <c r="K209" i="4"/>
  <c r="K36" i="4"/>
  <c r="K39" i="4" s="1"/>
  <c r="J39" i="4"/>
  <c r="K116" i="4"/>
  <c r="K280" i="4"/>
  <c r="O280" i="4" s="1"/>
  <c r="P280" i="4" s="1"/>
  <c r="C117" i="4"/>
  <c r="J117" i="4"/>
  <c r="J175" i="4"/>
  <c r="J210" i="4"/>
  <c r="K175" i="4" l="1"/>
  <c r="J176" i="4"/>
  <c r="K117" i="4" l="1"/>
  <c r="K210" i="4"/>
  <c r="K176" i="4"/>
  <c r="C118" i="4"/>
  <c r="J177" i="4"/>
  <c r="J211" i="4"/>
  <c r="J281" i="4"/>
  <c r="K281" i="4" l="1"/>
  <c r="O281" i="4" s="1"/>
  <c r="P281" i="4" s="1"/>
  <c r="J282" i="4"/>
  <c r="K177" i="4" l="1"/>
  <c r="K282" i="4"/>
  <c r="O282" i="4" s="1"/>
  <c r="P282" i="4" s="1"/>
  <c r="K211" i="4"/>
  <c r="C119" i="4"/>
  <c r="J118" i="4"/>
  <c r="J287" i="4"/>
  <c r="K287" i="4" l="1"/>
  <c r="K118" i="4"/>
  <c r="J212" i="4"/>
  <c r="J178" i="4"/>
  <c r="J119" i="4"/>
  <c r="J283" i="4"/>
  <c r="J296" i="4"/>
  <c r="K296" i="4" l="1"/>
  <c r="K212" i="4"/>
  <c r="K119" i="4"/>
  <c r="K178" i="4"/>
  <c r="K283" i="4"/>
  <c r="O283" i="4" s="1"/>
  <c r="P283" i="4" s="1"/>
  <c r="C120" i="4"/>
  <c r="J120" i="4"/>
  <c r="K120" i="4" l="1"/>
  <c r="C121" i="4"/>
  <c r="J179" i="4"/>
  <c r="J121" i="4"/>
  <c r="K179" i="4" l="1"/>
  <c r="K180" i="4" s="1"/>
  <c r="J180" i="4"/>
  <c r="K121" i="4"/>
  <c r="C122" i="4"/>
  <c r="J213" i="4"/>
  <c r="K213" i="4" l="1"/>
  <c r="J214" i="4"/>
  <c r="K214" i="4" l="1"/>
  <c r="C123" i="4"/>
  <c r="J122" i="4"/>
  <c r="J215" i="4"/>
  <c r="J123" i="4"/>
  <c r="K122" i="4" l="1"/>
  <c r="K123" i="4"/>
  <c r="K215" i="4"/>
  <c r="C124" i="4"/>
  <c r="J124" i="4"/>
  <c r="J284" i="4"/>
  <c r="J216" i="4"/>
  <c r="K284" i="4" l="1"/>
  <c r="O284" i="4" s="1"/>
  <c r="P284" i="4" s="1"/>
  <c r="J285" i="4"/>
  <c r="K216" i="4" l="1"/>
  <c r="K285" i="4"/>
  <c r="O285" i="4" s="1"/>
  <c r="P285" i="4" s="1"/>
  <c r="K124" i="4"/>
  <c r="C125" i="4"/>
  <c r="J217" i="4"/>
  <c r="J125" i="4"/>
  <c r="K125" i="4" l="1"/>
  <c r="K217" i="4"/>
  <c r="C126" i="4"/>
  <c r="J126" i="4"/>
  <c r="J286" i="4"/>
  <c r="K126" i="4" l="1"/>
  <c r="K286" i="4"/>
  <c r="O286" i="4" s="1"/>
  <c r="P286" i="4" s="1"/>
  <c r="C127" i="4"/>
  <c r="C128" i="4" s="1"/>
  <c r="C129" i="4" s="1"/>
  <c r="J218" i="4"/>
  <c r="J127" i="4"/>
  <c r="K218" i="4" l="1"/>
  <c r="K127" i="4" l="1"/>
  <c r="J129" i="4"/>
  <c r="J288" i="4"/>
  <c r="J220" i="4"/>
  <c r="K288" i="4" l="1"/>
  <c r="O288" i="4" s="1"/>
  <c r="P288" i="4" s="1"/>
  <c r="J289" i="4"/>
  <c r="J131" i="4" l="1"/>
  <c r="K129" i="4"/>
  <c r="K131" i="4" s="1"/>
  <c r="K220" i="4"/>
  <c r="K289" i="4"/>
  <c r="O289" i="4" s="1"/>
  <c r="P289" i="4" s="1"/>
  <c r="J222" i="4"/>
  <c r="K222" i="4" l="1"/>
  <c r="J223" i="4"/>
  <c r="J290" i="4"/>
  <c r="K290" i="4" l="1"/>
  <c r="O290" i="4" s="1"/>
  <c r="P290" i="4" s="1"/>
  <c r="J291" i="4"/>
  <c r="K291" i="4" l="1"/>
  <c r="O291" i="4" s="1"/>
  <c r="P291" i="4" s="1"/>
  <c r="K223" i="4"/>
  <c r="J292" i="4"/>
  <c r="K292" i="4" l="1"/>
  <c r="O292" i="4" s="1"/>
  <c r="P292" i="4" s="1"/>
  <c r="J224" i="4"/>
  <c r="J228" i="4" l="1"/>
  <c r="K224" i="4"/>
  <c r="K228" i="4" s="1"/>
  <c r="J293" i="4"/>
  <c r="J294" i="4"/>
  <c r="K293" i="4" l="1"/>
  <c r="O293" i="4" s="1"/>
  <c r="P293" i="4" s="1"/>
  <c r="K294" i="4"/>
  <c r="O294" i="4" s="1"/>
  <c r="P294" i="4" s="1"/>
  <c r="K263" i="4"/>
  <c r="J295" i="4"/>
  <c r="J297" i="4"/>
  <c r="K295" i="4" l="1"/>
  <c r="O295" i="4" s="1"/>
  <c r="P295" i="4" s="1"/>
  <c r="K297" i="4"/>
  <c r="O297" i="4" s="1"/>
  <c r="P297" i="4" s="1"/>
  <c r="O263" i="4"/>
  <c r="P263" i="4" s="1"/>
  <c r="J298" i="4"/>
  <c r="K298" i="4" l="1"/>
  <c r="J299" i="4"/>
  <c r="J347" i="4" s="1"/>
  <c r="O299" i="4"/>
  <c r="P299" i="4" s="1"/>
  <c r="O298" i="4" l="1"/>
  <c r="P298" i="4" s="1"/>
  <c r="K299" i="4"/>
  <c r="K10" i="4"/>
  <c r="K4" i="4" l="1"/>
  <c r="K15" i="4" s="1"/>
  <c r="K347" i="4" s="1"/>
  <c r="O4" i="4"/>
  <c r="P4" i="4" s="1"/>
  <c r="O10" i="4"/>
  <c r="P10" i="4" s="1"/>
  <c r="H15" i="4" l="1"/>
  <c r="H347" i="4"/>
  <c r="J9" i="39"/>
  <c r="E9" i="36" s="1"/>
  <c r="J9" i="37"/>
  <c r="K9" i="37" s="1"/>
  <c r="O15" i="4"/>
  <c r="P15" i="4" s="1"/>
  <c r="G9" i="36" l="1"/>
  <c r="C9" i="36"/>
  <c r="C32" i="36" s="1"/>
  <c r="J32" i="37"/>
  <c r="J35" i="37" s="1"/>
  <c r="N11" i="37"/>
  <c r="S8" i="37" s="1"/>
  <c r="J32" i="39"/>
  <c r="K32" i="39" s="1"/>
  <c r="K9" i="39"/>
  <c r="N11" i="39"/>
  <c r="S8" i="39" s="1"/>
  <c r="F9" i="36"/>
  <c r="E32" i="36"/>
  <c r="E16" i="44" l="1"/>
  <c r="H9" i="36"/>
  <c r="G32" i="36"/>
  <c r="G35" i="36" s="1"/>
  <c r="D16" i="44"/>
  <c r="D38" i="44" s="1"/>
  <c r="D40" i="44" s="1"/>
  <c r="D9" i="36"/>
  <c r="N32" i="37"/>
  <c r="P32" i="37" s="1"/>
  <c r="K32" i="37"/>
  <c r="J35" i="39"/>
  <c r="J38" i="39" s="1"/>
  <c r="K38" i="39" s="1"/>
  <c r="N32" i="39"/>
  <c r="P32" i="39" s="1"/>
  <c r="E35" i="36"/>
  <c r="F32" i="36"/>
  <c r="K35" i="37"/>
  <c r="J38" i="37"/>
  <c r="K38" i="37" s="1"/>
  <c r="S13" i="37"/>
  <c r="C35" i="36"/>
  <c r="D32" i="36"/>
  <c r="S13" i="39"/>
  <c r="T8" i="39" s="1"/>
  <c r="D54" i="6" l="1"/>
  <c r="D59" i="6" s="1"/>
  <c r="D13" i="6"/>
  <c r="E9" i="6" s="1"/>
  <c r="E38" i="44"/>
  <c r="N35" i="37"/>
  <c r="O34" i="37" s="1"/>
  <c r="H32" i="36"/>
  <c r="K35" i="39"/>
  <c r="N35" i="39"/>
  <c r="O17" i="39" s="1"/>
  <c r="T9" i="39"/>
  <c r="T7" i="39"/>
  <c r="T10" i="39"/>
  <c r="T12" i="39"/>
  <c r="T11" i="39"/>
  <c r="C38" i="36"/>
  <c r="D35" i="36"/>
  <c r="T12" i="37"/>
  <c r="T11" i="37"/>
  <c r="T10" i="37"/>
  <c r="T7" i="37"/>
  <c r="T9" i="37"/>
  <c r="H35" i="36"/>
  <c r="G38" i="36"/>
  <c r="H38" i="36" s="1"/>
  <c r="T8" i="37"/>
  <c r="F35" i="36"/>
  <c r="E38" i="36"/>
  <c r="F38" i="36" s="1"/>
  <c r="E10" i="6" l="1"/>
  <c r="E8" i="6"/>
  <c r="E11" i="6"/>
  <c r="E12" i="6"/>
  <c r="O5" i="37"/>
  <c r="C42" i="44"/>
  <c r="E42" i="44" s="1"/>
  <c r="E40" i="44"/>
  <c r="O31" i="37"/>
  <c r="P35" i="37"/>
  <c r="O28" i="37"/>
  <c r="O11" i="37"/>
  <c r="O17" i="37"/>
  <c r="O11" i="39"/>
  <c r="O34" i="39"/>
  <c r="P35" i="39"/>
  <c r="O31" i="39"/>
  <c r="O28" i="39"/>
  <c r="O5" i="39"/>
  <c r="E55" i="6"/>
  <c r="E58" i="6"/>
  <c r="E57" i="6"/>
  <c r="E56" i="6"/>
  <c r="E53" i="6"/>
  <c r="E54" i="6"/>
  <c r="T13" i="39"/>
  <c r="C41" i="36"/>
  <c r="D38" i="36"/>
  <c r="T13" i="37"/>
  <c r="E13" i="6" l="1"/>
  <c r="O35" i="37"/>
  <c r="O35" i="39"/>
  <c r="E59" i="6"/>
  <c r="O228" i="4"/>
  <c r="P228"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tc={A67ABA32-1B6F-43CF-B617-840F0FE0227D}</author>
  </authors>
  <commentList>
    <comment ref="E5" authorId="0" shapeId="0" xr:uid="{A67ABA32-1B6F-43CF-B617-840F0FE0227D}">
      <text>
        <t>[Threaded comment]
Your version of Excel allows you to read this threaded comment; however, any edits to it will get removed if the file is opened in a newer version of Excel. Learn more: https://go.microsoft.com/fwlink/?linkid=870924
Comment:
    we actually di 50% - 5.15.18</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tc={EFED5C70-84C2-4E9A-9250-CC4C77461078}</author>
  </authors>
  <commentList>
    <comment ref="E5" authorId="0" shapeId="0" xr:uid="{EFED5C70-84C2-4E9A-9250-CC4C77461078}">
      <text>
        <t>[Threaded comment]
Your version of Excel allows you to read this threaded comment; however, any edits to it will get removed if the file is opened in a newer version of Excel. Learn more: https://go.microsoft.com/fwlink/?linkid=870924
Comment:
    we actually di 50% - 5.15.18</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tc={205689E8-F8BC-4E51-9D4E-B3EA08C5AE29}</author>
    <author>tc={942E4E50-4EB5-492C-9EE4-A817B8FE26BD}</author>
    <author>tc={6411EE61-5B86-4464-9A55-5458E71C5E33}</author>
  </authors>
  <commentList>
    <comment ref="E5" authorId="0" shapeId="0" xr:uid="{205689E8-F8BC-4E51-9D4E-B3EA08C5AE29}">
      <text>
        <t>[Threaded comment]
Your version of Excel allows you to read this threaded comment; however, any edits to it will get removed if the file is opened in a newer version of Excel. Learn more: https://go.microsoft.com/fwlink/?linkid=870924
Comment:
    we actually did 50% - 5.15.18</t>
      </text>
    </comment>
    <comment ref="B50" authorId="1" shapeId="0" xr:uid="{942E4E50-4EB5-492C-9EE4-A817B8FE26BD}">
      <text>
        <t>[Threaded comment]
Your version of Excel allows you to read this threaded comment; however, any edits to it will get removed if the file is opened in a newer version of Excel. Learn more: https://go.microsoft.com/fwlink/?linkid=870924
Comment:
    (Salary + Merit + OT + Longevity)*.97 (usage)</t>
      </text>
    </comment>
    <comment ref="B61" authorId="2" shapeId="0" xr:uid="{6411EE61-5B86-4464-9A55-5458E71C5E33}">
      <text>
        <t>[Threaded comment]
Your version of Excel allows you to read this threaded comment; however, any edits to it will get removed if the file is opened in a newer version of Excel. Learn more: https://go.microsoft.com/fwlink/?linkid=870924
Comment:
    (19.00% + .10% = 19.10%)</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tc={4267E100-BBF5-4906-9CE6-14DD50C5C310}</author>
    <author>tc={839EAE55-98AF-42C1-9537-AFACD38828A9}</author>
    <author>tc={DEAB302B-D4E8-429D-BB59-9B61019F70DC}</author>
    <author>tc={4FECB316-867D-4C57-94F0-EF2CD47411D7}</author>
    <author>tc={74AC8F4F-3C82-4C53-92CC-A88F04527272}</author>
    <author>tc={68258B95-98C2-44FB-849C-1F91AEC100DC}</author>
    <author>tc={E0A5C348-AB33-418C-97EA-77BBFE253D11}</author>
    <author>tc={B3A8570F-C9FA-4FC7-A966-2CDDD3CFA97F}</author>
    <author>tc={848B4758-2734-43CD-A3CD-0A227FADC0D7}</author>
    <author>tc={DBCECB29-D855-4FC0-A93A-426282539623}</author>
    <author>tc={205540D3-3F51-4EBF-BA66-D85E3BEEDB14}</author>
    <author>tc={35711A77-29E8-4EED-A11E-BE5E1BC288BF}</author>
    <author>tc={D6A8F53C-2142-4808-84D1-8E837B3C73EE}</author>
    <author>tc={D61F4279-4D4D-444D-B478-345B64B36166}</author>
    <author>tc={37D0E4F1-68F9-4642-9647-78F2A59A2DDA}</author>
    <author>tc={13D412C3-2B58-4F1A-8ACF-39D1A9770D1C}</author>
    <author>tc={89C854BC-57C7-46B7-95E4-07EF81B1FF70}</author>
    <author>tc={7362920D-4BC4-46FE-9D52-1F2D5A867706}</author>
    <author>tc={51734A8F-0614-488D-A750-1D0B31477A14}</author>
    <author>tc={5B8AAAE0-5994-47B3-A222-359E26C03B44}</author>
    <author>tc={49EFD460-E42D-4A4E-8359-4B35027B6292}</author>
    <author>tc={D3ECEDF9-56E5-4823-B3F3-FBB9A68E2277}</author>
    <author>tc={40C45FC5-72DD-4A5E-8C4E-E864F77D796C}</author>
    <author>tc={6A867FBF-A455-4C1F-B773-7F22D500DE02}</author>
    <author>tc={0D72FDE4-4076-4D21-A960-295B25497CEC}</author>
    <author>tc={6DCD1A06-E32B-4279-B4E5-213C8924A27B}</author>
    <author>tc={4C3698C4-8A73-4401-8162-F812B8A3471B}</author>
    <author>tc={FEFDB002-0E79-481C-BEC0-B6A9B384EA6C}</author>
    <author>tc={0BD86C99-012B-45E4-B3F6-ED02DEAAED00}</author>
    <author>tc={8688FF19-12DF-4558-9DF6-FF0D3927F0DC}</author>
    <author>tc={74546007-A12A-44F3-80D2-A693CECA0689}</author>
    <author>tc={B7B0AAA6-86AB-4D3F-AE20-62ECCDB827C4}</author>
  </authors>
  <commentList>
    <comment ref="D22" authorId="0" shapeId="0" xr:uid="{00000000-0006-0000-0700-000009000000}">
      <text>
        <t>[Threaded comment]
Your version of Excel allows you to read this threaded comment; however, any edits to it will get removed if the file is opened in a newer version of Excel. Learn more: https://go.microsoft.com/fwlink/?linkid=870924
Comment:
    KC McDade:
difference between RRR &amp; reg certified letters is RRR gets a piece of paper w/ signature of person to received mail. Non RRR just gets scan from PO stating delivery was made.</t>
      </text>
    </comment>
    <comment ref="D31" authorId="1" shapeId="0" xr:uid="{00000000-0006-0000-0700-00000F000000}">
      <text>
        <t>[Threaded comment]
Your version of Excel allows you to read this threaded comment; however, any edits to it will get removed if the file is opened in a newer version of Excel. Learn more: https://go.microsoft.com/fwlink/?linkid=870924
Comment:
    kimg: 2023 prices
BRM Permit #74000 - $275
BRM Permit #74001 - $825</t>
      </text>
    </comment>
    <comment ref="H64" authorId="2" shapeId="0" xr:uid="{00000000-0006-0000-0700-00001A000000}">
      <text>
        <t xml:space="preserve">[Threaded comment]
Your version of Excel allows you to read this threaded comment; however, any edits to it will get removed if the file is opened in a newer version of Excel. Learn more: https://go.microsoft.com/fwlink/?linkid=870924
Comment:
    Formula = actual divided by 12...round up to whole dollars.
</t>
      </text>
    </comment>
    <comment ref="F94" authorId="3" shapeId="0" xr:uid="{00000000-0006-0000-0700-000023000000}">
      <text>
        <t>[Threaded comment]
Your version of Excel allows you to read this threaded comment; however, any edits to it will get removed if the file is opened in a newer version of Excel. Learn more: https://go.microsoft.com/fwlink/?linkid=870924
Comment:
    contribute to the cost of lunch, shirts, or supplies for williamson county gis day.
	-kmcdade</t>
      </text>
    </comment>
    <comment ref="D103" authorId="4" shapeId="0" xr:uid="{74AC8F4F-3C82-4C53-92CC-A88F04527272}">
      <text>
        <t xml:space="preserve">[Threaded comment]
Your version of Excel allows you to read this threaded comment; however, any edits to it will get removed if the file is opened in a newer version of Excel. Learn more: https://go.microsoft.com/fwlink/?linkid=870924
Comment:
    $240 - membership
$170 for 1st designations
$85 for 2bd designations
$80 for candidacy fees
</t>
      </text>
    </comment>
    <comment ref="E103" authorId="5" shapeId="0" xr:uid="{68258B95-98C2-44FB-849C-1F91AEC100DC}">
      <text>
        <t>[Threaded comment]
Your version of Excel allows you to read this threaded comment; however, any edits to it will get removed if the file is opened in a newer version of Excel. Learn more: https://go.microsoft.com/fwlink/?linkid=870924
Comment:
    JGriner - CAE candidacy
AMoore - CAE, AAS candidacy
StephanieHD
JRobins - RES
RQuinlan
VLongstreth - Candidacy RES
VBrumley
AJones
HHayden
RMata
CRMeyer
AMetcalfe
BMorrison
CLindquist
WHuntsberger
AAhmad
SGregory
LSarmiento</t>
      </text>
    </comment>
    <comment ref="F103" authorId="6" shapeId="0" xr:uid="{00000000-0006-0000-0700-000026000000}">
      <text>
        <t>[Threaded comment]
Your version of Excel allows you to read this threaded comment; however, any edits to it will get removed if the file is opened in a newer version of Excel. Learn more: https://go.microsoft.com/fwlink/?linkid=870924
Comment:
    Kimberly Gamboa:
AUrbanek - CMS Candidacy
JMiller
ABayler - RES Candidacy
MLopez
LLippe</t>
      </text>
    </comment>
    <comment ref="G103" authorId="7" shapeId="0" xr:uid="{00000000-0006-0000-0700-000027000000}">
      <text>
        <t>[Threaded comment]
Your version of Excel allows you to read this threaded comment; however, any edits to it will get removed if the file is opened in a newer version of Excel. Learn more: https://go.microsoft.com/fwlink/?linkid=870924
Comment:
    Kimberly Gamboa:
ALankford - CAE, AAS
CConnelly - CAE, AAS</t>
      </text>
    </comment>
    <comment ref="I103" authorId="8" shapeId="0" xr:uid="{00000000-0006-0000-0700-000028000000}">
      <text>
        <t>[Threaded comment]
Your version of Excel allows you to read this threaded comment; however, any edits to it will get removed if the file is opened in a newer version of Excel. Learn more: https://go.microsoft.com/fwlink/?linkid=870924
Comment:
    Registration fee = $225 / each
Designation fee = $170 / each
2nd Designation fee = $85 / each
Designation pending = $80 / each
Application fee = $50 / each</t>
      </text>
    </comment>
    <comment ref="D109" authorId="9" shapeId="0" xr:uid="{00000000-0006-0000-0700-00002C000000}">
      <text>
        <t xml:space="preserve">[Threaded comment]
Your version of Excel allows you to read this threaded comment; however, any edits to it will get removed if the file is opened in a newer version of Excel. Learn more: https://go.microsoft.com/fwlink/?linkid=870924
Comment:
    Membership fees to:
Amazon Prime (add to 2021) $499
IAAO - $200
Nectar - $4,000
Sam's Club $100
SHRM - $220
TASB - $500
Texas Co-op Purchasing $100
</t>
      </text>
    </comment>
    <comment ref="G112" authorId="10" shapeId="0" xr:uid="{00000000-0006-0000-0700-00002D000000}">
      <text>
        <t>[Threaded comment]
Your version of Excel allows you to read this threaded comment; however, any edits to it will get removed if the file is opened in a newer version of Excel. Learn more: https://go.microsoft.com/fwlink/?linkid=870924
Comment:
    Kimberly Gamboa:
Renewals 2025:
LyzJ
MiriamM
ChristineB
CandaceP</t>
      </text>
    </comment>
    <comment ref="E115" authorId="11" shapeId="0" xr:uid="{35711A77-29E8-4EED-A11E-BE5E1BC288BF}">
      <text>
        <t xml:space="preserve">[Threaded comment]
Your version of Excel allows you to read this threaded comment; however, any edits to it will get removed if the file is opened in a newer version of Excel. Learn more: https://go.microsoft.com/fwlink/?linkid=870924
Comment:
    Dues:
A Bayler
J Griner
S Heatley-Dugger
V Longstreth
A Moore
R Quinlan
J Robins
C Vasquez
V Brumley
H Hayden
W Huntsberger
A Jones
C Lindquist
R Mata
A Metcalfe
C R Meyer
B Morrison
</t>
      </text>
    </comment>
    <comment ref="F115" authorId="12" shapeId="0" xr:uid="{D6A8F53C-2142-4808-84D1-8E837B3C73EE}">
      <text>
        <t xml:space="preserve">[Threaded comment]
Your version of Excel allows you to read this threaded comment; however, any edits to it will get removed if the file is opened in a newer version of Excel. Learn more: https://go.microsoft.com/fwlink/?linkid=870924
Comment:
    Dues:
KC McDade
J Miller
J Radke
A Urbanek
</t>
      </text>
    </comment>
    <comment ref="G115" authorId="13" shapeId="0" xr:uid="{D61F4279-4D4D-444D-B478-345B64B36166}">
      <text>
        <t xml:space="preserve">[Threaded comment]
Your version of Excel allows you to read this threaded comment; however, any edits to it will get removed if the file is opened in a newer version of Excel. Learn more: https://go.microsoft.com/fwlink/?linkid=870924
Comment:
    Dues:
C Connelly
A Lankford
</t>
      </text>
    </comment>
    <comment ref="E122" authorId="14" shapeId="0" xr:uid="{00000000-0006-0000-0700-000034000000}">
      <text>
        <t>[Threaded comment]
Your version of Excel allows you to read this threaded comment; however, any edits to it will get removed if the file is opened in a newer version of Excel. Learn more: https://go.microsoft.com/fwlink/?linkid=870924
Comment:
    Kimberly Gamboa:
Membership:
A Bayler
R Quinlan
J Griner
A Moore</t>
      </text>
    </comment>
    <comment ref="F122" authorId="15" shapeId="0" xr:uid="{00000000-0006-0000-0700-000035000000}">
      <text>
        <t>[Threaded comment]
Your version of Excel allows you to read this threaded comment; however, any edits to it will get removed if the file is opened in a newer version of Excel. Learn more: https://go.microsoft.com/fwlink/?linkid=870924
Comment:
    Kimberly Gamboa:
Membership:
KCMcDade
J Miller</t>
      </text>
    </comment>
    <comment ref="G122" authorId="16" shapeId="0" xr:uid="{00000000-0006-0000-0700-000036000000}">
      <text>
        <t>[Threaded comment]
Your version of Excel allows you to read this threaded comment; however, any edits to it will get removed if the file is opened in a newer version of Excel. Learn more: https://go.microsoft.com/fwlink/?linkid=870924
Comment:
    Kimberly Gamboa:
Membership:
ALankford
CConnelly</t>
      </text>
    </comment>
    <comment ref="E125" authorId="17" shapeId="0" xr:uid="{7362920D-4BC4-46FE-9D52-1F2D5A867706}">
      <text>
        <t>[Threaded comment]
Your version of Excel allows you to read this threaded comment; however, any edits to it will get removed if the file is opened in a newer version of Excel. Learn more: https://go.microsoft.com/fwlink/?linkid=870924
Comment:
    Aaron Moore
Johnny Robins
Residential Appraisal Team
Land Appraisal Team
Commercial Appraisal Team
BPP Appraisal Team
Charles Vasquez
Bart Edsell</t>
      </text>
    </comment>
    <comment ref="F125" authorId="18" shapeId="0" xr:uid="{51734A8F-0614-488D-A750-1D0B31477A14}">
      <text>
        <t xml:space="preserve">[Threaded comment]
Your version of Excel allows you to read this threaded comment; however, any edits to it will get removed if the file is opened in a newer version of Excel. Learn more: https://go.microsoft.com/fwlink/?linkid=870924
Comment:
    KC McDade
Jessica Miller
Jamie Radke
</t>
      </text>
    </comment>
    <comment ref="G125" authorId="19" shapeId="0" xr:uid="{5B8AAAE0-5994-47B3-A222-359E26C03B44}">
      <text>
        <t>[Threaded comment]
Your version of Excel allows you to read this threaded comment; however, any edits to it will get removed if the file is opened in a newer version of Excel. Learn more: https://go.microsoft.com/fwlink/?linkid=870924
Comment:
    Alvin Lankford
Chris Connelly</t>
      </text>
    </comment>
    <comment ref="H144" authorId="20" shapeId="0" xr:uid="{49EFD460-E42D-4A4E-8359-4B35027B6292}">
      <text>
        <t>[Threaded comment]
Your version of Excel allows you to read this threaded comment; however, any edits to it will get removed if the file is opened in a newer version of Excel. Learn more: https://go.microsoft.com/fwlink/?linkid=870924
Comment:
    Actual divided by 12 months - rounded up</t>
      </text>
    </comment>
    <comment ref="H145" authorId="21" shapeId="0" xr:uid="{D3ECEDF9-56E5-4823-B3F3-FBB9A68E2277}">
      <text>
        <t>[Threaded comment]
Your version of Excel allows you to read this threaded comment; however, any edits to it will get removed if the file is opened in a newer version of Excel. Learn more: https://go.microsoft.com/fwlink/?linkid=870924
Comment:
    2022 Actual divided by 12 months - rounded up</t>
      </text>
    </comment>
    <comment ref="H146" authorId="22" shapeId="0" xr:uid="{40C45FC5-72DD-4A5E-8C4E-E864F77D796C}">
      <text>
        <t>[Threaded comment]
Your version of Excel allows you to read this threaded comment; however, any edits to it will get removed if the file is opened in a newer version of Excel. Learn more: https://go.microsoft.com/fwlink/?linkid=870924
Comment:
    2022 Actual divided by 12 months - rounded up</t>
      </text>
    </comment>
    <comment ref="H147" authorId="23" shapeId="0" xr:uid="{6A867FBF-A455-4C1F-B773-7F22D500DE02}">
      <text>
        <t>[Threaded comment]
Your version of Excel allows you to read this threaded comment; however, any edits to it will get removed if the file is opened in a newer version of Excel. Learn more: https://go.microsoft.com/fwlink/?linkid=870924
Comment:
    2022 Actual divided by 12 months - rounded up</t>
      </text>
    </comment>
    <comment ref="H148" authorId="24" shapeId="0" xr:uid="{0D72FDE4-4076-4D21-A960-295B25497CEC}">
      <text>
        <t>[Threaded comment]
Your version of Excel allows you to read this threaded comment; however, any edits to it will get removed if the file is opened in a newer version of Excel. Learn more: https://go.microsoft.com/fwlink/?linkid=870924
Comment:
    2022 Actual divided by 12 months - rounded up</t>
      </text>
    </comment>
    <comment ref="H150" authorId="25" shapeId="0" xr:uid="{6DCD1A06-E32B-4279-B4E5-213C8924A27B}">
      <text>
        <t>[Threaded comment]
Your version of Excel allows you to read this threaded comment; however, any edits to it will get removed if the file is opened in a newer version of Excel. Learn more: https://go.microsoft.com/fwlink/?linkid=870924
Comment:
    Actual divided by 12 months - rounded up</t>
      </text>
    </comment>
    <comment ref="E199" authorId="26" shapeId="0" xr:uid="{4C3698C4-8A73-4401-8162-F812B8A3471B}">
      <text>
        <t xml:space="preserve">[Threaded comment]
Your version of Excel allows you to read this threaded comment; however, any edits to it will get removed if the file is opened in a newer version of Excel. Learn more: https://go.microsoft.com/fwlink/?linkid=870924
Comment:
    Licenses:
Richard
Brent M
Stephanie HD
Jason H
Carrie L
Ameen A
Larry S
One for Land
</t>
      </text>
    </comment>
    <comment ref="G199" authorId="27" shapeId="0" xr:uid="{FEFDB002-0E79-481C-BEC0-B6A9B384EA6C}">
      <text>
        <t>[Threaded comment]
Your version of Excel allows you to read this threaded comment; however, any edits to it will get removed if the file is opened in a newer version of Excel. Learn more: https://go.microsoft.com/fwlink/?linkid=870924
Comment:
    Licenses:
Ryan M
Zoe Y</t>
      </text>
    </comment>
    <comment ref="E211" authorId="28" shapeId="0" xr:uid="{0BD86C99-012B-45E4-B3F6-ED02DEAAED00}">
      <text>
        <t>[Threaded comment]
Your version of Excel allows you to read this threaded comment; however, any edits to it will get removed if the file is opened in a newer version of Excel. Learn more: https://go.microsoft.com/fwlink/?linkid=870924
Comment:
    One for each res appraisers</t>
      </text>
    </comment>
    <comment ref="H243" authorId="29" shapeId="0" xr:uid="{8688FF19-12DF-4558-9DF6-FF0D3927F0DC}">
      <text>
        <t>[Threaded comment]
Your version of Excel allows you to read this threaded comment; however, any edits to it will get removed if the file is opened in a newer version of Excel. Learn more: https://go.microsoft.com/fwlink/?linkid=870924
Comment:
    pool finder years: $304,759, non-pool finder years: $287,159</t>
      </text>
    </comment>
    <comment ref="B246" authorId="30" shapeId="0" xr:uid="{74546007-A12A-44F3-80D2-A693CECA0689}">
      <text>
        <t xml:space="preserve">[Threaded comment]
Your version of Excel allows you to read this threaded comment; however, any edits to it will get removed if the file is opened in a newer version of Excel. Learn more: https://go.microsoft.com/fwlink/?linkid=870924
Comment:
    CAG - 2024 = $83,000; 2025 = 2% increase
</t>
      </text>
    </comment>
    <comment ref="D320" authorId="31" shapeId="0" xr:uid="{B7B0AAA6-86AB-4D3F-AE20-62ECCDB827C4}">
      <text>
        <t>[Threaded comment]
Your version of Excel allows you to read this threaded comment; however, any edits to it will get removed if the file is opened in a newer version of Excel. Learn more: https://go.microsoft.com/fwlink/?linkid=870924
Comment:
    Gets everyone a zoho license and includes 45+ apps, including desk and forms that we already use.</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tc={FEEE4B9F-3BF5-4AF1-BA30-E5701D414E58}</author>
  </authors>
  <commentList>
    <comment ref="E4" authorId="0" shapeId="0" xr:uid="{FEEE4B9F-3BF5-4AF1-BA30-E5701D414E58}">
      <text>
        <t>[Threaded comment]
Your version of Excel allows you to read this threaded comment; however, any edits to it will get removed if the file is opened in a newer version of Excel. Learn more: https://go.microsoft.com/fwlink/?linkid=870924
Comment:
    Each alternate member is in the formula at their 2023 rate then divided by 6 to get the average.  Alternate members are like substitute members and are not counted in the 70 meetings below.</t>
      </text>
    </comment>
  </commentList>
</comments>
</file>

<file path=xl/sharedStrings.xml><?xml version="1.0" encoding="utf-8"?>
<sst xmlns="http://schemas.openxmlformats.org/spreadsheetml/2006/main" count="1391" uniqueCount="732">
  <si>
    <t xml:space="preserve"> 2021 Budget Summary Recap</t>
  </si>
  <si>
    <t>Account Name</t>
  </si>
  <si>
    <t>2020 Budget</t>
  </si>
  <si>
    <t>2021 Requested Budget 1%</t>
  </si>
  <si>
    <t>1% Changed</t>
  </si>
  <si>
    <t>2021 Requested Budget 2%</t>
  </si>
  <si>
    <t>2% Changed</t>
  </si>
  <si>
    <t>2021 Requested Budget 3%</t>
  </si>
  <si>
    <t>3% Changed</t>
  </si>
  <si>
    <t>6010 - Salaries</t>
  </si>
  <si>
    <t>6020 - Allowances</t>
  </si>
  <si>
    <t>6030 - Group Health</t>
  </si>
  <si>
    <t>6040 - Retirement</t>
  </si>
  <si>
    <t>6060 - Worker's Comp Insurance</t>
  </si>
  <si>
    <t>6070 - Social Security / Disability</t>
  </si>
  <si>
    <t xml:space="preserve">Proposing 1,2,3 percent raise </t>
  </si>
  <si>
    <t>6110 - Office Supplies</t>
  </si>
  <si>
    <t>Survey has been done but too early to tell what others are doing</t>
  </si>
  <si>
    <t>6120 - Postage</t>
  </si>
  <si>
    <t>Round Rock ISD 2% proposed - Chad?</t>
  </si>
  <si>
    <t>6130 - Forms/Printing</t>
  </si>
  <si>
    <t>Went through this budget several times to eliminate anything we can do without</t>
  </si>
  <si>
    <t>6140 - Janitorial Supplies</t>
  </si>
  <si>
    <t>I will go through and talk about some of these increases from legislation and contracts signed after 2020 budget was finalized</t>
  </si>
  <si>
    <t>6150 - Minor Equipment/Furniture</t>
  </si>
  <si>
    <t>No matter what is determined on raise I would like to suggest using the 322K in un-obligated funds to buy down our budget</t>
  </si>
  <si>
    <t>6160 - Computer Supplies</t>
  </si>
  <si>
    <t>Let's go to the 2% personell tab on page 16 of your budget</t>
  </si>
  <si>
    <t>6210 - Schools/Conferences Membership (Prof Dev)</t>
  </si>
  <si>
    <t>6215 - Equipment Lease/Rental</t>
  </si>
  <si>
    <t>6220 - Utilities</t>
  </si>
  <si>
    <t>6225 - Building Repair &amp; Maint.</t>
  </si>
  <si>
    <t>6235 - TLO Expenses</t>
  </si>
  <si>
    <t>6236 - BOD Expenses</t>
  </si>
  <si>
    <t>6240 - Publications</t>
  </si>
  <si>
    <t>6250 - Contingency Emergency</t>
  </si>
  <si>
    <t>6260 - Consulting/Professional Services</t>
  </si>
  <si>
    <t>6270 - GIS Services</t>
  </si>
  <si>
    <t>6280 - Maintenance Contracts</t>
  </si>
  <si>
    <t xml:space="preserve">6285 - Computer Services/Licenses </t>
  </si>
  <si>
    <t>6290 - Business Insurance</t>
  </si>
  <si>
    <t>6810 - Debt Service - Building</t>
  </si>
  <si>
    <t>8010 - Capital Outlay</t>
  </si>
  <si>
    <t>8020 - Furniture &amp; Fixtures</t>
  </si>
  <si>
    <t>8030 - Fund Depreciation</t>
  </si>
  <si>
    <t>TOTALS</t>
  </si>
  <si>
    <t>Appraisal Review Board Budget</t>
  </si>
  <si>
    <t>TOTAL WCAD and ARB BUDGET</t>
  </si>
  <si>
    <t>One Time Reserve Expense</t>
  </si>
  <si>
    <t>Board budget buy down from assigned fund balance</t>
  </si>
  <si>
    <t>TOTAL WCAD ALLOCATION BUDGET</t>
  </si>
  <si>
    <t>The proposed budget amount sent to our Taxing Entities in June was $9,887,200.</t>
  </si>
  <si>
    <t>What is our total of surplus funds from 2019?  We may need to apply the whole amount as a buy down so we can secure merit increases for staff</t>
  </si>
  <si>
    <t xml:space="preserve"> 2021 Budget Requested Recap 1% Personnel</t>
  </si>
  <si>
    <t>2016 Budget</t>
  </si>
  <si>
    <t>2016 Actual</t>
  </si>
  <si>
    <t>2017 Budget</t>
  </si>
  <si>
    <t>2017 Actual</t>
  </si>
  <si>
    <t>2018 Budget</t>
  </si>
  <si>
    <t>2018 Actual</t>
  </si>
  <si>
    <t>2019 Budget</t>
  </si>
  <si>
    <t>2021 Requested Budget</t>
  </si>
  <si>
    <t>% Change</t>
  </si>
  <si>
    <t>Category Totals</t>
  </si>
  <si>
    <t>Personnel</t>
  </si>
  <si>
    <t>Category</t>
  </si>
  <si>
    <t>Budget Amount</t>
  </si>
  <si>
    <t>Percent</t>
  </si>
  <si>
    <t>Supplies</t>
  </si>
  <si>
    <t>Services</t>
  </si>
  <si>
    <t>Materials &amp; Services</t>
  </si>
  <si>
    <t>Debt</t>
  </si>
  <si>
    <t>Capital Outlay</t>
  </si>
  <si>
    <t>ARB</t>
  </si>
  <si>
    <t>Total</t>
  </si>
  <si>
    <t>2021 Budget Requested - 1% Personnel</t>
  </si>
  <si>
    <t>Category/Comments</t>
  </si>
  <si>
    <t>Description</t>
  </si>
  <si>
    <t>2021 Requested Amount</t>
  </si>
  <si>
    <t>Actual Cost</t>
  </si>
  <si>
    <t>Difference</t>
  </si>
  <si>
    <t>2020 Approved Budget</t>
  </si>
  <si>
    <t xml:space="preserve">2020 Salaries </t>
  </si>
  <si>
    <t>Add prior year salaries + (merit * 2) = new salaries requested.</t>
  </si>
  <si>
    <t xml:space="preserve">Partial Year Use </t>
  </si>
  <si>
    <t>Merit 1%</t>
  </si>
  <si>
    <t>2018 Actual salaries current</t>
  </si>
  <si>
    <t xml:space="preserve">Overtime    </t>
  </si>
  <si>
    <t>merit</t>
  </si>
  <si>
    <t xml:space="preserve">Longevity </t>
  </si>
  <si>
    <t>Merit for whole year</t>
  </si>
  <si>
    <t>Based on actual expenses</t>
  </si>
  <si>
    <t xml:space="preserve">Temp / Part-time </t>
  </si>
  <si>
    <t>Merit for 4 months needed Sept-Dec</t>
  </si>
  <si>
    <t>ARB wants security here on off season days</t>
  </si>
  <si>
    <t>Security Officer</t>
  </si>
  <si>
    <t>Actual salary at the end of 2018</t>
  </si>
  <si>
    <t>Percentage is from recap sheet</t>
  </si>
  <si>
    <t>Budgeted start of 2019</t>
  </si>
  <si>
    <t>Diff between actual 2018 and budgeted start of 2019</t>
  </si>
  <si>
    <t>Car Allowance</t>
  </si>
  <si>
    <t>Amount removed from 2019 start which includes salaries for Dave and Jennifer</t>
  </si>
  <si>
    <t>Car Allowance = $600 x 12 months x 34 employees x .95(usage)</t>
  </si>
  <si>
    <t>2019 Suggested Budget Start</t>
  </si>
  <si>
    <t>Chief Appraiser Car Allowance = $600 x 12 months</t>
  </si>
  <si>
    <t xml:space="preserve">Other Personnel Avg Miles/month </t>
  </si>
  <si>
    <t>Sub-Total</t>
  </si>
  <si>
    <t>Cellular Allowances</t>
  </si>
  <si>
    <t>Chief Appraiser - $110</t>
  </si>
  <si>
    <t>Alvin</t>
  </si>
  <si>
    <t>Deputy Chief/AA/Directors = $90 x 5 ee</t>
  </si>
  <si>
    <t>Chris, Colleen, Aaron M,  KC, Jessica</t>
  </si>
  <si>
    <t>Managers/IT = $70 x 11 ee</t>
  </si>
  <si>
    <t>James, Victor, Pam, Aaron S, Kimberly, Amy, Richard, David B, Michael, David S, Rae</t>
  </si>
  <si>
    <t>Designation Achievement Pay</t>
  </si>
  <si>
    <t>Assessment Administration Specialist (AAS)</t>
  </si>
  <si>
    <t>Cadastral Mapping Specialist (CMS)</t>
  </si>
  <si>
    <t>KC</t>
  </si>
  <si>
    <t>Personal Property Specialist (PPS) + RPA</t>
  </si>
  <si>
    <t>Residential Evaluation Specialist (RES) + RPA</t>
  </si>
  <si>
    <t>Johnny R</t>
  </si>
  <si>
    <t>Certified Assessment Evaluator (CAE) + RPA</t>
  </si>
  <si>
    <t>Alvin, Chris, Aaron, James</t>
  </si>
  <si>
    <t>Society of Human Resource-Certified Professional (SHRM-CP)</t>
  </si>
  <si>
    <t>Kimberly G</t>
  </si>
  <si>
    <t>6030 - Group Insurances</t>
  </si>
  <si>
    <r>
      <t xml:space="preserve">Changed to 71 employees </t>
    </r>
    <r>
      <rPr>
        <sz val="10"/>
        <color rgb="FFFF0000"/>
        <rFont val="Arial"/>
        <family val="2"/>
      </rPr>
      <t>- Is this an old comment?  The calculations show 73 - Is this an increase over last year?  If so we probably need to remove any extra staff</t>
    </r>
  </si>
  <si>
    <t>renewal rates Sept</t>
  </si>
  <si>
    <t>Dental - ($36.51/month x 73 employees x 8)+(($36.51*5%)*73*4)</t>
  </si>
  <si>
    <t>Medical - (($621.80 month - $10.00)*73 employees*8)+((($621.80-10)*15%)*73*4)</t>
  </si>
  <si>
    <t>Dependent Coverage ($140/month x 20 x 12)</t>
  </si>
  <si>
    <t>Vision Insurance Plan B ($7.28/month*73*8)+(($7.28*5%)*73*4)</t>
  </si>
  <si>
    <t xml:space="preserve">renewal rates Sept </t>
  </si>
  <si>
    <t xml:space="preserve">Short Term Disability (($4 x 73 emp x 12 mo)+$2,370) </t>
  </si>
  <si>
    <t>Long Term Disability (.331% x annual payroll)</t>
  </si>
  <si>
    <t>Usage Reduction</t>
  </si>
  <si>
    <t>Salaries for eligible employees (Salary + Merit + OT + Longevity)*.97 (usage)</t>
  </si>
  <si>
    <t>Allowance</t>
  </si>
  <si>
    <t>2020 - rate 0.12%</t>
  </si>
  <si>
    <t>Group Term Life Rate (0.12%)</t>
  </si>
  <si>
    <t>2020 - rate 17.89%</t>
  </si>
  <si>
    <t>Required Plan Rate (16.75%)</t>
  </si>
  <si>
    <t>Group Term Life Rate (0.13%)</t>
  </si>
  <si>
    <t>Elected higher rate</t>
  </si>
  <si>
    <t>Elected higher rate (19.00% + .13% = 19.13%)</t>
  </si>
  <si>
    <t>gave 1% in 2017</t>
  </si>
  <si>
    <t>COLA for Retirees?</t>
  </si>
  <si>
    <t>6060 - Workers' Compensation</t>
  </si>
  <si>
    <t>Annual Contribution</t>
  </si>
  <si>
    <t>6070 - FICA / Medicare</t>
  </si>
  <si>
    <t xml:space="preserve">Medicare </t>
  </si>
  <si>
    <t>Qualifying Salaries: (Includes Car Allowance)</t>
  </si>
  <si>
    <t>X Medicare Rate</t>
  </si>
  <si>
    <t>Sub-total</t>
  </si>
  <si>
    <t>Social Security</t>
  </si>
  <si>
    <t>does not include temp agencies</t>
  </si>
  <si>
    <t>Qualifying Salaries (Temporaries) from 6010</t>
  </si>
  <si>
    <t>X Rate</t>
  </si>
  <si>
    <t>TOTAL</t>
  </si>
  <si>
    <t xml:space="preserve"> 2021 Budget Requested Recap 2% Personnel</t>
  </si>
  <si>
    <t>2021 Budget Requested - 2% Personnel</t>
  </si>
  <si>
    <t>Merit 2%</t>
  </si>
  <si>
    <t>Go to raise explanation drawing</t>
  </si>
  <si>
    <t>KimberlyG</t>
  </si>
  <si>
    <t>See required rate sheet in your BOD packet</t>
  </si>
  <si>
    <t xml:space="preserve">Now let's go to the budgeted services on page 23 of your budget </t>
  </si>
  <si>
    <t>2025 Budget</t>
  </si>
  <si>
    <t>2020 Actual</t>
  </si>
  <si>
    <t>2021 Budget</t>
  </si>
  <si>
    <t>2021 Actual</t>
  </si>
  <si>
    <t>2022 Budget</t>
  </si>
  <si>
    <t>2023 Budget</t>
  </si>
  <si>
    <t>2024 Budget</t>
  </si>
  <si>
    <t>2025 Approved Budget</t>
  </si>
  <si>
    <t>2026 Requested Personnel</t>
  </si>
  <si>
    <t xml:space="preserve">2026 Salaries </t>
  </si>
  <si>
    <t>Add prior year salaries + (merit * 2) = new salaries requested. + new employees</t>
  </si>
  <si>
    <t>Merit 3% (Calculated for 6 months since raises are given late in year)</t>
  </si>
  <si>
    <t>COLA ????</t>
  </si>
  <si>
    <t>Total requested salaries</t>
  </si>
  <si>
    <t>including 10+ yos</t>
  </si>
  <si>
    <t>PTO Buyback Program - 10+ yos</t>
  </si>
  <si>
    <t>2024 we spent $99,382.18</t>
  </si>
  <si>
    <t>2024 we spent $33,550.13 (they are having a price increase for 2025)</t>
  </si>
  <si>
    <t>2025 Requested Personnel</t>
  </si>
  <si>
    <t> </t>
  </si>
  <si>
    <t>1 Land Appraiser ($54,000)</t>
  </si>
  <si>
    <t>1 Litigation Appraiser $85,000</t>
  </si>
  <si>
    <t>1 Litigation MAI $125,000</t>
  </si>
  <si>
    <t>Chief Appraiser Car Allowance = $700 x 12 months</t>
  </si>
  <si>
    <t>Mobile Device Allowances</t>
  </si>
  <si>
    <t>Deputy Chief/AA/Directors = $90 x 6 ee</t>
  </si>
  <si>
    <t>Chris, Colleen, Aaron M, Jessica, Johnny, Amanda B</t>
  </si>
  <si>
    <t>Managers/IT = $70 x 14 ee</t>
  </si>
  <si>
    <t>Victor, Amber J, Heather, Richard, James, Michael, David B, David S, Amy, Lisa, Marta, Kimberly, Amanda C</t>
  </si>
  <si>
    <t>6020 - Allowances (cont)</t>
  </si>
  <si>
    <t>Jessica</t>
  </si>
  <si>
    <t>Amy</t>
  </si>
  <si>
    <t>Johnny R, Amanda B, Victor L</t>
  </si>
  <si>
    <t>est increase 8%</t>
  </si>
  <si>
    <t>Dental</t>
  </si>
  <si>
    <t>Medical</t>
  </si>
  <si>
    <t>Dependent Coverage</t>
  </si>
  <si>
    <t>Retiree Insurance</t>
  </si>
  <si>
    <t>Vision Insurance</t>
  </si>
  <si>
    <t>Short Term Disability</t>
  </si>
  <si>
    <t xml:space="preserve">Long Term Disability </t>
  </si>
  <si>
    <t>TCDRS here in May to discuss rates</t>
  </si>
  <si>
    <t xml:space="preserve">Salaries for eligible employees </t>
  </si>
  <si>
    <t>Group Term Life Rate (0.10%)</t>
  </si>
  <si>
    <t xml:space="preserve">Elected higher rate </t>
  </si>
  <si>
    <t>gave 1% in 2025 - Pre-fund</t>
  </si>
  <si>
    <t>COLA for Retirees - ?????</t>
  </si>
  <si>
    <t>Price increase + 10% est</t>
  </si>
  <si>
    <t>Seasonal Help (6 months)</t>
  </si>
  <si>
    <t>Item</t>
  </si>
  <si>
    <t>Appraisal  Est Qty</t>
  </si>
  <si>
    <t>Operations Est Qty</t>
  </si>
  <si>
    <t>Admin Est Qty.</t>
  </si>
  <si>
    <t>Estimated cost/unit</t>
  </si>
  <si>
    <t>2025 Approved Budgeted</t>
  </si>
  <si>
    <t>COMMENT</t>
  </si>
  <si>
    <t>6110-Office Supplies</t>
  </si>
  <si>
    <t>$ Diff</t>
  </si>
  <si>
    <t>pct. Diff</t>
  </si>
  <si>
    <t xml:space="preserve">1099's </t>
  </si>
  <si>
    <t>Kimberly</t>
  </si>
  <si>
    <t>Reorder in 2030</t>
  </si>
  <si>
    <t>AED batteries (every 4 years)</t>
  </si>
  <si>
    <t>James</t>
  </si>
  <si>
    <t>2 new batteries  JWG</t>
  </si>
  <si>
    <t>Reorder in 2028</t>
  </si>
  <si>
    <t>AED pads (every 2 years)</t>
  </si>
  <si>
    <t>4 sets and 1 set of pediatric pads for downstairs (pediatrics is twice the cost of adults) (cost of 6 total) JWG</t>
  </si>
  <si>
    <t>Company Shirts</t>
  </si>
  <si>
    <t>JWG</t>
  </si>
  <si>
    <r>
      <t xml:space="preserve">Copier paper </t>
    </r>
    <r>
      <rPr>
        <strike/>
        <sz val="11"/>
        <rFont val="Calibri"/>
        <family val="2"/>
      </rPr>
      <t/>
    </r>
  </si>
  <si>
    <t>Flags (US &amp; Texas)</t>
  </si>
  <si>
    <t>Measuring Tapes Metal</t>
  </si>
  <si>
    <t>Victor</t>
  </si>
  <si>
    <t>Postage Meter Ink Cartridges</t>
  </si>
  <si>
    <t>Marta</t>
  </si>
  <si>
    <t xml:space="preserve">New ink machine x2 </t>
  </si>
  <si>
    <t>Postage Meter Tapes</t>
  </si>
  <si>
    <t xml:space="preserve">Security Badges </t>
  </si>
  <si>
    <t>Michael</t>
  </si>
  <si>
    <t>6120-Postage</t>
  </si>
  <si>
    <t xml:space="preserve">Appraisal Notices </t>
  </si>
  <si>
    <t xml:space="preserve">Jessica </t>
  </si>
  <si>
    <t>Arbitration Correspondence</t>
  </si>
  <si>
    <t>Chris</t>
  </si>
  <si>
    <t>Business Reply Usage (surveys, questionnaires, etc.)</t>
  </si>
  <si>
    <t>everyone</t>
  </si>
  <si>
    <t>ML;</t>
  </si>
  <si>
    <t>Certified Letters</t>
  </si>
  <si>
    <t>ML; LML</t>
  </si>
  <si>
    <t>Certified Letters (Return Receipt Requested - RRR)</t>
  </si>
  <si>
    <t>Exemption applications  (all exemption applications)</t>
  </si>
  <si>
    <t>Lisa</t>
  </si>
  <si>
    <t>LML</t>
  </si>
  <si>
    <t>HS Mass Mailouts (Postcards)</t>
  </si>
  <si>
    <t>HS Mass Mailouts **new per SB2</t>
  </si>
  <si>
    <t>Income Survey forms (new for 2020)</t>
  </si>
  <si>
    <t>Richard</t>
  </si>
  <si>
    <t>Misc Correspondence Letters</t>
  </si>
  <si>
    <t xml:space="preserve">Misc. Flats </t>
  </si>
  <si>
    <t>Parcel Shipping - Fed EX / UPS</t>
  </si>
  <si>
    <t>Permit Fees - Annual &amp; Business Reply</t>
  </si>
  <si>
    <t>Postage due Acct - Forwarding Orders</t>
  </si>
  <si>
    <t xml:space="preserve">Renditions </t>
  </si>
  <si>
    <t>Sales Questionnaires </t>
  </si>
  <si>
    <t>Aaron M</t>
  </si>
  <si>
    <t xml:space="preserve">Res 3800, </t>
  </si>
  <si>
    <t xml:space="preserve">Survey Forms </t>
  </si>
  <si>
    <t xml:space="preserve">Vendor Payments </t>
  </si>
  <si>
    <t>AG Certified Letters</t>
  </si>
  <si>
    <t>Heather</t>
  </si>
  <si>
    <t>Requested Separate Line Item; HH</t>
  </si>
  <si>
    <t>AG Business Reply</t>
  </si>
  <si>
    <t xml:space="preserve">Requested Separate Line Item; HH </t>
  </si>
  <si>
    <t>6130-Forms &amp; Printing</t>
  </si>
  <si>
    <t>NAV &amp; Protest Form</t>
  </si>
  <si>
    <t>25.19 Notice 'Packet' (Front and Back of NAV &amp; Protest Form)(Per Page)</t>
  </si>
  <si>
    <t>25.19 Notice 'Packet' (Same as above - With HS Insert)</t>
  </si>
  <si>
    <t>25.19 Notice 'Packet' (QC Sample freight)</t>
  </si>
  <si>
    <t xml:space="preserve">25.19 No 10 window envelopes </t>
  </si>
  <si>
    <t>Include in every NAV</t>
  </si>
  <si>
    <t xml:space="preserve">25.19 Notice R&amp;R's insert </t>
  </si>
  <si>
    <t xml:space="preserve">25.19 Folding &amp; Inserting </t>
  </si>
  <si>
    <t>25.19 CASS &amp; PAVE Certification</t>
  </si>
  <si>
    <t>25.19 USB drives/hard drives</t>
  </si>
  <si>
    <t>25.192 HS Mass Mailout **new per SB2</t>
  </si>
  <si>
    <t xml:space="preserve">Envelopes - pre-paid </t>
  </si>
  <si>
    <t xml:space="preserve">Envelopes - regular, window </t>
  </si>
  <si>
    <t>Envelopes - special (security env)</t>
  </si>
  <si>
    <t xml:space="preserve">HS Application Mailout - mailing out postcards </t>
  </si>
  <si>
    <t>Income Survey Mailout</t>
  </si>
  <si>
    <t>Renditions - Printing Service</t>
  </si>
  <si>
    <t xml:space="preserve">Sales Questionnaires </t>
  </si>
  <si>
    <t xml:space="preserve">Survey Cards (PS/Appraisal) </t>
  </si>
  <si>
    <t>6140-Janitorial Supplies</t>
  </si>
  <si>
    <t>Cleaning Supplies, Paper Products &amp; Miscellaneous Supplies</t>
  </si>
  <si>
    <t>6150-Minor Equipment &amp; Furniture (under $5,000)</t>
  </si>
  <si>
    <t>Computer Monitors</t>
  </si>
  <si>
    <t>Desktop Scanner (replacement)</t>
  </si>
  <si>
    <t>Electronic devices for field use (tablets or other field devices)</t>
  </si>
  <si>
    <t>appr/mp</t>
  </si>
  <si>
    <t xml:space="preserve">Field device replacements </t>
  </si>
  <si>
    <t xml:space="preserve">added cost to new equipment </t>
  </si>
  <si>
    <t>Laptop computers &amp; accessories</t>
  </si>
  <si>
    <t>Network Hardware</t>
  </si>
  <si>
    <t>Personal Computers</t>
  </si>
  <si>
    <t>Signature pads</t>
  </si>
  <si>
    <t xml:space="preserve">TV displays for Projector Replacement </t>
  </si>
  <si>
    <t>Workstation Chairs</t>
  </si>
  <si>
    <t>6160-Computer Supplies</t>
  </si>
  <si>
    <t xml:space="preserve">Bulb for projectors (replacement) </t>
  </si>
  <si>
    <t>Field Device Accessories</t>
  </si>
  <si>
    <t>Internal Hard Drives (storage)</t>
  </si>
  <si>
    <t>Large format scanner maintenance kit</t>
  </si>
  <si>
    <t xml:space="preserve">Screen protectors + Replacement </t>
  </si>
  <si>
    <t>Surface power cables</t>
  </si>
  <si>
    <t>Thumb drives</t>
  </si>
  <si>
    <t>Toner cartridges (Includes all types for all departments)</t>
  </si>
  <si>
    <t>6210-Schools &amp; Conferences Memberships (Prof Dev)</t>
  </si>
  <si>
    <t>Community Outreach (GIS Day)</t>
  </si>
  <si>
    <t>Customer &amp; Employee Survey Subscription</t>
  </si>
  <si>
    <t>Employee &amp; Board Recognition</t>
  </si>
  <si>
    <t>ESRI User Conf - San Diego, CA</t>
  </si>
  <si>
    <t xml:space="preserve">GIS &amp; CAMA Conference </t>
  </si>
  <si>
    <t>Jessica/Amanda</t>
  </si>
  <si>
    <t>HR Classes / Training</t>
  </si>
  <si>
    <t>HR Seminars (Harassment &amp; Staff Motivational)</t>
  </si>
  <si>
    <t>IAAO Conference (Calgary, Canada - 10/13-16)</t>
  </si>
  <si>
    <t>Alvin / Kimberly</t>
  </si>
  <si>
    <t xml:space="preserve">IAAO Legal Seminar </t>
  </si>
  <si>
    <t>IAAO Membership - CAE (7), CMS (2), AAS (2) Designation</t>
  </si>
  <si>
    <t xml:space="preserve">IAAO Seminars/Course + lodging, meals, misc. </t>
  </si>
  <si>
    <t>AaronM/jm</t>
  </si>
  <si>
    <t>IAAO Seminars/Course + lodging, meals, misc. (Out of State)</t>
  </si>
  <si>
    <t>IAAO-CAE / AAS Demonstration Appraisal Report / Case Study /Grading Fees</t>
  </si>
  <si>
    <t xml:space="preserve">In-house Software Training </t>
  </si>
  <si>
    <t>IT Courses/Certifications</t>
  </si>
  <si>
    <t xml:space="preserve">Notary Fees </t>
  </si>
  <si>
    <t>Property Tax Institute - (College Station)</t>
  </si>
  <si>
    <t>TAAD Conference - Austin, TX (2/22-25)</t>
  </si>
  <si>
    <t>TAAD-IAAO Chapter Dues</t>
  </si>
  <si>
    <t xml:space="preserve">TAAD Legislative Seminar </t>
  </si>
  <si>
    <t>TAAD Membership</t>
  </si>
  <si>
    <t>Believe it is every odd year so not on 2026  JWG</t>
  </si>
  <si>
    <t xml:space="preserve">TAAD Specialty Courses </t>
  </si>
  <si>
    <t>TAAD - TDLR/Comptroller - courses/seminars (travel, lodging, meals, misc.)</t>
  </si>
  <si>
    <t>TAAO Conference - Gaylord TX (8/30-9/2)</t>
  </si>
  <si>
    <t xml:space="preserve">TAAO Membership/Chapter fees </t>
  </si>
  <si>
    <t xml:space="preserve">TAMU Legal Seminar - San Antonio </t>
  </si>
  <si>
    <t>TCDRS Admin Seminar &amp; Perspectives Conference</t>
  </si>
  <si>
    <t>TDLR Membership - registered with the TDLR </t>
  </si>
  <si>
    <r>
      <t xml:space="preserve">TDLR Certification Review/Exams </t>
    </r>
    <r>
      <rPr>
        <sz val="11"/>
        <rFont val="Calibri"/>
        <family val="2"/>
        <scheme val="minor"/>
      </rPr>
      <t xml:space="preserve"> ($350(review)   $100(exam))</t>
    </r>
  </si>
  <si>
    <t>Tyler Connect</t>
  </si>
  <si>
    <t>WCAD Christmas Employee Recognition</t>
  </si>
  <si>
    <t>Williamson County Growth Summit</t>
  </si>
  <si>
    <t>AaronM</t>
  </si>
  <si>
    <t>6210-37</t>
  </si>
  <si>
    <t>ZOHO Roadshow</t>
  </si>
  <si>
    <t xml:space="preserve">                                 Sub-Total</t>
  </si>
  <si>
    <t>6215-Equipment Lease/Rental</t>
  </si>
  <si>
    <t>5 yr agreement signed 2023</t>
  </si>
  <si>
    <t>Click charges estimated overages</t>
  </si>
  <si>
    <t>New lease 2023. Increase 2027</t>
  </si>
  <si>
    <t xml:space="preserve">Neopost: Folder/Inserter </t>
  </si>
  <si>
    <t>Signed lease 2025. Increase 2029</t>
  </si>
  <si>
    <t xml:space="preserve">Postage Machine; Meter Enveloper/ Lease </t>
  </si>
  <si>
    <t>Printers &amp; Copiers Lease</t>
  </si>
  <si>
    <t>Propane Tank Rental - Generator</t>
  </si>
  <si>
    <t>Property Tax on Copiers/Printers/Mail Machine</t>
  </si>
  <si>
    <t xml:space="preserve">Scanner - fi-4340C color duplex </t>
  </si>
  <si>
    <t>6220-Utilities</t>
  </si>
  <si>
    <t>AT&amp;T - Field Device Data Plans (9 months)</t>
  </si>
  <si>
    <t>Data Foundry</t>
  </si>
  <si>
    <t>Optimum Business</t>
  </si>
  <si>
    <t>Spectrum</t>
  </si>
  <si>
    <t xml:space="preserve">Telephone Services - RingCentral </t>
  </si>
  <si>
    <t>Text Blast (text billing - Mobo)</t>
  </si>
  <si>
    <t>Water, Electric, Garbage, Sewer</t>
  </si>
  <si>
    <t>6225-Building Repairs/Maintenance</t>
  </si>
  <si>
    <t>A/C Repair</t>
  </si>
  <si>
    <t xml:space="preserve">Back flow preventive -  annual check </t>
  </si>
  <si>
    <t xml:space="preserve">Bulbs </t>
  </si>
  <si>
    <t>Carpet cleaning (upstairs &amp; downstairs) - once a year</t>
  </si>
  <si>
    <t xml:space="preserve">Carpet increase </t>
  </si>
  <si>
    <t xml:space="preserve">Cleaning Service </t>
  </si>
  <si>
    <t xml:space="preserve">Electrical work  </t>
  </si>
  <si>
    <t xml:space="preserve">Elevator Maintenance Contract </t>
  </si>
  <si>
    <t xml:space="preserve">Elevator Inspection Annual </t>
  </si>
  <si>
    <t xml:space="preserve">Elevator Certificate of Compliance (TDLR) Annual </t>
  </si>
  <si>
    <t>Fire Alarm/Sprinkler/Extinguisher Inspection</t>
  </si>
  <si>
    <t>Needs recharge in 2030</t>
  </si>
  <si>
    <t>Fire Extinguisher (Recharge every 6 yrs 2024)</t>
  </si>
  <si>
    <t xml:space="preserve">Generator Maintenance </t>
  </si>
  <si>
    <t xml:space="preserve">Grounds Maintenance </t>
  </si>
  <si>
    <t>Irrigation repair</t>
  </si>
  <si>
    <t>Knight Security - Secured Plan</t>
  </si>
  <si>
    <t>Misc. Maintenance (plumbing, carpentry, painting)</t>
  </si>
  <si>
    <t>Misc. Supplies</t>
  </si>
  <si>
    <t>Mulch</t>
  </si>
  <si>
    <t>Pest Control</t>
  </si>
  <si>
    <t>Power Wash Building and entryways</t>
  </si>
  <si>
    <t xml:space="preserve">Pump House Repairs </t>
  </si>
  <si>
    <t xml:space="preserve">Security &amp; Fire Monitoring Service </t>
  </si>
  <si>
    <t>Strip/Wax/Seal VCT Flooring &amp; Tile cleaning</t>
  </si>
  <si>
    <t xml:space="preserve">Wet Pond Maintenance </t>
  </si>
  <si>
    <t>Window cleaning</t>
  </si>
  <si>
    <t>6235-TLO Expense</t>
  </si>
  <si>
    <t>Increase possible raise</t>
  </si>
  <si>
    <t xml:space="preserve">TLO Expenses </t>
  </si>
  <si>
    <t>BOD decision</t>
  </si>
  <si>
    <t>TLO Training (TAAD Conference - Austin, TX)</t>
  </si>
  <si>
    <t>6236-BOD Expense</t>
  </si>
  <si>
    <t>Budget for 1/2 &amp; place in reserves</t>
  </si>
  <si>
    <t>Board election cost</t>
  </si>
  <si>
    <t>6240-Publications</t>
  </si>
  <si>
    <t>Aircraft Bluebook</t>
  </si>
  <si>
    <t>Airpac Plane</t>
  </si>
  <si>
    <t>ALN Apartment Data</t>
  </si>
  <si>
    <t>Austin American Statesman (on-line) Subscription</t>
  </si>
  <si>
    <t>Austin Business Journal</t>
  </si>
  <si>
    <t>CoStar Market Reports / Sales Listing Services</t>
  </si>
  <si>
    <t>ConstructConnect</t>
  </si>
  <si>
    <t>Display Ads–Protest Procedures, Public Hearing ads &amp; Property Tax Benefits</t>
  </si>
  <si>
    <t>IBIS World Industry Reports</t>
  </si>
  <si>
    <t>Price increase good thru 2027</t>
  </si>
  <si>
    <t>Infonation - Vehicle Registration List</t>
  </si>
  <si>
    <t>new price good until 2027  JWG</t>
  </si>
  <si>
    <t>IT training books from Amazon</t>
  </si>
  <si>
    <t>Job Posting Ads</t>
  </si>
  <si>
    <t>Renew Every Odd Year</t>
  </si>
  <si>
    <r>
      <t>Kelley Blue Book. Used Car Guide Older Cars</t>
    </r>
    <r>
      <rPr>
        <sz val="8"/>
        <rFont val="Calibri"/>
        <family val="2"/>
        <scheme val="minor"/>
      </rPr>
      <t xml:space="preserve"> (value vehicles ’91 forward)</t>
    </r>
  </si>
  <si>
    <t>Legal Ads - request for proposals</t>
  </si>
  <si>
    <t>Lynda.com - online software tutorials</t>
  </si>
  <si>
    <t>Marshall &amp; Swift Network, Book, CD (3 Commercial licenses and 1 Residential License)</t>
  </si>
  <si>
    <t>NADA Manufactured Housing Guide (Licenses) Jan-April</t>
  </si>
  <si>
    <t>NADA – Used Car Guides (value used cars ’92 forward)</t>
  </si>
  <si>
    <t>Price Digest - Commercial Trailer Bluebook</t>
  </si>
  <si>
    <t>Price Digest - Truck Blue Book</t>
  </si>
  <si>
    <t>Real Estate Research Corp. (RERC) Basic Subscription</t>
  </si>
  <si>
    <t>Realty Rates Investor and Market Survey</t>
  </si>
  <si>
    <t>Self Storage Almanac &amp; Expense Guide</t>
  </si>
  <si>
    <t>Smith Travel Research - HOST Almanac</t>
  </si>
  <si>
    <t>Source Strategies - Texas Hotel Performance 3rd Quarter Data</t>
  </si>
  <si>
    <t>Source Strategies - Texas Hotel Performance 4th Quarter Data</t>
  </si>
  <si>
    <t>Source Strategies - Texas Hotel Brand Report</t>
  </si>
  <si>
    <t>Subscription to The Sun (for research)</t>
  </si>
  <si>
    <t>Trepp</t>
  </si>
  <si>
    <t xml:space="preserve">6250-Contingency Emergency </t>
  </si>
  <si>
    <t>Emergency Reserve Funds</t>
  </si>
  <si>
    <t>6260-Consulting/Professional Services</t>
  </si>
  <si>
    <t>Arbitrations (binding)</t>
  </si>
  <si>
    <t>BIS Agent Portal</t>
  </si>
  <si>
    <t>we got a sweet deal the first year</t>
  </si>
  <si>
    <t>BIS MRA Project (New projects with Josh)</t>
  </si>
  <si>
    <t>CoreRecon-Huntress</t>
  </si>
  <si>
    <t>Every 2 years, beginning '24</t>
  </si>
  <si>
    <t>CoreRecon- Pen test (every 2 years)</t>
  </si>
  <si>
    <t>Cyclomedia - Street Level Imagery</t>
  </si>
  <si>
    <t>Development Projects</t>
  </si>
  <si>
    <t>EagleView Aerials, ChangeFindr, PoolFindr</t>
  </si>
  <si>
    <t>Employment Screening</t>
  </si>
  <si>
    <t>Legal Fees</t>
  </si>
  <si>
    <t>Outside Appraisal Services</t>
  </si>
  <si>
    <t>We received a budget letter 3/11/2025 - Cost 2026 = $87,730; 2027 will be a 2% increase  JWG</t>
  </si>
  <si>
    <t xml:space="preserve">Prototype IT </t>
  </si>
  <si>
    <t>Quantanite</t>
  </si>
  <si>
    <t xml:space="preserve">every year </t>
  </si>
  <si>
    <t>Quantarium</t>
  </si>
  <si>
    <t>per account price increase from .45 to .75; built in room for price increase and account variance</t>
  </si>
  <si>
    <t>RSI Call Center Analytics/Dashboard</t>
  </si>
  <si>
    <t>Shredding Services</t>
  </si>
  <si>
    <t>Jessica\Aaron</t>
  </si>
  <si>
    <t>Subvenion - System Network Maintenance</t>
  </si>
  <si>
    <t>Subvenion - Additional Project Hours</t>
  </si>
  <si>
    <t>Website upgrade</t>
  </si>
  <si>
    <t>6280-Maintenance Contracts</t>
  </si>
  <si>
    <t>Apex Software - Sketching Software Maintenance</t>
  </si>
  <si>
    <t xml:space="preserve">BIS Online Forms </t>
  </si>
  <si>
    <t>BIS TNT Website Hosting</t>
  </si>
  <si>
    <t>BIS WCAD.org Web Hosting</t>
  </si>
  <si>
    <t>added ada compliance yearly fee</t>
  </si>
  <si>
    <t>Cisco Amp License (antivirus) expires in 2022</t>
  </si>
  <si>
    <t>Cisco/firewall maintenance contracts</t>
  </si>
  <si>
    <t>Dell Warranty Renewal</t>
  </si>
  <si>
    <t>ESRI - ArcGIS Desktop (advanced) Concurrent use Primary Maintenance</t>
  </si>
  <si>
    <t>added 5% increase for possible license increase</t>
  </si>
  <si>
    <t>ESRI - ArcGIS Desktop (advanced) Concurrent use Secondary Maintenance</t>
  </si>
  <si>
    <t>ESRI - ArcGIS Desktop (standard) Concurrent use Primary Maintenance</t>
  </si>
  <si>
    <t>ESRI - ArcGIS Desktop (standard) Concurrent use Secondary Maintenance</t>
  </si>
  <si>
    <t>ESRI - ArcGIS Desktop (basic) Single use Primary Maintenance</t>
  </si>
  <si>
    <t>ESRI - ArcGIS Desktop (basic) Single use Secondary Maintenance</t>
  </si>
  <si>
    <t>ESRI - ArcGIS SDE Server Enterprise up to 4 cores maint (2)</t>
  </si>
  <si>
    <t>ESRI - ArcGIS Spatial Analyst Concurrent Use Primary Maintenance</t>
  </si>
  <si>
    <t>ESRI - ArcGIS 3D Analyst Concurrent Use Primary Maintenance</t>
  </si>
  <si>
    <t>ESRI - ArcGIS Geostatistical Analyst Concurrent Use Primary Maintenance</t>
  </si>
  <si>
    <t>ESRI - ArcGIS Community Analyst Concurrent Use Primary Maintenance</t>
  </si>
  <si>
    <t>ESRI - ArcGIS Data Reviewer Concurrent Use Primary Maintenance</t>
  </si>
  <si>
    <t>ESRI - ArcGIS Insights</t>
  </si>
  <si>
    <t>ESRI - ArcGIS Online Subscription</t>
  </si>
  <si>
    <t>Future Hardware Maintenance Contracts</t>
  </si>
  <si>
    <t>Intuit - QuickBooks Licenses / Update / Support</t>
  </si>
  <si>
    <t xml:space="preserve">Network Solutions - domain reg (wcad.org &amp; wcadonline.org) </t>
  </si>
  <si>
    <t>Sidwell - Parcel Building Software Support</t>
  </si>
  <si>
    <t>Sidwell - Premium Software</t>
  </si>
  <si>
    <t>Remove, no longer using</t>
  </si>
  <si>
    <t>OCR Scanner Software</t>
  </si>
  <si>
    <t>True Roll - Homestead and Exemption Audit</t>
  </si>
  <si>
    <t>JM, LML</t>
  </si>
  <si>
    <t>Tyler - Pictometry Orion Interface</t>
  </si>
  <si>
    <t>Tyler - Apex Interface</t>
  </si>
  <si>
    <t>Tyler - Appraisal Review Software</t>
  </si>
  <si>
    <t xml:space="preserve">Tyler Field Device Software Maintenance </t>
  </si>
  <si>
    <t>Tyler Open Assessment</t>
  </si>
  <si>
    <t>VMWare maintenance</t>
  </si>
  <si>
    <t>Warranty Colo Hardware</t>
  </si>
  <si>
    <t>6285-Computer Services/Licenses</t>
  </si>
  <si>
    <t>Adobe Acrobat</t>
  </si>
  <si>
    <t>Automox- automatic desktop patching software</t>
  </si>
  <si>
    <t>Cisco Umbrella / Duo</t>
  </si>
  <si>
    <t>Convene</t>
  </si>
  <si>
    <t>GoDaddy 1 year SSL Certification</t>
  </si>
  <si>
    <t>HR / Payroll Software</t>
  </si>
  <si>
    <t>Just Appraised (deed viewer)</t>
  </si>
  <si>
    <t xml:space="preserve">up %5 </t>
  </si>
  <si>
    <t>Just Appraised (commercial appeals pkt)</t>
  </si>
  <si>
    <t>Just Appraised (exemptions)</t>
  </si>
  <si>
    <t>Kiosk software maintenance</t>
  </si>
  <si>
    <t xml:space="preserve">This can be removed </t>
  </si>
  <si>
    <t xml:space="preserve">S2 License </t>
  </si>
  <si>
    <t>Office 365</t>
  </si>
  <si>
    <t>Room Alert maintenance</t>
  </si>
  <si>
    <t>Site24x7 monitoring</t>
  </si>
  <si>
    <t>Software purchases upgrades NitroPro PDF</t>
  </si>
  <si>
    <t>Veeam backup solution</t>
  </si>
  <si>
    <t>Zoho One</t>
  </si>
  <si>
    <t>Zoho creator portal users</t>
  </si>
  <si>
    <t>6290-Business Insurance</t>
  </si>
  <si>
    <t>6810-Debt Services</t>
  </si>
  <si>
    <t>8010-Computer Capital (Over $5,000)</t>
  </si>
  <si>
    <t>Upgrade License (usually every other year)</t>
  </si>
  <si>
    <t>Sql Server License</t>
  </si>
  <si>
    <t>Server Hardware</t>
  </si>
  <si>
    <t>Server Operating System</t>
  </si>
  <si>
    <t>8020-Furniture and Fixtures (Over $5,000)</t>
  </si>
  <si>
    <t>6310-ARB - Contract Labor</t>
  </si>
  <si>
    <t>6 Alternate members would need to attend training</t>
  </si>
  <si>
    <t>6320-ARB - Supplies</t>
  </si>
  <si>
    <t>Misc Supplies--Pens, Pencils, Writing Tablets, Name plates, kleenex</t>
  </si>
  <si>
    <t>Paper towels (a case)</t>
  </si>
  <si>
    <t>6330-ARB - Services</t>
  </si>
  <si>
    <t>ARB Domain for Office 365 Accounts (unique email addresses)</t>
  </si>
  <si>
    <t xml:space="preserve">Envelopes - special (6x9.5) for NoH ltrs (1,000/bx) </t>
  </si>
  <si>
    <t>ARB Ad - Community Impact paper</t>
  </si>
  <si>
    <t>Comptroller Taxpayer Rights &amp; Remedies &amp; Insert for Notice of Hearing ltrs</t>
  </si>
  <si>
    <t>6340-ARB - Training/Seminars</t>
  </si>
  <si>
    <t>Now free online</t>
  </si>
  <si>
    <t>6350-ARB - Litigation</t>
  </si>
  <si>
    <t xml:space="preserve">Litigation </t>
  </si>
  <si>
    <t>ARB Attorney Workshop</t>
  </si>
  <si>
    <t>Contract Labor</t>
  </si>
  <si>
    <t>Forms &amp; Printing</t>
  </si>
  <si>
    <t>Training/Seminars</t>
  </si>
  <si>
    <t>Litigation</t>
  </si>
  <si>
    <t>Williamson Central Appraisal District</t>
  </si>
  <si>
    <t>Budget Expenditures</t>
  </si>
  <si>
    <r>
      <rPr>
        <sz val="12"/>
        <color rgb="FF009900"/>
        <rFont val="Arial"/>
        <family val="2"/>
      </rPr>
      <t>Increase</t>
    </r>
    <r>
      <rPr>
        <sz val="12"/>
        <color theme="0"/>
        <rFont val="Arial"/>
        <family val="2"/>
      </rPr>
      <t xml:space="preserve"> or </t>
    </r>
    <r>
      <rPr>
        <sz val="12"/>
        <color rgb="FFFF0000"/>
        <rFont val="Arial"/>
        <family val="2"/>
      </rPr>
      <t>(Decrease)</t>
    </r>
  </si>
  <si>
    <t>Percent Variance</t>
  </si>
  <si>
    <t>Salaries</t>
  </si>
  <si>
    <t>Allowances</t>
  </si>
  <si>
    <t>Group Health</t>
  </si>
  <si>
    <t>Retirement</t>
  </si>
  <si>
    <t>Worker's Comp Insurance</t>
  </si>
  <si>
    <t>Social Security / Disability</t>
  </si>
  <si>
    <t>Office Supplies</t>
  </si>
  <si>
    <t>Postage</t>
  </si>
  <si>
    <t>Forms/Printing</t>
  </si>
  <si>
    <t>Janitorial Supplies</t>
  </si>
  <si>
    <t>Minor Equipment/Furniture</t>
  </si>
  <si>
    <t>Computer Supplies</t>
  </si>
  <si>
    <t>Professional Development</t>
  </si>
  <si>
    <t>Equipment Lease/Rental</t>
  </si>
  <si>
    <t>Utilities</t>
  </si>
  <si>
    <t>Building Repair &amp; Maint.</t>
  </si>
  <si>
    <t>TLO Expenses</t>
  </si>
  <si>
    <t>BOD Expenses</t>
  </si>
  <si>
    <t>Publications</t>
  </si>
  <si>
    <t>Contingency Emergency</t>
  </si>
  <si>
    <t>Consulting/Professional Services</t>
  </si>
  <si>
    <t>Maintenance Contracts</t>
  </si>
  <si>
    <t>Computer Services/Licenses</t>
  </si>
  <si>
    <t>Business Insurance</t>
  </si>
  <si>
    <t>Debt Service - Building</t>
  </si>
  <si>
    <t>Furniture &amp; Fixtures</t>
  </si>
  <si>
    <t>Fund Depreciation</t>
  </si>
  <si>
    <t>Subtotal Expenditures</t>
  </si>
  <si>
    <t>Total Expenditures</t>
  </si>
  <si>
    <t>Monies from Reserve</t>
  </si>
  <si>
    <t>Entity Allocations</t>
  </si>
  <si>
    <t>2026 done.  /// 1,450 SURVEYS AT $1.00 EACH.  MOST RECENT BUDGET ITEM FOR MAIL SERVICES WAS $0.91/LETTER.  THIS BUDGET REQUEST ADDS 10% TO THAT COST.</t>
  </si>
  <si>
    <t>2026 Done. //// SEE BUDGET LINE ITEM 6120-9</t>
  </si>
  <si>
    <r>
      <t xml:space="preserve">2026 Done /// RAQ - </t>
    </r>
    <r>
      <rPr>
        <sz val="11"/>
        <color rgb="FFFF0000"/>
        <rFont val="Calibri"/>
        <family val="2"/>
      </rPr>
      <t>we have been paying  $237.50/mo x 12 = $2,850 for the last three years.  ALN likes to keep their prices unchanged for a few years then drops a big increase all at once.  Last time was a 58% increase in 2023.</t>
    </r>
    <r>
      <rPr>
        <sz val="11"/>
        <color rgb="FF000000"/>
        <rFont val="Calibri"/>
        <family val="2"/>
      </rPr>
      <t xml:space="preserve">  Adding another 10% would cover a 62% increase for 2026.</t>
    </r>
  </si>
  <si>
    <t>2026 Done /// RAQ - 10% increase in October 2024 ($3,035.45).  Requesting 10% increase for 2026</t>
  </si>
  <si>
    <t>2026 DONE // RAQ - Next renewal WAS going to be Feb 28, 2025.  We used the subscription fee towards an additional costar license.  Last rate was $3,018.75 which is 5% increase from initial fee.  2025 Budget would cover another 5%+ increase.  So, no change to 2026.</t>
  </si>
  <si>
    <t>2026 DONE - RAQ //// We saw a big spike in cost for 2021 (over $12K).  Since then the highest year has been just under $8,300.  No change for 2026.</t>
  </si>
  <si>
    <t>2026 Done / RAQ  - this is changing to a subscription service at $1,300 per year in 2025.  Estimating 10% increase for 2026.</t>
  </si>
  <si>
    <t>2026  Done /// RAQ - Price increased $100 for 2024 from $545 to $649 (18%).  Requesting 20% increase for 2026.</t>
  </si>
  <si>
    <t>2026 done // RAQ - 2025 cost = $299.  Requesting 10% increase.</t>
  </si>
  <si>
    <t>CBRE Hotel Horizons</t>
  </si>
  <si>
    <t>2026 Done //// New for 2026 in place of Smith Travel Research.  Cost for Hotel Horizons was $615 in 4q24.  The current budget of $715 for Smith Travel Research should cover it.</t>
  </si>
  <si>
    <r>
      <t>2026 Done //</t>
    </r>
    <r>
      <rPr>
        <sz val="11"/>
        <color rgb="FFFF0000"/>
        <rFont val="Calibri"/>
        <family val="2"/>
      </rPr>
      <t xml:space="preserve">  Replacing this with CBRE Hotel Horizons for 2026</t>
    </r>
    <r>
      <rPr>
        <sz val="11"/>
        <color rgb="FF000000"/>
        <rFont val="Calibri"/>
        <family val="2"/>
      </rPr>
      <t xml:space="preserve">  </t>
    </r>
    <r>
      <rPr>
        <b/>
        <sz val="11"/>
        <color rgb="FFFF0000"/>
        <rFont val="Calibri"/>
        <family val="2"/>
      </rPr>
      <t>See Line 224</t>
    </r>
  </si>
  <si>
    <t xml:space="preserve">2026 Done //  Cost is only $150 for 2025.  Current budget should cover any increases for 2026.  No change.  </t>
  </si>
  <si>
    <r>
      <t xml:space="preserve">2026 Done /// RAQ - Signed 5 yr contract in 2025.  Monthly rates as follows:  </t>
    </r>
    <r>
      <rPr>
        <b/>
        <sz val="11"/>
        <color rgb="FF000000"/>
        <rFont val="Calibri"/>
        <family val="2"/>
      </rPr>
      <t>2025 $3,288.81</t>
    </r>
    <r>
      <rPr>
        <sz val="11"/>
        <color rgb="FF000000"/>
        <rFont val="Calibri"/>
        <family val="2"/>
      </rPr>
      <t xml:space="preserve">; </t>
    </r>
    <r>
      <rPr>
        <b/>
        <sz val="11"/>
        <color theme="4"/>
        <rFont val="Calibri"/>
        <family val="2"/>
      </rPr>
      <t>2026 $3732.80</t>
    </r>
    <r>
      <rPr>
        <sz val="11"/>
        <color rgb="FF000000"/>
        <rFont val="Calibri"/>
        <family val="2"/>
      </rPr>
      <t xml:space="preserve">; </t>
    </r>
    <r>
      <rPr>
        <b/>
        <sz val="11"/>
        <color theme="5"/>
        <rFont val="Calibri"/>
        <family val="2"/>
      </rPr>
      <t>2027 $39,19.44</t>
    </r>
    <r>
      <rPr>
        <sz val="11"/>
        <color rgb="FF000000"/>
        <rFont val="Calibri"/>
        <family val="2"/>
      </rPr>
      <t xml:space="preserve">; </t>
    </r>
    <r>
      <rPr>
        <b/>
        <sz val="11"/>
        <color rgb="FF00B050"/>
        <rFont val="Calibri"/>
        <family val="2"/>
      </rPr>
      <t>2028 $4,115.41</t>
    </r>
    <r>
      <rPr>
        <sz val="11"/>
        <color rgb="FF000000"/>
        <rFont val="Calibri"/>
        <family val="2"/>
      </rPr>
      <t xml:space="preserve">; </t>
    </r>
    <r>
      <rPr>
        <b/>
        <sz val="11"/>
        <color rgb="FF7030A0"/>
        <rFont val="Calibri"/>
        <family val="2"/>
      </rPr>
      <t>2029 $4,321.18</t>
    </r>
  </si>
  <si>
    <t>2026 Done /// RAQ - this went up 9% for 2025 but is lower than last year's budget.  No change for 2026.</t>
  </si>
  <si>
    <t>2026 Done //// RAQ - Cost going way up for 2025 as they now offer excel version of their data.  I am going to wipe out the 3rd quarter budget line item (6240-28) and add it to the 4th quarter line item (6240-29).</t>
  </si>
  <si>
    <t>Richard/Aaron/Alvin</t>
  </si>
  <si>
    <t xml:space="preserve">2026 Done  //  Budget request includes four additional licenses.  </t>
  </si>
  <si>
    <t>S:\Directors Managers\Shared\Appraisal\Commercial\Valuation Tools\CoStar\2025\CoStar 2025.xlsx</t>
  </si>
  <si>
    <t>Replacing</t>
  </si>
  <si>
    <t>Adding to the one below</t>
  </si>
  <si>
    <t>New</t>
  </si>
  <si>
    <t>Levin Associates (Senior Care Acquisition Book)</t>
  </si>
  <si>
    <t>NCOA reports X2 year- Tax office no longer pays for this</t>
  </si>
  <si>
    <t>Litigation Attorney</t>
  </si>
  <si>
    <t>2024 we spent $18,551.64</t>
  </si>
  <si>
    <t>2025 will be $71,792 - 2026 est is 77,888</t>
  </si>
  <si>
    <t>Alvin, Chris, Aaron M, Richard, Stephanie HD</t>
  </si>
  <si>
    <t>4 weeks = $88,493.25 / 2 weeks = $24,433.45</t>
  </si>
  <si>
    <t>2025 - rate 0.10%</t>
  </si>
  <si>
    <t>2025 - rate 19.00%</t>
  </si>
  <si>
    <t>Required Plan Rate (16.10%)</t>
  </si>
  <si>
    <t>Possibly delete</t>
  </si>
  <si>
    <t>Increase due to 2024 costs $15,960</t>
  </si>
  <si>
    <t>Auditor - 2026 Financials</t>
  </si>
  <si>
    <t>Commercial Auto Policy - Non Owned (2024 = $535)</t>
  </si>
  <si>
    <t>Errors &amp; Omission (2024 = $7,382)</t>
  </si>
  <si>
    <t>General Liability (2024 = $2,905)</t>
  </si>
  <si>
    <t>Crime (2024 = $600)</t>
  </si>
  <si>
    <t>Real &amp; Personal Property (2024 = $15,142)</t>
  </si>
  <si>
    <t>Cyber Liability (2024 = $1,875)</t>
  </si>
  <si>
    <t>2025 team</t>
  </si>
  <si>
    <r>
      <rPr>
        <sz val="10"/>
        <color rgb="FF6600CC"/>
        <rFont val="Arial"/>
        <family val="2"/>
      </rPr>
      <t xml:space="preserve"> DCannon (3),</t>
    </r>
    <r>
      <rPr>
        <sz val="10"/>
        <rFont val="Arial"/>
        <family val="2"/>
      </rPr>
      <t xml:space="preserve"> </t>
    </r>
    <r>
      <rPr>
        <sz val="10"/>
        <color rgb="FF6600CC"/>
        <rFont val="Arial"/>
        <family val="2"/>
      </rPr>
      <t xml:space="preserve"> LCurry (3),</t>
    </r>
    <r>
      <rPr>
        <sz val="10"/>
        <rFont val="Arial"/>
        <family val="2"/>
      </rPr>
      <t xml:space="preserve"> </t>
    </r>
    <r>
      <rPr>
        <sz val="10"/>
        <color rgb="FF6600CC"/>
        <rFont val="Arial"/>
        <family val="2"/>
      </rPr>
      <t xml:space="preserve">SHeimberg (3),  KIverson (3), AKahn (3), </t>
    </r>
    <r>
      <rPr>
        <sz val="10"/>
        <rFont val="Arial"/>
        <family val="2"/>
      </rPr>
      <t xml:space="preserve"> </t>
    </r>
    <r>
      <rPr>
        <sz val="10"/>
        <color rgb="FF6600CC"/>
        <rFont val="Arial"/>
        <family val="2"/>
      </rPr>
      <t>BOliver (4),</t>
    </r>
    <r>
      <rPr>
        <sz val="10"/>
        <rFont val="Arial"/>
        <family val="2"/>
      </rPr>
      <t xml:space="preserve"> </t>
    </r>
    <r>
      <rPr>
        <sz val="10"/>
        <color rgb="FF6600CC"/>
        <rFont val="Arial"/>
        <family val="2"/>
      </rPr>
      <t>HWilliams (4)</t>
    </r>
  </si>
  <si>
    <r>
      <rPr>
        <sz val="10"/>
        <color rgb="FF6600CC"/>
        <rFont val="Arial"/>
        <family val="2"/>
      </rPr>
      <t>RBaker (6)</t>
    </r>
    <r>
      <rPr>
        <sz val="10"/>
        <rFont val="Arial"/>
        <family val="2"/>
      </rPr>
      <t xml:space="preserve">, </t>
    </r>
    <r>
      <rPr>
        <sz val="10"/>
        <color rgb="FF6600CC"/>
        <rFont val="Arial"/>
        <family val="2"/>
      </rPr>
      <t xml:space="preserve"> MBonnette (5), AKoester (5), KPeterson (5), </t>
    </r>
    <r>
      <rPr>
        <sz val="10"/>
        <rFont val="Arial"/>
        <family val="2"/>
      </rPr>
      <t xml:space="preserve"> </t>
    </r>
    <r>
      <rPr>
        <sz val="10"/>
        <color rgb="FF6600CC"/>
        <rFont val="Arial"/>
        <family val="2"/>
      </rPr>
      <t>JStraach (6)</t>
    </r>
    <r>
      <rPr>
        <sz val="10"/>
        <rFont val="Arial"/>
        <family val="2"/>
      </rPr>
      <t xml:space="preserve">, </t>
    </r>
    <r>
      <rPr>
        <sz val="10"/>
        <color rgb="FF6600CC"/>
        <rFont val="Arial"/>
        <family val="2"/>
      </rPr>
      <t>CRuggiero (5)</t>
    </r>
  </si>
  <si>
    <t>ABenefield (1), SKlutz (1), MOMalley (1), PSchmuck (1), TTripulas (1)</t>
  </si>
  <si>
    <t>MParker (2)</t>
  </si>
  <si>
    <t>2022 Actual</t>
  </si>
  <si>
    <t>TAAD Seminar 6th BPP (Every other year)</t>
  </si>
  <si>
    <t>Have contract with STR  JWG</t>
  </si>
  <si>
    <r>
      <t>Sketch validation</t>
    </r>
    <r>
      <rPr>
        <i/>
        <sz val="11"/>
        <color rgb="FFFF0000"/>
        <rFont val="Calibri"/>
        <family val="2"/>
        <scheme val="minor"/>
      </rPr>
      <t xml:space="preserve"> </t>
    </r>
  </si>
  <si>
    <t>Did not work</t>
  </si>
  <si>
    <t>Price increase + new employees</t>
  </si>
  <si>
    <t>Ownwell ARB Hearings</t>
  </si>
  <si>
    <t>No longer need</t>
  </si>
  <si>
    <t>Hotel Franchise Fees</t>
  </si>
  <si>
    <t>2023 Actual</t>
  </si>
  <si>
    <t>CAG Samsung, STR Airplane Valuation</t>
  </si>
  <si>
    <t>BOD meetings</t>
  </si>
  <si>
    <t>Price increase</t>
  </si>
  <si>
    <t>Mostly online now</t>
  </si>
  <si>
    <t>Increased volume and trial settings</t>
  </si>
  <si>
    <t>Estimated price increase</t>
  </si>
  <si>
    <t xml:space="preserve">Increased volume </t>
  </si>
  <si>
    <t>ESRI Canada - Sketch Geo-reference for New Improvements</t>
  </si>
  <si>
    <t>1/6 of Sketches Validated every year per IAAO Standard</t>
  </si>
  <si>
    <t>Went with True Roll</t>
  </si>
  <si>
    <t>pool finder years: $304,759, non-pool finder years: $287,159.</t>
  </si>
  <si>
    <t xml:space="preserve">all picto srvcs in one contract
pool finder every 3 yrs ('27,'30…) </t>
  </si>
  <si>
    <t>Every 6 years-last done in 2024</t>
  </si>
  <si>
    <t xml:space="preserve">Misc. Office Supplies </t>
  </si>
  <si>
    <t>Misc. Correspondence Letters</t>
  </si>
  <si>
    <t>Misc. Mailing</t>
  </si>
  <si>
    <t>25.19 Notice - Printing Svc/Misc. Flats</t>
  </si>
  <si>
    <t>Misc.</t>
  </si>
  <si>
    <t>Misc. Equipment &amp; Furniture</t>
  </si>
  <si>
    <t>Misc. supplies</t>
  </si>
  <si>
    <t>AaronM/</t>
  </si>
  <si>
    <t>Misc. Membership Fees</t>
  </si>
  <si>
    <t>Misc. CA Business Expenses</t>
  </si>
  <si>
    <t>Misc. Seminars &amp; Conference</t>
  </si>
  <si>
    <t>A/C Maintenance + Monthly filter replacement for Air Handler</t>
  </si>
  <si>
    <t>Board of Directors Expenses  (Includes conferences, training, mileage, meals, supplies, etc.)</t>
  </si>
  <si>
    <t>Carahsoft Technology Corp</t>
  </si>
  <si>
    <t>Misc. Publications</t>
  </si>
  <si>
    <t>Price Waterhouse Corp - Real Estate Investor Survey</t>
  </si>
  <si>
    <t>2026 Done //// RAQ - Cost for 2025 went up to $849 before a $50 discount.  Estimating $900 for 2026 //// Cost going way up for 2025 as they now offer excel version of their data.  I am going to wipe out the 3rd quarter budget line item (6240-28) and add it to the 4th quarter line item (6240-29).</t>
  </si>
  <si>
    <t>added per Richard's email 4/24/2025…original cost is $2,797</t>
  </si>
  <si>
    <t>will most likely go down - we are still working on option</t>
  </si>
  <si>
    <t xml:space="preserve">This is sort of going away, we purchased all new Cisco Meraki equipment and purchased 10 year licenses for everything except the firewall, and wireless access points. All of those will be added to the IT reserve spreadsheet. Would like to move that money to the Vmware which went way up last year. </t>
  </si>
  <si>
    <t xml:space="preserve">This increase a huge amount do to the licensing change. In the past we purchased the largest servers we could afford because they didn't license the "cores"  which they do now, they also moved to a yearly license </t>
  </si>
  <si>
    <t>Please remove from budget, we are going to continue with TrueRoll. LML</t>
  </si>
  <si>
    <t xml:space="preserve">Misc. Field Apps/or software </t>
  </si>
  <si>
    <t>Misc. Software</t>
  </si>
  <si>
    <t>Advisory Project Support</t>
  </si>
  <si>
    <t xml:space="preserve">1st &amp; 2nd year - 100 meetings </t>
  </si>
  <si>
    <t>3rd &amp; 4th year - 100 meetings</t>
  </si>
  <si>
    <t>5th &amp; 6th year - 100 meetings</t>
  </si>
  <si>
    <t>ARB Secretary - $15.00 a day--1 member (100 days)</t>
  </si>
  <si>
    <t>ARB Chairperson $30.00 a day--1 member (100 days)</t>
  </si>
  <si>
    <t>2025 Texas Property Tax Code Books (2025 Legislative year)</t>
  </si>
  <si>
    <t>ARB notice of hearing, determination &amp; topline letters postage</t>
  </si>
  <si>
    <t>Comptroller ARB Advanced Seminar (31 members + 6 alt)</t>
  </si>
  <si>
    <t>Comptroller ARB Comprehensive Seminar (31 members + 6 alt)</t>
  </si>
  <si>
    <t xml:space="preserve">Tyler - ATP Software Maintenance </t>
  </si>
  <si>
    <t>Tyler - ATP Public Access for Appraisal</t>
  </si>
  <si>
    <t>Tyler - ATP GIS Advanced</t>
  </si>
  <si>
    <t>New appraisers added</t>
  </si>
  <si>
    <t>Increased number</t>
  </si>
  <si>
    <t>New employees</t>
  </si>
  <si>
    <t>4 res appraisers to deal w/Ownwell</t>
  </si>
  <si>
    <t>Car Allowance = $700 x 12 months x 45 employees x .95(usage)</t>
  </si>
  <si>
    <t>Zoey was added + new apprs</t>
  </si>
  <si>
    <t>est increase 15%</t>
  </si>
  <si>
    <t>Board Approved on September 11, 2026</t>
  </si>
  <si>
    <t>2026 Budget Approved</t>
  </si>
  <si>
    <t>2026 ARB Budget Approved</t>
  </si>
  <si>
    <t>2026 Budget</t>
  </si>
  <si>
    <t>2025 Budget Approved</t>
  </si>
  <si>
    <t xml:space="preserve">2026 Budget Approved </t>
  </si>
  <si>
    <t>2026 Approved Budget</t>
  </si>
  <si>
    <t>2026 Budget Approved - Supplies, Services, Capital Expenditures</t>
  </si>
  <si>
    <t>2026  Budget</t>
  </si>
  <si>
    <t>2026 Budget Approved - 3% Merit Recap (revised 09/02/2025)</t>
  </si>
  <si>
    <t>2026 Budget Approved - 3% Personnel</t>
  </si>
  <si>
    <t>2026 Approved Amount</t>
  </si>
  <si>
    <t xml:space="preserve"> 2026 Budget Approved - Appraisal Review Board (ARB)</t>
  </si>
  <si>
    <t>I would recommend 4 tops one for each dept since we do not use NADA like we once did</t>
  </si>
  <si>
    <t>24 sounds great!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</si>
</sst>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quot;$&quot;* #,##0_);_(&quot;$&quot;* \(#,##0\);_(&quot;$&quot;* &quot;-&quot;??_);_(@_)"/>
    <numFmt numFmtId="166" formatCode="_(* #,##0_);_(* \(#,##0\);_(* &quot;-&quot;??_);_(@_)"/>
    <numFmt numFmtId="167" formatCode="00000"/>
    <numFmt numFmtId="168" formatCode="&quot;$&quot;#,##0"/>
    <numFmt numFmtId="169" formatCode="&quot;$&quot;#,##0.000_);[Red]\(&quot;$&quot;#,##0.000\)"/>
    <numFmt numFmtId="170" formatCode="mm/dd/yyyy"/>
    <numFmt numFmtId="171" formatCode="#,##0.00;\-#,##0.00"/>
    <numFmt numFmtId="172" formatCode="_([$$-409]* #,##0_);_([$$-409]* \(#,##0\);_([$$-409]* &quot;-&quot;??_);_(@_)"/>
    <numFmt numFmtId="173" formatCode="0.0"/>
  </numFmts>
  <fonts count="119" x14ac:knownFonts="1">
    <font>
      <sz val="11"/>
      <color rgb="FF000000"/>
      <name val="Calibri"/>
    </font>
    <font>
      <b/>
      <sz val="11"/>
      <color rgb="FFFFFFFF"/>
      <name val="Calibri"/>
      <family val="2"/>
    </font>
    <font>
      <sz val="11"/>
      <color rgb="FFFF0000"/>
      <name val="Calibri"/>
      <family val="2"/>
    </font>
    <font>
      <sz val="11"/>
      <name val="Calibri"/>
      <family val="2"/>
    </font>
    <font>
      <b/>
      <sz val="11"/>
      <color rgb="FFFFFFFF"/>
      <name val="Arial"/>
      <family val="2"/>
    </font>
    <font>
      <sz val="10"/>
      <color rgb="FFFFFFFF"/>
      <name val="Arial"/>
      <family val="2"/>
    </font>
    <font>
      <sz val="10"/>
      <color rgb="FF4472C4"/>
      <name val="Arial"/>
      <family val="2"/>
    </font>
    <font>
      <b/>
      <sz val="15"/>
      <name val="Calibri"/>
      <family val="2"/>
    </font>
    <font>
      <sz val="11"/>
      <color rgb="FF00B050"/>
      <name val="Calibri"/>
      <family val="2"/>
    </font>
    <font>
      <b/>
      <i/>
      <sz val="8"/>
      <color rgb="FF000000"/>
      <name val="Calibri"/>
      <family val="2"/>
    </font>
    <font>
      <sz val="11"/>
      <color rgb="FF009900"/>
      <name val="Calibri"/>
      <family val="2"/>
    </font>
    <font>
      <sz val="10"/>
      <color rgb="FF000000"/>
      <name val="Arial"/>
      <family val="2"/>
    </font>
    <font>
      <b/>
      <i/>
      <sz val="7"/>
      <color rgb="FF000000"/>
      <name val="Arial"/>
      <family val="2"/>
    </font>
    <font>
      <sz val="10"/>
      <name val="Arial"/>
      <family val="2"/>
    </font>
    <font>
      <b/>
      <sz val="8"/>
      <name val="Calibri"/>
      <family val="2"/>
    </font>
    <font>
      <b/>
      <sz val="11"/>
      <name val="Calibri"/>
      <family val="2"/>
    </font>
    <font>
      <b/>
      <sz val="11"/>
      <color rgb="FF00B050"/>
      <name val="Calibri"/>
      <family val="2"/>
    </font>
    <font>
      <b/>
      <sz val="11"/>
      <color rgb="FF000000"/>
      <name val="Calibri"/>
      <family val="2"/>
    </font>
    <font>
      <b/>
      <u/>
      <sz val="11"/>
      <name val="Calibri"/>
      <family val="2"/>
    </font>
    <font>
      <i/>
      <sz val="11"/>
      <name val="Calibri"/>
      <family val="2"/>
    </font>
    <font>
      <b/>
      <sz val="8"/>
      <color rgb="FF000000"/>
      <name val="Calibri"/>
      <family val="2"/>
    </font>
    <font>
      <sz val="11"/>
      <color rgb="FFFF0000"/>
      <name val="Arial"/>
      <family val="2"/>
    </font>
    <font>
      <sz val="11"/>
      <name val="Arial"/>
      <family val="2"/>
    </font>
    <font>
      <i/>
      <sz val="8"/>
      <color rgb="FF000000"/>
      <name val="Calibri"/>
      <family val="2"/>
    </font>
    <font>
      <b/>
      <i/>
      <sz val="8"/>
      <name val="Arial"/>
      <family val="2"/>
    </font>
    <font>
      <b/>
      <sz val="10"/>
      <name val="Arial"/>
      <family val="2"/>
    </font>
    <font>
      <sz val="11"/>
      <color rgb="FF4472C4"/>
      <name val="Calibri"/>
      <family val="2"/>
    </font>
    <font>
      <b/>
      <sz val="15"/>
      <color rgb="FFFFFFFF"/>
      <name val="Calibri"/>
      <family val="2"/>
    </font>
    <font>
      <sz val="8"/>
      <name val="Calibri"/>
      <family val="2"/>
    </font>
    <font>
      <strike/>
      <sz val="11"/>
      <name val="Calibri"/>
      <family val="2"/>
    </font>
    <font>
      <b/>
      <sz val="11"/>
      <color rgb="FFFF0000"/>
      <name val="Calibri"/>
      <family val="2"/>
    </font>
    <font>
      <b/>
      <sz val="8"/>
      <name val="Arial"/>
      <family val="2"/>
    </font>
    <font>
      <sz val="10"/>
      <name val="Calibri"/>
      <family val="2"/>
    </font>
    <font>
      <b/>
      <sz val="10"/>
      <color rgb="FF000000"/>
      <name val="Arial"/>
      <family val="2"/>
    </font>
    <font>
      <sz val="10"/>
      <color rgb="FF009900"/>
      <name val="Arial"/>
      <family val="2"/>
    </font>
    <font>
      <b/>
      <sz val="22"/>
      <color rgb="FF000000"/>
      <name val="Calibri"/>
      <family val="2"/>
    </font>
    <font>
      <i/>
      <sz val="8"/>
      <name val="Calibri"/>
      <family val="2"/>
    </font>
    <font>
      <b/>
      <sz val="11"/>
      <color rgb="FF009900"/>
      <name val="Calibri"/>
      <family val="2"/>
    </font>
    <font>
      <sz val="11"/>
      <name val="Calibri"/>
      <family val="2"/>
    </font>
    <font>
      <sz val="11"/>
      <color rgb="FF000000"/>
      <name val="Calibri"/>
      <family val="2"/>
    </font>
    <font>
      <b/>
      <sz val="8"/>
      <name val="Calibri"/>
      <family val="2"/>
      <scheme val="minor"/>
    </font>
    <font>
      <sz val="11"/>
      <color rgb="FF000000"/>
      <name val="Calibri"/>
      <family val="2"/>
    </font>
    <font>
      <sz val="11"/>
      <color theme="0" tint="-0.499984740745262"/>
      <name val="Calibri"/>
      <family val="2"/>
    </font>
    <font>
      <sz val="10"/>
      <color rgb="FF000000"/>
      <name val="Calibri"/>
      <family val="2"/>
      <scheme val="minor"/>
    </font>
    <font>
      <b/>
      <i/>
      <sz val="8"/>
      <color rgb="FF000000"/>
      <name val="Calibri"/>
      <family val="2"/>
      <scheme val="minor"/>
    </font>
    <font>
      <b/>
      <sz val="8"/>
      <color rgb="FF000000"/>
      <name val="Calibri"/>
      <family val="2"/>
      <scheme val="minor"/>
    </font>
    <font>
      <b/>
      <sz val="10"/>
      <color rgb="FF000000"/>
      <name val="Calibri"/>
      <family val="2"/>
      <scheme val="minor"/>
    </font>
    <font>
      <sz val="11"/>
      <color rgb="FF000000"/>
      <name val="Calibri"/>
      <family val="2"/>
    </font>
    <font>
      <sz val="8"/>
      <color rgb="FF000000"/>
      <name val="Arial"/>
      <family val="2"/>
    </font>
    <font>
      <b/>
      <sz val="8"/>
      <color rgb="FF444444"/>
      <name val="Calibri"/>
      <family val="2"/>
    </font>
    <font>
      <b/>
      <sz val="20"/>
      <color rgb="FF000000"/>
      <name val="Calibri"/>
      <family val="2"/>
    </font>
    <font>
      <b/>
      <sz val="11"/>
      <color theme="0"/>
      <name val="Calibri"/>
      <family val="2"/>
    </font>
    <font>
      <sz val="11"/>
      <color theme="1"/>
      <name val="Calibri"/>
      <family val="2"/>
    </font>
    <font>
      <b/>
      <sz val="11"/>
      <color theme="1"/>
      <name val="Calibri"/>
      <family val="2"/>
    </font>
    <font>
      <sz val="11"/>
      <color rgb="FF7030A0"/>
      <name val="Calibri"/>
      <family val="2"/>
    </font>
    <font>
      <sz val="10"/>
      <color rgb="FFFF0000"/>
      <name val="Arial"/>
      <family val="2"/>
    </font>
    <font>
      <sz val="11"/>
      <color rgb="FF000000"/>
      <name val="Arial"/>
      <family val="2"/>
    </font>
    <font>
      <b/>
      <sz val="16"/>
      <color rgb="FF000000"/>
      <name val="Calibri"/>
      <family val="2"/>
    </font>
    <font>
      <b/>
      <sz val="11"/>
      <color theme="1"/>
      <name val="Calibri"/>
      <family val="2"/>
      <scheme val="minor"/>
    </font>
    <font>
      <b/>
      <sz val="28"/>
      <color theme="1"/>
      <name val="Calibri"/>
      <family val="2"/>
      <scheme val="minor"/>
    </font>
    <font>
      <b/>
      <sz val="18"/>
      <color theme="1"/>
      <name val="Calibri"/>
      <family val="2"/>
      <scheme val="minor"/>
    </font>
    <font>
      <sz val="11"/>
      <color theme="1"/>
      <name val="Arial"/>
      <family val="2"/>
    </font>
    <font>
      <sz val="12"/>
      <name val="Arial"/>
      <family val="2"/>
    </font>
    <font>
      <sz val="12"/>
      <color theme="1"/>
      <name val="Arial"/>
      <family val="2"/>
    </font>
    <font>
      <sz val="12"/>
      <color rgb="FF008000"/>
      <name val="Arial"/>
      <family val="2"/>
    </font>
    <font>
      <sz val="12"/>
      <color rgb="FFFF0000"/>
      <name val="Arial"/>
      <family val="2"/>
    </font>
    <font>
      <b/>
      <sz val="12"/>
      <color theme="1"/>
      <name val="Arial"/>
      <family val="2"/>
    </font>
    <font>
      <b/>
      <sz val="12"/>
      <color rgb="FF008000"/>
      <name val="Arial"/>
      <family val="2"/>
    </font>
    <font>
      <b/>
      <sz val="11"/>
      <color theme="1"/>
      <name val="Arial"/>
      <family val="2"/>
    </font>
    <font>
      <sz val="10"/>
      <name val="Arial"/>
      <family val="2"/>
    </font>
    <font>
      <u/>
      <sz val="11"/>
      <color theme="10"/>
      <name val="Calibri"/>
      <family val="2"/>
    </font>
    <font>
      <sz val="11"/>
      <color rgb="FFFF0000"/>
      <name val="Calibri"/>
      <family val="2"/>
      <scheme val="minor"/>
    </font>
    <font>
      <sz val="11"/>
      <color rgb="FF000000"/>
      <name val="Calibri"/>
      <family val="2"/>
      <scheme val="minor"/>
    </font>
    <font>
      <sz val="11"/>
      <name val="Calibri"/>
      <family val="2"/>
      <scheme val="minor"/>
    </font>
    <font>
      <sz val="11"/>
      <color rgb="FF009900"/>
      <name val="Calibri"/>
      <family val="2"/>
      <scheme val="minor"/>
    </font>
    <font>
      <sz val="11"/>
      <color rgb="FF00B050"/>
      <name val="Calibri"/>
      <family val="2"/>
      <scheme val="minor"/>
    </font>
    <font>
      <b/>
      <sz val="11"/>
      <color rgb="FF009900"/>
      <name val="Calibri"/>
      <family val="2"/>
      <scheme val="minor"/>
    </font>
    <font>
      <b/>
      <sz val="11"/>
      <color rgb="FF00B050"/>
      <name val="Calibri"/>
      <family val="2"/>
      <scheme val="minor"/>
    </font>
    <font>
      <b/>
      <sz val="11"/>
      <name val="Calibri"/>
      <family val="2"/>
      <scheme val="minor"/>
    </font>
    <font>
      <sz val="8"/>
      <color rgb="FF000000"/>
      <name val="Calibri"/>
      <family val="2"/>
      <scheme val="minor"/>
    </font>
    <font>
      <b/>
      <sz val="11"/>
      <color rgb="FFFFFFFF"/>
      <name val="Calibri"/>
      <family val="2"/>
      <scheme val="minor"/>
    </font>
    <font>
      <b/>
      <i/>
      <sz val="8"/>
      <name val="Calibri"/>
      <family val="2"/>
      <scheme val="minor"/>
    </font>
    <font>
      <sz val="8"/>
      <name val="Calibri"/>
      <family val="2"/>
      <scheme val="minor"/>
    </font>
    <font>
      <b/>
      <u/>
      <sz val="11"/>
      <name val="Calibri"/>
      <family val="2"/>
      <scheme val="minor"/>
    </font>
    <font>
      <b/>
      <sz val="11"/>
      <color rgb="FF000000"/>
      <name val="Calibri"/>
      <family val="2"/>
      <scheme val="minor"/>
    </font>
    <font>
      <i/>
      <sz val="11"/>
      <name val="Calibri"/>
      <family val="2"/>
      <scheme val="minor"/>
    </font>
    <font>
      <b/>
      <sz val="8"/>
      <color rgb="FFFFFFFF"/>
      <name val="Calibri"/>
      <family val="2"/>
      <scheme val="minor"/>
    </font>
    <font>
      <b/>
      <i/>
      <sz val="8"/>
      <color rgb="FFFF0000"/>
      <name val="Calibri"/>
      <family val="2"/>
      <scheme val="minor"/>
    </font>
    <font>
      <b/>
      <strike/>
      <sz val="11"/>
      <name val="Calibri"/>
      <family val="2"/>
      <scheme val="minor"/>
    </font>
    <font>
      <strike/>
      <sz val="11"/>
      <color rgb="FFFF0000"/>
      <name val="Calibri"/>
      <family val="2"/>
      <scheme val="minor"/>
    </font>
    <font>
      <strike/>
      <sz val="11"/>
      <name val="Calibri"/>
      <family val="2"/>
      <scheme val="minor"/>
    </font>
    <font>
      <b/>
      <sz val="11"/>
      <color rgb="FFFF0000"/>
      <name val="Calibri"/>
      <family val="2"/>
      <scheme val="minor"/>
    </font>
    <font>
      <b/>
      <i/>
      <sz val="8"/>
      <color theme="1"/>
      <name val="Calibri"/>
      <family val="2"/>
      <scheme val="minor"/>
    </font>
    <font>
      <i/>
      <sz val="8"/>
      <name val="Calibri"/>
      <family val="2"/>
      <scheme val="minor"/>
    </font>
    <font>
      <b/>
      <i/>
      <strike/>
      <sz val="8"/>
      <name val="Calibri"/>
      <family val="2"/>
      <scheme val="minor"/>
    </font>
    <font>
      <i/>
      <sz val="8"/>
      <color rgb="FF000000"/>
      <name val="Calibri"/>
      <family val="2"/>
      <scheme val="minor"/>
    </font>
    <font>
      <b/>
      <i/>
      <sz val="8"/>
      <color rgb="FFFFFFFF"/>
      <name val="Calibri"/>
      <family val="2"/>
      <scheme val="minor"/>
    </font>
    <font>
      <i/>
      <sz val="10"/>
      <name val="Calibri"/>
      <family val="2"/>
      <scheme val="minor"/>
    </font>
    <font>
      <i/>
      <sz val="11"/>
      <color rgb="FF000000"/>
      <name val="Calibri"/>
      <family val="2"/>
      <scheme val="minor"/>
    </font>
    <font>
      <sz val="8"/>
      <name val="Calibri"/>
      <family val="2"/>
    </font>
    <font>
      <b/>
      <i/>
      <sz val="8"/>
      <color rgb="FF444444"/>
      <name val="Calibri"/>
      <family val="2"/>
      <scheme val="minor"/>
    </font>
    <font>
      <i/>
      <sz val="11"/>
      <color rgb="FFFF0000"/>
      <name val="Calibri"/>
      <family val="2"/>
      <scheme val="minor"/>
    </font>
    <font>
      <sz val="12"/>
      <color theme="0"/>
      <name val="Arial"/>
      <family val="2"/>
    </font>
    <font>
      <sz val="12"/>
      <color rgb="FF009900"/>
      <name val="Arial"/>
      <family val="2"/>
    </font>
    <font>
      <b/>
      <u/>
      <sz val="11"/>
      <color rgb="FF000000"/>
      <name val="Calibri"/>
      <family val="2"/>
    </font>
    <font>
      <b/>
      <sz val="11"/>
      <color rgb="FF00B050"/>
      <name val="Arial"/>
      <family val="2"/>
    </font>
    <font>
      <b/>
      <sz val="11"/>
      <color rgb="FFFF0000"/>
      <name val="Arial"/>
      <family val="2"/>
    </font>
    <font>
      <sz val="11"/>
      <color rgb="FF444444"/>
      <name val="Calibri"/>
      <family val="2"/>
      <charset val="1"/>
    </font>
    <font>
      <sz val="11"/>
      <color theme="1"/>
      <name val="Calibri"/>
      <family val="2"/>
      <scheme val="minor"/>
    </font>
    <font>
      <sz val="11"/>
      <color theme="0"/>
      <name val="Calibri"/>
      <family val="2"/>
    </font>
    <font>
      <b/>
      <sz val="15"/>
      <color theme="0"/>
      <name val="Calibri"/>
      <family val="2"/>
    </font>
    <font>
      <sz val="10"/>
      <color theme="1"/>
      <name val="Calibri"/>
      <family val="2"/>
      <scheme val="minor"/>
    </font>
    <font>
      <b/>
      <strike/>
      <sz val="8"/>
      <name val="Calibri"/>
      <family val="2"/>
    </font>
    <font>
      <b/>
      <sz val="8"/>
      <color rgb="FFFFFF00"/>
      <name val="Calibri"/>
      <family val="2"/>
    </font>
    <font>
      <b/>
      <sz val="11"/>
      <color theme="4"/>
      <name val="Calibri"/>
      <family val="2"/>
    </font>
    <font>
      <b/>
      <sz val="11"/>
      <color theme="5"/>
      <name val="Calibri"/>
      <family val="2"/>
    </font>
    <font>
      <b/>
      <sz val="11"/>
      <color rgb="FF7030A0"/>
      <name val="Calibri"/>
      <family val="2"/>
    </font>
    <font>
      <sz val="10"/>
      <color rgb="FF6600CC"/>
      <name val="Arial"/>
      <family val="2"/>
    </font>
    <font>
      <sz val="11"/>
      <color rgb="FF6600CC"/>
      <name val="Calibri"/>
      <family val="2"/>
    </font>
  </fonts>
  <fills count="25">
    <fill>
      <patternFill patternType="none"/>
    </fill>
    <fill>
      <patternFill patternType="gray125"/>
    </fill>
    <fill>
      <patternFill patternType="solid">
        <fgColor rgb="FFD8D8D8"/>
        <bgColor rgb="FFD8D8D8"/>
      </patternFill>
    </fill>
    <fill>
      <patternFill patternType="solid">
        <fgColor rgb="FFFFFFFF"/>
        <bgColor rgb="FFFFFFFF"/>
      </patternFill>
    </fill>
    <fill>
      <patternFill patternType="solid">
        <fgColor theme="0" tint="-0.14999847407452621"/>
        <bgColor indexed="64"/>
      </patternFill>
    </fill>
    <fill>
      <patternFill patternType="solid">
        <fgColor theme="0" tint="-0.14999847407452621"/>
        <bgColor rgb="FFD8D8D8"/>
      </patternFill>
    </fill>
    <fill>
      <patternFill patternType="solid">
        <fgColor rgb="FFD9D9D9"/>
        <bgColor indexed="64"/>
      </patternFill>
    </fill>
    <fill>
      <patternFill patternType="solid">
        <fgColor theme="0" tint="-0.14999847407452621"/>
        <bgColor theme="0" tint="-0.14999847407452621"/>
      </patternFill>
    </fill>
    <fill>
      <patternFill patternType="solid">
        <fgColor theme="1"/>
        <bgColor rgb="FF741B47"/>
      </patternFill>
    </fill>
    <fill>
      <patternFill patternType="solid">
        <fgColor theme="5"/>
        <bgColor rgb="FF5B9BD5"/>
      </patternFill>
    </fill>
    <fill>
      <patternFill patternType="solid">
        <fgColor theme="5" tint="0.79998168889431442"/>
        <bgColor rgb="FF9CC2E5"/>
      </patternFill>
    </fill>
    <fill>
      <patternFill patternType="solid">
        <fgColor theme="5" tint="0.79998168889431442"/>
        <bgColor indexed="64"/>
      </patternFill>
    </fill>
    <fill>
      <patternFill patternType="solid">
        <fgColor theme="5"/>
        <bgColor indexed="64"/>
      </patternFill>
    </fill>
    <fill>
      <patternFill patternType="solid">
        <fgColor rgb="FFFFFF00"/>
        <bgColor indexed="64"/>
      </patternFill>
    </fill>
    <fill>
      <patternFill patternType="solid">
        <fgColor theme="5"/>
        <bgColor rgb="FF741B47"/>
      </patternFill>
    </fill>
    <fill>
      <patternFill patternType="solid">
        <fgColor theme="1"/>
        <bgColor indexed="64"/>
      </patternFill>
    </fill>
    <fill>
      <patternFill patternType="solid">
        <fgColor rgb="FFFF0000"/>
        <bgColor indexed="64"/>
      </patternFill>
    </fill>
    <fill>
      <patternFill patternType="solid">
        <fgColor theme="5" tint="-0.249977111117893"/>
        <bgColor rgb="FF741B47"/>
      </patternFill>
    </fill>
    <fill>
      <patternFill patternType="solid">
        <fgColor theme="5" tint="0.39997558519241921"/>
        <bgColor indexed="64"/>
      </patternFill>
    </fill>
    <fill>
      <patternFill patternType="solid">
        <fgColor theme="9" tint="0.39997558519241921"/>
        <bgColor rgb="FF5B9BD5"/>
      </patternFill>
    </fill>
    <fill>
      <patternFill patternType="solid">
        <fgColor theme="9" tint="0.39997558519241921"/>
        <bgColor indexed="64"/>
      </patternFill>
    </fill>
    <fill>
      <patternFill patternType="solid">
        <fgColor theme="1" tint="0.499984740745262"/>
        <bgColor rgb="FF9CC2E5"/>
      </patternFill>
    </fill>
    <fill>
      <patternFill patternType="solid">
        <fgColor theme="1" tint="0.499984740745262"/>
        <bgColor indexed="64"/>
      </patternFill>
    </fill>
    <fill>
      <patternFill patternType="solid">
        <fgColor theme="2"/>
        <bgColor indexed="64"/>
      </patternFill>
    </fill>
    <fill>
      <patternFill patternType="solid">
        <fgColor theme="9" tint="0.39997558519241921"/>
        <bgColor rgb="FF741B47"/>
      </patternFill>
    </fill>
  </fills>
  <borders count="43">
    <border>
      <left/>
      <right/>
      <top/>
      <bottom/>
      <diagonal/>
    </border>
    <border>
      <left style="thin">
        <color rgb="FFB2A1C7"/>
      </left>
      <right/>
      <top style="thin">
        <color rgb="FFB2A1C7"/>
      </top>
      <bottom/>
      <diagonal/>
    </border>
    <border>
      <left/>
      <right/>
      <top style="thin">
        <color rgb="FFB2A1C7"/>
      </top>
      <bottom/>
      <diagonal/>
    </border>
    <border>
      <left/>
      <right style="thin">
        <color rgb="FFB2A1C7"/>
      </right>
      <top style="thin">
        <color rgb="FFB2A1C7"/>
      </top>
      <bottom/>
      <diagonal/>
    </border>
    <border>
      <left/>
      <right/>
      <top/>
      <bottom style="thin">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top/>
      <bottom/>
      <diagonal/>
    </border>
    <border>
      <left style="thin">
        <color rgb="FFDBE5F1"/>
      </left>
      <right style="thin">
        <color rgb="FFDBE5F1"/>
      </right>
      <top style="thin">
        <color rgb="FFDBE5F1"/>
      </top>
      <bottom style="thin">
        <color rgb="FFDBE5F1"/>
      </bottom>
      <diagonal/>
    </border>
    <border>
      <left/>
      <right/>
      <top style="thin">
        <color rgb="FF000000"/>
      </top>
      <bottom/>
      <diagonal/>
    </border>
    <border>
      <left style="medium">
        <color rgb="FF000000"/>
      </left>
      <right style="medium">
        <color rgb="FF000000"/>
      </right>
      <top style="medium">
        <color rgb="FF000000"/>
      </top>
      <bottom style="medium">
        <color rgb="FF000000"/>
      </bottom>
      <diagonal/>
    </border>
    <border>
      <left/>
      <right/>
      <top style="thin">
        <color rgb="FF000000"/>
      </top>
      <bottom style="double">
        <color rgb="FF000000"/>
      </bottom>
      <diagonal/>
    </border>
    <border>
      <left/>
      <right/>
      <top/>
      <bottom style="thin">
        <color indexed="64"/>
      </bottom>
      <diagonal/>
    </border>
    <border>
      <left/>
      <right/>
      <top style="thin">
        <color indexed="64"/>
      </top>
      <bottom style="thin">
        <color indexed="64"/>
      </bottom>
      <diagonal/>
    </border>
    <border>
      <left/>
      <right style="thick">
        <color auto="1"/>
      </right>
      <top style="thick">
        <color auto="1"/>
      </top>
      <bottom style="thick">
        <color auto="1"/>
      </bottom>
      <diagonal/>
    </border>
    <border>
      <left/>
      <right/>
      <top style="thin">
        <color indexed="64"/>
      </top>
      <bottom style="double">
        <color indexed="64"/>
      </bottom>
      <diagonal/>
    </border>
    <border>
      <left/>
      <right/>
      <top style="thin">
        <color indexed="64"/>
      </top>
      <bottom/>
      <diagonal/>
    </border>
    <border>
      <left/>
      <right/>
      <top style="thick">
        <color auto="1"/>
      </top>
      <bottom style="thick">
        <color auto="1"/>
      </bottom>
      <diagonal/>
    </border>
    <border>
      <left/>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diagonal/>
    </border>
    <border>
      <left/>
      <right style="thin">
        <color theme="1"/>
      </right>
      <top style="thin">
        <color theme="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rgb="FFB2A1C7"/>
      </bottom>
      <diagonal/>
    </border>
    <border>
      <left style="thin">
        <color theme="5"/>
      </left>
      <right/>
      <top style="thin">
        <color theme="5"/>
      </top>
      <bottom style="thin">
        <color theme="5"/>
      </bottom>
      <diagonal/>
    </border>
    <border>
      <left/>
      <right/>
      <top style="thin">
        <color theme="5"/>
      </top>
      <bottom style="thin">
        <color theme="5"/>
      </bottom>
      <diagonal/>
    </border>
    <border>
      <left/>
      <right style="thin">
        <color theme="5"/>
      </right>
      <top style="thin">
        <color theme="5"/>
      </top>
      <bottom style="thin">
        <color theme="5"/>
      </bottom>
      <diagonal/>
    </border>
    <border>
      <left/>
      <right style="thin">
        <color theme="5"/>
      </right>
      <top/>
      <bottom/>
      <diagonal/>
    </border>
    <border>
      <left style="thin">
        <color theme="5"/>
      </left>
      <right/>
      <top/>
      <bottom/>
      <diagonal/>
    </border>
    <border>
      <left/>
      <right/>
      <top style="medium">
        <color theme="1"/>
      </top>
      <bottom style="medium">
        <color theme="1"/>
      </bottom>
      <diagonal/>
    </border>
    <border>
      <left/>
      <right/>
      <top style="double">
        <color indexed="64"/>
      </top>
      <bottom/>
      <diagonal/>
    </border>
    <border>
      <left/>
      <right/>
      <top/>
      <bottom style="double">
        <color indexed="64"/>
      </bottom>
      <diagonal/>
    </border>
    <border>
      <left/>
      <right/>
      <top/>
      <bottom style="double">
        <color rgb="FF000000"/>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9">
    <xf numFmtId="0" fontId="0" fillId="0" borderId="0"/>
    <xf numFmtId="43" fontId="41" fillId="0" borderId="0" applyFont="0" applyFill="0" applyBorder="0" applyAlignment="0" applyProtection="0"/>
    <xf numFmtId="44" fontId="41" fillId="0" borderId="0" applyFont="0" applyFill="0" applyBorder="0" applyAlignment="0" applyProtection="0"/>
    <xf numFmtId="9" fontId="47" fillId="0" borderId="0" applyFont="0" applyFill="0" applyBorder="0" applyAlignment="0" applyProtection="0"/>
    <xf numFmtId="0" fontId="13" fillId="0" borderId="7"/>
    <xf numFmtId="44" fontId="13" fillId="0" borderId="7" applyFont="0" applyFill="0" applyBorder="0" applyAlignment="0" applyProtection="0"/>
    <xf numFmtId="0" fontId="13" fillId="0" borderId="7"/>
    <xf numFmtId="0" fontId="69" fillId="0" borderId="7"/>
    <xf numFmtId="0" fontId="70" fillId="0" borderId="0" applyNumberFormat="0" applyFill="0" applyBorder="0" applyAlignment="0" applyProtection="0"/>
  </cellStyleXfs>
  <cellXfs count="1128">
    <xf numFmtId="0" fontId="0" fillId="0" borderId="0" xfId="0"/>
    <xf numFmtId="0" fontId="2" fillId="0" borderId="0" xfId="0" applyFont="1"/>
    <xf numFmtId="0" fontId="6" fillId="0" borderId="0" xfId="0" applyFont="1"/>
    <xf numFmtId="0" fontId="3" fillId="0" borderId="0" xfId="0" applyFont="1"/>
    <xf numFmtId="165" fontId="3" fillId="0" borderId="0" xfId="0" applyNumberFormat="1" applyFont="1"/>
    <xf numFmtId="165" fontId="0" fillId="0" borderId="0" xfId="0" applyNumberFormat="1"/>
    <xf numFmtId="165" fontId="2" fillId="0" borderId="0" xfId="0" applyNumberFormat="1" applyFont="1"/>
    <xf numFmtId="8" fontId="6" fillId="0" borderId="0" xfId="0" applyNumberFormat="1" applyFont="1"/>
    <xf numFmtId="167" fontId="3" fillId="0" borderId="0" xfId="0" applyNumberFormat="1" applyFont="1"/>
    <xf numFmtId="167" fontId="3" fillId="0" borderId="0" xfId="0" applyNumberFormat="1" applyFont="1" applyAlignment="1">
      <alignment horizontal="center"/>
    </xf>
    <xf numFmtId="6" fontId="10" fillId="0" borderId="0" xfId="0" applyNumberFormat="1" applyFont="1"/>
    <xf numFmtId="6" fontId="3" fillId="0" borderId="0" xfId="0" applyNumberFormat="1" applyFont="1"/>
    <xf numFmtId="166" fontId="6" fillId="0" borderId="0" xfId="0" applyNumberFormat="1" applyFont="1"/>
    <xf numFmtId="0" fontId="11" fillId="0" borderId="0" xfId="0" applyFont="1"/>
    <xf numFmtId="167" fontId="3" fillId="0" borderId="0" xfId="0" applyNumberFormat="1" applyFont="1" applyAlignment="1">
      <alignment horizontal="left"/>
    </xf>
    <xf numFmtId="6" fontId="3" fillId="0" borderId="0" xfId="0" applyNumberFormat="1" applyFont="1" applyAlignment="1">
      <alignment horizontal="right"/>
    </xf>
    <xf numFmtId="6" fontId="0" fillId="0" borderId="0" xfId="0" applyNumberFormat="1" applyAlignment="1">
      <alignment horizontal="right"/>
    </xf>
    <xf numFmtId="167" fontId="13" fillId="0" borderId="0" xfId="0" applyNumberFormat="1" applyFont="1" applyAlignment="1">
      <alignment horizontal="center" vertical="top"/>
    </xf>
    <xf numFmtId="167" fontId="14" fillId="0" borderId="0" xfId="0" applyNumberFormat="1" applyFont="1" applyAlignment="1">
      <alignment horizontal="right"/>
    </xf>
    <xf numFmtId="167" fontId="14" fillId="0" borderId="0" xfId="0" applyNumberFormat="1" applyFont="1" applyAlignment="1">
      <alignment horizontal="center"/>
    </xf>
    <xf numFmtId="10" fontId="10" fillId="0" borderId="0" xfId="0" applyNumberFormat="1" applyFont="1"/>
    <xf numFmtId="0" fontId="15" fillId="0" borderId="0" xfId="0" applyFont="1"/>
    <xf numFmtId="165" fontId="15" fillId="0" borderId="0" xfId="0" applyNumberFormat="1" applyFont="1"/>
    <xf numFmtId="165" fontId="17" fillId="0" borderId="0" xfId="0" applyNumberFormat="1" applyFont="1"/>
    <xf numFmtId="167" fontId="13" fillId="0" borderId="0" xfId="0" applyNumberFormat="1" applyFont="1"/>
    <xf numFmtId="167" fontId="13" fillId="0" borderId="0" xfId="0" applyNumberFormat="1" applyFont="1" applyAlignment="1">
      <alignment horizontal="center"/>
    </xf>
    <xf numFmtId="0" fontId="13" fillId="0" borderId="0" xfId="0" applyFont="1"/>
    <xf numFmtId="6" fontId="13" fillId="0" borderId="0" xfId="0" applyNumberFormat="1" applyFont="1"/>
    <xf numFmtId="0" fontId="18" fillId="0" borderId="0" xfId="0" applyFont="1"/>
    <xf numFmtId="0" fontId="15" fillId="0" borderId="5" xfId="0" applyFont="1" applyBorder="1"/>
    <xf numFmtId="165" fontId="3" fillId="0" borderId="6" xfId="0" applyNumberFormat="1" applyFont="1" applyBorder="1"/>
    <xf numFmtId="165" fontId="15" fillId="0" borderId="6" xfId="0" applyNumberFormat="1" applyFont="1" applyBorder="1"/>
    <xf numFmtId="0" fontId="13" fillId="0" borderId="0" xfId="0" applyFont="1" applyAlignment="1">
      <alignment horizontal="right"/>
    </xf>
    <xf numFmtId="44" fontId="13" fillId="0" borderId="0" xfId="0" applyNumberFormat="1" applyFont="1"/>
    <xf numFmtId="8" fontId="3" fillId="0" borderId="0" xfId="0" applyNumberFormat="1" applyFont="1"/>
    <xf numFmtId="167" fontId="15" fillId="0" borderId="0" xfId="0" applyNumberFormat="1" applyFont="1" applyAlignment="1">
      <alignment horizontal="right"/>
    </xf>
    <xf numFmtId="8" fontId="13" fillId="0" borderId="0" xfId="0" applyNumberFormat="1" applyFont="1"/>
    <xf numFmtId="167" fontId="15" fillId="0" borderId="0" xfId="0" applyNumberFormat="1" applyFont="1" applyAlignment="1">
      <alignment horizontal="center"/>
    </xf>
    <xf numFmtId="6" fontId="16" fillId="0" borderId="0" xfId="0" applyNumberFormat="1" applyFont="1"/>
    <xf numFmtId="8" fontId="0" fillId="0" borderId="0" xfId="0" applyNumberFormat="1" applyAlignment="1">
      <alignment horizontal="right"/>
    </xf>
    <xf numFmtId="6" fontId="15" fillId="0" borderId="0" xfId="0" applyNumberFormat="1" applyFont="1"/>
    <xf numFmtId="8" fontId="21" fillId="0" borderId="0" xfId="0" applyNumberFormat="1" applyFont="1"/>
    <xf numFmtId="0" fontId="23" fillId="0" borderId="0" xfId="0" applyFont="1"/>
    <xf numFmtId="167" fontId="15" fillId="0" borderId="0" xfId="0" applyNumberFormat="1" applyFont="1" applyAlignment="1">
      <alignment horizontal="left"/>
    </xf>
    <xf numFmtId="1" fontId="15" fillId="0" borderId="0" xfId="0" applyNumberFormat="1" applyFont="1" applyAlignment="1">
      <alignment horizontal="center"/>
    </xf>
    <xf numFmtId="167" fontId="24" fillId="0" borderId="0" xfId="0" applyNumberFormat="1" applyFont="1"/>
    <xf numFmtId="1" fontId="3" fillId="0" borderId="0" xfId="0" applyNumberFormat="1" applyFont="1" applyAlignment="1">
      <alignment horizontal="center"/>
    </xf>
    <xf numFmtId="8" fontId="13" fillId="0" borderId="0" xfId="0" applyNumberFormat="1" applyFont="1" applyAlignment="1">
      <alignment wrapText="1"/>
    </xf>
    <xf numFmtId="1" fontId="3" fillId="0" borderId="0" xfId="0" applyNumberFormat="1" applyFont="1" applyAlignment="1">
      <alignment horizontal="right"/>
    </xf>
    <xf numFmtId="10" fontId="2" fillId="0" borderId="0" xfId="0" applyNumberFormat="1" applyFont="1" applyAlignment="1">
      <alignment horizontal="right"/>
    </xf>
    <xf numFmtId="0" fontId="11" fillId="0" borderId="0" xfId="0" applyFont="1" applyAlignment="1">
      <alignment horizontal="center"/>
    </xf>
    <xf numFmtId="8" fontId="0" fillId="0" borderId="0" xfId="0" applyNumberFormat="1"/>
    <xf numFmtId="8" fontId="25" fillId="0" borderId="0" xfId="0" applyNumberFormat="1" applyFont="1" applyAlignment="1">
      <alignment horizontal="right"/>
    </xf>
    <xf numFmtId="1" fontId="13" fillId="0" borderId="0" xfId="0" applyNumberFormat="1" applyFont="1" applyAlignment="1">
      <alignment horizontal="right"/>
    </xf>
    <xf numFmtId="8" fontId="13" fillId="0" borderId="0" xfId="0" applyNumberFormat="1" applyFont="1" applyAlignment="1">
      <alignment horizontal="right"/>
    </xf>
    <xf numFmtId="8" fontId="25" fillId="0" borderId="0" xfId="0" applyNumberFormat="1" applyFont="1"/>
    <xf numFmtId="8" fontId="3" fillId="0" borderId="0" xfId="0" applyNumberFormat="1" applyFont="1" applyAlignment="1">
      <alignment horizontal="right"/>
    </xf>
    <xf numFmtId="0" fontId="26" fillId="0" borderId="0" xfId="0" applyFont="1"/>
    <xf numFmtId="8" fontId="28" fillId="0" borderId="0" xfId="0" applyNumberFormat="1" applyFont="1"/>
    <xf numFmtId="6" fontId="0" fillId="0" borderId="0" xfId="0" applyNumberFormat="1"/>
    <xf numFmtId="167" fontId="22" fillId="0" borderId="0" xfId="0" applyNumberFormat="1" applyFont="1" applyAlignment="1">
      <alignment horizontal="center"/>
    </xf>
    <xf numFmtId="0" fontId="17" fillId="0" borderId="0" xfId="0" applyFont="1" applyAlignment="1">
      <alignment horizontal="right"/>
    </xf>
    <xf numFmtId="8" fontId="11" fillId="0" borderId="0" xfId="0" applyNumberFormat="1" applyFont="1"/>
    <xf numFmtId="8" fontId="14" fillId="0" borderId="0" xfId="0" applyNumberFormat="1" applyFont="1" applyAlignment="1">
      <alignment wrapText="1"/>
    </xf>
    <xf numFmtId="8" fontId="25" fillId="0" borderId="0" xfId="0" applyNumberFormat="1" applyFont="1" applyAlignment="1">
      <alignment wrapText="1"/>
    </xf>
    <xf numFmtId="8" fontId="15" fillId="0" borderId="0" xfId="0" applyNumberFormat="1" applyFont="1" applyAlignment="1">
      <alignment horizontal="right" wrapText="1"/>
    </xf>
    <xf numFmtId="1" fontId="15" fillId="0" borderId="0" xfId="0" applyNumberFormat="1" applyFont="1" applyAlignment="1">
      <alignment horizontal="right"/>
    </xf>
    <xf numFmtId="8" fontId="11" fillId="0" borderId="0" xfId="0" applyNumberFormat="1" applyFont="1" applyAlignment="1">
      <alignment horizontal="center"/>
    </xf>
    <xf numFmtId="8" fontId="25" fillId="0" borderId="0" xfId="0" applyNumberFormat="1" applyFont="1" applyAlignment="1">
      <alignment horizontal="right" wrapText="1"/>
    </xf>
    <xf numFmtId="1" fontId="25" fillId="0" borderId="0" xfId="0" applyNumberFormat="1" applyFont="1" applyAlignment="1">
      <alignment horizontal="right"/>
    </xf>
    <xf numFmtId="8" fontId="25" fillId="0" borderId="0" xfId="0" applyNumberFormat="1" applyFont="1" applyAlignment="1">
      <alignment vertical="top"/>
    </xf>
    <xf numFmtId="6" fontId="34" fillId="0" borderId="0" xfId="0" applyNumberFormat="1" applyFont="1"/>
    <xf numFmtId="166" fontId="3" fillId="0" borderId="0" xfId="0" applyNumberFormat="1" applyFont="1"/>
    <xf numFmtId="8" fontId="33" fillId="0" borderId="0" xfId="0" applyNumberFormat="1" applyFont="1"/>
    <xf numFmtId="44" fontId="0" fillId="0" borderId="0" xfId="0" applyNumberFormat="1"/>
    <xf numFmtId="44" fontId="17" fillId="2" borderId="11" xfId="0" applyNumberFormat="1" applyFont="1" applyFill="1" applyBorder="1"/>
    <xf numFmtId="166" fontId="8" fillId="0" borderId="0" xfId="0" applyNumberFormat="1" applyFont="1"/>
    <xf numFmtId="166" fontId="3" fillId="0" borderId="0" xfId="0" applyNumberFormat="1" applyFont="1" applyAlignment="1">
      <alignment horizontal="left"/>
    </xf>
    <xf numFmtId="166" fontId="0" fillId="0" borderId="0" xfId="0" applyNumberFormat="1" applyAlignment="1">
      <alignment horizontal="left"/>
    </xf>
    <xf numFmtId="6" fontId="16" fillId="0" borderId="10" xfId="0" applyNumberFormat="1" applyFont="1" applyBorder="1"/>
    <xf numFmtId="6" fontId="15" fillId="0" borderId="10" xfId="0" applyNumberFormat="1" applyFont="1" applyBorder="1"/>
    <xf numFmtId="10" fontId="11" fillId="0" borderId="0" xfId="0" applyNumberFormat="1" applyFont="1"/>
    <xf numFmtId="8" fontId="15" fillId="0" borderId="0" xfId="0" applyNumberFormat="1" applyFont="1"/>
    <xf numFmtId="8" fontId="3" fillId="0" borderId="0" xfId="0" applyNumberFormat="1" applyFont="1" applyAlignment="1">
      <alignment wrapText="1"/>
    </xf>
    <xf numFmtId="168" fontId="3" fillId="0" borderId="0" xfId="0" applyNumberFormat="1" applyFont="1" applyAlignment="1">
      <alignment horizontal="left"/>
    </xf>
    <xf numFmtId="8" fontId="14" fillId="0" borderId="0" xfId="0" applyNumberFormat="1" applyFont="1"/>
    <xf numFmtId="0" fontId="30" fillId="0" borderId="0" xfId="0" applyFont="1"/>
    <xf numFmtId="8" fontId="17" fillId="0" borderId="0" xfId="0" applyNumberFormat="1" applyFont="1"/>
    <xf numFmtId="8" fontId="3" fillId="0" borderId="0" xfId="0" applyNumberFormat="1" applyFont="1" applyAlignment="1">
      <alignment horizontal="left" wrapText="1"/>
    </xf>
    <xf numFmtId="8" fontId="27" fillId="0" borderId="0" xfId="0" applyNumberFormat="1" applyFont="1" applyAlignment="1">
      <alignment wrapText="1"/>
    </xf>
    <xf numFmtId="8" fontId="10" fillId="0" borderId="0" xfId="0" applyNumberFormat="1" applyFont="1" applyAlignment="1">
      <alignment horizontal="right"/>
    </xf>
    <xf numFmtId="8" fontId="3" fillId="0" borderId="0" xfId="0" applyNumberFormat="1" applyFont="1" applyAlignment="1">
      <alignment horizontal="right" wrapText="1"/>
    </xf>
    <xf numFmtId="1" fontId="13" fillId="0" borderId="0" xfId="0" applyNumberFormat="1" applyFont="1"/>
    <xf numFmtId="8" fontId="36" fillId="0" borderId="0" xfId="0" applyNumberFormat="1" applyFont="1" applyAlignment="1">
      <alignment wrapText="1"/>
    </xf>
    <xf numFmtId="8" fontId="22" fillId="0" borderId="0" xfId="0" applyNumberFormat="1" applyFont="1" applyAlignment="1">
      <alignment wrapText="1"/>
    </xf>
    <xf numFmtId="6" fontId="10" fillId="4" borderId="0" xfId="0" applyNumberFormat="1" applyFont="1" applyFill="1"/>
    <xf numFmtId="6" fontId="37" fillId="0" borderId="15" xfId="0" applyNumberFormat="1" applyFont="1" applyBorder="1"/>
    <xf numFmtId="6" fontId="10" fillId="2" borderId="12" xfId="0" applyNumberFormat="1" applyFont="1" applyFill="1" applyBorder="1"/>
    <xf numFmtId="10" fontId="37" fillId="0" borderId="0" xfId="0" applyNumberFormat="1" applyFont="1"/>
    <xf numFmtId="10" fontId="37" fillId="4" borderId="0" xfId="0" applyNumberFormat="1" applyFont="1" applyFill="1"/>
    <xf numFmtId="10" fontId="3" fillId="2" borderId="12" xfId="0" applyNumberFormat="1" applyFont="1" applyFill="1" applyBorder="1"/>
    <xf numFmtId="6" fontId="37" fillId="0" borderId="10" xfId="0" applyNumberFormat="1" applyFont="1" applyBorder="1"/>
    <xf numFmtId="6" fontId="37" fillId="2" borderId="15" xfId="0" applyNumberFormat="1" applyFont="1" applyFill="1" applyBorder="1"/>
    <xf numFmtId="6" fontId="15" fillId="0" borderId="9" xfId="0" applyNumberFormat="1" applyFont="1" applyBorder="1" applyAlignment="1">
      <alignment horizontal="right"/>
    </xf>
    <xf numFmtId="6" fontId="13" fillId="0" borderId="9" xfId="0" applyNumberFormat="1" applyFont="1" applyBorder="1"/>
    <xf numFmtId="6" fontId="15" fillId="2" borderId="11" xfId="0" applyNumberFormat="1" applyFont="1" applyFill="1" applyBorder="1"/>
    <xf numFmtId="8" fontId="14" fillId="4" borderId="0" xfId="0" applyNumberFormat="1" applyFont="1" applyFill="1" applyAlignment="1">
      <alignment wrapText="1"/>
    </xf>
    <xf numFmtId="8" fontId="14" fillId="4" borderId="0" xfId="0" applyNumberFormat="1" applyFont="1" applyFill="1"/>
    <xf numFmtId="8" fontId="40" fillId="0" borderId="0" xfId="0" applyNumberFormat="1" applyFont="1" applyAlignment="1">
      <alignment wrapText="1"/>
    </xf>
    <xf numFmtId="0" fontId="38" fillId="0" borderId="0" xfId="0" applyFont="1"/>
    <xf numFmtId="165" fontId="0" fillId="0" borderId="15" xfId="0" applyNumberFormat="1" applyBorder="1"/>
    <xf numFmtId="165" fontId="0" fillId="0" borderId="0" xfId="2" applyNumberFormat="1" applyFont="1"/>
    <xf numFmtId="43" fontId="0" fillId="0" borderId="0" xfId="1" applyFont="1"/>
    <xf numFmtId="8" fontId="42" fillId="0" borderId="0" xfId="0" applyNumberFormat="1" applyFont="1"/>
    <xf numFmtId="0" fontId="43" fillId="0" borderId="0" xfId="0" applyFont="1"/>
    <xf numFmtId="0" fontId="45" fillId="0" borderId="0" xfId="0" applyFont="1"/>
    <xf numFmtId="0" fontId="46" fillId="0" borderId="0" xfId="0" applyFont="1"/>
    <xf numFmtId="168" fontId="3" fillId="0" borderId="0" xfId="0" applyNumberFormat="1" applyFont="1" applyAlignment="1">
      <alignment horizontal="left" vertical="top"/>
    </xf>
    <xf numFmtId="0" fontId="39" fillId="0" borderId="0" xfId="0" applyFont="1" applyAlignment="1">
      <alignment wrapText="1"/>
    </xf>
    <xf numFmtId="168" fontId="10" fillId="0" borderId="0" xfId="0" applyNumberFormat="1" applyFont="1" applyAlignment="1">
      <alignment horizontal="left" vertical="top"/>
    </xf>
    <xf numFmtId="168" fontId="0" fillId="0" borderId="0" xfId="0" applyNumberFormat="1"/>
    <xf numFmtId="0" fontId="39" fillId="0" borderId="0" xfId="0" applyFont="1"/>
    <xf numFmtId="8" fontId="14" fillId="4" borderId="7" xfId="0" applyNumberFormat="1" applyFont="1" applyFill="1" applyBorder="1" applyAlignment="1">
      <alignment wrapText="1"/>
    </xf>
    <xf numFmtId="8" fontId="31" fillId="4" borderId="0" xfId="0" applyNumberFormat="1" applyFont="1" applyFill="1"/>
    <xf numFmtId="8" fontId="13" fillId="0" borderId="8" xfId="0" applyNumberFormat="1" applyFont="1" applyBorder="1"/>
    <xf numFmtId="165" fontId="17" fillId="0" borderId="15" xfId="0" applyNumberFormat="1" applyFont="1" applyBorder="1"/>
    <xf numFmtId="9" fontId="0" fillId="0" borderId="0" xfId="0" applyNumberFormat="1"/>
    <xf numFmtId="164" fontId="0" fillId="0" borderId="0" xfId="3" applyNumberFormat="1" applyFont="1"/>
    <xf numFmtId="164" fontId="0" fillId="0" borderId="0" xfId="0" applyNumberFormat="1"/>
    <xf numFmtId="8" fontId="14" fillId="4" borderId="7" xfId="0" applyNumberFormat="1" applyFont="1" applyFill="1" applyBorder="1"/>
    <xf numFmtId="0" fontId="20" fillId="0" borderId="0" xfId="0" applyFont="1"/>
    <xf numFmtId="8" fontId="14" fillId="0" borderId="7" xfId="0" applyNumberFormat="1" applyFont="1" applyBorder="1" applyAlignment="1">
      <alignment wrapText="1"/>
    </xf>
    <xf numFmtId="8" fontId="14" fillId="2" borderId="7" xfId="0" applyNumberFormat="1" applyFont="1" applyFill="1" applyBorder="1"/>
    <xf numFmtId="8" fontId="14" fillId="0" borderId="7" xfId="0" applyNumberFormat="1" applyFont="1" applyBorder="1"/>
    <xf numFmtId="8" fontId="14" fillId="0" borderId="7" xfId="0" applyNumberFormat="1" applyFont="1" applyBorder="1" applyAlignment="1">
      <alignment vertical="center"/>
    </xf>
    <xf numFmtId="8" fontId="7" fillId="0" borderId="0" xfId="0" applyNumberFormat="1" applyFont="1" applyAlignment="1">
      <alignment wrapText="1"/>
    </xf>
    <xf numFmtId="8" fontId="31" fillId="0" borderId="0" xfId="0" applyNumberFormat="1" applyFont="1" applyAlignment="1">
      <alignment wrapText="1"/>
    </xf>
    <xf numFmtId="8" fontId="31" fillId="0" borderId="0" xfId="0" applyNumberFormat="1" applyFont="1"/>
    <xf numFmtId="8" fontId="31" fillId="2" borderId="7" xfId="0" applyNumberFormat="1" applyFont="1" applyFill="1" applyBorder="1"/>
    <xf numFmtId="165" fontId="0" fillId="4" borderId="7" xfId="0" applyNumberFormat="1" applyFill="1" applyBorder="1"/>
    <xf numFmtId="165" fontId="0" fillId="2" borderId="7" xfId="0" applyNumberFormat="1" applyFill="1" applyBorder="1"/>
    <xf numFmtId="165" fontId="0" fillId="0" borderId="7" xfId="0" applyNumberFormat="1" applyBorder="1"/>
    <xf numFmtId="165" fontId="0" fillId="2" borderId="4" xfId="0" applyNumberFormat="1" applyFill="1" applyBorder="1"/>
    <xf numFmtId="44" fontId="3" fillId="2" borderId="7" xfId="0" applyNumberFormat="1" applyFont="1" applyFill="1" applyBorder="1"/>
    <xf numFmtId="165" fontId="15" fillId="2" borderId="4" xfId="0" applyNumberFormat="1" applyFont="1" applyFill="1" applyBorder="1"/>
    <xf numFmtId="165" fontId="2" fillId="0" borderId="7" xfId="0" applyNumberFormat="1" applyFont="1" applyBorder="1"/>
    <xf numFmtId="165" fontId="3" fillId="0" borderId="15" xfId="0" applyNumberFormat="1" applyFont="1" applyBorder="1"/>
    <xf numFmtId="0" fontId="3" fillId="4" borderId="7" xfId="0" applyFont="1" applyFill="1" applyBorder="1"/>
    <xf numFmtId="165" fontId="3" fillId="4" borderId="7" xfId="0" applyNumberFormat="1" applyFont="1" applyFill="1" applyBorder="1"/>
    <xf numFmtId="10" fontId="8" fillId="4" borderId="7" xfId="0" applyNumberFormat="1" applyFont="1" applyFill="1" applyBorder="1"/>
    <xf numFmtId="10" fontId="8" fillId="0" borderId="7" xfId="0" applyNumberFormat="1" applyFont="1" applyBorder="1"/>
    <xf numFmtId="0" fontId="3" fillId="2" borderId="7" xfId="0" applyFont="1" applyFill="1" applyBorder="1"/>
    <xf numFmtId="165" fontId="3" fillId="2" borderId="7" xfId="0" applyNumberFormat="1" applyFont="1" applyFill="1" applyBorder="1"/>
    <xf numFmtId="0" fontId="3" fillId="0" borderId="7" xfId="0" applyFont="1" applyBorder="1"/>
    <xf numFmtId="165" fontId="3" fillId="0" borderId="7" xfId="0" applyNumberFormat="1" applyFont="1" applyBorder="1"/>
    <xf numFmtId="165" fontId="3" fillId="2" borderId="4" xfId="0" applyNumberFormat="1" applyFont="1" applyFill="1" applyBorder="1"/>
    <xf numFmtId="10" fontId="16" fillId="0" borderId="16" xfId="0" applyNumberFormat="1" applyFont="1" applyBorder="1"/>
    <xf numFmtId="10" fontId="8" fillId="2" borderId="7" xfId="0" applyNumberFormat="1" applyFont="1" applyFill="1" applyBorder="1"/>
    <xf numFmtId="0" fontId="15" fillId="2" borderId="7" xfId="0" applyFont="1" applyFill="1" applyBorder="1"/>
    <xf numFmtId="165" fontId="15" fillId="5" borderId="4" xfId="0" applyNumberFormat="1" applyFont="1" applyFill="1" applyBorder="1"/>
    <xf numFmtId="10" fontId="16" fillId="2" borderId="13" xfId="0" applyNumberFormat="1" applyFont="1" applyFill="1" applyBorder="1"/>
    <xf numFmtId="0" fontId="19" fillId="0" borderId="7" xfId="0" applyFont="1" applyBorder="1"/>
    <xf numFmtId="6" fontId="10" fillId="2" borderId="7" xfId="0" applyNumberFormat="1" applyFont="1" applyFill="1" applyBorder="1"/>
    <xf numFmtId="10" fontId="16" fillId="0" borderId="14" xfId="0" applyNumberFormat="1" applyFont="1" applyBorder="1"/>
    <xf numFmtId="0" fontId="11" fillId="2" borderId="7" xfId="0" applyFont="1" applyFill="1" applyBorder="1"/>
    <xf numFmtId="167" fontId="0" fillId="2" borderId="7" xfId="0" applyNumberFormat="1" applyFill="1" applyBorder="1" applyAlignment="1">
      <alignment horizontal="left"/>
    </xf>
    <xf numFmtId="167" fontId="0" fillId="2" borderId="7" xfId="0" applyNumberFormat="1" applyFill="1" applyBorder="1" applyAlignment="1">
      <alignment horizontal="center"/>
    </xf>
    <xf numFmtId="0" fontId="12" fillId="2" borderId="7" xfId="0" applyFont="1" applyFill="1" applyBorder="1"/>
    <xf numFmtId="167" fontId="0" fillId="2" borderId="7" xfId="0" applyNumberFormat="1" applyFill="1" applyBorder="1"/>
    <xf numFmtId="6" fontId="8" fillId="2" borderId="7" xfId="0" applyNumberFormat="1" applyFont="1" applyFill="1" applyBorder="1"/>
    <xf numFmtId="6" fontId="0" fillId="2" borderId="7" xfId="0" applyNumberFormat="1" applyFill="1" applyBorder="1"/>
    <xf numFmtId="0" fontId="20" fillId="2" borderId="7" xfId="0" applyFont="1" applyFill="1" applyBorder="1"/>
    <xf numFmtId="167" fontId="3" fillId="2" borderId="7" xfId="0" applyNumberFormat="1" applyFont="1" applyFill="1" applyBorder="1"/>
    <xf numFmtId="167" fontId="3" fillId="2" borderId="7" xfId="0" applyNumberFormat="1" applyFont="1" applyFill="1" applyBorder="1" applyAlignment="1">
      <alignment horizontal="center"/>
    </xf>
    <xf numFmtId="6" fontId="16" fillId="0" borderId="11" xfId="0" applyNumberFormat="1" applyFont="1" applyBorder="1"/>
    <xf numFmtId="6" fontId="15" fillId="0" borderId="11" xfId="0" applyNumberFormat="1" applyFont="1" applyBorder="1"/>
    <xf numFmtId="0" fontId="18" fillId="0" borderId="0" xfId="0" applyFont="1" applyAlignment="1">
      <alignment horizontal="center"/>
    </xf>
    <xf numFmtId="6" fontId="10" fillId="0" borderId="7" xfId="0" applyNumberFormat="1" applyFont="1" applyBorder="1"/>
    <xf numFmtId="167" fontId="39" fillId="2" borderId="7" xfId="0" applyNumberFormat="1" applyFont="1" applyFill="1" applyBorder="1" applyAlignment="1">
      <alignment horizontal="left"/>
    </xf>
    <xf numFmtId="6" fontId="8" fillId="2" borderId="4" xfId="0" applyNumberFormat="1" applyFont="1" applyFill="1" applyBorder="1"/>
    <xf numFmtId="6" fontId="0" fillId="2" borderId="4" xfId="0" applyNumberFormat="1" applyFill="1" applyBorder="1"/>
    <xf numFmtId="6" fontId="37" fillId="0" borderId="7" xfId="0" applyNumberFormat="1" applyFont="1" applyBorder="1"/>
    <xf numFmtId="167" fontId="18" fillId="0" borderId="0" xfId="0" applyNumberFormat="1" applyFont="1"/>
    <xf numFmtId="167" fontId="18" fillId="0" borderId="0" xfId="0" applyNumberFormat="1" applyFont="1" applyAlignment="1">
      <alignment horizontal="center"/>
    </xf>
    <xf numFmtId="0" fontId="0" fillId="2" borderId="7" xfId="0" applyFill="1" applyBorder="1"/>
    <xf numFmtId="6" fontId="3" fillId="2" borderId="7" xfId="0" applyNumberFormat="1" applyFont="1" applyFill="1" applyBorder="1"/>
    <xf numFmtId="0" fontId="9" fillId="2" borderId="7" xfId="0" applyFont="1" applyFill="1" applyBorder="1"/>
    <xf numFmtId="6" fontId="3" fillId="2" borderId="4" xfId="0" applyNumberFormat="1" applyFont="1" applyFill="1" applyBorder="1"/>
    <xf numFmtId="167" fontId="24" fillId="2" borderId="7" xfId="0" applyNumberFormat="1" applyFont="1" applyFill="1" applyBorder="1"/>
    <xf numFmtId="167" fontId="3" fillId="2" borderId="7" xfId="0" applyNumberFormat="1" applyFont="1" applyFill="1" applyBorder="1" applyAlignment="1">
      <alignment horizontal="left"/>
    </xf>
    <xf numFmtId="1" fontId="3" fillId="2" borderId="7" xfId="0" applyNumberFormat="1" applyFont="1" applyFill="1" applyBorder="1" applyAlignment="1">
      <alignment horizontal="center"/>
    </xf>
    <xf numFmtId="6" fontId="15" fillId="2" borderId="7" xfId="0" applyNumberFormat="1" applyFont="1" applyFill="1" applyBorder="1"/>
    <xf numFmtId="167" fontId="32" fillId="0" borderId="0" xfId="0" applyNumberFormat="1" applyFont="1"/>
    <xf numFmtId="165" fontId="15" fillId="0" borderId="11" xfId="0" applyNumberFormat="1" applyFont="1" applyBorder="1"/>
    <xf numFmtId="8" fontId="27" fillId="0" borderId="7" xfId="0" applyNumberFormat="1" applyFont="1" applyBorder="1" applyAlignment="1">
      <alignment horizontal="left"/>
    </xf>
    <xf numFmtId="0" fontId="0" fillId="0" borderId="7" xfId="0" applyBorder="1"/>
    <xf numFmtId="0" fontId="0" fillId="0" borderId="7" xfId="0" applyBorder="1" applyAlignment="1">
      <alignment horizontal="center"/>
    </xf>
    <xf numFmtId="8" fontId="6" fillId="0" borderId="7" xfId="0" applyNumberFormat="1" applyFont="1" applyBorder="1"/>
    <xf numFmtId="0" fontId="45" fillId="2" borderId="7" xfId="0" applyFont="1" applyFill="1" applyBorder="1"/>
    <xf numFmtId="167" fontId="22" fillId="2" borderId="7" xfId="0" applyNumberFormat="1" applyFont="1" applyFill="1" applyBorder="1"/>
    <xf numFmtId="167" fontId="22" fillId="2" borderId="7" xfId="0" applyNumberFormat="1" applyFont="1" applyFill="1" applyBorder="1" applyAlignment="1">
      <alignment horizontal="center"/>
    </xf>
    <xf numFmtId="10" fontId="10" fillId="2" borderId="7" xfId="0" applyNumberFormat="1" applyFont="1" applyFill="1" applyBorder="1"/>
    <xf numFmtId="168" fontId="16" fillId="2" borderId="7" xfId="0" applyNumberFormat="1" applyFont="1" applyFill="1" applyBorder="1" applyAlignment="1">
      <alignment horizontal="right"/>
    </xf>
    <xf numFmtId="6" fontId="15" fillId="2" borderId="7" xfId="0" applyNumberFormat="1" applyFont="1" applyFill="1" applyBorder="1" applyAlignment="1">
      <alignment horizontal="right"/>
    </xf>
    <xf numFmtId="168" fontId="16" fillId="0" borderId="11" xfId="0" applyNumberFormat="1" applyFont="1" applyBorder="1" applyAlignment="1">
      <alignment horizontal="right"/>
    </xf>
    <xf numFmtId="167" fontId="22" fillId="0" borderId="0" xfId="0" applyNumberFormat="1" applyFont="1"/>
    <xf numFmtId="8" fontId="11" fillId="2" borderId="7" xfId="0" applyNumberFormat="1" applyFont="1" applyFill="1" applyBorder="1"/>
    <xf numFmtId="6" fontId="13" fillId="2" borderId="7" xfId="0" applyNumberFormat="1" applyFont="1" applyFill="1" applyBorder="1"/>
    <xf numFmtId="8" fontId="11" fillId="2" borderId="7" xfId="0" applyNumberFormat="1" applyFont="1" applyFill="1" applyBorder="1" applyAlignment="1">
      <alignment horizontal="center"/>
    </xf>
    <xf numFmtId="6" fontId="25" fillId="0" borderId="11" xfId="0" applyNumberFormat="1" applyFont="1" applyBorder="1"/>
    <xf numFmtId="0" fontId="11" fillId="2" borderId="7" xfId="0" applyFont="1" applyFill="1" applyBorder="1" applyAlignment="1">
      <alignment horizontal="right"/>
    </xf>
    <xf numFmtId="167" fontId="14" fillId="2" borderId="7" xfId="0" applyNumberFormat="1" applyFont="1" applyFill="1" applyBorder="1" applyAlignment="1">
      <alignment horizontal="right"/>
    </xf>
    <xf numFmtId="167" fontId="14" fillId="2" borderId="7" xfId="0" applyNumberFormat="1" applyFont="1" applyFill="1" applyBorder="1" applyAlignment="1">
      <alignment horizontal="center"/>
    </xf>
    <xf numFmtId="167" fontId="18" fillId="0" borderId="0" xfId="0" applyNumberFormat="1" applyFont="1" applyAlignment="1">
      <alignment horizontal="left"/>
    </xf>
    <xf numFmtId="10" fontId="3" fillId="2" borderId="4" xfId="0" applyNumberFormat="1" applyFont="1" applyFill="1" applyBorder="1"/>
    <xf numFmtId="10" fontId="0" fillId="2" borderId="4" xfId="0" applyNumberFormat="1" applyFill="1" applyBorder="1"/>
    <xf numFmtId="5" fontId="3" fillId="0" borderId="7" xfId="0" applyNumberFormat="1" applyFont="1" applyBorder="1"/>
    <xf numFmtId="166" fontId="16" fillId="0" borderId="11" xfId="0" applyNumberFormat="1" applyFont="1" applyBorder="1"/>
    <xf numFmtId="10" fontId="15" fillId="0" borderId="0" xfId="0" applyNumberFormat="1" applyFont="1" applyAlignment="1">
      <alignment horizontal="right"/>
    </xf>
    <xf numFmtId="8" fontId="27" fillId="3" borderId="7" xfId="0" applyNumberFormat="1" applyFont="1" applyFill="1" applyBorder="1" applyAlignment="1">
      <alignment horizontal="left" wrapText="1"/>
    </xf>
    <xf numFmtId="8" fontId="7" fillId="3" borderId="7" xfId="0" applyNumberFormat="1" applyFont="1" applyFill="1" applyBorder="1" applyAlignment="1">
      <alignment horizontal="left" wrapText="1"/>
    </xf>
    <xf numFmtId="168" fontId="0" fillId="0" borderId="7" xfId="0" applyNumberFormat="1" applyBorder="1"/>
    <xf numFmtId="10" fontId="3" fillId="0" borderId="0" xfId="0" applyNumberFormat="1" applyFont="1" applyAlignment="1">
      <alignment horizontal="right"/>
    </xf>
    <xf numFmtId="8" fontId="14" fillId="6" borderId="7" xfId="0" applyNumberFormat="1" applyFont="1" applyFill="1" applyBorder="1"/>
    <xf numFmtId="8" fontId="14" fillId="6" borderId="7" xfId="0" applyNumberFormat="1" applyFont="1" applyFill="1" applyBorder="1" applyAlignment="1">
      <alignment wrapText="1"/>
    </xf>
    <xf numFmtId="8" fontId="15" fillId="0" borderId="7" xfId="0" applyNumberFormat="1" applyFont="1" applyBorder="1"/>
    <xf numFmtId="8" fontId="17" fillId="0" borderId="7" xfId="0" applyNumberFormat="1" applyFont="1" applyBorder="1"/>
    <xf numFmtId="8" fontId="14" fillId="0" borderId="7" xfId="0" applyNumberFormat="1" applyFont="1" applyBorder="1" applyAlignment="1">
      <alignment horizontal="left" wrapText="1"/>
    </xf>
    <xf numFmtId="8" fontId="14" fillId="4" borderId="7" xfId="0" applyNumberFormat="1" applyFont="1" applyFill="1" applyBorder="1" applyAlignment="1">
      <alignment horizontal="left" wrapText="1"/>
    </xf>
    <xf numFmtId="168" fontId="0" fillId="0" borderId="0" xfId="0" applyNumberFormat="1" applyAlignment="1">
      <alignment horizontal="left"/>
    </xf>
    <xf numFmtId="0" fontId="3" fillId="7" borderId="7" xfId="0" applyFont="1" applyFill="1" applyBorder="1"/>
    <xf numFmtId="165" fontId="52" fillId="7" borderId="7" xfId="0" applyNumberFormat="1" applyFont="1" applyFill="1" applyBorder="1"/>
    <xf numFmtId="165" fontId="52" fillId="7" borderId="7" xfId="2" applyNumberFormat="1" applyFont="1" applyFill="1" applyBorder="1"/>
    <xf numFmtId="165" fontId="52" fillId="0" borderId="7" xfId="0" applyNumberFormat="1" applyFont="1" applyBorder="1"/>
    <xf numFmtId="165" fontId="52" fillId="0" borderId="7" xfId="2" applyNumberFormat="1" applyFont="1" applyBorder="1"/>
    <xf numFmtId="44" fontId="3" fillId="7" borderId="7" xfId="0" applyNumberFormat="1" applyFont="1" applyFill="1" applyBorder="1"/>
    <xf numFmtId="165" fontId="53" fillId="0" borderId="9" xfId="0" applyNumberFormat="1" applyFont="1" applyBorder="1"/>
    <xf numFmtId="165" fontId="53" fillId="0" borderId="16" xfId="2" applyNumberFormat="1" applyFont="1" applyBorder="1"/>
    <xf numFmtId="165" fontId="2" fillId="0" borderId="9" xfId="0" applyNumberFormat="1" applyFont="1" applyBorder="1"/>
    <xf numFmtId="165" fontId="52" fillId="0" borderId="16" xfId="2" applyNumberFormat="1" applyFont="1" applyBorder="1"/>
    <xf numFmtId="165" fontId="52" fillId="0" borderId="7" xfId="2" applyNumberFormat="1" applyFont="1" applyFill="1" applyBorder="1"/>
    <xf numFmtId="165" fontId="52" fillId="4" borderId="7" xfId="0" applyNumberFormat="1" applyFont="1" applyFill="1" applyBorder="1"/>
    <xf numFmtId="165" fontId="52" fillId="4" borderId="7" xfId="2" applyNumberFormat="1" applyFont="1" applyFill="1" applyBorder="1"/>
    <xf numFmtId="0" fontId="3" fillId="4" borderId="18" xfId="0" applyFont="1" applyFill="1" applyBorder="1"/>
    <xf numFmtId="165" fontId="52" fillId="4" borderId="18" xfId="0" applyNumberFormat="1" applyFont="1" applyFill="1" applyBorder="1"/>
    <xf numFmtId="165" fontId="52" fillId="4" borderId="18" xfId="2" applyNumberFormat="1" applyFont="1" applyFill="1" applyBorder="1"/>
    <xf numFmtId="165" fontId="0" fillId="0" borderId="4" xfId="0" applyNumberFormat="1" applyBorder="1"/>
    <xf numFmtId="165" fontId="3" fillId="0" borderId="4" xfId="0" applyNumberFormat="1" applyFont="1" applyBorder="1"/>
    <xf numFmtId="165" fontId="0" fillId="0" borderId="0" xfId="2" applyNumberFormat="1" applyFont="1" applyFill="1"/>
    <xf numFmtId="164" fontId="0" fillId="0" borderId="0" xfId="3" applyNumberFormat="1" applyFont="1" applyFill="1"/>
    <xf numFmtId="0" fontId="3" fillId="5" borderId="7" xfId="0" applyFont="1" applyFill="1" applyBorder="1"/>
    <xf numFmtId="165" fontId="0" fillId="5" borderId="7" xfId="0" applyNumberFormat="1" applyFill="1" applyBorder="1"/>
    <xf numFmtId="165" fontId="3" fillId="5" borderId="7" xfId="0" applyNumberFormat="1" applyFont="1" applyFill="1" applyBorder="1"/>
    <xf numFmtId="0" fontId="20" fillId="0" borderId="7" xfId="0" applyFont="1" applyBorder="1" applyAlignment="1">
      <alignment wrapText="1"/>
    </xf>
    <xf numFmtId="6" fontId="8" fillId="0" borderId="0" xfId="0" applyNumberFormat="1" applyFont="1"/>
    <xf numFmtId="0" fontId="48" fillId="5" borderId="7" xfId="0" applyFont="1" applyFill="1" applyBorder="1"/>
    <xf numFmtId="167" fontId="39" fillId="5" borderId="7" xfId="0" applyNumberFormat="1" applyFont="1" applyFill="1" applyBorder="1" applyAlignment="1">
      <alignment horizontal="left"/>
    </xf>
    <xf numFmtId="167" fontId="0" fillId="5" borderId="7" xfId="0" applyNumberFormat="1" applyFill="1" applyBorder="1" applyAlignment="1">
      <alignment horizontal="center"/>
    </xf>
    <xf numFmtId="167" fontId="0" fillId="5" borderId="7" xfId="0" applyNumberFormat="1" applyFill="1" applyBorder="1" applyAlignment="1">
      <alignment horizontal="left"/>
    </xf>
    <xf numFmtId="6" fontId="8" fillId="5" borderId="7" xfId="0" applyNumberFormat="1" applyFont="1" applyFill="1" applyBorder="1" applyAlignment="1">
      <alignment horizontal="right"/>
    </xf>
    <xf numFmtId="6" fontId="0" fillId="5" borderId="7" xfId="0" applyNumberFormat="1" applyFill="1" applyBorder="1" applyAlignment="1">
      <alignment horizontal="right"/>
    </xf>
    <xf numFmtId="0" fontId="20" fillId="5" borderId="7" xfId="0" applyFont="1" applyFill="1" applyBorder="1"/>
    <xf numFmtId="6" fontId="10" fillId="5" borderId="7" xfId="0" applyNumberFormat="1" applyFont="1" applyFill="1" applyBorder="1"/>
    <xf numFmtId="6" fontId="0" fillId="5" borderId="7" xfId="0" applyNumberFormat="1" applyFill="1" applyBorder="1"/>
    <xf numFmtId="0" fontId="44" fillId="5" borderId="7" xfId="0" applyFont="1" applyFill="1" applyBorder="1"/>
    <xf numFmtId="0" fontId="0" fillId="5" borderId="7" xfId="0" applyFill="1" applyBorder="1"/>
    <xf numFmtId="6" fontId="10" fillId="5" borderId="12" xfId="0" applyNumberFormat="1" applyFont="1" applyFill="1" applyBorder="1"/>
    <xf numFmtId="6" fontId="3" fillId="5" borderId="4" xfId="0" applyNumberFormat="1" applyFont="1" applyFill="1" applyBorder="1"/>
    <xf numFmtId="0" fontId="49" fillId="4" borderId="0" xfId="0" applyFont="1" applyFill="1"/>
    <xf numFmtId="0" fontId="0" fillId="0" borderId="19" xfId="0" applyBorder="1"/>
    <xf numFmtId="168" fontId="0" fillId="0" borderId="20" xfId="0" applyNumberFormat="1" applyBorder="1"/>
    <xf numFmtId="9" fontId="0" fillId="0" borderId="21" xfId="0" applyNumberFormat="1" applyBorder="1"/>
    <xf numFmtId="0" fontId="0" fillId="2" borderId="19" xfId="0" applyFill="1" applyBorder="1"/>
    <xf numFmtId="168" fontId="0" fillId="2" borderId="20" xfId="0" applyNumberFormat="1" applyFill="1" applyBorder="1"/>
    <xf numFmtId="9" fontId="0" fillId="2" borderId="21" xfId="0" applyNumberFormat="1" applyFill="1" applyBorder="1"/>
    <xf numFmtId="0" fontId="0" fillId="4" borderId="22" xfId="0" applyFill="1" applyBorder="1"/>
    <xf numFmtId="168" fontId="0" fillId="4" borderId="18" xfId="0" applyNumberFormat="1" applyFill="1" applyBorder="1"/>
    <xf numFmtId="9" fontId="0" fillId="4" borderId="23" xfId="0" applyNumberFormat="1" applyFill="1" applyBorder="1"/>
    <xf numFmtId="168" fontId="17" fillId="0" borderId="25" xfId="0" applyNumberFormat="1" applyFont="1" applyBorder="1"/>
    <xf numFmtId="9" fontId="17" fillId="0" borderId="26" xfId="0" applyNumberFormat="1" applyFont="1" applyBorder="1"/>
    <xf numFmtId="0" fontId="17" fillId="0" borderId="24" xfId="0" applyFont="1" applyBorder="1" applyAlignment="1">
      <alignment horizontal="right"/>
    </xf>
    <xf numFmtId="0" fontId="1" fillId="8" borderId="19" xfId="0" applyFont="1" applyFill="1" applyBorder="1" applyAlignment="1">
      <alignment horizontal="center"/>
    </xf>
    <xf numFmtId="0" fontId="1" fillId="8" borderId="20" xfId="0" applyFont="1" applyFill="1" applyBorder="1" applyAlignment="1">
      <alignment horizontal="center"/>
    </xf>
    <xf numFmtId="0" fontId="1" fillId="8" borderId="21" xfId="0" applyFont="1" applyFill="1" applyBorder="1" applyAlignment="1">
      <alignment horizontal="center"/>
    </xf>
    <xf numFmtId="166" fontId="3" fillId="0" borderId="0" xfId="1" applyNumberFormat="1" applyFont="1" applyFill="1" applyAlignment="1">
      <alignment horizontal="right"/>
    </xf>
    <xf numFmtId="166" fontId="0" fillId="0" borderId="7" xfId="0" applyNumberFormat="1" applyBorder="1"/>
    <xf numFmtId="8" fontId="4" fillId="9" borderId="7" xfId="0" applyNumberFormat="1" applyFont="1" applyFill="1" applyBorder="1" applyAlignment="1">
      <alignment horizontal="center"/>
    </xf>
    <xf numFmtId="8" fontId="4" fillId="9" borderId="7" xfId="0" applyNumberFormat="1" applyFont="1" applyFill="1" applyBorder="1" applyAlignment="1">
      <alignment horizontal="center" wrapText="1"/>
    </xf>
    <xf numFmtId="0" fontId="5" fillId="9" borderId="7" xfId="0" applyFont="1" applyFill="1" applyBorder="1"/>
    <xf numFmtId="167" fontId="24" fillId="0" borderId="7" xfId="0" applyNumberFormat="1" applyFont="1" applyBorder="1"/>
    <xf numFmtId="167" fontId="3" fillId="0" borderId="7" xfId="0" applyNumberFormat="1" applyFont="1" applyBorder="1" applyAlignment="1">
      <alignment horizontal="left"/>
    </xf>
    <xf numFmtId="1" fontId="3" fillId="0" borderId="7" xfId="0" applyNumberFormat="1" applyFont="1" applyBorder="1" applyAlignment="1">
      <alignment horizontal="center"/>
    </xf>
    <xf numFmtId="6" fontId="10" fillId="0" borderId="12" xfId="0" applyNumberFormat="1" applyFont="1" applyBorder="1"/>
    <xf numFmtId="6" fontId="15" fillId="0" borderId="12" xfId="0" applyNumberFormat="1" applyFont="1" applyBorder="1"/>
    <xf numFmtId="6" fontId="3" fillId="0" borderId="12" xfId="0" applyNumberFormat="1" applyFont="1" applyBorder="1"/>
    <xf numFmtId="0" fontId="1" fillId="9" borderId="1" xfId="0" applyFont="1" applyFill="1" applyBorder="1" applyAlignment="1">
      <alignment horizontal="center"/>
    </xf>
    <xf numFmtId="44" fontId="1" fillId="9" borderId="2" xfId="0" applyNumberFormat="1" applyFont="1" applyFill="1" applyBorder="1" applyAlignment="1">
      <alignment horizontal="center" wrapText="1"/>
    </xf>
    <xf numFmtId="164" fontId="1" fillId="9" borderId="3" xfId="0" applyNumberFormat="1" applyFont="1" applyFill="1" applyBorder="1" applyAlignment="1">
      <alignment horizontal="center"/>
    </xf>
    <xf numFmtId="0" fontId="1" fillId="9" borderId="18" xfId="0" applyFont="1" applyFill="1" applyBorder="1" applyAlignment="1">
      <alignment horizontal="center"/>
    </xf>
    <xf numFmtId="44" fontId="1" fillId="9" borderId="18" xfId="0" applyNumberFormat="1" applyFont="1" applyFill="1" applyBorder="1" applyAlignment="1">
      <alignment horizontal="center" wrapText="1"/>
    </xf>
    <xf numFmtId="0" fontId="51" fillId="12" borderId="18" xfId="0" applyFont="1" applyFill="1" applyBorder="1" applyAlignment="1">
      <alignment horizontal="center"/>
    </xf>
    <xf numFmtId="168" fontId="39" fillId="0" borderId="0" xfId="0" applyNumberFormat="1" applyFont="1" applyAlignment="1">
      <alignment horizontal="left"/>
    </xf>
    <xf numFmtId="168" fontId="54" fillId="0" borderId="0" xfId="0" applyNumberFormat="1" applyFont="1" applyAlignment="1">
      <alignment horizontal="left"/>
    </xf>
    <xf numFmtId="0" fontId="54" fillId="0" borderId="0" xfId="0" applyFont="1"/>
    <xf numFmtId="10" fontId="52" fillId="4" borderId="18" xfId="3" applyNumberFormat="1" applyFont="1" applyFill="1" applyBorder="1"/>
    <xf numFmtId="10" fontId="52" fillId="0" borderId="7" xfId="3" applyNumberFormat="1" applyFont="1" applyFill="1" applyBorder="1"/>
    <xf numFmtId="10" fontId="52" fillId="4" borderId="7" xfId="3" applyNumberFormat="1" applyFont="1" applyFill="1" applyBorder="1"/>
    <xf numFmtId="10" fontId="52" fillId="4" borderId="12" xfId="3" applyNumberFormat="1" applyFont="1" applyFill="1" applyBorder="1"/>
    <xf numFmtId="10" fontId="52" fillId="0" borderId="16" xfId="3" applyNumberFormat="1" applyFont="1" applyBorder="1"/>
    <xf numFmtId="10" fontId="3" fillId="7" borderId="7" xfId="3" applyNumberFormat="1" applyFont="1" applyFill="1" applyBorder="1"/>
    <xf numFmtId="10" fontId="52" fillId="0" borderId="0" xfId="3" applyNumberFormat="1" applyFont="1" applyFill="1"/>
    <xf numFmtId="10" fontId="52" fillId="0" borderId="17" xfId="3" applyNumberFormat="1" applyFont="1" applyBorder="1"/>
    <xf numFmtId="10" fontId="52" fillId="7" borderId="7" xfId="3" applyNumberFormat="1" applyFont="1" applyFill="1" applyBorder="1"/>
    <xf numFmtId="10" fontId="52" fillId="0" borderId="7" xfId="3" applyNumberFormat="1" applyFont="1" applyBorder="1"/>
    <xf numFmtId="10" fontId="52" fillId="7" borderId="0" xfId="3" applyNumberFormat="1" applyFont="1" applyFill="1"/>
    <xf numFmtId="168" fontId="2" fillId="0" borderId="0" xfId="0" applyNumberFormat="1" applyFont="1" applyAlignment="1">
      <alignment horizontal="left"/>
    </xf>
    <xf numFmtId="172" fontId="0" fillId="0" borderId="0" xfId="0" applyNumberFormat="1"/>
    <xf numFmtId="0" fontId="17" fillId="0" borderId="0" xfId="0" applyFont="1" applyAlignment="1">
      <alignment horizontal="center"/>
    </xf>
    <xf numFmtId="8" fontId="56" fillId="2" borderId="7" xfId="0" applyNumberFormat="1" applyFont="1" applyFill="1" applyBorder="1"/>
    <xf numFmtId="8" fontId="56" fillId="0" borderId="0" xfId="0" applyNumberFormat="1" applyFont="1"/>
    <xf numFmtId="0" fontId="6" fillId="13" borderId="0" xfId="0" applyFont="1" applyFill="1"/>
    <xf numFmtId="8" fontId="6" fillId="13" borderId="0" xfId="0" applyNumberFormat="1" applyFont="1" applyFill="1"/>
    <xf numFmtId="0" fontId="26" fillId="13" borderId="0" xfId="0" applyFont="1" applyFill="1"/>
    <xf numFmtId="8" fontId="13" fillId="0" borderId="7" xfId="0" applyNumberFormat="1" applyFont="1" applyBorder="1"/>
    <xf numFmtId="0" fontId="3" fillId="13" borderId="7" xfId="0" applyFont="1" applyFill="1" applyBorder="1"/>
    <xf numFmtId="168" fontId="39" fillId="0" borderId="0" xfId="0" applyNumberFormat="1" applyFont="1"/>
    <xf numFmtId="10" fontId="8" fillId="13" borderId="7" xfId="0" applyNumberFormat="1" applyFont="1" applyFill="1" applyBorder="1"/>
    <xf numFmtId="165" fontId="0" fillId="13" borderId="7" xfId="0" applyNumberFormat="1" applyFill="1" applyBorder="1"/>
    <xf numFmtId="165" fontId="3" fillId="13" borderId="7" xfId="0" applyNumberFormat="1" applyFont="1" applyFill="1" applyBorder="1"/>
    <xf numFmtId="0" fontId="1" fillId="14" borderId="28" xfId="0" applyFont="1" applyFill="1" applyBorder="1"/>
    <xf numFmtId="0" fontId="1" fillId="14" borderId="29" xfId="0" applyFont="1" applyFill="1" applyBorder="1"/>
    <xf numFmtId="168" fontId="0" fillId="0" borderId="29" xfId="0" applyNumberFormat="1" applyBorder="1"/>
    <xf numFmtId="10" fontId="0" fillId="0" borderId="30" xfId="0" applyNumberFormat="1" applyBorder="1"/>
    <xf numFmtId="10" fontId="0" fillId="2" borderId="31" xfId="0" applyNumberFormat="1" applyFill="1" applyBorder="1"/>
    <xf numFmtId="0" fontId="0" fillId="0" borderId="28" xfId="0" applyBorder="1"/>
    <xf numFmtId="0" fontId="0" fillId="2" borderId="28" xfId="0" applyFill="1" applyBorder="1"/>
    <xf numFmtId="10" fontId="0" fillId="2" borderId="30" xfId="0" applyNumberFormat="1" applyFill="1" applyBorder="1"/>
    <xf numFmtId="0" fontId="1" fillId="14" borderId="30" xfId="0" applyFont="1" applyFill="1" applyBorder="1"/>
    <xf numFmtId="0" fontId="0" fillId="2" borderId="32" xfId="0" applyFill="1" applyBorder="1"/>
    <xf numFmtId="168" fontId="0" fillId="4" borderId="29" xfId="0" applyNumberFormat="1" applyFill="1" applyBorder="1"/>
    <xf numFmtId="168" fontId="0" fillId="4" borderId="0" xfId="0" applyNumberFormat="1" applyFill="1"/>
    <xf numFmtId="0" fontId="17" fillId="0" borderId="28" xfId="0" applyFont="1" applyBorder="1" applyAlignment="1">
      <alignment horizontal="right"/>
    </xf>
    <xf numFmtId="168" fontId="17" fillId="0" borderId="29" xfId="0" applyNumberFormat="1" applyFont="1" applyBorder="1"/>
    <xf numFmtId="10" fontId="17" fillId="0" borderId="30" xfId="0" applyNumberFormat="1" applyFont="1" applyBorder="1"/>
    <xf numFmtId="42" fontId="2" fillId="7" borderId="7" xfId="0" applyNumberFormat="1" applyFont="1" applyFill="1" applyBorder="1"/>
    <xf numFmtId="165" fontId="2" fillId="7" borderId="7" xfId="2" applyNumberFormat="1" applyFont="1" applyFill="1" applyBorder="1"/>
    <xf numFmtId="10" fontId="2" fillId="7" borderId="7" xfId="3" applyNumberFormat="1" applyFont="1" applyFill="1" applyBorder="1"/>
    <xf numFmtId="42" fontId="2" fillId="5" borderId="7" xfId="0" applyNumberFormat="1" applyFont="1" applyFill="1" applyBorder="1"/>
    <xf numFmtId="165" fontId="2" fillId="5" borderId="7" xfId="0" applyNumberFormat="1" applyFont="1" applyFill="1" applyBorder="1"/>
    <xf numFmtId="10" fontId="8" fillId="5" borderId="7" xfId="0" applyNumberFormat="1" applyFont="1" applyFill="1" applyBorder="1"/>
    <xf numFmtId="165" fontId="52" fillId="13" borderId="7" xfId="0" applyNumberFormat="1" applyFont="1" applyFill="1" applyBorder="1"/>
    <xf numFmtId="165" fontId="52" fillId="13" borderId="7" xfId="2" applyNumberFormat="1" applyFont="1" applyFill="1" applyBorder="1"/>
    <xf numFmtId="10" fontId="52" fillId="13" borderId="7" xfId="3" applyNumberFormat="1" applyFont="1" applyFill="1" applyBorder="1"/>
    <xf numFmtId="165" fontId="8" fillId="0" borderId="0" xfId="0" applyNumberFormat="1" applyFont="1"/>
    <xf numFmtId="0" fontId="20" fillId="4" borderId="7" xfId="0" applyFont="1" applyFill="1" applyBorder="1"/>
    <xf numFmtId="167" fontId="39" fillId="4" borderId="7" xfId="0" applyNumberFormat="1" applyFont="1" applyFill="1" applyBorder="1" applyAlignment="1">
      <alignment horizontal="left"/>
    </xf>
    <xf numFmtId="167" fontId="0" fillId="4" borderId="7" xfId="0" applyNumberFormat="1" applyFill="1" applyBorder="1" applyAlignment="1">
      <alignment horizontal="center"/>
    </xf>
    <xf numFmtId="166" fontId="0" fillId="4" borderId="7" xfId="1" applyNumberFormat="1" applyFont="1" applyFill="1" applyBorder="1" applyAlignment="1">
      <alignment horizontal="right"/>
    </xf>
    <xf numFmtId="6" fontId="10" fillId="4" borderId="7" xfId="0" applyNumberFormat="1" applyFont="1" applyFill="1" applyBorder="1"/>
    <xf numFmtId="6" fontId="8" fillId="4" borderId="7" xfId="0" applyNumberFormat="1" applyFont="1" applyFill="1" applyBorder="1"/>
    <xf numFmtId="6" fontId="3" fillId="4" borderId="7" xfId="0" applyNumberFormat="1" applyFont="1" applyFill="1" applyBorder="1"/>
    <xf numFmtId="167" fontId="3" fillId="4" borderId="7" xfId="0" applyNumberFormat="1" applyFont="1" applyFill="1" applyBorder="1" applyAlignment="1">
      <alignment horizontal="left"/>
    </xf>
    <xf numFmtId="167" fontId="3" fillId="4" borderId="7" xfId="0" applyNumberFormat="1" applyFont="1" applyFill="1" applyBorder="1" applyAlignment="1">
      <alignment horizontal="center"/>
    </xf>
    <xf numFmtId="166" fontId="3" fillId="4" borderId="7" xfId="1" applyNumberFormat="1" applyFont="1" applyFill="1" applyBorder="1" applyAlignment="1">
      <alignment horizontal="right"/>
    </xf>
    <xf numFmtId="0" fontId="15" fillId="4" borderId="7" xfId="0" applyFont="1" applyFill="1" applyBorder="1"/>
    <xf numFmtId="165" fontId="15" fillId="4" borderId="9" xfId="0" applyNumberFormat="1" applyFont="1" applyFill="1" applyBorder="1"/>
    <xf numFmtId="165" fontId="53" fillId="4" borderId="16" xfId="2" applyNumberFormat="1" applyFont="1" applyFill="1" applyBorder="1"/>
    <xf numFmtId="10" fontId="52" fillId="4" borderId="16" xfId="3" applyNumberFormat="1" applyFont="1" applyFill="1" applyBorder="1"/>
    <xf numFmtId="0" fontId="62" fillId="4" borderId="7" xfId="4" applyFont="1" applyFill="1"/>
    <xf numFmtId="10" fontId="64" fillId="4" borderId="0" xfId="0" applyNumberFormat="1" applyFont="1" applyFill="1"/>
    <xf numFmtId="0" fontId="62" fillId="0" borderId="7" xfId="4" applyFont="1"/>
    <xf numFmtId="10" fontId="64" fillId="0" borderId="0" xfId="0" applyNumberFormat="1" applyFont="1"/>
    <xf numFmtId="10" fontId="62" fillId="0" borderId="0" xfId="0" applyNumberFormat="1" applyFont="1"/>
    <xf numFmtId="10" fontId="65" fillId="0" borderId="0" xfId="0" applyNumberFormat="1" applyFont="1"/>
    <xf numFmtId="10" fontId="65" fillId="4" borderId="0" xfId="0" applyNumberFormat="1" applyFont="1" applyFill="1"/>
    <xf numFmtId="10" fontId="62" fillId="4" borderId="0" xfId="0" applyNumberFormat="1" applyFont="1" applyFill="1"/>
    <xf numFmtId="0" fontId="66" fillId="13" borderId="24" xfId="0" applyFont="1" applyFill="1" applyBorder="1" applyAlignment="1">
      <alignment horizontal="right"/>
    </xf>
    <xf numFmtId="42" fontId="63" fillId="4" borderId="0" xfId="0" applyNumberFormat="1" applyFont="1" applyFill="1"/>
    <xf numFmtId="42" fontId="62" fillId="4" borderId="7" xfId="5" applyNumberFormat="1" applyFont="1" applyFill="1" applyBorder="1"/>
    <xf numFmtId="42" fontId="66" fillId="13" borderId="25" xfId="2" applyNumberFormat="1" applyFont="1" applyFill="1" applyBorder="1"/>
    <xf numFmtId="42" fontId="67" fillId="13" borderId="25" xfId="2" applyNumberFormat="1" applyFont="1" applyFill="1" applyBorder="1"/>
    <xf numFmtId="42" fontId="64" fillId="4" borderId="7" xfId="0" applyNumberFormat="1" applyFont="1" applyFill="1" applyBorder="1"/>
    <xf numFmtId="42" fontId="62" fillId="0" borderId="7" xfId="5" applyNumberFormat="1" applyFont="1" applyFill="1" applyBorder="1"/>
    <xf numFmtId="42" fontId="64" fillId="0" borderId="7" xfId="0" applyNumberFormat="1" applyFont="1" applyBorder="1"/>
    <xf numFmtId="42" fontId="62" fillId="0" borderId="7" xfId="0" applyNumberFormat="1" applyFont="1" applyBorder="1"/>
    <xf numFmtId="42" fontId="65" fillId="0" borderId="7" xfId="0" applyNumberFormat="1" applyFont="1" applyBorder="1"/>
    <xf numFmtId="42" fontId="65" fillId="4" borderId="7" xfId="0" applyNumberFormat="1" applyFont="1" applyFill="1" applyBorder="1"/>
    <xf numFmtId="42" fontId="62" fillId="4" borderId="7" xfId="0" applyNumberFormat="1" applyFont="1" applyFill="1" applyBorder="1"/>
    <xf numFmtId="42" fontId="63" fillId="4" borderId="7" xfId="0" applyNumberFormat="1" applyFont="1" applyFill="1" applyBorder="1"/>
    <xf numFmtId="42" fontId="61" fillId="13" borderId="25" xfId="0" applyNumberFormat="1" applyFont="1" applyFill="1" applyBorder="1"/>
    <xf numFmtId="10" fontId="68" fillId="13" borderId="25" xfId="0" applyNumberFormat="1" applyFont="1" applyFill="1" applyBorder="1"/>
    <xf numFmtId="0" fontId="61" fillId="0" borderId="0" xfId="0" applyFont="1"/>
    <xf numFmtId="0" fontId="50" fillId="0" borderId="0" xfId="0" applyFont="1"/>
    <xf numFmtId="0" fontId="0" fillId="0" borderId="0" xfId="0" applyAlignment="1">
      <alignment horizontal="center"/>
    </xf>
    <xf numFmtId="171" fontId="0" fillId="0" borderId="7" xfId="0" applyNumberFormat="1" applyBorder="1"/>
    <xf numFmtId="8" fontId="72" fillId="0" borderId="0" xfId="0" applyNumberFormat="1" applyFont="1"/>
    <xf numFmtId="8" fontId="72" fillId="2" borderId="7" xfId="0" applyNumberFormat="1" applyFont="1" applyFill="1" applyBorder="1"/>
    <xf numFmtId="167" fontId="40" fillId="0" borderId="0" xfId="0" applyNumberFormat="1" applyFont="1" applyAlignment="1">
      <alignment horizontal="right"/>
    </xf>
    <xf numFmtId="167" fontId="73" fillId="0" borderId="0" xfId="0" applyNumberFormat="1" applyFont="1"/>
    <xf numFmtId="6" fontId="74" fillId="0" borderId="0" xfId="0" applyNumberFormat="1" applyFont="1"/>
    <xf numFmtId="6" fontId="73" fillId="0" borderId="0" xfId="0" applyNumberFormat="1" applyFont="1"/>
    <xf numFmtId="6" fontId="75" fillId="0" borderId="7" xfId="0" applyNumberFormat="1" applyFont="1" applyBorder="1"/>
    <xf numFmtId="6" fontId="76" fillId="0" borderId="15" xfId="0" applyNumberFormat="1" applyFont="1" applyBorder="1"/>
    <xf numFmtId="6" fontId="77" fillId="0" borderId="11" xfId="0" applyNumberFormat="1" applyFont="1" applyBorder="1"/>
    <xf numFmtId="6" fontId="78" fillId="0" borderId="11" xfId="0" applyNumberFormat="1" applyFont="1" applyBorder="1"/>
    <xf numFmtId="167" fontId="73" fillId="0" borderId="7" xfId="0" applyNumberFormat="1" applyFont="1" applyBorder="1"/>
    <xf numFmtId="167" fontId="81" fillId="2" borderId="7" xfId="0" applyNumberFormat="1" applyFont="1" applyFill="1" applyBorder="1"/>
    <xf numFmtId="167" fontId="81" fillId="0" borderId="0" xfId="0" applyNumberFormat="1" applyFont="1"/>
    <xf numFmtId="167" fontId="81" fillId="0" borderId="7" xfId="0" applyNumberFormat="1" applyFont="1" applyBorder="1"/>
    <xf numFmtId="0" fontId="79" fillId="0" borderId="0" xfId="0" applyFont="1"/>
    <xf numFmtId="0" fontId="79" fillId="2" borderId="7" xfId="0" applyFont="1" applyFill="1" applyBorder="1"/>
    <xf numFmtId="167" fontId="82" fillId="0" borderId="0" xfId="0" applyNumberFormat="1" applyFont="1"/>
    <xf numFmtId="0" fontId="83" fillId="0" borderId="0" xfId="0" applyFont="1"/>
    <xf numFmtId="0" fontId="83" fillId="0" borderId="0" xfId="0" applyFont="1" applyAlignment="1">
      <alignment horizontal="center"/>
    </xf>
    <xf numFmtId="0" fontId="73" fillId="0" borderId="0" xfId="0" applyFont="1"/>
    <xf numFmtId="167" fontId="73" fillId="0" borderId="0" xfId="0" applyNumberFormat="1" applyFont="1" applyAlignment="1">
      <alignment horizontal="left"/>
    </xf>
    <xf numFmtId="167" fontId="73" fillId="0" borderId="0" xfId="0" applyNumberFormat="1" applyFont="1" applyAlignment="1">
      <alignment horizontal="center"/>
    </xf>
    <xf numFmtId="6" fontId="74" fillId="0" borderId="7" xfId="0" applyNumberFormat="1" applyFont="1" applyBorder="1"/>
    <xf numFmtId="167" fontId="72" fillId="2" borderId="7" xfId="0" applyNumberFormat="1" applyFont="1" applyFill="1" applyBorder="1" applyAlignment="1">
      <alignment horizontal="left"/>
    </xf>
    <xf numFmtId="167" fontId="72" fillId="2" borderId="7" xfId="0" applyNumberFormat="1" applyFont="1" applyFill="1" applyBorder="1" applyAlignment="1">
      <alignment horizontal="center"/>
    </xf>
    <xf numFmtId="6" fontId="74" fillId="2" borderId="12" xfId="0" applyNumberFormat="1" applyFont="1" applyFill="1" applyBorder="1"/>
    <xf numFmtId="6" fontId="75" fillId="2" borderId="4" xfId="0" applyNumberFormat="1" applyFont="1" applyFill="1" applyBorder="1"/>
    <xf numFmtId="6" fontId="72" fillId="2" borderId="4" xfId="0" applyNumberFormat="1" applyFont="1" applyFill="1" applyBorder="1"/>
    <xf numFmtId="167" fontId="78" fillId="0" borderId="0" xfId="0" applyNumberFormat="1" applyFont="1" applyAlignment="1">
      <alignment horizontal="right"/>
    </xf>
    <xf numFmtId="167" fontId="78" fillId="0" borderId="0" xfId="0" applyNumberFormat="1" applyFont="1" applyAlignment="1">
      <alignment horizontal="center"/>
    </xf>
    <xf numFmtId="0" fontId="72" fillId="0" borderId="0" xfId="0" applyFont="1"/>
    <xf numFmtId="6" fontId="76" fillId="0" borderId="7" xfId="0" applyNumberFormat="1" applyFont="1" applyBorder="1"/>
    <xf numFmtId="6" fontId="77" fillId="0" borderId="0" xfId="0" applyNumberFormat="1" applyFont="1"/>
    <xf numFmtId="6" fontId="78" fillId="0" borderId="0" xfId="0" applyNumberFormat="1" applyFont="1"/>
    <xf numFmtId="0" fontId="72" fillId="0" borderId="0" xfId="0" applyFont="1" applyAlignment="1">
      <alignment horizontal="center"/>
    </xf>
    <xf numFmtId="167" fontId="83" fillId="0" borderId="0" xfId="0" applyNumberFormat="1" applyFont="1"/>
    <xf numFmtId="167" fontId="83" fillId="0" borderId="0" xfId="0" applyNumberFormat="1" applyFont="1" applyAlignment="1">
      <alignment horizontal="center"/>
    </xf>
    <xf numFmtId="167" fontId="72" fillId="2" borderId="7" xfId="0" applyNumberFormat="1" applyFont="1" applyFill="1" applyBorder="1"/>
    <xf numFmtId="0" fontId="72" fillId="2" borderId="7" xfId="0" applyFont="1" applyFill="1" applyBorder="1"/>
    <xf numFmtId="6" fontId="74" fillId="2" borderId="7" xfId="0" applyNumberFormat="1" applyFont="1" applyFill="1" applyBorder="1"/>
    <xf numFmtId="6" fontId="73" fillId="2" borderId="7" xfId="0" applyNumberFormat="1" applyFont="1" applyFill="1" applyBorder="1"/>
    <xf numFmtId="6" fontId="73" fillId="2" borderId="4" xfId="0" applyNumberFormat="1" applyFont="1" applyFill="1" applyBorder="1"/>
    <xf numFmtId="167" fontId="78" fillId="0" borderId="0" xfId="0" applyNumberFormat="1" applyFont="1" applyAlignment="1">
      <alignment horizontal="left"/>
    </xf>
    <xf numFmtId="1" fontId="78" fillId="0" borderId="0" xfId="0" applyNumberFormat="1" applyFont="1" applyAlignment="1">
      <alignment horizontal="center"/>
    </xf>
    <xf numFmtId="167" fontId="73" fillId="2" borderId="7" xfId="0" applyNumberFormat="1" applyFont="1" applyFill="1" applyBorder="1" applyAlignment="1">
      <alignment horizontal="left"/>
    </xf>
    <xf numFmtId="1" fontId="73" fillId="2" borderId="7" xfId="0" applyNumberFormat="1" applyFont="1" applyFill="1" applyBorder="1" applyAlignment="1">
      <alignment horizontal="center"/>
    </xf>
    <xf numFmtId="165" fontId="72" fillId="2" borderId="7" xfId="0" applyNumberFormat="1" applyFont="1" applyFill="1" applyBorder="1"/>
    <xf numFmtId="6" fontId="78" fillId="2" borderId="7" xfId="0" applyNumberFormat="1" applyFont="1" applyFill="1" applyBorder="1"/>
    <xf numFmtId="1" fontId="73" fillId="0" borderId="0" xfId="0" applyNumberFormat="1" applyFont="1" applyAlignment="1">
      <alignment horizontal="center"/>
    </xf>
    <xf numFmtId="165" fontId="72" fillId="0" borderId="0" xfId="0" applyNumberFormat="1" applyFont="1"/>
    <xf numFmtId="167" fontId="73" fillId="0" borderId="7" xfId="0" applyNumberFormat="1" applyFont="1" applyBorder="1" applyAlignment="1">
      <alignment horizontal="left"/>
    </xf>
    <xf numFmtId="1" fontId="73" fillId="0" borderId="7" xfId="0" applyNumberFormat="1" applyFont="1" applyBorder="1" applyAlignment="1">
      <alignment horizontal="center"/>
    </xf>
    <xf numFmtId="165" fontId="72" fillId="0" borderId="7" xfId="0" applyNumberFormat="1" applyFont="1" applyBorder="1"/>
    <xf numFmtId="6" fontId="74" fillId="0" borderId="12" xfId="0" applyNumberFormat="1" applyFont="1" applyBorder="1"/>
    <xf numFmtId="6" fontId="78" fillId="0" borderId="12" xfId="0" applyNumberFormat="1" applyFont="1" applyBorder="1"/>
    <xf numFmtId="6" fontId="73" fillId="0" borderId="12" xfId="0" applyNumberFormat="1" applyFont="1" applyBorder="1"/>
    <xf numFmtId="10" fontId="76" fillId="0" borderId="0" xfId="0" applyNumberFormat="1" applyFont="1"/>
    <xf numFmtId="168" fontId="77" fillId="0" borderId="11" xfId="0" applyNumberFormat="1" applyFont="1" applyBorder="1" applyAlignment="1">
      <alignment horizontal="right"/>
    </xf>
    <xf numFmtId="6" fontId="78" fillId="0" borderId="9" xfId="0" applyNumberFormat="1" applyFont="1" applyBorder="1" applyAlignment="1">
      <alignment horizontal="right"/>
    </xf>
    <xf numFmtId="10" fontId="74" fillId="0" borderId="0" xfId="0" applyNumberFormat="1" applyFont="1"/>
    <xf numFmtId="8" fontId="72" fillId="0" borderId="0" xfId="0" applyNumberFormat="1" applyFont="1" applyAlignment="1">
      <alignment horizontal="center"/>
    </xf>
    <xf numFmtId="0" fontId="79" fillId="2" borderId="7" xfId="0" applyFont="1" applyFill="1" applyBorder="1" applyAlignment="1">
      <alignment horizontal="right"/>
    </xf>
    <xf numFmtId="44" fontId="72" fillId="0" borderId="0" xfId="0" applyNumberFormat="1" applyFont="1"/>
    <xf numFmtId="6" fontId="72" fillId="0" borderId="0" xfId="0" applyNumberFormat="1" applyFont="1"/>
    <xf numFmtId="167" fontId="40" fillId="2" borderId="7" xfId="0" applyNumberFormat="1" applyFont="1" applyFill="1" applyBorder="1" applyAlignment="1">
      <alignment horizontal="right"/>
    </xf>
    <xf numFmtId="6" fontId="76" fillId="2" borderId="15" xfId="0" applyNumberFormat="1" applyFont="1" applyFill="1" applyBorder="1"/>
    <xf numFmtId="44" fontId="84" fillId="2" borderId="11" xfId="0" applyNumberFormat="1" applyFont="1" applyFill="1" applyBorder="1"/>
    <xf numFmtId="6" fontId="78" fillId="2" borderId="11" xfId="0" applyNumberFormat="1" applyFont="1" applyFill="1" applyBorder="1"/>
    <xf numFmtId="167" fontId="78" fillId="2" borderId="7" xfId="0" applyNumberFormat="1" applyFont="1" applyFill="1" applyBorder="1" applyAlignment="1">
      <alignment horizontal="center"/>
    </xf>
    <xf numFmtId="167" fontId="83" fillId="0" borderId="0" xfId="0" applyNumberFormat="1" applyFont="1" applyAlignment="1">
      <alignment horizontal="left"/>
    </xf>
    <xf numFmtId="10" fontId="73" fillId="2" borderId="4" xfId="0" applyNumberFormat="1" applyFont="1" applyFill="1" applyBorder="1"/>
    <xf numFmtId="10" fontId="72" fillId="2" borderId="4" xfId="0" applyNumberFormat="1" applyFont="1" applyFill="1" applyBorder="1"/>
    <xf numFmtId="166" fontId="75" fillId="0" borderId="0" xfId="0" applyNumberFormat="1" applyFont="1"/>
    <xf numFmtId="166" fontId="73" fillId="0" borderId="0" xfId="0" applyNumberFormat="1" applyFont="1"/>
    <xf numFmtId="10" fontId="73" fillId="2" borderId="12" xfId="0" applyNumberFormat="1" applyFont="1" applyFill="1" applyBorder="1"/>
    <xf numFmtId="0" fontId="84" fillId="0" borderId="0" xfId="0" applyFont="1" applyAlignment="1">
      <alignment horizontal="right"/>
    </xf>
    <xf numFmtId="0" fontId="84" fillId="0" borderId="0" xfId="0" applyFont="1" applyAlignment="1">
      <alignment horizontal="center"/>
    </xf>
    <xf numFmtId="6" fontId="76" fillId="0" borderId="10" xfId="0" applyNumberFormat="1" applyFont="1" applyBorder="1"/>
    <xf numFmtId="6" fontId="77" fillId="0" borderId="10" xfId="0" applyNumberFormat="1" applyFont="1" applyBorder="1"/>
    <xf numFmtId="6" fontId="78" fillId="0" borderId="10" xfId="0" applyNumberFormat="1" applyFont="1" applyBorder="1"/>
    <xf numFmtId="0" fontId="73" fillId="0" borderId="7" xfId="0" applyFont="1" applyBorder="1"/>
    <xf numFmtId="167" fontId="73" fillId="0" borderId="7" xfId="0" applyNumberFormat="1" applyFont="1" applyBorder="1" applyAlignment="1">
      <alignment horizontal="center"/>
    </xf>
    <xf numFmtId="8" fontId="86" fillId="0" borderId="7" xfId="0" applyNumberFormat="1" applyFont="1" applyBorder="1" applyAlignment="1">
      <alignment horizontal="left"/>
    </xf>
    <xf numFmtId="0" fontId="72" fillId="0" borderId="7" xfId="0" applyFont="1" applyBorder="1"/>
    <xf numFmtId="8" fontId="82" fillId="0" borderId="0" xfId="0" applyNumberFormat="1" applyFont="1" applyAlignment="1">
      <alignment wrapText="1"/>
    </xf>
    <xf numFmtId="0" fontId="72" fillId="0" borderId="0" xfId="0" applyFont="1" applyAlignment="1">
      <alignment wrapText="1"/>
    </xf>
    <xf numFmtId="8" fontId="72" fillId="0" borderId="0" xfId="0" applyNumberFormat="1" applyFont="1" applyAlignment="1">
      <alignment horizontal="right"/>
    </xf>
    <xf numFmtId="8" fontId="73" fillId="0" borderId="0" xfId="0" applyNumberFormat="1" applyFont="1"/>
    <xf numFmtId="0" fontId="73" fillId="4" borderId="7" xfId="0" applyFont="1" applyFill="1" applyBorder="1" applyAlignment="1">
      <alignment horizontal="left" wrapText="1"/>
    </xf>
    <xf numFmtId="8" fontId="73" fillId="4" borderId="7" xfId="0" applyNumberFormat="1" applyFont="1" applyFill="1" applyBorder="1" applyAlignment="1">
      <alignment horizontal="right"/>
    </xf>
    <xf numFmtId="8" fontId="73" fillId="4" borderId="0" xfId="0" applyNumberFormat="1" applyFont="1" applyFill="1"/>
    <xf numFmtId="8" fontId="73" fillId="2" borderId="7" xfId="0" applyNumberFormat="1" applyFont="1" applyFill="1" applyBorder="1"/>
    <xf numFmtId="0" fontId="73" fillId="0" borderId="0" xfId="0" applyFont="1" applyAlignment="1">
      <alignment horizontal="left" wrapText="1"/>
    </xf>
    <xf numFmtId="8" fontId="73" fillId="0" borderId="0" xfId="0" applyNumberFormat="1" applyFont="1" applyAlignment="1">
      <alignment horizontal="right"/>
    </xf>
    <xf numFmtId="0" fontId="72" fillId="4" borderId="0" xfId="0" applyFont="1" applyFill="1" applyAlignment="1">
      <alignment horizontal="left" wrapText="1"/>
    </xf>
    <xf numFmtId="8" fontId="72" fillId="4" borderId="0" xfId="0" applyNumberFormat="1" applyFont="1" applyFill="1" applyAlignment="1">
      <alignment horizontal="right"/>
    </xf>
    <xf numFmtId="0" fontId="73" fillId="0" borderId="7" xfId="0" applyFont="1" applyBorder="1" applyAlignment="1">
      <alignment horizontal="left" wrapText="1"/>
    </xf>
    <xf numFmtId="8" fontId="73" fillId="0" borderId="7" xfId="0" applyNumberFormat="1" applyFont="1" applyBorder="1" applyAlignment="1">
      <alignment horizontal="right"/>
    </xf>
    <xf numFmtId="8" fontId="73" fillId="0" borderId="7" xfId="0" applyNumberFormat="1" applyFont="1" applyBorder="1"/>
    <xf numFmtId="8" fontId="73" fillId="4" borderId="7" xfId="0" applyNumberFormat="1" applyFont="1" applyFill="1" applyBorder="1"/>
    <xf numFmtId="0" fontId="72" fillId="4" borderId="7" xfId="0" applyFont="1" applyFill="1" applyBorder="1" applyAlignment="1">
      <alignment horizontal="left" wrapText="1"/>
    </xf>
    <xf numFmtId="8" fontId="72" fillId="4" borderId="7" xfId="0" applyNumberFormat="1" applyFont="1" applyFill="1" applyBorder="1" applyAlignment="1">
      <alignment horizontal="right"/>
    </xf>
    <xf numFmtId="8" fontId="78" fillId="0" borderId="0" xfId="0" applyNumberFormat="1" applyFont="1" applyAlignment="1">
      <alignment horizontal="right" wrapText="1"/>
    </xf>
    <xf numFmtId="1" fontId="78" fillId="0" borderId="0" xfId="0" applyNumberFormat="1" applyFont="1" applyAlignment="1">
      <alignment horizontal="right"/>
    </xf>
    <xf numFmtId="10" fontId="78" fillId="0" borderId="0" xfId="0" applyNumberFormat="1" applyFont="1" applyAlignment="1">
      <alignment horizontal="right"/>
    </xf>
    <xf numFmtId="8" fontId="78" fillId="0" borderId="15" xfId="0" applyNumberFormat="1" applyFont="1" applyBorder="1"/>
    <xf numFmtId="8" fontId="78" fillId="0" borderId="11" xfId="0" applyNumberFormat="1" applyFont="1" applyBorder="1"/>
    <xf numFmtId="8" fontId="78" fillId="0" borderId="0" xfId="0" applyNumberFormat="1" applyFont="1" applyAlignment="1">
      <alignment horizontal="right"/>
    </xf>
    <xf numFmtId="8" fontId="78" fillId="0" borderId="0" xfId="0" applyNumberFormat="1" applyFont="1" applyAlignment="1">
      <alignment vertical="top"/>
    </xf>
    <xf numFmtId="0" fontId="73" fillId="0" borderId="0" xfId="0" applyFont="1" applyAlignment="1">
      <alignment wrapText="1"/>
    </xf>
    <xf numFmtId="0" fontId="72" fillId="6" borderId="7" xfId="0" applyFont="1" applyFill="1" applyBorder="1" applyAlignment="1">
      <alignment horizontal="left" wrapText="1"/>
    </xf>
    <xf numFmtId="8" fontId="72" fillId="6" borderId="7" xfId="0" applyNumberFormat="1" applyFont="1" applyFill="1" applyBorder="1" applyAlignment="1">
      <alignment horizontal="right"/>
    </xf>
    <xf numFmtId="8" fontId="73" fillId="6" borderId="7" xfId="0" applyNumberFormat="1" applyFont="1" applyFill="1" applyBorder="1"/>
    <xf numFmtId="0" fontId="72" fillId="2" borderId="7" xfId="0" applyFont="1" applyFill="1" applyBorder="1" applyAlignment="1">
      <alignment wrapText="1"/>
    </xf>
    <xf numFmtId="8" fontId="72" fillId="2" borderId="7" xfId="0" applyNumberFormat="1" applyFont="1" applyFill="1" applyBorder="1" applyAlignment="1">
      <alignment horizontal="right"/>
    </xf>
    <xf numFmtId="0" fontId="73" fillId="2" borderId="7" xfId="0" applyFont="1" applyFill="1" applyBorder="1" applyAlignment="1">
      <alignment horizontal="left" wrapText="1"/>
    </xf>
    <xf numFmtId="8" fontId="73" fillId="2" borderId="7" xfId="0" applyNumberFormat="1" applyFont="1" applyFill="1" applyBorder="1" applyAlignment="1">
      <alignment horizontal="right"/>
    </xf>
    <xf numFmtId="0" fontId="73" fillId="4" borderId="0" xfId="0" applyFont="1" applyFill="1" applyAlignment="1">
      <alignment horizontal="left" wrapText="1"/>
    </xf>
    <xf numFmtId="8" fontId="73" fillId="4" borderId="0" xfId="0" applyNumberFormat="1" applyFont="1" applyFill="1" applyAlignment="1">
      <alignment horizontal="right"/>
    </xf>
    <xf numFmtId="0" fontId="72" fillId="4" borderId="7" xfId="0" applyFont="1" applyFill="1" applyBorder="1" applyAlignment="1">
      <alignment wrapText="1"/>
    </xf>
    <xf numFmtId="0" fontId="72" fillId="0" borderId="7" xfId="0" applyFont="1" applyBorder="1" applyAlignment="1">
      <alignment horizontal="left" wrapText="1"/>
    </xf>
    <xf numFmtId="8" fontId="72" fillId="0" borderId="7" xfId="0" applyNumberFormat="1" applyFont="1" applyBorder="1" applyAlignment="1">
      <alignment horizontal="right"/>
    </xf>
    <xf numFmtId="0" fontId="72" fillId="4" borderId="0" xfId="0" applyFont="1" applyFill="1" applyAlignment="1">
      <alignment wrapText="1"/>
    </xf>
    <xf numFmtId="0" fontId="72" fillId="0" borderId="7" xfId="0" applyFont="1" applyBorder="1" applyAlignment="1">
      <alignment wrapText="1"/>
    </xf>
    <xf numFmtId="0" fontId="73" fillId="4" borderId="0" xfId="0" applyFont="1" applyFill="1" applyAlignment="1">
      <alignment wrapText="1"/>
    </xf>
    <xf numFmtId="10" fontId="75" fillId="0" borderId="0" xfId="0" applyNumberFormat="1" applyFont="1" applyAlignment="1">
      <alignment horizontal="right"/>
    </xf>
    <xf numFmtId="8" fontId="78" fillId="0" borderId="0" xfId="0" applyNumberFormat="1" applyFont="1"/>
    <xf numFmtId="0" fontId="73" fillId="6" borderId="0" xfId="0" applyFont="1" applyFill="1" applyAlignment="1">
      <alignment horizontal="left" wrapText="1"/>
    </xf>
    <xf numFmtId="8" fontId="73" fillId="6" borderId="0" xfId="0" applyNumberFormat="1" applyFont="1" applyFill="1" applyAlignment="1">
      <alignment horizontal="right"/>
    </xf>
    <xf numFmtId="8" fontId="73" fillId="6" borderId="0" xfId="0" applyNumberFormat="1" applyFont="1" applyFill="1"/>
    <xf numFmtId="0" fontId="72" fillId="0" borderId="0" xfId="0" applyFont="1" applyAlignment="1">
      <alignment horizontal="left" wrapText="1"/>
    </xf>
    <xf numFmtId="0" fontId="73" fillId="0" borderId="7" xfId="0" applyFont="1" applyBorder="1" applyAlignment="1">
      <alignment wrapText="1"/>
    </xf>
    <xf numFmtId="8" fontId="73" fillId="0" borderId="7" xfId="0" applyNumberFormat="1" applyFont="1" applyBorder="1" applyAlignment="1">
      <alignment wrapText="1"/>
    </xf>
    <xf numFmtId="8" fontId="71" fillId="0" borderId="0" xfId="0" applyNumberFormat="1" applyFont="1" applyAlignment="1">
      <alignment horizontal="right"/>
    </xf>
    <xf numFmtId="1" fontId="73" fillId="0" borderId="0" xfId="0" applyNumberFormat="1" applyFont="1" applyAlignment="1">
      <alignment horizontal="right"/>
    </xf>
    <xf numFmtId="8" fontId="73" fillId="0" borderId="12" xfId="0" applyNumberFormat="1" applyFont="1" applyBorder="1"/>
    <xf numFmtId="8" fontId="78" fillId="0" borderId="35" xfId="0" applyNumberFormat="1" applyFont="1" applyBorder="1"/>
    <xf numFmtId="8" fontId="40" fillId="4" borderId="0" xfId="0" applyNumberFormat="1" applyFont="1" applyFill="1"/>
    <xf numFmtId="8" fontId="40" fillId="0" borderId="7" xfId="0" applyNumberFormat="1" applyFont="1" applyBorder="1"/>
    <xf numFmtId="8" fontId="73" fillId="0" borderId="0" xfId="0" applyNumberFormat="1" applyFont="1" applyAlignment="1">
      <alignment wrapText="1"/>
    </xf>
    <xf numFmtId="1" fontId="88" fillId="0" borderId="0" xfId="0" applyNumberFormat="1" applyFont="1" applyAlignment="1">
      <alignment horizontal="right"/>
    </xf>
    <xf numFmtId="167" fontId="88" fillId="0" borderId="0" xfId="0" applyNumberFormat="1" applyFont="1" applyAlignment="1">
      <alignment horizontal="right"/>
    </xf>
    <xf numFmtId="1" fontId="73" fillId="2" borderId="7" xfId="0" applyNumberFormat="1" applyFont="1" applyFill="1" applyBorder="1" applyAlignment="1">
      <alignment horizontal="right"/>
    </xf>
    <xf numFmtId="1" fontId="73" fillId="0" borderId="7" xfId="0" applyNumberFormat="1" applyFont="1" applyBorder="1" applyAlignment="1">
      <alignment horizontal="right"/>
    </xf>
    <xf numFmtId="8" fontId="72" fillId="0" borderId="7" xfId="0" applyNumberFormat="1" applyFont="1" applyBorder="1"/>
    <xf numFmtId="1" fontId="72" fillId="4" borderId="0" xfId="0" applyNumberFormat="1" applyFont="1" applyFill="1" applyAlignment="1">
      <alignment horizontal="right"/>
    </xf>
    <xf numFmtId="8" fontId="72" fillId="4" borderId="0" xfId="0" applyNumberFormat="1" applyFont="1" applyFill="1"/>
    <xf numFmtId="1" fontId="72" fillId="0" borderId="0" xfId="0" applyNumberFormat="1" applyFont="1" applyAlignment="1">
      <alignment horizontal="right"/>
    </xf>
    <xf numFmtId="8" fontId="72" fillId="4" borderId="0" xfId="0" applyNumberFormat="1" applyFont="1" applyFill="1" applyAlignment="1">
      <alignment wrapText="1"/>
    </xf>
    <xf numFmtId="1" fontId="72" fillId="0" borderId="7" xfId="0" applyNumberFormat="1" applyFont="1" applyBorder="1" applyAlignment="1">
      <alignment horizontal="right"/>
    </xf>
    <xf numFmtId="1" fontId="73" fillId="4" borderId="0" xfId="0" applyNumberFormat="1" applyFont="1" applyFill="1" applyAlignment="1">
      <alignment horizontal="right"/>
    </xf>
    <xf numFmtId="1" fontId="73" fillId="0" borderId="0" xfId="0" applyNumberFormat="1" applyFont="1"/>
    <xf numFmtId="8" fontId="72" fillId="6" borderId="0" xfId="0" applyNumberFormat="1" applyFont="1" applyFill="1"/>
    <xf numFmtId="1" fontId="73" fillId="0" borderId="7" xfId="0" applyNumberFormat="1" applyFont="1" applyBorder="1"/>
    <xf numFmtId="8" fontId="84" fillId="0" borderId="11" xfId="0" applyNumberFormat="1" applyFont="1" applyBorder="1"/>
    <xf numFmtId="1" fontId="73" fillId="0" borderId="0" xfId="0" applyNumberFormat="1" applyFont="1" applyAlignment="1">
      <alignment horizontal="left"/>
    </xf>
    <xf numFmtId="1" fontId="72" fillId="4" borderId="0" xfId="0" applyNumberFormat="1" applyFont="1" applyFill="1"/>
    <xf numFmtId="1" fontId="72" fillId="0" borderId="7" xfId="0" applyNumberFormat="1" applyFont="1" applyBorder="1" applyAlignment="1">
      <alignment horizontal="left"/>
    </xf>
    <xf numFmtId="1" fontId="72" fillId="4" borderId="0" xfId="0" applyNumberFormat="1" applyFont="1" applyFill="1" applyAlignment="1">
      <alignment horizontal="left"/>
    </xf>
    <xf numFmtId="0" fontId="73" fillId="4" borderId="7" xfId="0" applyFont="1" applyFill="1" applyBorder="1" applyAlignment="1">
      <alignment wrapText="1"/>
    </xf>
    <xf numFmtId="1" fontId="73" fillId="4" borderId="7" xfId="0" applyNumberFormat="1" applyFont="1" applyFill="1" applyBorder="1"/>
    <xf numFmtId="8" fontId="72" fillId="4" borderId="7" xfId="0" applyNumberFormat="1" applyFont="1" applyFill="1" applyBorder="1"/>
    <xf numFmtId="3" fontId="73" fillId="0" borderId="0" xfId="0" applyNumberFormat="1" applyFont="1"/>
    <xf numFmtId="1" fontId="72" fillId="4" borderId="7" xfId="0" applyNumberFormat="1" applyFont="1" applyFill="1" applyBorder="1" applyAlignment="1">
      <alignment horizontal="right"/>
    </xf>
    <xf numFmtId="1" fontId="72" fillId="0" borderId="0" xfId="0" applyNumberFormat="1" applyFont="1"/>
    <xf numFmtId="0" fontId="72" fillId="6" borderId="7" xfId="0" applyFont="1" applyFill="1" applyBorder="1" applyAlignment="1">
      <alignment wrapText="1"/>
    </xf>
    <xf numFmtId="1" fontId="72" fillId="6" borderId="7" xfId="0" applyNumberFormat="1" applyFont="1" applyFill="1" applyBorder="1" applyAlignment="1">
      <alignment horizontal="right"/>
    </xf>
    <xf numFmtId="8" fontId="72" fillId="6" borderId="7" xfId="0" applyNumberFormat="1" applyFont="1" applyFill="1" applyBorder="1"/>
    <xf numFmtId="1" fontId="72" fillId="4" borderId="7" xfId="0" applyNumberFormat="1" applyFont="1" applyFill="1" applyBorder="1"/>
    <xf numFmtId="1" fontId="73" fillId="4" borderId="7" xfId="0" applyNumberFormat="1" applyFont="1" applyFill="1" applyBorder="1" applyAlignment="1">
      <alignment horizontal="right"/>
    </xf>
    <xf numFmtId="1" fontId="73" fillId="4" borderId="7" xfId="0" applyNumberFormat="1" applyFont="1" applyFill="1" applyBorder="1" applyAlignment="1">
      <alignment horizontal="left"/>
    </xf>
    <xf numFmtId="1" fontId="72" fillId="0" borderId="7" xfId="0" applyNumberFormat="1" applyFont="1" applyBorder="1"/>
    <xf numFmtId="0" fontId="73" fillId="6" borderId="7" xfId="0" applyFont="1" applyFill="1" applyBorder="1" applyAlignment="1">
      <alignment horizontal="left" wrapText="1"/>
    </xf>
    <xf numFmtId="8" fontId="82" fillId="0" borderId="0" xfId="0" applyNumberFormat="1" applyFont="1"/>
    <xf numFmtId="8" fontId="27" fillId="0" borderId="7" xfId="0" applyNumberFormat="1" applyFont="1" applyBorder="1" applyAlignment="1">
      <alignment horizontal="left" wrapText="1"/>
    </xf>
    <xf numFmtId="8" fontId="81" fillId="0" borderId="0" xfId="0" applyNumberFormat="1" applyFont="1"/>
    <xf numFmtId="8" fontId="81" fillId="2" borderId="7" xfId="0" applyNumberFormat="1" applyFont="1" applyFill="1" applyBorder="1"/>
    <xf numFmtId="8" fontId="92" fillId="5" borderId="7" xfId="0" applyNumberFormat="1" applyFont="1" applyFill="1" applyBorder="1" applyAlignment="1">
      <alignment wrapText="1"/>
    </xf>
    <xf numFmtId="8" fontId="81" fillId="0" borderId="0" xfId="0" applyNumberFormat="1" applyFont="1" applyAlignment="1">
      <alignment wrapText="1"/>
    </xf>
    <xf numFmtId="8" fontId="81" fillId="0" borderId="7" xfId="0" applyNumberFormat="1" applyFont="1" applyBorder="1"/>
    <xf numFmtId="8" fontId="81" fillId="4" borderId="0" xfId="0" applyNumberFormat="1" applyFont="1" applyFill="1" applyAlignment="1">
      <alignment wrapText="1"/>
    </xf>
    <xf numFmtId="8" fontId="81" fillId="0" borderId="7" xfId="0" applyNumberFormat="1" applyFont="1" applyBorder="1" applyAlignment="1">
      <alignment wrapText="1"/>
    </xf>
    <xf numFmtId="8" fontId="81" fillId="4" borderId="7" xfId="0" applyNumberFormat="1" applyFont="1" applyFill="1" applyBorder="1" applyAlignment="1">
      <alignment wrapText="1"/>
    </xf>
    <xf numFmtId="8" fontId="81" fillId="6" borderId="7" xfId="0" applyNumberFormat="1" applyFont="1" applyFill="1" applyBorder="1"/>
    <xf numFmtId="8" fontId="81" fillId="4" borderId="7" xfId="0" applyNumberFormat="1" applyFont="1" applyFill="1" applyBorder="1"/>
    <xf numFmtId="8" fontId="81" fillId="4" borderId="0" xfId="0" applyNumberFormat="1" applyFont="1" applyFill="1"/>
    <xf numFmtId="8" fontId="44" fillId="4" borderId="0" xfId="0" applyNumberFormat="1" applyFont="1" applyFill="1" applyAlignment="1">
      <alignment wrapText="1"/>
    </xf>
    <xf numFmtId="8" fontId="81" fillId="6" borderId="0" xfId="0" applyNumberFormat="1" applyFont="1" applyFill="1"/>
    <xf numFmtId="8" fontId="93" fillId="0" borderId="0" xfId="0" applyNumberFormat="1" applyFont="1" applyAlignment="1">
      <alignment wrapText="1"/>
    </xf>
    <xf numFmtId="8" fontId="81" fillId="2" borderId="7" xfId="0" applyNumberFormat="1" applyFont="1" applyFill="1" applyBorder="1" applyAlignment="1">
      <alignment wrapText="1"/>
    </xf>
    <xf numFmtId="8" fontId="81" fillId="6" borderId="0" xfId="0" applyNumberFormat="1" applyFont="1" applyFill="1" applyAlignment="1">
      <alignment wrapText="1"/>
    </xf>
    <xf numFmtId="0" fontId="72" fillId="2" borderId="7" xfId="0" applyFont="1" applyFill="1" applyBorder="1" applyAlignment="1">
      <alignment horizontal="left" wrapText="1"/>
    </xf>
    <xf numFmtId="1" fontId="72" fillId="2" borderId="7" xfId="0" applyNumberFormat="1" applyFont="1" applyFill="1" applyBorder="1" applyAlignment="1">
      <alignment horizontal="right"/>
    </xf>
    <xf numFmtId="0" fontId="72" fillId="5" borderId="7" xfId="0" applyFont="1" applyFill="1" applyBorder="1" applyAlignment="1">
      <alignment horizontal="left" wrapText="1"/>
    </xf>
    <xf numFmtId="8" fontId="72" fillId="5" borderId="7" xfId="0" applyNumberFormat="1" applyFont="1" applyFill="1" applyBorder="1" applyAlignment="1">
      <alignment horizontal="right"/>
    </xf>
    <xf numFmtId="8" fontId="73" fillId="5" borderId="7" xfId="0" applyNumberFormat="1" applyFont="1" applyFill="1" applyBorder="1"/>
    <xf numFmtId="8" fontId="80" fillId="0" borderId="7" xfId="0" applyNumberFormat="1" applyFont="1" applyBorder="1" applyAlignment="1">
      <alignment horizontal="left" wrapText="1"/>
    </xf>
    <xf numFmtId="8" fontId="78" fillId="0" borderId="7" xfId="0" applyNumberFormat="1" applyFont="1" applyBorder="1" applyAlignment="1">
      <alignment horizontal="left" wrapText="1"/>
    </xf>
    <xf numFmtId="1" fontId="73" fillId="4" borderId="0" xfId="0" applyNumberFormat="1" applyFont="1" applyFill="1"/>
    <xf numFmtId="1" fontId="73" fillId="4" borderId="0" xfId="0" applyNumberFormat="1" applyFont="1" applyFill="1" applyAlignment="1">
      <alignment horizontal="left"/>
    </xf>
    <xf numFmtId="1" fontId="72" fillId="2" borderId="7" xfId="0" applyNumberFormat="1" applyFont="1" applyFill="1" applyBorder="1"/>
    <xf numFmtId="8" fontId="73" fillId="0" borderId="0" xfId="0" applyNumberFormat="1" applyFont="1" applyAlignment="1">
      <alignment horizontal="right" wrapText="1"/>
    </xf>
    <xf numFmtId="8" fontId="81" fillId="0" borderId="0" xfId="0" applyNumberFormat="1" applyFont="1" applyAlignment="1">
      <alignment horizontal="left" wrapText="1"/>
    </xf>
    <xf numFmtId="8" fontId="93" fillId="0" borderId="0" xfId="0" applyNumberFormat="1" applyFont="1" applyAlignment="1">
      <alignment horizontal="left" wrapText="1"/>
    </xf>
    <xf numFmtId="8" fontId="73" fillId="0" borderId="0" xfId="0" applyNumberFormat="1" applyFont="1" applyAlignment="1">
      <alignment horizontal="left" wrapText="1"/>
    </xf>
    <xf numFmtId="38" fontId="73" fillId="0" borderId="0" xfId="0" applyNumberFormat="1" applyFont="1" applyAlignment="1">
      <alignment horizontal="right" wrapText="1"/>
    </xf>
    <xf numFmtId="8" fontId="78" fillId="0" borderId="11" xfId="0" applyNumberFormat="1" applyFont="1" applyBorder="1" applyAlignment="1">
      <alignment horizontal="right"/>
    </xf>
    <xf numFmtId="8" fontId="81" fillId="4" borderId="0" xfId="0" applyNumberFormat="1" applyFont="1" applyFill="1" applyAlignment="1">
      <alignment vertical="center"/>
    </xf>
    <xf numFmtId="8" fontId="81" fillId="4" borderId="7" xfId="0" applyNumberFormat="1" applyFont="1" applyFill="1" applyBorder="1" applyAlignment="1">
      <alignment vertical="center"/>
    </xf>
    <xf numFmtId="0" fontId="72" fillId="6" borderId="0" xfId="0" applyFont="1" applyFill="1" applyAlignment="1">
      <alignment horizontal="left" wrapText="1"/>
    </xf>
    <xf numFmtId="1" fontId="72" fillId="6" borderId="0" xfId="0" applyNumberFormat="1" applyFont="1" applyFill="1"/>
    <xf numFmtId="1" fontId="72" fillId="6" borderId="0" xfId="0" applyNumberFormat="1" applyFont="1" applyFill="1" applyAlignment="1">
      <alignment horizontal="right"/>
    </xf>
    <xf numFmtId="8" fontId="72" fillId="6" borderId="0" xfId="0" applyNumberFormat="1" applyFont="1" applyFill="1" applyAlignment="1">
      <alignment horizontal="right"/>
    </xf>
    <xf numFmtId="1" fontId="72" fillId="4" borderId="7" xfId="0" applyNumberFormat="1" applyFont="1" applyFill="1" applyBorder="1" applyAlignment="1">
      <alignment horizontal="left"/>
    </xf>
    <xf numFmtId="1" fontId="72" fillId="0" borderId="0" xfId="0" applyNumberFormat="1" applyFont="1" applyAlignment="1">
      <alignment horizontal="left"/>
    </xf>
    <xf numFmtId="0" fontId="95" fillId="0" borderId="0" xfId="0" applyFont="1"/>
    <xf numFmtId="1" fontId="78" fillId="4" borderId="7" xfId="0" applyNumberFormat="1" applyFont="1" applyFill="1" applyBorder="1" applyAlignment="1">
      <alignment horizontal="left"/>
    </xf>
    <xf numFmtId="8" fontId="92" fillId="4" borderId="7" xfId="0" applyNumberFormat="1" applyFont="1" applyFill="1" applyBorder="1"/>
    <xf numFmtId="8" fontId="72" fillId="0" borderId="0" xfId="0" applyNumberFormat="1" applyFont="1" applyAlignment="1">
      <alignment wrapText="1"/>
    </xf>
    <xf numFmtId="8" fontId="73" fillId="4" borderId="0" xfId="0" applyNumberFormat="1" applyFont="1" applyFill="1" applyAlignment="1">
      <alignment wrapText="1"/>
    </xf>
    <xf numFmtId="0" fontId="72" fillId="6" borderId="0" xfId="0" applyFont="1" applyFill="1" applyAlignment="1">
      <alignment wrapText="1"/>
    </xf>
    <xf numFmtId="8" fontId="72" fillId="4" borderId="7" xfId="0" applyNumberFormat="1" applyFont="1" applyFill="1" applyBorder="1" applyAlignment="1">
      <alignment wrapText="1"/>
    </xf>
    <xf numFmtId="8" fontId="40" fillId="0" borderId="0" xfId="0" quotePrefix="1" applyNumberFormat="1" applyFont="1"/>
    <xf numFmtId="8" fontId="96" fillId="0" borderId="0" xfId="0" applyNumberFormat="1" applyFont="1" applyAlignment="1">
      <alignment horizontal="left" wrapText="1"/>
    </xf>
    <xf numFmtId="8" fontId="93" fillId="0" borderId="0" xfId="0" applyNumberFormat="1" applyFont="1"/>
    <xf numFmtId="8" fontId="78" fillId="0" borderId="10" xfId="0" applyNumberFormat="1" applyFont="1" applyBorder="1"/>
    <xf numFmtId="8" fontId="75" fillId="0" borderId="0" xfId="0" applyNumberFormat="1" applyFont="1" applyAlignment="1">
      <alignment horizontal="right"/>
    </xf>
    <xf numFmtId="8" fontId="75" fillId="2" borderId="7" xfId="0" applyNumberFormat="1" applyFont="1" applyFill="1" applyBorder="1" applyAlignment="1">
      <alignment horizontal="right"/>
    </xf>
    <xf numFmtId="10" fontId="91" fillId="0" borderId="0" xfId="0" applyNumberFormat="1" applyFont="1" applyAlignment="1">
      <alignment horizontal="right"/>
    </xf>
    <xf numFmtId="8" fontId="77" fillId="0" borderId="11" xfId="0" applyNumberFormat="1" applyFont="1" applyBorder="1" applyAlignment="1">
      <alignment horizontal="right"/>
    </xf>
    <xf numFmtId="8" fontId="75" fillId="0" borderId="7" xfId="0" applyNumberFormat="1" applyFont="1" applyBorder="1" applyAlignment="1">
      <alignment horizontal="right"/>
    </xf>
    <xf numFmtId="8" fontId="75" fillId="4" borderId="0" xfId="0" applyNumberFormat="1" applyFont="1" applyFill="1" applyAlignment="1">
      <alignment horizontal="right"/>
    </xf>
    <xf numFmtId="8" fontId="73" fillId="0" borderId="0" xfId="0" applyNumberFormat="1" applyFont="1" applyAlignment="1">
      <alignment vertical="top"/>
    </xf>
    <xf numFmtId="8" fontId="75" fillId="4" borderId="7" xfId="0" applyNumberFormat="1" applyFont="1" applyFill="1" applyBorder="1" applyAlignment="1">
      <alignment horizontal="right"/>
    </xf>
    <xf numFmtId="8" fontId="72" fillId="5" borderId="7" xfId="0" applyNumberFormat="1" applyFont="1" applyFill="1" applyBorder="1"/>
    <xf numFmtId="8" fontId="97" fillId="0" borderId="0" xfId="0" applyNumberFormat="1" applyFont="1" applyAlignment="1">
      <alignment wrapText="1"/>
    </xf>
    <xf numFmtId="0" fontId="98" fillId="0" borderId="0" xfId="0" applyFont="1"/>
    <xf numFmtId="8" fontId="75" fillId="4" borderId="0" xfId="0" applyNumberFormat="1" applyFont="1" applyFill="1"/>
    <xf numFmtId="8" fontId="77" fillId="0" borderId="10" xfId="0" applyNumberFormat="1" applyFont="1" applyBorder="1" applyAlignment="1">
      <alignment horizontal="right"/>
    </xf>
    <xf numFmtId="0" fontId="72" fillId="4" borderId="7" xfId="0" applyFont="1" applyFill="1" applyBorder="1"/>
    <xf numFmtId="0" fontId="73" fillId="4" borderId="7" xfId="0" applyFont="1" applyFill="1" applyBorder="1" applyAlignment="1">
      <alignment horizontal="left"/>
    </xf>
    <xf numFmtId="1" fontId="73" fillId="4" borderId="0" xfId="0" applyNumberFormat="1" applyFont="1" applyFill="1" applyAlignment="1">
      <alignment horizontal="center"/>
    </xf>
    <xf numFmtId="9" fontId="76" fillId="4" borderId="0" xfId="0" applyNumberFormat="1" applyFont="1" applyFill="1"/>
    <xf numFmtId="8" fontId="44" fillId="0" borderId="0" xfId="0" applyNumberFormat="1" applyFont="1" applyAlignment="1">
      <alignment wrapText="1"/>
    </xf>
    <xf numFmtId="0" fontId="44" fillId="0" borderId="0" xfId="0" applyFont="1"/>
    <xf numFmtId="0" fontId="44" fillId="0" borderId="7" xfId="0" applyFont="1" applyBorder="1"/>
    <xf numFmtId="0" fontId="44" fillId="2" borderId="7" xfId="0" applyFont="1" applyFill="1" applyBorder="1"/>
    <xf numFmtId="0" fontId="44" fillId="0" borderId="7" xfId="0" applyFont="1" applyBorder="1" applyAlignment="1">
      <alignment wrapText="1"/>
    </xf>
    <xf numFmtId="167" fontId="93" fillId="0" borderId="0" xfId="0" applyNumberFormat="1" applyFont="1" applyAlignment="1">
      <alignment horizontal="center" vertical="top"/>
    </xf>
    <xf numFmtId="0" fontId="44" fillId="5" borderId="7" xfId="0" applyFont="1" applyFill="1" applyBorder="1" applyAlignment="1">
      <alignment wrapText="1"/>
    </xf>
    <xf numFmtId="167" fontId="72" fillId="5" borderId="7" xfId="0" applyNumberFormat="1" applyFont="1" applyFill="1" applyBorder="1" applyAlignment="1">
      <alignment horizontal="left"/>
    </xf>
    <xf numFmtId="167" fontId="72" fillId="5" borderId="7" xfId="0" applyNumberFormat="1" applyFont="1" applyFill="1" applyBorder="1" applyAlignment="1">
      <alignment horizontal="center"/>
    </xf>
    <xf numFmtId="6" fontId="74" fillId="5" borderId="7" xfId="0" applyNumberFormat="1" applyFont="1" applyFill="1" applyBorder="1"/>
    <xf numFmtId="6" fontId="72" fillId="5" borderId="7" xfId="0" applyNumberFormat="1" applyFont="1" applyFill="1" applyBorder="1"/>
    <xf numFmtId="166" fontId="73" fillId="0" borderId="7" xfId="1" applyNumberFormat="1" applyFont="1" applyFill="1" applyBorder="1" applyAlignment="1">
      <alignment horizontal="right"/>
    </xf>
    <xf numFmtId="167" fontId="73" fillId="4" borderId="7" xfId="0" applyNumberFormat="1" applyFont="1" applyFill="1" applyBorder="1" applyAlignment="1">
      <alignment horizontal="left"/>
    </xf>
    <xf numFmtId="167" fontId="73" fillId="4" borderId="7" xfId="0" applyNumberFormat="1" applyFont="1" applyFill="1" applyBorder="1" applyAlignment="1">
      <alignment horizontal="center"/>
    </xf>
    <xf numFmtId="166" fontId="73" fillId="4" borderId="7" xfId="1" applyNumberFormat="1" applyFont="1" applyFill="1" applyBorder="1" applyAlignment="1">
      <alignment horizontal="right"/>
    </xf>
    <xf numFmtId="6" fontId="74" fillId="4" borderId="7" xfId="0" applyNumberFormat="1" applyFont="1" applyFill="1" applyBorder="1"/>
    <xf numFmtId="6" fontId="73" fillId="4" borderId="7" xfId="0" applyNumberFormat="1" applyFont="1" applyFill="1" applyBorder="1"/>
    <xf numFmtId="0" fontId="44" fillId="4" borderId="7" xfId="0" applyFont="1" applyFill="1" applyBorder="1"/>
    <xf numFmtId="167" fontId="72" fillId="4" borderId="7" xfId="0" applyNumberFormat="1" applyFont="1" applyFill="1" applyBorder="1" applyAlignment="1">
      <alignment horizontal="left"/>
    </xf>
    <xf numFmtId="167" fontId="72" fillId="4" borderId="7" xfId="0" applyNumberFormat="1" applyFont="1" applyFill="1" applyBorder="1" applyAlignment="1">
      <alignment horizontal="center"/>
    </xf>
    <xf numFmtId="6" fontId="75" fillId="4" borderId="7" xfId="0" applyNumberFormat="1" applyFont="1" applyFill="1" applyBorder="1"/>
    <xf numFmtId="6" fontId="73" fillId="0" borderId="7" xfId="0" applyNumberFormat="1" applyFont="1" applyBorder="1"/>
    <xf numFmtId="167" fontId="73" fillId="4" borderId="7" xfId="0" applyNumberFormat="1" applyFont="1" applyFill="1" applyBorder="1"/>
    <xf numFmtId="167" fontId="78" fillId="0" borderId="7" xfId="0" applyNumberFormat="1" applyFont="1" applyBorder="1" applyAlignment="1">
      <alignment horizontal="right"/>
    </xf>
    <xf numFmtId="8" fontId="72" fillId="0" borderId="7" xfId="0" applyNumberFormat="1" applyFont="1" applyBorder="1" applyAlignment="1">
      <alignment horizontal="center"/>
    </xf>
    <xf numFmtId="10" fontId="76" fillId="0" borderId="7" xfId="0" applyNumberFormat="1" applyFont="1" applyBorder="1"/>
    <xf numFmtId="167" fontId="78" fillId="0" borderId="7" xfId="0" applyNumberFormat="1" applyFont="1" applyBorder="1" applyAlignment="1">
      <alignment horizontal="center"/>
    </xf>
    <xf numFmtId="6" fontId="73" fillId="5" borderId="7" xfId="0" applyNumberFormat="1" applyFont="1" applyFill="1" applyBorder="1"/>
    <xf numFmtId="167" fontId="73" fillId="5" borderId="7" xfId="0" applyNumberFormat="1" applyFont="1" applyFill="1" applyBorder="1"/>
    <xf numFmtId="167" fontId="73" fillId="5" borderId="7" xfId="0" applyNumberFormat="1" applyFont="1" applyFill="1" applyBorder="1" applyAlignment="1">
      <alignment horizontal="center"/>
    </xf>
    <xf numFmtId="10" fontId="74" fillId="5" borderId="7" xfId="0" applyNumberFormat="1" applyFont="1" applyFill="1" applyBorder="1"/>
    <xf numFmtId="6" fontId="74" fillId="5" borderId="12" xfId="0" applyNumberFormat="1" applyFont="1" applyFill="1" applyBorder="1"/>
    <xf numFmtId="8" fontId="72" fillId="5" borderId="7" xfId="0" applyNumberFormat="1" applyFont="1" applyFill="1" applyBorder="1" applyAlignment="1">
      <alignment horizontal="center"/>
    </xf>
    <xf numFmtId="0" fontId="100" fillId="4" borderId="7" xfId="0" applyFont="1" applyFill="1" applyBorder="1"/>
    <xf numFmtId="6" fontId="74" fillId="4" borderId="12" xfId="0" applyNumberFormat="1" applyFont="1" applyFill="1" applyBorder="1"/>
    <xf numFmtId="8" fontId="72" fillId="4" borderId="12" xfId="0" applyNumberFormat="1" applyFont="1" applyFill="1" applyBorder="1"/>
    <xf numFmtId="6" fontId="73" fillId="4" borderId="12" xfId="0" applyNumberFormat="1" applyFont="1" applyFill="1" applyBorder="1"/>
    <xf numFmtId="8" fontId="14" fillId="5" borderId="7" xfId="0" applyNumberFormat="1" applyFont="1" applyFill="1" applyBorder="1" applyAlignment="1">
      <alignment wrapText="1"/>
    </xf>
    <xf numFmtId="0" fontId="73" fillId="5" borderId="7" xfId="0" applyFont="1" applyFill="1" applyBorder="1" applyAlignment="1">
      <alignment horizontal="left" wrapText="1"/>
    </xf>
    <xf numFmtId="8" fontId="73" fillId="5" borderId="7" xfId="0" applyNumberFormat="1" applyFont="1" applyFill="1" applyBorder="1" applyAlignment="1">
      <alignment horizontal="right"/>
    </xf>
    <xf numFmtId="8" fontId="81" fillId="0" borderId="0" xfId="0" quotePrefix="1" applyNumberFormat="1" applyFont="1" applyAlignment="1">
      <alignment vertical="center" wrapText="1"/>
    </xf>
    <xf numFmtId="167" fontId="82" fillId="0" borderId="7" xfId="0" applyNumberFormat="1" applyFont="1" applyBorder="1"/>
    <xf numFmtId="167" fontId="40" fillId="0" borderId="7" xfId="0" applyNumberFormat="1" applyFont="1" applyBorder="1" applyAlignment="1">
      <alignment horizontal="right"/>
    </xf>
    <xf numFmtId="6" fontId="76" fillId="0" borderId="35" xfId="0" applyNumberFormat="1" applyFont="1" applyBorder="1"/>
    <xf numFmtId="6" fontId="77" fillId="0" borderId="36" xfId="0" applyNumberFormat="1" applyFont="1" applyBorder="1"/>
    <xf numFmtId="0" fontId="6" fillId="0" borderId="7" xfId="0" applyFont="1" applyBorder="1"/>
    <xf numFmtId="168" fontId="77" fillId="5" borderId="7" xfId="0" applyNumberFormat="1" applyFont="1" applyFill="1" applyBorder="1" applyAlignment="1">
      <alignment horizontal="right"/>
    </xf>
    <xf numFmtId="6" fontId="78" fillId="5" borderId="7" xfId="0" applyNumberFormat="1" applyFont="1" applyFill="1" applyBorder="1" applyAlignment="1">
      <alignment horizontal="right"/>
    </xf>
    <xf numFmtId="0" fontId="102" fillId="15" borderId="33" xfId="0" applyFont="1" applyFill="1" applyBorder="1" applyAlignment="1">
      <alignment horizontal="center" vertical="center" wrapText="1"/>
    </xf>
    <xf numFmtId="0" fontId="102" fillId="15" borderId="33" xfId="0" applyFont="1" applyFill="1" applyBorder="1" applyAlignment="1">
      <alignment horizontal="center" vertical="center"/>
    </xf>
    <xf numFmtId="1" fontId="89" fillId="0" borderId="0" xfId="0" applyNumberFormat="1" applyFont="1" applyAlignment="1">
      <alignment horizontal="right"/>
    </xf>
    <xf numFmtId="1" fontId="90" fillId="0" borderId="0" xfId="0" applyNumberFormat="1" applyFont="1" applyAlignment="1">
      <alignment horizontal="right"/>
    </xf>
    <xf numFmtId="1" fontId="90" fillId="0" borderId="0" xfId="0" applyNumberFormat="1" applyFont="1" applyAlignment="1">
      <alignment horizontal="center"/>
    </xf>
    <xf numFmtId="1" fontId="73" fillId="4" borderId="7" xfId="0" applyNumberFormat="1" applyFont="1" applyFill="1" applyBorder="1" applyAlignment="1">
      <alignment horizontal="center"/>
    </xf>
    <xf numFmtId="8" fontId="94" fillId="4" borderId="0" xfId="0" applyNumberFormat="1" applyFont="1" applyFill="1"/>
    <xf numFmtId="1" fontId="90" fillId="4" borderId="0" xfId="0" applyNumberFormat="1" applyFont="1" applyFill="1" applyAlignment="1">
      <alignment horizontal="left"/>
    </xf>
    <xf numFmtId="0" fontId="0" fillId="13" borderId="0" xfId="0" applyFill="1"/>
    <xf numFmtId="8" fontId="81" fillId="6" borderId="0" xfId="0" quotePrefix="1" applyNumberFormat="1" applyFont="1" applyFill="1" applyAlignment="1">
      <alignment vertical="center" wrapText="1"/>
    </xf>
    <xf numFmtId="8" fontId="75" fillId="6" borderId="7" xfId="0" applyNumberFormat="1" applyFont="1" applyFill="1" applyBorder="1" applyAlignment="1">
      <alignment horizontal="right"/>
    </xf>
    <xf numFmtId="8" fontId="73" fillId="6" borderId="7" xfId="0" applyNumberFormat="1" applyFont="1" applyFill="1" applyBorder="1" applyAlignment="1">
      <alignment horizontal="right"/>
    </xf>
    <xf numFmtId="0" fontId="104" fillId="13" borderId="0" xfId="0" applyFont="1" applyFill="1" applyAlignment="1">
      <alignment horizontal="center" vertical="center"/>
    </xf>
    <xf numFmtId="41" fontId="73" fillId="0" borderId="0" xfId="0" applyNumberFormat="1" applyFont="1" applyAlignment="1">
      <alignment horizontal="right"/>
    </xf>
    <xf numFmtId="41" fontId="72" fillId="4" borderId="0" xfId="0" applyNumberFormat="1" applyFont="1" applyFill="1" applyAlignment="1">
      <alignment horizontal="right"/>
    </xf>
    <xf numFmtId="41" fontId="72" fillId="0" borderId="7" xfId="0" applyNumberFormat="1" applyFont="1" applyBorder="1" applyAlignment="1">
      <alignment horizontal="right"/>
    </xf>
    <xf numFmtId="41" fontId="72" fillId="4" borderId="7" xfId="0" applyNumberFormat="1" applyFont="1" applyFill="1" applyBorder="1" applyAlignment="1">
      <alignment horizontal="right"/>
    </xf>
    <xf numFmtId="41" fontId="72" fillId="0" borderId="7" xfId="0" applyNumberFormat="1" applyFont="1" applyBorder="1"/>
    <xf numFmtId="41" fontId="72" fillId="0" borderId="0" xfId="0" applyNumberFormat="1" applyFont="1" applyAlignment="1">
      <alignment horizontal="right"/>
    </xf>
    <xf numFmtId="41" fontId="73" fillId="0" borderId="7" xfId="0" applyNumberFormat="1" applyFont="1" applyBorder="1" applyAlignment="1">
      <alignment horizontal="right"/>
    </xf>
    <xf numFmtId="41" fontId="73" fillId="4" borderId="7" xfId="0" applyNumberFormat="1" applyFont="1" applyFill="1" applyBorder="1" applyAlignment="1">
      <alignment horizontal="right"/>
    </xf>
    <xf numFmtId="41" fontId="73" fillId="0" borderId="0" xfId="0" applyNumberFormat="1" applyFont="1"/>
    <xf numFmtId="41" fontId="72" fillId="0" borderId="0" xfId="0" applyNumberFormat="1" applyFont="1"/>
    <xf numFmtId="41" fontId="73" fillId="2" borderId="7" xfId="0" applyNumberFormat="1" applyFont="1" applyFill="1" applyBorder="1"/>
    <xf numFmtId="41" fontId="72" fillId="2" borderId="7" xfId="0" applyNumberFormat="1" applyFont="1" applyFill="1" applyBorder="1"/>
    <xf numFmtId="41" fontId="73" fillId="6" borderId="0" xfId="0" applyNumberFormat="1" applyFont="1" applyFill="1" applyAlignment="1">
      <alignment horizontal="left"/>
    </xf>
    <xf numFmtId="41" fontId="72" fillId="4" borderId="0" xfId="0" applyNumberFormat="1" applyFont="1" applyFill="1"/>
    <xf numFmtId="41" fontId="72" fillId="6" borderId="0" xfId="0" applyNumberFormat="1" applyFont="1" applyFill="1"/>
    <xf numFmtId="41" fontId="73" fillId="0" borderId="7" xfId="0" applyNumberFormat="1" applyFont="1" applyBorder="1" applyAlignment="1">
      <alignment horizontal="left"/>
    </xf>
    <xf numFmtId="41" fontId="73" fillId="0" borderId="0" xfId="0" applyNumberFormat="1" applyFont="1" applyAlignment="1">
      <alignment horizontal="left"/>
    </xf>
    <xf numFmtId="41" fontId="72" fillId="4" borderId="0" xfId="0" applyNumberFormat="1" applyFont="1" applyFill="1" applyAlignment="1">
      <alignment horizontal="left"/>
    </xf>
    <xf numFmtId="41" fontId="72" fillId="0" borderId="7" xfId="0" applyNumberFormat="1" applyFont="1" applyBorder="1" applyAlignment="1">
      <alignment horizontal="left"/>
    </xf>
    <xf numFmtId="41" fontId="73" fillId="4" borderId="0" xfId="0" applyNumberFormat="1" applyFont="1" applyFill="1" applyAlignment="1">
      <alignment horizontal="left"/>
    </xf>
    <xf numFmtId="41" fontId="73" fillId="0" borderId="7" xfId="0" applyNumberFormat="1" applyFont="1" applyBorder="1"/>
    <xf numFmtId="41" fontId="73" fillId="4" borderId="0" xfId="0" applyNumberFormat="1" applyFont="1" applyFill="1" applyAlignment="1">
      <alignment horizontal="right"/>
    </xf>
    <xf numFmtId="41" fontId="72" fillId="6" borderId="7" xfId="0" applyNumberFormat="1" applyFont="1" applyFill="1" applyBorder="1" applyAlignment="1">
      <alignment horizontal="right"/>
    </xf>
    <xf numFmtId="41" fontId="73" fillId="5" borderId="7" xfId="0" applyNumberFormat="1" applyFont="1" applyFill="1" applyBorder="1"/>
    <xf numFmtId="41" fontId="72" fillId="5" borderId="7" xfId="0" applyNumberFormat="1" applyFont="1" applyFill="1" applyBorder="1" applyAlignment="1">
      <alignment horizontal="right"/>
    </xf>
    <xf numFmtId="41" fontId="73" fillId="4" borderId="7" xfId="0" applyNumberFormat="1" applyFont="1" applyFill="1" applyBorder="1" applyAlignment="1">
      <alignment horizontal="left"/>
    </xf>
    <xf numFmtId="41" fontId="72" fillId="4" borderId="7" xfId="0" applyNumberFormat="1" applyFont="1" applyFill="1" applyBorder="1"/>
    <xf numFmtId="41" fontId="72" fillId="6" borderId="7" xfId="0" applyNumberFormat="1" applyFont="1" applyFill="1" applyBorder="1"/>
    <xf numFmtId="41" fontId="73" fillId="4" borderId="0" xfId="0" applyNumberFormat="1" applyFont="1" applyFill="1"/>
    <xf numFmtId="41" fontId="73" fillId="6" borderId="7" xfId="0" applyNumberFormat="1" applyFont="1" applyFill="1" applyBorder="1" applyAlignment="1">
      <alignment horizontal="right" wrapText="1"/>
    </xf>
    <xf numFmtId="41" fontId="73" fillId="6" borderId="7" xfId="0" applyNumberFormat="1" applyFont="1" applyFill="1" applyBorder="1" applyAlignment="1">
      <alignment horizontal="right"/>
    </xf>
    <xf numFmtId="41" fontId="72" fillId="2" borderId="7" xfId="0" applyNumberFormat="1" applyFont="1" applyFill="1" applyBorder="1" applyAlignment="1">
      <alignment horizontal="left"/>
    </xf>
    <xf numFmtId="41" fontId="72" fillId="2" borderId="7" xfId="0" applyNumberFormat="1" applyFont="1" applyFill="1" applyBorder="1" applyAlignment="1">
      <alignment horizontal="right"/>
    </xf>
    <xf numFmtId="41" fontId="72" fillId="5" borderId="7" xfId="0" applyNumberFormat="1" applyFont="1" applyFill="1" applyBorder="1" applyAlignment="1">
      <alignment horizontal="left"/>
    </xf>
    <xf numFmtId="41" fontId="73" fillId="2" borderId="7" xfId="0" applyNumberFormat="1" applyFont="1" applyFill="1" applyBorder="1" applyAlignment="1">
      <alignment horizontal="right"/>
    </xf>
    <xf numFmtId="6" fontId="17" fillId="0" borderId="15" xfId="0" applyNumberFormat="1" applyFont="1" applyBorder="1"/>
    <xf numFmtId="8" fontId="87" fillId="4" borderId="7" xfId="0" applyNumberFormat="1" applyFont="1" applyFill="1" applyBorder="1" applyAlignment="1">
      <alignment wrapText="1"/>
    </xf>
    <xf numFmtId="9" fontId="0" fillId="0" borderId="0" xfId="2" applyNumberFormat="1" applyFont="1"/>
    <xf numFmtId="6" fontId="78" fillId="0" borderId="36" xfId="0" applyNumberFormat="1" applyFont="1" applyBorder="1"/>
    <xf numFmtId="0" fontId="0" fillId="0" borderId="0" xfId="0" applyAlignment="1">
      <alignment horizontal="left"/>
    </xf>
    <xf numFmtId="0" fontId="39" fillId="0" borderId="0" xfId="0" applyFont="1" applyAlignment="1">
      <alignment horizontal="left"/>
    </xf>
    <xf numFmtId="0" fontId="3" fillId="0" borderId="0" xfId="0" applyFont="1" applyAlignment="1">
      <alignment horizontal="left"/>
    </xf>
    <xf numFmtId="0" fontId="0" fillId="0" borderId="7" xfId="0" applyBorder="1" applyAlignment="1">
      <alignment horizontal="left"/>
    </xf>
    <xf numFmtId="8" fontId="0" fillId="0" borderId="0" xfId="0" applyNumberFormat="1" applyAlignment="1">
      <alignment horizontal="left"/>
    </xf>
    <xf numFmtId="0" fontId="8" fillId="0" borderId="0" xfId="0" applyFont="1" applyAlignment="1">
      <alignment horizontal="left"/>
    </xf>
    <xf numFmtId="0" fontId="105" fillId="0" borderId="0" xfId="0" applyFont="1"/>
    <xf numFmtId="0" fontId="106" fillId="0" borderId="0" xfId="0" applyFont="1"/>
    <xf numFmtId="0" fontId="73" fillId="0" borderId="13" xfId="0" applyFont="1" applyBorder="1"/>
    <xf numFmtId="165" fontId="73" fillId="0" borderId="13" xfId="0" applyNumberFormat="1" applyFont="1" applyBorder="1"/>
    <xf numFmtId="0" fontId="73" fillId="4" borderId="13" xfId="0" applyFont="1" applyFill="1" applyBorder="1"/>
    <xf numFmtId="165" fontId="72" fillId="4" borderId="13" xfId="0" applyNumberFormat="1" applyFont="1" applyFill="1" applyBorder="1"/>
    <xf numFmtId="165" fontId="73" fillId="4" borderId="13" xfId="0" applyNumberFormat="1" applyFont="1" applyFill="1" applyBorder="1"/>
    <xf numFmtId="10" fontId="75" fillId="4" borderId="13" xfId="0" applyNumberFormat="1" applyFont="1" applyFill="1" applyBorder="1"/>
    <xf numFmtId="165" fontId="72" fillId="0" borderId="13" xfId="0" applyNumberFormat="1" applyFont="1" applyBorder="1"/>
    <xf numFmtId="165" fontId="72" fillId="2" borderId="13" xfId="0" applyNumberFormat="1" applyFont="1" applyFill="1" applyBorder="1"/>
    <xf numFmtId="0" fontId="73" fillId="2" borderId="13" xfId="0" applyFont="1" applyFill="1" applyBorder="1"/>
    <xf numFmtId="165" fontId="73" fillId="2" borderId="13" xfId="0" applyNumberFormat="1" applyFont="1" applyFill="1" applyBorder="1"/>
    <xf numFmtId="0" fontId="73" fillId="5" borderId="13" xfId="0" applyFont="1" applyFill="1" applyBorder="1"/>
    <xf numFmtId="165" fontId="72" fillId="5" borderId="13" xfId="0" applyNumberFormat="1" applyFont="1" applyFill="1" applyBorder="1"/>
    <xf numFmtId="165" fontId="73" fillId="5" borderId="13" xfId="0" applyNumberFormat="1" applyFont="1" applyFill="1" applyBorder="1"/>
    <xf numFmtId="8" fontId="73" fillId="0" borderId="0" xfId="0" applyNumberFormat="1" applyFont="1" applyAlignment="1">
      <alignment horizontal="left"/>
    </xf>
    <xf numFmtId="8" fontId="40" fillId="4" borderId="7" xfId="0" applyNumberFormat="1" applyFont="1" applyFill="1" applyBorder="1"/>
    <xf numFmtId="8" fontId="14" fillId="5" borderId="7" xfId="0" applyNumberFormat="1" applyFont="1" applyFill="1" applyBorder="1"/>
    <xf numFmtId="3" fontId="73" fillId="0" borderId="7" xfId="0" applyNumberFormat="1" applyFont="1" applyBorder="1" applyAlignment="1">
      <alignment horizontal="right"/>
    </xf>
    <xf numFmtId="8" fontId="14" fillId="0" borderId="0" xfId="0" applyNumberFormat="1" applyFont="1" applyAlignment="1">
      <alignment horizontal="left" wrapText="1"/>
    </xf>
    <xf numFmtId="8" fontId="73" fillId="0" borderId="7" xfId="0" applyNumberFormat="1" applyFont="1" applyBorder="1" applyAlignment="1">
      <alignment horizontal="left" wrapText="1"/>
    </xf>
    <xf numFmtId="8" fontId="81" fillId="4" borderId="0" xfId="0" quotePrefix="1" applyNumberFormat="1" applyFont="1" applyFill="1" applyAlignment="1">
      <alignment vertical="center" wrapText="1"/>
    </xf>
    <xf numFmtId="8" fontId="31" fillId="4" borderId="7" xfId="0" applyNumberFormat="1" applyFont="1" applyFill="1" applyBorder="1"/>
    <xf numFmtId="8" fontId="71" fillId="4" borderId="7" xfId="0" applyNumberFormat="1" applyFont="1" applyFill="1" applyBorder="1"/>
    <xf numFmtId="0" fontId="0" fillId="0" borderId="37" xfId="0" applyBorder="1"/>
    <xf numFmtId="168" fontId="0" fillId="0" borderId="38" xfId="0" applyNumberFormat="1" applyBorder="1"/>
    <xf numFmtId="10" fontId="0" fillId="0" borderId="39" xfId="0" applyNumberFormat="1" applyBorder="1"/>
    <xf numFmtId="0" fontId="0" fillId="2" borderId="37" xfId="0" applyFill="1" applyBorder="1"/>
    <xf numFmtId="168" fontId="0" fillId="2" borderId="38" xfId="0" applyNumberFormat="1" applyFill="1" applyBorder="1"/>
    <xf numFmtId="10" fontId="0" fillId="2" borderId="39" xfId="0" applyNumberFormat="1" applyFill="1" applyBorder="1"/>
    <xf numFmtId="164" fontId="0" fillId="2" borderId="39" xfId="0" applyNumberFormat="1" applyFill="1" applyBorder="1"/>
    <xf numFmtId="0" fontId="72" fillId="4" borderId="7" xfId="0" applyFont="1" applyFill="1" applyBorder="1" applyAlignment="1">
      <alignment horizontal="left" vertical="center" wrapText="1"/>
    </xf>
    <xf numFmtId="1" fontId="72" fillId="4" borderId="7" xfId="0" applyNumberFormat="1" applyFont="1" applyFill="1" applyBorder="1" applyAlignment="1">
      <alignment horizontal="right" vertical="center"/>
    </xf>
    <xf numFmtId="1" fontId="72" fillId="4" borderId="7" xfId="0" applyNumberFormat="1" applyFont="1" applyFill="1" applyBorder="1" applyAlignment="1">
      <alignment horizontal="left" vertical="center"/>
    </xf>
    <xf numFmtId="8" fontId="72" fillId="4" borderId="7" xfId="0" applyNumberFormat="1" applyFont="1" applyFill="1" applyBorder="1" applyAlignment="1">
      <alignment horizontal="right" vertical="center"/>
    </xf>
    <xf numFmtId="8" fontId="73" fillId="4" borderId="7" xfId="0" applyNumberFormat="1" applyFont="1" applyFill="1" applyBorder="1" applyAlignment="1">
      <alignment vertical="center"/>
    </xf>
    <xf numFmtId="8" fontId="73" fillId="4" borderId="0" xfId="0" applyNumberFormat="1" applyFont="1" applyFill="1" applyAlignment="1">
      <alignment vertical="center"/>
    </xf>
    <xf numFmtId="8" fontId="72" fillId="4" borderId="7" xfId="0" applyNumberFormat="1" applyFont="1" applyFill="1" applyBorder="1" applyAlignment="1">
      <alignment vertical="center"/>
    </xf>
    <xf numFmtId="10" fontId="52" fillId="0" borderId="7" xfId="3" applyNumberFormat="1" applyFont="1" applyFill="1" applyBorder="1" applyAlignment="1">
      <alignment vertical="center"/>
    </xf>
    <xf numFmtId="0" fontId="107" fillId="0" borderId="0" xfId="0" applyFont="1"/>
    <xf numFmtId="0" fontId="108" fillId="4" borderId="7" xfId="0" applyFont="1" applyFill="1" applyBorder="1" applyAlignment="1">
      <alignment horizontal="left" wrapText="1"/>
    </xf>
    <xf numFmtId="8" fontId="73" fillId="2" borderId="0" xfId="0" applyNumberFormat="1" applyFont="1" applyFill="1"/>
    <xf numFmtId="10" fontId="52" fillId="0" borderId="0" xfId="3" applyNumberFormat="1" applyFont="1"/>
    <xf numFmtId="41" fontId="72" fillId="4" borderId="7" xfId="0" applyNumberFormat="1" applyFont="1" applyFill="1" applyBorder="1" applyAlignment="1">
      <alignment horizontal="left"/>
    </xf>
    <xf numFmtId="8" fontId="73" fillId="0" borderId="7" xfId="0" applyNumberFormat="1" applyFont="1" applyBorder="1" applyAlignment="1">
      <alignment vertical="top"/>
    </xf>
    <xf numFmtId="3" fontId="72" fillId="0" borderId="7" xfId="0" applyNumberFormat="1" applyFont="1" applyBorder="1"/>
    <xf numFmtId="0" fontId="73" fillId="4" borderId="0" xfId="0" applyFont="1" applyFill="1"/>
    <xf numFmtId="8" fontId="73" fillId="4" borderId="0" xfId="0" applyNumberFormat="1" applyFont="1" applyFill="1" applyAlignment="1">
      <alignment vertical="top"/>
    </xf>
    <xf numFmtId="0" fontId="72" fillId="4" borderId="0" xfId="0" applyFont="1" applyFill="1"/>
    <xf numFmtId="8" fontId="73" fillId="4" borderId="7" xfId="0" applyNumberFormat="1" applyFont="1" applyFill="1" applyBorder="1" applyAlignment="1">
      <alignment wrapText="1"/>
    </xf>
    <xf numFmtId="169" fontId="72" fillId="4" borderId="7" xfId="0" applyNumberFormat="1" applyFont="1" applyFill="1" applyBorder="1" applyAlignment="1">
      <alignment horizontal="right"/>
    </xf>
    <xf numFmtId="8" fontId="44" fillId="4" borderId="7" xfId="0" applyNumberFormat="1" applyFont="1" applyFill="1" applyBorder="1" applyAlignment="1">
      <alignment wrapText="1"/>
    </xf>
    <xf numFmtId="0" fontId="44" fillId="0" borderId="0" xfId="0" applyFont="1" applyAlignment="1">
      <alignment wrapText="1"/>
    </xf>
    <xf numFmtId="6" fontId="17" fillId="0" borderId="7" xfId="0" applyNumberFormat="1" applyFont="1" applyBorder="1"/>
    <xf numFmtId="167" fontId="73" fillId="4" borderId="0" xfId="0" applyNumberFormat="1" applyFont="1" applyFill="1" applyAlignment="1">
      <alignment horizontal="center"/>
    </xf>
    <xf numFmtId="6" fontId="74" fillId="4" borderId="0" xfId="0" applyNumberFormat="1" applyFont="1" applyFill="1"/>
    <xf numFmtId="0" fontId="3" fillId="0" borderId="0" xfId="0" applyFont="1" applyAlignment="1">
      <alignment vertical="top"/>
    </xf>
    <xf numFmtId="0" fontId="0" fillId="4" borderId="0" xfId="0" applyFill="1"/>
    <xf numFmtId="41" fontId="73" fillId="4" borderId="7" xfId="0" applyNumberFormat="1" applyFont="1" applyFill="1" applyBorder="1"/>
    <xf numFmtId="41" fontId="78" fillId="4" borderId="7" xfId="0" applyNumberFormat="1" applyFont="1" applyFill="1" applyBorder="1" applyAlignment="1">
      <alignment horizontal="left"/>
    </xf>
    <xf numFmtId="8" fontId="87" fillId="4" borderId="7" xfId="0" applyNumberFormat="1" applyFont="1" applyFill="1" applyBorder="1"/>
    <xf numFmtId="8" fontId="72" fillId="16" borderId="7" xfId="0" applyNumberFormat="1" applyFont="1" applyFill="1" applyBorder="1"/>
    <xf numFmtId="6" fontId="26" fillId="0" borderId="0" xfId="0" applyNumberFormat="1" applyFont="1"/>
    <xf numFmtId="5" fontId="73" fillId="0" borderId="7" xfId="0" applyNumberFormat="1" applyFont="1" applyBorder="1"/>
    <xf numFmtId="0" fontId="45" fillId="4" borderId="0" xfId="0" applyFont="1" applyFill="1" applyAlignment="1">
      <alignment horizontal="left" wrapText="1"/>
    </xf>
    <xf numFmtId="164" fontId="0" fillId="0" borderId="21" xfId="0" applyNumberFormat="1" applyBorder="1"/>
    <xf numFmtId="164" fontId="0" fillId="2" borderId="21" xfId="0" applyNumberFormat="1" applyFill="1" applyBorder="1"/>
    <xf numFmtId="164" fontId="0" fillId="4" borderId="23" xfId="0" applyNumberFormat="1" applyFill="1" applyBorder="1"/>
    <xf numFmtId="167" fontId="72" fillId="0" borderId="7" xfId="0" applyNumberFormat="1" applyFont="1" applyBorder="1" applyAlignment="1">
      <alignment horizontal="center"/>
    </xf>
    <xf numFmtId="167" fontId="72" fillId="0" borderId="7" xfId="0" applyNumberFormat="1" applyFont="1" applyBorder="1"/>
    <xf numFmtId="6" fontId="72" fillId="0" borderId="7" xfId="0" applyNumberFormat="1" applyFont="1" applyBorder="1"/>
    <xf numFmtId="0" fontId="95" fillId="4" borderId="0" xfId="0" applyFont="1" applyFill="1"/>
    <xf numFmtId="167" fontId="73" fillId="4" borderId="0" xfId="0" applyNumberFormat="1" applyFont="1" applyFill="1" applyAlignment="1">
      <alignment horizontal="left"/>
    </xf>
    <xf numFmtId="6" fontId="73" fillId="4" borderId="0" xfId="0" applyNumberFormat="1" applyFont="1" applyFill="1" applyAlignment="1">
      <alignment horizontal="right"/>
    </xf>
    <xf numFmtId="6" fontId="72" fillId="4" borderId="0" xfId="0" applyNumberFormat="1" applyFont="1" applyFill="1" applyAlignment="1">
      <alignment horizontal="right"/>
    </xf>
    <xf numFmtId="167" fontId="72" fillId="4" borderId="7" xfId="0" applyNumberFormat="1" applyFont="1" applyFill="1" applyBorder="1"/>
    <xf numFmtId="6" fontId="72" fillId="4" borderId="7" xfId="0" applyNumberFormat="1" applyFont="1" applyFill="1" applyBorder="1"/>
    <xf numFmtId="0" fontId="44" fillId="4" borderId="7" xfId="0" applyFont="1" applyFill="1" applyBorder="1" applyAlignment="1">
      <alignment wrapText="1"/>
    </xf>
    <xf numFmtId="167" fontId="72" fillId="0" borderId="7" xfId="0" applyNumberFormat="1" applyFont="1" applyBorder="1" applyAlignment="1">
      <alignment horizontal="left"/>
    </xf>
    <xf numFmtId="6" fontId="75" fillId="0" borderId="7" xfId="0" applyNumberFormat="1" applyFont="1" applyBorder="1" applyAlignment="1">
      <alignment horizontal="right"/>
    </xf>
    <xf numFmtId="6" fontId="72" fillId="0" borderId="7" xfId="0" applyNumberFormat="1" applyFont="1" applyBorder="1" applyAlignment="1">
      <alignment horizontal="right"/>
    </xf>
    <xf numFmtId="8" fontId="84" fillId="0" borderId="0" xfId="0" applyNumberFormat="1" applyFont="1"/>
    <xf numFmtId="166" fontId="77" fillId="0" borderId="11" xfId="0" applyNumberFormat="1" applyFont="1" applyBorder="1"/>
    <xf numFmtId="0" fontId="1" fillId="17" borderId="37" xfId="0" applyFont="1" applyFill="1" applyBorder="1"/>
    <xf numFmtId="0" fontId="1" fillId="17" borderId="38" xfId="0" applyFont="1" applyFill="1" applyBorder="1"/>
    <xf numFmtId="0" fontId="1" fillId="17" borderId="39" xfId="0" applyFont="1" applyFill="1" applyBorder="1"/>
    <xf numFmtId="9" fontId="6" fillId="0" borderId="0" xfId="0" applyNumberFormat="1" applyFont="1" applyAlignment="1">
      <alignment horizontal="left"/>
    </xf>
    <xf numFmtId="166" fontId="73" fillId="0" borderId="0" xfId="1" applyNumberFormat="1" applyFont="1" applyFill="1" applyAlignment="1">
      <alignment horizontal="right"/>
    </xf>
    <xf numFmtId="166" fontId="72" fillId="4" borderId="7" xfId="1" applyNumberFormat="1" applyFont="1" applyFill="1" applyBorder="1" applyAlignment="1">
      <alignment horizontal="right"/>
    </xf>
    <xf numFmtId="8" fontId="81" fillId="4" borderId="0" xfId="0" applyNumberFormat="1" applyFont="1" applyFill="1" applyAlignment="1">
      <alignment horizontal="left" wrapText="1"/>
    </xf>
    <xf numFmtId="8" fontId="73" fillId="4" borderId="0" xfId="0" applyNumberFormat="1" applyFont="1" applyFill="1" applyAlignment="1">
      <alignment horizontal="left" wrapText="1"/>
    </xf>
    <xf numFmtId="38" fontId="73" fillId="4" borderId="0" xfId="0" applyNumberFormat="1" applyFont="1" applyFill="1" applyAlignment="1">
      <alignment horizontal="right" wrapText="1"/>
    </xf>
    <xf numFmtId="8" fontId="73" fillId="4" borderId="0" xfId="0" applyNumberFormat="1" applyFont="1" applyFill="1" applyAlignment="1">
      <alignment horizontal="right" wrapText="1"/>
    </xf>
    <xf numFmtId="49" fontId="0" fillId="0" borderId="7" xfId="0" applyNumberFormat="1" applyBorder="1" applyAlignment="1">
      <alignment horizontal="center"/>
    </xf>
    <xf numFmtId="49" fontId="0" fillId="0" borderId="7" xfId="0" applyNumberFormat="1" applyBorder="1"/>
    <xf numFmtId="170" fontId="0" fillId="0" borderId="7" xfId="0" applyNumberFormat="1" applyBorder="1"/>
    <xf numFmtId="49" fontId="17" fillId="0" borderId="7" xfId="0" applyNumberFormat="1" applyFont="1" applyBorder="1" applyAlignment="1">
      <alignment horizontal="center"/>
    </xf>
    <xf numFmtId="49" fontId="17" fillId="0" borderId="7" xfId="0" applyNumberFormat="1" applyFont="1" applyBorder="1" applyAlignment="1">
      <alignment horizontal="center" wrapText="1"/>
    </xf>
    <xf numFmtId="49" fontId="17" fillId="0" borderId="7" xfId="0" applyNumberFormat="1" applyFont="1" applyBorder="1"/>
    <xf numFmtId="0" fontId="17" fillId="0" borderId="7" xfId="0" applyFont="1" applyBorder="1"/>
    <xf numFmtId="171" fontId="17" fillId="0" borderId="7" xfId="0" applyNumberFormat="1" applyFont="1" applyBorder="1"/>
    <xf numFmtId="41" fontId="72" fillId="0" borderId="0" xfId="0" applyNumberFormat="1" applyFont="1" applyAlignment="1">
      <alignment horizontal="left"/>
    </xf>
    <xf numFmtId="8" fontId="81" fillId="0" borderId="7" xfId="0" applyNumberFormat="1" applyFont="1" applyBorder="1" applyAlignment="1">
      <alignment vertical="center"/>
    </xf>
    <xf numFmtId="3" fontId="73" fillId="0" borderId="0" xfId="0" applyNumberFormat="1" applyFont="1" applyAlignment="1">
      <alignment horizontal="right"/>
    </xf>
    <xf numFmtId="37" fontId="73" fillId="0" borderId="0" xfId="0" applyNumberFormat="1" applyFont="1" applyAlignment="1">
      <alignment horizontal="right"/>
    </xf>
    <xf numFmtId="1" fontId="73" fillId="0" borderId="7" xfId="0" applyNumberFormat="1" applyFont="1" applyBorder="1" applyAlignment="1">
      <alignment horizontal="left"/>
    </xf>
    <xf numFmtId="0" fontId="0" fillId="0" borderId="0" xfId="0" applyAlignment="1">
      <alignment vertical="center"/>
    </xf>
    <xf numFmtId="0" fontId="39" fillId="0" borderId="0" xfId="0" applyFont="1" applyAlignment="1">
      <alignment vertical="center"/>
    </xf>
    <xf numFmtId="6" fontId="0" fillId="0" borderId="0" xfId="0" applyNumberFormat="1" applyAlignment="1">
      <alignment vertical="center"/>
    </xf>
    <xf numFmtId="168" fontId="0" fillId="0" borderId="0" xfId="0" applyNumberFormat="1" applyAlignment="1">
      <alignment horizontal="left" vertical="center"/>
    </xf>
    <xf numFmtId="0" fontId="72" fillId="4" borderId="7" xfId="0" applyFont="1" applyFill="1" applyBorder="1" applyAlignment="1">
      <alignment vertical="center" wrapText="1"/>
    </xf>
    <xf numFmtId="0" fontId="0" fillId="0" borderId="0" xfId="0" applyAlignment="1">
      <alignment horizontal="left" wrapText="1"/>
    </xf>
    <xf numFmtId="0" fontId="81" fillId="0" borderId="0" xfId="0" applyFont="1" applyAlignment="1">
      <alignment horizontal="left" wrapText="1"/>
    </xf>
    <xf numFmtId="0" fontId="90" fillId="0" borderId="0" xfId="0" applyFont="1" applyAlignment="1">
      <alignment horizontal="left" wrapText="1"/>
    </xf>
    <xf numFmtId="165" fontId="72" fillId="0" borderId="4" xfId="0" applyNumberFormat="1" applyFont="1" applyBorder="1"/>
    <xf numFmtId="165" fontId="73" fillId="0" borderId="4" xfId="0" applyNumberFormat="1" applyFont="1" applyBorder="1"/>
    <xf numFmtId="44" fontId="73" fillId="0" borderId="7" xfId="0" applyNumberFormat="1" applyFont="1" applyBorder="1"/>
    <xf numFmtId="165" fontId="78" fillId="0" borderId="4" xfId="0" applyNumberFormat="1" applyFont="1" applyBorder="1"/>
    <xf numFmtId="165" fontId="71" fillId="0" borderId="7" xfId="0" applyNumberFormat="1" applyFont="1" applyBorder="1"/>
    <xf numFmtId="42" fontId="71" fillId="0" borderId="7" xfId="0" applyNumberFormat="1" applyFont="1" applyBorder="1"/>
    <xf numFmtId="0" fontId="78" fillId="4" borderId="0" xfId="0" applyFont="1" applyFill="1"/>
    <xf numFmtId="165" fontId="84" fillId="4" borderId="0" xfId="0" applyNumberFormat="1" applyFont="1" applyFill="1"/>
    <xf numFmtId="165" fontId="78" fillId="4" borderId="0" xfId="0" applyNumberFormat="1" applyFont="1" applyFill="1"/>
    <xf numFmtId="10" fontId="75" fillId="4" borderId="16" xfId="0" applyNumberFormat="1" applyFont="1" applyFill="1" applyBorder="1"/>
    <xf numFmtId="165" fontId="72" fillId="4" borderId="4" xfId="0" applyNumberFormat="1" applyFont="1" applyFill="1" applyBorder="1"/>
    <xf numFmtId="165" fontId="73" fillId="4" borderId="4" xfId="0" applyNumberFormat="1" applyFont="1" applyFill="1" applyBorder="1"/>
    <xf numFmtId="10" fontId="75" fillId="4" borderId="12" xfId="0" applyNumberFormat="1" applyFont="1" applyFill="1" applyBorder="1"/>
    <xf numFmtId="0" fontId="85" fillId="4" borderId="7" xfId="0" applyFont="1" applyFill="1" applyBorder="1"/>
    <xf numFmtId="165" fontId="71" fillId="4" borderId="7" xfId="0" applyNumberFormat="1" applyFont="1" applyFill="1" applyBorder="1"/>
    <xf numFmtId="165" fontId="73" fillId="4" borderId="7" xfId="0" applyNumberFormat="1" applyFont="1" applyFill="1" applyBorder="1"/>
    <xf numFmtId="0" fontId="73" fillId="4" borderId="12" xfId="0" applyFont="1" applyFill="1" applyBorder="1"/>
    <xf numFmtId="0" fontId="78" fillId="0" borderId="13" xfId="0" applyFont="1" applyBorder="1"/>
    <xf numFmtId="166" fontId="72" fillId="0" borderId="7" xfId="1" applyNumberFormat="1" applyFont="1" applyFill="1" applyBorder="1" applyAlignment="1">
      <alignment horizontal="right"/>
    </xf>
    <xf numFmtId="0" fontId="44" fillId="4" borderId="0" xfId="0" applyFont="1" applyFill="1"/>
    <xf numFmtId="166" fontId="73" fillId="4" borderId="0" xfId="1" applyNumberFormat="1" applyFont="1" applyFill="1" applyAlignment="1">
      <alignment horizontal="right"/>
    </xf>
    <xf numFmtId="6" fontId="73" fillId="4" borderId="0" xfId="0" applyNumberFormat="1" applyFont="1" applyFill="1"/>
    <xf numFmtId="8" fontId="20" fillId="4" borderId="7" xfId="0" applyNumberFormat="1" applyFont="1" applyFill="1" applyBorder="1" applyAlignment="1">
      <alignment wrapText="1"/>
    </xf>
    <xf numFmtId="0" fontId="45" fillId="0" borderId="0" xfId="0" applyFont="1" applyAlignment="1">
      <alignment horizontal="left" wrapText="1"/>
    </xf>
    <xf numFmtId="0" fontId="72" fillId="0" borderId="0" xfId="0" applyFont="1" applyAlignment="1">
      <alignment horizontal="right" wrapText="1"/>
    </xf>
    <xf numFmtId="8" fontId="92" fillId="0" borderId="7" xfId="0" applyNumberFormat="1" applyFont="1" applyBorder="1" applyAlignment="1">
      <alignment wrapText="1"/>
    </xf>
    <xf numFmtId="8" fontId="40" fillId="0" borderId="0" xfId="0" applyNumberFormat="1" applyFont="1"/>
    <xf numFmtId="1" fontId="21" fillId="0" borderId="0" xfId="0" applyNumberFormat="1" applyFont="1"/>
    <xf numFmtId="41" fontId="73" fillId="0" borderId="0" xfId="0" applyNumberFormat="1" applyFont="1" applyAlignment="1">
      <alignment horizontal="right" wrapText="1"/>
    </xf>
    <xf numFmtId="10" fontId="75" fillId="0" borderId="13" xfId="0" applyNumberFormat="1" applyFont="1" applyBorder="1"/>
    <xf numFmtId="10" fontId="75" fillId="0" borderId="7" xfId="0" applyNumberFormat="1" applyFont="1" applyBorder="1"/>
    <xf numFmtId="0" fontId="2" fillId="0" borderId="7" xfId="0" applyFont="1" applyBorder="1"/>
    <xf numFmtId="0" fontId="13" fillId="0" borderId="7" xfId="0" applyFont="1" applyBorder="1"/>
    <xf numFmtId="0" fontId="78" fillId="0" borderId="40" xfId="0" applyFont="1" applyBorder="1"/>
    <xf numFmtId="165" fontId="73" fillId="0" borderId="41" xfId="0" applyNumberFormat="1" applyFont="1" applyBorder="1"/>
    <xf numFmtId="44" fontId="13" fillId="0" borderId="7" xfId="0" applyNumberFormat="1" applyFont="1" applyBorder="1"/>
    <xf numFmtId="10" fontId="75" fillId="0" borderId="42" xfId="0" applyNumberFormat="1" applyFont="1" applyBorder="1"/>
    <xf numFmtId="0" fontId="104" fillId="18" borderId="0" xfId="0" applyFont="1" applyFill="1"/>
    <xf numFmtId="0" fontId="0" fillId="18" borderId="0" xfId="0" applyFill="1"/>
    <xf numFmtId="6" fontId="0" fillId="18" borderId="0" xfId="0" applyNumberFormat="1" applyFill="1"/>
    <xf numFmtId="0" fontId="17" fillId="18" borderId="0" xfId="0" applyFont="1" applyFill="1"/>
    <xf numFmtId="6" fontId="17" fillId="18" borderId="15" xfId="0" applyNumberFormat="1" applyFont="1" applyFill="1" applyBorder="1"/>
    <xf numFmtId="0" fontId="81" fillId="0" borderId="0" xfId="0" applyFont="1" applyAlignment="1">
      <alignment wrapText="1"/>
    </xf>
    <xf numFmtId="8" fontId="44" fillId="0" borderId="0" xfId="0" applyNumberFormat="1" applyFont="1"/>
    <xf numFmtId="8" fontId="20" fillId="0" borderId="7" xfId="0" applyNumberFormat="1" applyFont="1" applyBorder="1" applyAlignment="1">
      <alignment wrapText="1"/>
    </xf>
    <xf numFmtId="8" fontId="72" fillId="0" borderId="0" xfId="0" applyNumberFormat="1" applyFont="1" applyAlignment="1">
      <alignment vertical="top"/>
    </xf>
    <xf numFmtId="166" fontId="6" fillId="0" borderId="7" xfId="0" applyNumberFormat="1" applyFont="1" applyBorder="1"/>
    <xf numFmtId="8" fontId="73" fillId="0" borderId="7" xfId="0" applyNumberFormat="1" applyFont="1" applyBorder="1" applyAlignment="1">
      <alignment horizontal="right" vertical="top"/>
    </xf>
    <xf numFmtId="0" fontId="78" fillId="19" borderId="13" xfId="0" applyFont="1" applyFill="1" applyBorder="1" applyAlignment="1">
      <alignment horizontal="center"/>
    </xf>
    <xf numFmtId="44" fontId="78" fillId="19" borderId="13" xfId="0" applyNumberFormat="1" applyFont="1" applyFill="1" applyBorder="1" applyAlignment="1">
      <alignment horizontal="center" wrapText="1"/>
    </xf>
    <xf numFmtId="164" fontId="78" fillId="19" borderId="13" xfId="0" applyNumberFormat="1" applyFont="1" applyFill="1" applyBorder="1" applyAlignment="1">
      <alignment horizontal="center"/>
    </xf>
    <xf numFmtId="8" fontId="58" fillId="19" borderId="7" xfId="0" applyNumberFormat="1" applyFont="1" applyFill="1" applyBorder="1" applyAlignment="1">
      <alignment horizontal="center"/>
    </xf>
    <xf numFmtId="0" fontId="111" fillId="19" borderId="7" xfId="0" applyFont="1" applyFill="1" applyBorder="1"/>
    <xf numFmtId="8" fontId="58" fillId="19" borderId="7" xfId="0" applyNumberFormat="1" applyFont="1" applyFill="1" applyBorder="1" applyAlignment="1">
      <alignment horizontal="center" wrapText="1"/>
    </xf>
    <xf numFmtId="8" fontId="78" fillId="20" borderId="7" xfId="0" applyNumberFormat="1" applyFont="1" applyFill="1" applyBorder="1" applyAlignment="1">
      <alignment horizontal="center" wrapText="1"/>
    </xf>
    <xf numFmtId="8" fontId="78" fillId="20" borderId="7" xfId="0" applyNumberFormat="1" applyFont="1" applyFill="1" applyBorder="1" applyAlignment="1">
      <alignment horizontal="center"/>
    </xf>
    <xf numFmtId="1" fontId="78" fillId="20" borderId="7" xfId="0" applyNumberFormat="1" applyFont="1" applyFill="1" applyBorder="1" applyAlignment="1">
      <alignment horizontal="center" wrapText="1"/>
    </xf>
    <xf numFmtId="8" fontId="44" fillId="0" borderId="7" xfId="0" applyNumberFormat="1" applyFont="1" applyBorder="1" applyAlignment="1">
      <alignment wrapText="1"/>
    </xf>
    <xf numFmtId="8" fontId="72" fillId="0" borderId="7" xfId="0" applyNumberFormat="1" applyFont="1" applyBorder="1" applyAlignment="1">
      <alignment wrapText="1"/>
    </xf>
    <xf numFmtId="166" fontId="75" fillId="4" borderId="7" xfId="0" applyNumberFormat="1" applyFont="1" applyFill="1" applyBorder="1" applyAlignment="1">
      <alignment horizontal="right"/>
    </xf>
    <xf numFmtId="3" fontId="73" fillId="4" borderId="7" xfId="0" applyNumberFormat="1" applyFont="1" applyFill="1" applyBorder="1" applyAlignment="1">
      <alignment horizontal="right"/>
    </xf>
    <xf numFmtId="0" fontId="108" fillId="0" borderId="7" xfId="0" applyFont="1" applyBorder="1" applyAlignment="1">
      <alignment horizontal="left" wrapText="1"/>
    </xf>
    <xf numFmtId="1" fontId="78" fillId="0" borderId="7" xfId="0" applyNumberFormat="1" applyFont="1" applyBorder="1" applyAlignment="1">
      <alignment horizontal="left"/>
    </xf>
    <xf numFmtId="0" fontId="53" fillId="20" borderId="0" xfId="0" applyFont="1" applyFill="1" applyAlignment="1">
      <alignment horizontal="left"/>
    </xf>
    <xf numFmtId="173" fontId="72" fillId="0" borderId="7" xfId="0" applyNumberFormat="1" applyFont="1" applyBorder="1"/>
    <xf numFmtId="166" fontId="72" fillId="0" borderId="0" xfId="0" applyNumberFormat="1" applyFont="1" applyAlignment="1">
      <alignment wrapText="1"/>
    </xf>
    <xf numFmtId="1" fontId="72" fillId="0" borderId="0" xfId="0" applyNumberFormat="1" applyFont="1" applyAlignment="1">
      <alignment horizontal="right" wrapText="1"/>
    </xf>
    <xf numFmtId="1" fontId="72" fillId="0" borderId="0" xfId="0" applyNumberFormat="1" applyFont="1" applyAlignment="1">
      <alignment wrapText="1"/>
    </xf>
    <xf numFmtId="1" fontId="77" fillId="0" borderId="7" xfId="0" applyNumberFormat="1" applyFont="1" applyBorder="1" applyAlignment="1">
      <alignment horizontal="right"/>
    </xf>
    <xf numFmtId="3" fontId="73" fillId="4" borderId="0" xfId="0" applyNumberFormat="1" applyFont="1" applyFill="1"/>
    <xf numFmtId="0" fontId="108" fillId="19" borderId="7" xfId="0" applyFont="1" applyFill="1" applyBorder="1"/>
    <xf numFmtId="0" fontId="58" fillId="19" borderId="7" xfId="0" applyFont="1" applyFill="1" applyBorder="1" applyAlignment="1">
      <alignment horizontal="center" wrapText="1"/>
    </xf>
    <xf numFmtId="0" fontId="72" fillId="0" borderId="0" xfId="0" applyFont="1" applyAlignment="1" applyProtection="1">
      <alignment wrapText="1"/>
      <protection locked="0"/>
    </xf>
    <xf numFmtId="8" fontId="81" fillId="0" borderId="0" xfId="0" applyNumberFormat="1" applyFont="1" applyAlignment="1" applyProtection="1">
      <alignment wrapText="1"/>
      <protection locked="0"/>
    </xf>
    <xf numFmtId="8" fontId="14" fillId="0" borderId="0" xfId="0" applyNumberFormat="1" applyFont="1" applyAlignment="1" applyProtection="1">
      <alignment wrapText="1"/>
      <protection locked="0"/>
    </xf>
    <xf numFmtId="41" fontId="72" fillId="0" borderId="0" xfId="0" applyNumberFormat="1" applyFont="1" applyProtection="1">
      <protection locked="0"/>
    </xf>
    <xf numFmtId="41" fontId="72" fillId="0" borderId="0" xfId="0" applyNumberFormat="1" applyFont="1" applyAlignment="1" applyProtection="1">
      <alignment horizontal="right"/>
      <protection locked="0"/>
    </xf>
    <xf numFmtId="41" fontId="72" fillId="0" borderId="0" xfId="0" applyNumberFormat="1" applyFont="1" applyAlignment="1" applyProtection="1">
      <alignment horizontal="center"/>
      <protection locked="0"/>
    </xf>
    <xf numFmtId="8" fontId="72" fillId="0" borderId="0" xfId="0" applyNumberFormat="1" applyFont="1" applyAlignment="1" applyProtection="1">
      <alignment horizontal="right"/>
      <protection locked="0"/>
    </xf>
    <xf numFmtId="0" fontId="73" fillId="4" borderId="7" xfId="0" applyFont="1" applyFill="1" applyBorder="1" applyAlignment="1" applyProtection="1">
      <alignment horizontal="left" wrapText="1"/>
      <protection locked="0"/>
    </xf>
    <xf numFmtId="8" fontId="81" fillId="4" borderId="7" xfId="0" applyNumberFormat="1" applyFont="1" applyFill="1" applyBorder="1" applyAlignment="1" applyProtection="1">
      <alignment wrapText="1"/>
      <protection locked="0"/>
    </xf>
    <xf numFmtId="8" fontId="14" fillId="4" borderId="0" xfId="0" applyNumberFormat="1" applyFont="1" applyFill="1" applyAlignment="1" applyProtection="1">
      <alignment wrapText="1"/>
      <protection locked="0"/>
    </xf>
    <xf numFmtId="41" fontId="73" fillId="4" borderId="7" xfId="0" applyNumberFormat="1" applyFont="1" applyFill="1" applyBorder="1" applyAlignment="1" applyProtection="1">
      <alignment horizontal="center"/>
      <protection locked="0"/>
    </xf>
    <xf numFmtId="41" fontId="73" fillId="4" borderId="7" xfId="0" applyNumberFormat="1" applyFont="1" applyFill="1" applyBorder="1" applyAlignment="1" applyProtection="1">
      <alignment horizontal="right"/>
      <protection locked="0"/>
    </xf>
    <xf numFmtId="8" fontId="73" fillId="4" borderId="7" xfId="0" applyNumberFormat="1" applyFont="1" applyFill="1" applyBorder="1" applyAlignment="1" applyProtection="1">
      <alignment horizontal="right"/>
      <protection locked="0"/>
    </xf>
    <xf numFmtId="8" fontId="14" fillId="0" borderId="7" xfId="0" applyNumberFormat="1" applyFont="1" applyBorder="1" applyAlignment="1" applyProtection="1">
      <alignment wrapText="1"/>
      <protection locked="0"/>
    </xf>
    <xf numFmtId="0" fontId="73" fillId="0" borderId="0" xfId="0" applyFont="1" applyAlignment="1" applyProtection="1">
      <alignment horizontal="left" wrapText="1"/>
      <protection locked="0"/>
    </xf>
    <xf numFmtId="41" fontId="73" fillId="0" borderId="0" xfId="0" applyNumberFormat="1" applyFont="1" applyAlignment="1" applyProtection="1">
      <alignment horizontal="center"/>
      <protection locked="0"/>
    </xf>
    <xf numFmtId="41" fontId="73" fillId="0" borderId="0" xfId="0" applyNumberFormat="1" applyFont="1" applyAlignment="1" applyProtection="1">
      <alignment horizontal="right"/>
      <protection locked="0"/>
    </xf>
    <xf numFmtId="8" fontId="73" fillId="0" borderId="0" xfId="0" applyNumberFormat="1" applyFont="1" applyAlignment="1" applyProtection="1">
      <alignment horizontal="right"/>
      <protection locked="0"/>
    </xf>
    <xf numFmtId="0" fontId="73" fillId="4" borderId="0" xfId="0" applyFont="1" applyFill="1" applyAlignment="1" applyProtection="1">
      <alignment horizontal="left" wrapText="1"/>
      <protection locked="0"/>
    </xf>
    <xf numFmtId="8" fontId="81" fillId="4" borderId="0" xfId="0" applyNumberFormat="1" applyFont="1" applyFill="1" applyAlignment="1" applyProtection="1">
      <alignment wrapText="1"/>
      <protection locked="0"/>
    </xf>
    <xf numFmtId="41" fontId="73" fillId="4" borderId="0" xfId="0" applyNumberFormat="1" applyFont="1" applyFill="1" applyAlignment="1" applyProtection="1">
      <alignment horizontal="center"/>
      <protection locked="0"/>
    </xf>
    <xf numFmtId="41" fontId="73" fillId="4" borderId="0" xfId="0" applyNumberFormat="1" applyFont="1" applyFill="1" applyAlignment="1" applyProtection="1">
      <alignment horizontal="right"/>
      <protection locked="0"/>
    </xf>
    <xf numFmtId="8" fontId="73" fillId="4" borderId="0" xfId="0" applyNumberFormat="1" applyFont="1" applyFill="1" applyAlignment="1" applyProtection="1">
      <alignment horizontal="right"/>
      <protection locked="0"/>
    </xf>
    <xf numFmtId="8" fontId="81" fillId="0" borderId="7" xfId="0" applyNumberFormat="1" applyFont="1" applyBorder="1" applyAlignment="1" applyProtection="1">
      <alignment wrapText="1"/>
      <protection locked="0"/>
    </xf>
    <xf numFmtId="0" fontId="73" fillId="0" borderId="7" xfId="0" applyFont="1" applyBorder="1" applyAlignment="1" applyProtection="1">
      <alignment horizontal="left" wrapText="1"/>
      <protection locked="0"/>
    </xf>
    <xf numFmtId="41" fontId="73" fillId="0" borderId="7" xfId="0" applyNumberFormat="1" applyFont="1" applyBorder="1" applyAlignment="1" applyProtection="1">
      <alignment horizontal="center"/>
      <protection locked="0"/>
    </xf>
    <xf numFmtId="41" fontId="73" fillId="0" borderId="7" xfId="0" applyNumberFormat="1" applyFont="1" applyBorder="1" applyAlignment="1" applyProtection="1">
      <alignment horizontal="right"/>
      <protection locked="0"/>
    </xf>
    <xf numFmtId="8" fontId="73" fillId="0" borderId="7" xfId="0" applyNumberFormat="1" applyFont="1" applyBorder="1" applyAlignment="1" applyProtection="1">
      <alignment horizontal="right"/>
      <protection locked="0"/>
    </xf>
    <xf numFmtId="8" fontId="44" fillId="4" borderId="0" xfId="0" applyNumberFormat="1" applyFont="1" applyFill="1" applyAlignment="1" applyProtection="1">
      <alignment wrapText="1"/>
      <protection locked="0"/>
    </xf>
    <xf numFmtId="0" fontId="72" fillId="4" borderId="0" xfId="0" applyFont="1" applyFill="1" applyAlignment="1" applyProtection="1">
      <alignment horizontal="left" wrapText="1"/>
      <protection locked="0"/>
    </xf>
    <xf numFmtId="41" fontId="72" fillId="4" borderId="0" xfId="0" applyNumberFormat="1" applyFont="1" applyFill="1" applyAlignment="1" applyProtection="1">
      <alignment horizontal="center"/>
      <protection locked="0"/>
    </xf>
    <xf numFmtId="41" fontId="72" fillId="4" borderId="0" xfId="0" applyNumberFormat="1" applyFont="1" applyFill="1" applyAlignment="1" applyProtection="1">
      <alignment horizontal="right"/>
      <protection locked="0"/>
    </xf>
    <xf numFmtId="8" fontId="72" fillId="4" borderId="0" xfId="0" applyNumberFormat="1" applyFont="1" applyFill="1" applyAlignment="1" applyProtection="1">
      <alignment horizontal="right"/>
      <protection locked="0"/>
    </xf>
    <xf numFmtId="41" fontId="78" fillId="0" borderId="0" xfId="0" applyNumberFormat="1" applyFont="1" applyAlignment="1" applyProtection="1">
      <alignment horizontal="right"/>
      <protection locked="0"/>
    </xf>
    <xf numFmtId="41" fontId="78" fillId="0" borderId="0" xfId="0" applyNumberFormat="1" applyFont="1" applyAlignment="1" applyProtection="1">
      <alignment horizontal="center"/>
      <protection locked="0"/>
    </xf>
    <xf numFmtId="8" fontId="81" fillId="0" borderId="0" xfId="0" applyNumberFormat="1" applyFont="1" applyAlignment="1" applyProtection="1">
      <alignment horizontal="left"/>
      <protection locked="0"/>
    </xf>
    <xf numFmtId="0" fontId="72" fillId="4" borderId="7" xfId="0" applyFont="1" applyFill="1" applyBorder="1" applyAlignment="1" applyProtection="1">
      <alignment horizontal="left" wrapText="1"/>
      <protection locked="0"/>
    </xf>
    <xf numFmtId="41" fontId="72" fillId="4" borderId="7" xfId="0" applyNumberFormat="1" applyFont="1" applyFill="1" applyBorder="1" applyAlignment="1" applyProtection="1">
      <alignment horizontal="center"/>
      <protection locked="0"/>
    </xf>
    <xf numFmtId="41" fontId="72" fillId="4" borderId="7" xfId="0" applyNumberFormat="1" applyFont="1" applyFill="1" applyBorder="1" applyAlignment="1" applyProtection="1">
      <alignment horizontal="right"/>
      <protection locked="0"/>
    </xf>
    <xf numFmtId="8" fontId="72" fillId="4" borderId="7" xfId="0" applyNumberFormat="1" applyFont="1" applyFill="1" applyBorder="1" applyAlignment="1" applyProtection="1">
      <alignment horizontal="right"/>
      <protection locked="0"/>
    </xf>
    <xf numFmtId="8" fontId="73" fillId="23" borderId="0" xfId="0" applyNumberFormat="1" applyFont="1" applyFill="1"/>
    <xf numFmtId="8" fontId="112" fillId="0" borderId="7" xfId="0" applyNumberFormat="1" applyFont="1" applyBorder="1"/>
    <xf numFmtId="0" fontId="3" fillId="0" borderId="0" xfId="8" applyFont="1" applyFill="1" applyAlignment="1">
      <alignment horizontal="left" wrapText="1"/>
    </xf>
    <xf numFmtId="0" fontId="39" fillId="0" borderId="0" xfId="0" applyFont="1" applyAlignment="1">
      <alignment horizontal="left" vertical="center"/>
    </xf>
    <xf numFmtId="0" fontId="72" fillId="0" borderId="7" xfId="0" applyFont="1" applyFill="1" applyBorder="1" applyAlignment="1">
      <alignment wrapText="1"/>
    </xf>
    <xf numFmtId="8" fontId="81" fillId="0" borderId="7" xfId="0" applyNumberFormat="1" applyFont="1" applyFill="1" applyBorder="1"/>
    <xf numFmtId="0" fontId="73" fillId="0" borderId="7" xfId="0" applyFont="1" applyFill="1" applyBorder="1" applyAlignment="1">
      <alignment horizontal="left" wrapText="1"/>
    </xf>
    <xf numFmtId="1" fontId="73" fillId="0" borderId="7" xfId="0" applyNumberFormat="1" applyFont="1" applyFill="1" applyBorder="1" applyAlignment="1">
      <alignment horizontal="right"/>
    </xf>
    <xf numFmtId="1" fontId="73" fillId="0" borderId="7" xfId="0" applyNumberFormat="1" applyFont="1" applyFill="1" applyBorder="1"/>
    <xf numFmtId="8" fontId="72" fillId="0" borderId="7" xfId="0" applyNumberFormat="1" applyFont="1" applyFill="1" applyBorder="1" applyAlignment="1">
      <alignment horizontal="right"/>
    </xf>
    <xf numFmtId="8" fontId="73" fillId="0" borderId="7" xfId="0" applyNumberFormat="1" applyFont="1" applyFill="1" applyBorder="1"/>
    <xf numFmtId="8" fontId="73" fillId="0" borderId="0" xfId="0" applyNumberFormat="1" applyFont="1" applyFill="1"/>
    <xf numFmtId="8" fontId="72" fillId="0" borderId="7" xfId="0" applyNumberFormat="1" applyFont="1" applyFill="1" applyBorder="1"/>
    <xf numFmtId="0" fontId="0" fillId="0" borderId="0" xfId="0" applyFill="1"/>
    <xf numFmtId="0" fontId="39" fillId="0" borderId="0" xfId="0" applyFont="1" applyFill="1"/>
    <xf numFmtId="6" fontId="0" fillId="0" borderId="0" xfId="0" applyNumberFormat="1" applyFill="1"/>
    <xf numFmtId="168" fontId="0" fillId="0" borderId="0" xfId="0" applyNumberFormat="1" applyFill="1" applyAlignment="1">
      <alignment horizontal="left"/>
    </xf>
    <xf numFmtId="0" fontId="39" fillId="0" borderId="0" xfId="0" applyFont="1" applyFill="1" applyAlignment="1">
      <alignment horizontal="left"/>
    </xf>
    <xf numFmtId="0" fontId="70" fillId="0" borderId="0" xfId="8"/>
    <xf numFmtId="0" fontId="53" fillId="0" borderId="0" xfId="0" applyFont="1" applyAlignment="1">
      <alignment horizontal="left"/>
    </xf>
    <xf numFmtId="8" fontId="14" fillId="0" borderId="7" xfId="0" applyNumberFormat="1" applyFont="1" applyFill="1" applyBorder="1"/>
    <xf numFmtId="0" fontId="6" fillId="0" borderId="0" xfId="0" applyNumberFormat="1" applyFont="1"/>
    <xf numFmtId="8" fontId="72" fillId="0" borderId="0" xfId="0" applyNumberFormat="1" applyFont="1" applyFill="1" applyAlignment="1">
      <alignment horizontal="right"/>
    </xf>
    <xf numFmtId="0" fontId="0" fillId="0" borderId="0" xfId="0" applyFill="1" applyAlignment="1">
      <alignment horizontal="left"/>
    </xf>
    <xf numFmtId="8" fontId="44" fillId="4" borderId="7" xfId="0" applyNumberFormat="1" applyFont="1" applyFill="1" applyBorder="1"/>
    <xf numFmtId="0" fontId="39" fillId="0" borderId="0" xfId="0" applyFont="1" applyFill="1" applyAlignment="1">
      <alignment wrapText="1"/>
    </xf>
    <xf numFmtId="8" fontId="117" fillId="0" borderId="0" xfId="0" applyNumberFormat="1" applyFont="1"/>
    <xf numFmtId="0" fontId="118" fillId="0" borderId="0" xfId="0" applyFont="1"/>
    <xf numFmtId="8" fontId="81" fillId="0" borderId="0" xfId="0" applyNumberFormat="1" applyFont="1" applyFill="1" applyAlignment="1">
      <alignment wrapText="1"/>
    </xf>
    <xf numFmtId="8" fontId="14" fillId="0" borderId="7" xfId="0" applyNumberFormat="1" applyFont="1" applyFill="1" applyBorder="1" applyAlignment="1">
      <alignment wrapText="1"/>
    </xf>
    <xf numFmtId="0" fontId="72" fillId="0" borderId="0" xfId="0" applyFont="1" applyFill="1" applyAlignment="1">
      <alignment horizontal="left" wrapText="1"/>
    </xf>
    <xf numFmtId="41" fontId="72" fillId="0" borderId="0" xfId="0" applyNumberFormat="1" applyFont="1" applyFill="1" applyAlignment="1">
      <alignment horizontal="left"/>
    </xf>
    <xf numFmtId="41" fontId="72" fillId="0" borderId="0" xfId="0" applyNumberFormat="1" applyFont="1" applyFill="1" applyAlignment="1">
      <alignment horizontal="right"/>
    </xf>
    <xf numFmtId="8" fontId="73" fillId="0" borderId="0" xfId="0" applyNumberFormat="1" applyFont="1" applyFill="1" applyAlignment="1">
      <alignment horizontal="right"/>
    </xf>
    <xf numFmtId="8" fontId="14" fillId="0" borderId="0" xfId="0" applyNumberFormat="1" applyFont="1" applyFill="1"/>
    <xf numFmtId="0" fontId="72" fillId="0" borderId="0" xfId="0" applyFont="1" applyFill="1" applyAlignment="1">
      <alignment wrapText="1"/>
    </xf>
    <xf numFmtId="8" fontId="81" fillId="0" borderId="0" xfId="0" applyNumberFormat="1" applyFont="1" applyFill="1"/>
    <xf numFmtId="8" fontId="72" fillId="0" borderId="0" xfId="0" applyNumberFormat="1" applyFont="1" applyFill="1"/>
    <xf numFmtId="41" fontId="72" fillId="0" borderId="0" xfId="0" applyNumberFormat="1" applyFont="1" applyFill="1"/>
    <xf numFmtId="8" fontId="40" fillId="0" borderId="0" xfId="0" applyNumberFormat="1" applyFont="1" applyFill="1" applyAlignment="1">
      <alignment wrapText="1"/>
    </xf>
    <xf numFmtId="0" fontId="73" fillId="0" borderId="0" xfId="0" applyFont="1" applyFill="1" applyAlignment="1">
      <alignment horizontal="left" wrapText="1"/>
    </xf>
    <xf numFmtId="1" fontId="73" fillId="0" borderId="0" xfId="0" applyNumberFormat="1" applyFont="1" applyFill="1"/>
    <xf numFmtId="1" fontId="73" fillId="0" borderId="0" xfId="0" applyNumberFormat="1" applyFont="1" applyFill="1" applyAlignment="1">
      <alignment horizontal="right"/>
    </xf>
    <xf numFmtId="1" fontId="72" fillId="0" borderId="7" xfId="0" applyNumberFormat="1" applyFont="1" applyFill="1" applyBorder="1"/>
    <xf numFmtId="1" fontId="72" fillId="0" borderId="7" xfId="0" applyNumberFormat="1" applyFont="1" applyFill="1" applyBorder="1" applyAlignment="1">
      <alignment horizontal="right"/>
    </xf>
    <xf numFmtId="1" fontId="78" fillId="4" borderId="0" xfId="0" applyNumberFormat="1" applyFont="1" applyFill="1" applyAlignment="1">
      <alignment horizontal="right"/>
    </xf>
    <xf numFmtId="167" fontId="78" fillId="4" borderId="0" xfId="0" applyNumberFormat="1" applyFont="1" applyFill="1" applyAlignment="1">
      <alignment horizontal="right"/>
    </xf>
    <xf numFmtId="166" fontId="72" fillId="4" borderId="0" xfId="1" applyNumberFormat="1" applyFont="1" applyFill="1"/>
    <xf numFmtId="8" fontId="0" fillId="0" borderId="0" xfId="0" applyNumberFormat="1" applyFill="1"/>
    <xf numFmtId="8" fontId="113" fillId="0" borderId="7" xfId="0" applyNumberFormat="1" applyFont="1" applyFill="1" applyBorder="1"/>
    <xf numFmtId="10" fontId="75" fillId="0" borderId="13" xfId="0" applyNumberFormat="1" applyFont="1" applyFill="1" applyBorder="1"/>
    <xf numFmtId="10" fontId="75" fillId="0" borderId="7" xfId="0" applyNumberFormat="1" applyFont="1" applyFill="1" applyBorder="1"/>
    <xf numFmtId="8" fontId="81" fillId="0" borderId="7" xfId="0" applyNumberFormat="1" applyFont="1" applyFill="1" applyBorder="1" applyAlignment="1">
      <alignment vertical="center"/>
    </xf>
    <xf numFmtId="0" fontId="2" fillId="0" borderId="0" xfId="0" applyFont="1" applyFill="1" applyAlignment="1">
      <alignment horizontal="left"/>
    </xf>
    <xf numFmtId="0" fontId="73" fillId="0" borderId="7" xfId="0" applyFont="1" applyFill="1" applyBorder="1" applyAlignment="1">
      <alignment wrapText="1"/>
    </xf>
    <xf numFmtId="8" fontId="73" fillId="0" borderId="7" xfId="0" applyNumberFormat="1" applyFont="1" applyFill="1" applyBorder="1" applyAlignment="1">
      <alignment horizontal="right"/>
    </xf>
    <xf numFmtId="0" fontId="3" fillId="0" borderId="0" xfId="0" applyFont="1" applyFill="1"/>
    <xf numFmtId="168" fontId="3" fillId="0" borderId="0" xfId="0" applyNumberFormat="1" applyFont="1" applyFill="1" applyAlignment="1">
      <alignment horizontal="left" vertical="top"/>
    </xf>
    <xf numFmtId="168" fontId="0" fillId="0" borderId="0" xfId="0" applyNumberFormat="1" applyAlignment="1">
      <alignment horizontal="left"/>
    </xf>
    <xf numFmtId="8" fontId="92" fillId="0" borderId="7" xfId="0" applyNumberFormat="1" applyFont="1" applyFill="1" applyBorder="1"/>
    <xf numFmtId="168" fontId="0" fillId="0" borderId="0" xfId="0" applyNumberFormat="1" applyFill="1"/>
    <xf numFmtId="0" fontId="15" fillId="24" borderId="19" xfId="0" applyFont="1" applyFill="1" applyBorder="1" applyAlignment="1">
      <alignment horizontal="center"/>
    </xf>
    <xf numFmtId="0" fontId="15" fillId="24" borderId="20" xfId="0" applyFont="1" applyFill="1" applyBorder="1" applyAlignment="1">
      <alignment horizontal="center"/>
    </xf>
    <xf numFmtId="0" fontId="15" fillId="24" borderId="21" xfId="0" applyFont="1" applyFill="1" applyBorder="1" applyAlignment="1">
      <alignment horizontal="center"/>
    </xf>
    <xf numFmtId="165" fontId="72" fillId="0" borderId="13" xfId="0" applyNumberFormat="1" applyFont="1" applyFill="1" applyBorder="1"/>
    <xf numFmtId="165" fontId="72" fillId="0" borderId="4" xfId="0" applyNumberFormat="1" applyFont="1" applyFill="1" applyBorder="1"/>
    <xf numFmtId="44" fontId="73" fillId="0" borderId="7" xfId="0" applyNumberFormat="1" applyFont="1" applyFill="1" applyBorder="1"/>
    <xf numFmtId="165" fontId="78" fillId="0" borderId="4" xfId="0" applyNumberFormat="1" applyFont="1" applyFill="1" applyBorder="1"/>
    <xf numFmtId="42" fontId="71" fillId="0" borderId="7" xfId="0" applyNumberFormat="1" applyFont="1" applyFill="1" applyBorder="1"/>
    <xf numFmtId="165" fontId="73" fillId="0" borderId="41" xfId="0" applyNumberFormat="1" applyFont="1" applyFill="1" applyBorder="1"/>
    <xf numFmtId="0" fontId="13" fillId="0" borderId="7" xfId="0" applyFont="1" applyFill="1" applyBorder="1"/>
    <xf numFmtId="0" fontId="13" fillId="0" borderId="0" xfId="0" applyFont="1" applyFill="1"/>
    <xf numFmtId="0" fontId="13" fillId="0" borderId="0" xfId="0" applyFont="1" applyFill="1" applyAlignment="1">
      <alignment horizontal="right"/>
    </xf>
    <xf numFmtId="44" fontId="13" fillId="0" borderId="0" xfId="0" applyNumberFormat="1" applyFont="1" applyFill="1"/>
    <xf numFmtId="44" fontId="78" fillId="20" borderId="13" xfId="0" applyNumberFormat="1" applyFont="1" applyFill="1" applyBorder="1" applyAlignment="1">
      <alignment horizontal="center" wrapText="1"/>
    </xf>
    <xf numFmtId="165" fontId="73" fillId="0" borderId="13" xfId="0" applyNumberFormat="1" applyFont="1" applyFill="1" applyBorder="1"/>
    <xf numFmtId="0" fontId="73" fillId="0" borderId="13" xfId="0" applyFont="1" applyFill="1" applyBorder="1"/>
    <xf numFmtId="0" fontId="2" fillId="0" borderId="0" xfId="0" applyFont="1" applyFill="1"/>
    <xf numFmtId="165" fontId="2" fillId="0" borderId="0" xfId="0" applyNumberFormat="1" applyFont="1" applyFill="1"/>
    <xf numFmtId="165" fontId="3" fillId="0" borderId="0" xfId="0" applyNumberFormat="1" applyFont="1" applyFill="1"/>
    <xf numFmtId="165" fontId="0" fillId="0" borderId="0" xfId="0" applyNumberFormat="1" applyFill="1"/>
    <xf numFmtId="164" fontId="0" fillId="0" borderId="0" xfId="0" applyNumberFormat="1" applyFill="1"/>
    <xf numFmtId="0" fontId="0" fillId="0" borderId="19" xfId="0" applyFill="1" applyBorder="1"/>
    <xf numFmtId="168" fontId="0" fillId="0" borderId="20" xfId="0" applyNumberFormat="1" applyFill="1" applyBorder="1"/>
    <xf numFmtId="164" fontId="0" fillId="0" borderId="21" xfId="0" applyNumberFormat="1" applyFill="1" applyBorder="1"/>
    <xf numFmtId="42" fontId="63" fillId="0" borderId="0" xfId="0" applyNumberFormat="1" applyFont="1" applyFill="1"/>
    <xf numFmtId="0" fontId="62" fillId="0" borderId="7" xfId="4" applyFont="1" applyFill="1"/>
    <xf numFmtId="42" fontId="65" fillId="0" borderId="7" xfId="0" applyNumberFormat="1" applyFont="1" applyFill="1" applyBorder="1"/>
    <xf numFmtId="10" fontId="65" fillId="0" borderId="0" xfId="0" applyNumberFormat="1" applyFont="1" applyFill="1"/>
    <xf numFmtId="42" fontId="64" fillId="0" borderId="7" xfId="0" applyNumberFormat="1" applyFont="1" applyFill="1" applyBorder="1"/>
    <xf numFmtId="10" fontId="64" fillId="0" borderId="0" xfId="0" applyNumberFormat="1" applyFont="1" applyFill="1"/>
    <xf numFmtId="42" fontId="63" fillId="0" borderId="7" xfId="0" applyNumberFormat="1" applyFont="1" applyFill="1" applyBorder="1"/>
    <xf numFmtId="10" fontId="63" fillId="0" borderId="7" xfId="0" applyNumberFormat="1" applyFont="1" applyFill="1" applyBorder="1"/>
    <xf numFmtId="10" fontId="64" fillId="0" borderId="7" xfId="0" applyNumberFormat="1" applyFont="1" applyFill="1" applyBorder="1"/>
    <xf numFmtId="0" fontId="63" fillId="0" borderId="0" xfId="0" applyFont="1" applyFill="1" applyAlignment="1">
      <alignment horizontal="left"/>
    </xf>
    <xf numFmtId="42" fontId="61" fillId="0" borderId="34" xfId="0" applyNumberFormat="1" applyFont="1" applyFill="1" applyBorder="1"/>
    <xf numFmtId="0" fontId="61" fillId="0" borderId="7" xfId="0" applyFont="1" applyFill="1" applyBorder="1"/>
    <xf numFmtId="10" fontId="63" fillId="4" borderId="0" xfId="0" applyNumberFormat="1" applyFont="1" applyFill="1"/>
    <xf numFmtId="0" fontId="66" fillId="4" borderId="0" xfId="0" applyFont="1" applyFill="1" applyAlignment="1">
      <alignment horizontal="right"/>
    </xf>
    <xf numFmtId="42" fontId="64" fillId="4" borderId="16" xfId="0" applyNumberFormat="1" applyFont="1" applyFill="1" applyBorder="1"/>
    <xf numFmtId="10" fontId="64" fillId="4" borderId="16" xfId="0" applyNumberFormat="1" applyFont="1" applyFill="1" applyBorder="1"/>
    <xf numFmtId="10" fontId="67" fillId="4" borderId="15" xfId="0" applyNumberFormat="1" applyFont="1" applyFill="1" applyBorder="1"/>
    <xf numFmtId="42" fontId="63" fillId="0" borderId="12" xfId="0" applyNumberFormat="1" applyFont="1" applyFill="1" applyBorder="1"/>
    <xf numFmtId="42" fontId="62" fillId="0" borderId="12" xfId="5" applyNumberFormat="1" applyFont="1" applyFill="1" applyBorder="1"/>
    <xf numFmtId="42" fontId="63" fillId="4" borderId="15" xfId="0" applyNumberFormat="1" applyFont="1" applyFill="1" applyBorder="1"/>
    <xf numFmtId="42" fontId="62" fillId="4" borderId="15" xfId="5" applyNumberFormat="1" applyFont="1" applyFill="1" applyBorder="1"/>
    <xf numFmtId="167" fontId="73" fillId="0" borderId="7" xfId="0" applyNumberFormat="1" applyFont="1" applyFill="1" applyBorder="1" applyAlignment="1">
      <alignment horizontal="center"/>
    </xf>
    <xf numFmtId="6" fontId="74" fillId="0" borderId="7" xfId="0" applyNumberFormat="1" applyFont="1" applyFill="1" applyBorder="1"/>
    <xf numFmtId="6" fontId="73" fillId="0" borderId="7" xfId="0" applyNumberFormat="1" applyFont="1" applyFill="1" applyBorder="1"/>
    <xf numFmtId="6" fontId="75" fillId="4" borderId="7" xfId="0" applyNumberFormat="1" applyFont="1" applyFill="1" applyBorder="1" applyAlignment="1">
      <alignment horizontal="right"/>
    </xf>
    <xf numFmtId="6" fontId="72" fillId="4" borderId="7" xfId="0" applyNumberFormat="1" applyFont="1" applyFill="1" applyBorder="1" applyAlignment="1">
      <alignment horizontal="right"/>
    </xf>
    <xf numFmtId="0" fontId="44" fillId="0" borderId="7" xfId="0" applyFont="1" applyFill="1" applyBorder="1" applyAlignment="1">
      <alignment wrapText="1"/>
    </xf>
    <xf numFmtId="167" fontId="73" fillId="0" borderId="7" xfId="0" applyNumberFormat="1" applyFont="1" applyFill="1" applyBorder="1"/>
    <xf numFmtId="6" fontId="75" fillId="0" borderId="7" xfId="0" applyNumberFormat="1" applyFont="1" applyFill="1" applyBorder="1"/>
    <xf numFmtId="165" fontId="78" fillId="13" borderId="41" xfId="0" applyNumberFormat="1" applyFont="1" applyFill="1" applyBorder="1"/>
    <xf numFmtId="0" fontId="72" fillId="0" borderId="0" xfId="0" applyFont="1" applyFill="1" applyAlignment="1" applyProtection="1">
      <alignment wrapText="1"/>
      <protection locked="0"/>
    </xf>
    <xf numFmtId="8" fontId="81" fillId="0" borderId="0" xfId="0" applyNumberFormat="1" applyFont="1" applyFill="1" applyAlignment="1" applyProtection="1">
      <alignment wrapText="1"/>
      <protection locked="0"/>
    </xf>
    <xf numFmtId="8" fontId="14" fillId="0" borderId="0" xfId="0" applyNumberFormat="1" applyFont="1" applyFill="1" applyAlignment="1" applyProtection="1">
      <alignment wrapText="1"/>
      <protection locked="0"/>
    </xf>
    <xf numFmtId="0" fontId="73" fillId="0" borderId="0" xfId="0" applyFont="1" applyFill="1" applyAlignment="1" applyProtection="1">
      <alignment horizontal="left" wrapText="1"/>
      <protection locked="0"/>
    </xf>
    <xf numFmtId="41" fontId="73" fillId="0" borderId="0" xfId="0" applyNumberFormat="1" applyFont="1" applyFill="1" applyAlignment="1" applyProtection="1">
      <alignment horizontal="center"/>
      <protection locked="0"/>
    </xf>
    <xf numFmtId="41" fontId="73" fillId="0" borderId="0" xfId="0" applyNumberFormat="1" applyFont="1" applyFill="1" applyAlignment="1" applyProtection="1">
      <alignment horizontal="right"/>
      <protection locked="0"/>
    </xf>
    <xf numFmtId="8" fontId="73" fillId="0" borderId="0" xfId="0" applyNumberFormat="1" applyFont="1" applyFill="1" applyAlignment="1" applyProtection="1">
      <alignment horizontal="right"/>
      <protection locked="0"/>
    </xf>
    <xf numFmtId="0" fontId="44" fillId="0" borderId="0" xfId="0" applyFont="1" applyFill="1"/>
    <xf numFmtId="0" fontId="72" fillId="5" borderId="7" xfId="0" applyFont="1" applyFill="1" applyBorder="1" applyAlignment="1">
      <alignment wrapText="1"/>
    </xf>
    <xf numFmtId="41" fontId="73" fillId="0" borderId="7" xfId="0" applyNumberFormat="1" applyFont="1" applyFill="1" applyBorder="1" applyAlignment="1">
      <alignment horizontal="left"/>
    </xf>
    <xf numFmtId="41" fontId="73" fillId="0" borderId="7" xfId="0" applyNumberFormat="1" applyFont="1" applyFill="1" applyBorder="1" applyAlignment="1">
      <alignment horizontal="right"/>
    </xf>
    <xf numFmtId="8" fontId="44" fillId="0" borderId="7" xfId="0" applyNumberFormat="1" applyFont="1" applyFill="1" applyBorder="1" applyAlignment="1">
      <alignment wrapText="1"/>
    </xf>
    <xf numFmtId="8" fontId="72" fillId="0" borderId="7" xfId="0" applyNumberFormat="1" applyFont="1" applyFill="1" applyBorder="1" applyAlignment="1">
      <alignment wrapText="1"/>
    </xf>
    <xf numFmtId="0" fontId="44" fillId="0" borderId="7" xfId="0" applyFont="1" applyFill="1" applyBorder="1"/>
    <xf numFmtId="167" fontId="73" fillId="0" borderId="7" xfId="0" applyNumberFormat="1" applyFont="1" applyFill="1" applyBorder="1" applyAlignment="1">
      <alignment horizontal="left"/>
    </xf>
    <xf numFmtId="165" fontId="75" fillId="0" borderId="7" xfId="0" applyNumberFormat="1" applyFont="1" applyFill="1" applyBorder="1"/>
    <xf numFmtId="6" fontId="73" fillId="0" borderId="0" xfId="0" applyNumberFormat="1" applyFont="1" applyFill="1"/>
    <xf numFmtId="167" fontId="72" fillId="0" borderId="7" xfId="0" applyNumberFormat="1" applyFont="1" applyFill="1" applyBorder="1" applyAlignment="1">
      <alignment horizontal="left"/>
    </xf>
    <xf numFmtId="167" fontId="72" fillId="0" borderId="7" xfId="0" applyNumberFormat="1" applyFont="1" applyFill="1" applyBorder="1" applyAlignment="1">
      <alignment horizontal="center"/>
    </xf>
    <xf numFmtId="0" fontId="50" fillId="0" borderId="0" xfId="0" applyFont="1" applyAlignment="1">
      <alignment horizontal="center"/>
    </xf>
    <xf numFmtId="0" fontId="57" fillId="0" borderId="0" xfId="0" applyFont="1" applyAlignment="1">
      <alignment horizontal="center"/>
    </xf>
    <xf numFmtId="165" fontId="0" fillId="0" borderId="0" xfId="0" applyNumberFormat="1" applyAlignment="1">
      <alignment horizontal="center"/>
    </xf>
    <xf numFmtId="0" fontId="0" fillId="0" borderId="0" xfId="0" applyAlignment="1"/>
    <xf numFmtId="0" fontId="50" fillId="0" borderId="27" xfId="0" applyFont="1" applyBorder="1" applyAlignment="1">
      <alignment horizontal="center"/>
    </xf>
    <xf numFmtId="0" fontId="0" fillId="0" borderId="0" xfId="0" applyAlignment="1">
      <alignment horizontal="center"/>
    </xf>
    <xf numFmtId="8" fontId="7" fillId="10" borderId="7" xfId="0" applyNumberFormat="1" applyFont="1" applyFill="1" applyBorder="1" applyAlignment="1">
      <alignment horizontal="left" wrapText="1"/>
    </xf>
    <xf numFmtId="0" fontId="3" fillId="11" borderId="7" xfId="0" applyFont="1" applyFill="1" applyBorder="1" applyAlignment="1"/>
    <xf numFmtId="8" fontId="7" fillId="10" borderId="7" xfId="0" applyNumberFormat="1" applyFont="1" applyFill="1" applyBorder="1" applyAlignment="1">
      <alignment horizontal="left"/>
    </xf>
    <xf numFmtId="0" fontId="50" fillId="0" borderId="12" xfId="0" applyFont="1" applyBorder="1" applyAlignment="1">
      <alignment horizontal="center" wrapText="1"/>
    </xf>
    <xf numFmtId="0" fontId="0" fillId="0" borderId="0" xfId="0" applyFill="1" applyAlignment="1">
      <alignment horizontal="center"/>
    </xf>
    <xf numFmtId="0" fontId="0" fillId="0" borderId="0" xfId="0" applyFill="1" applyAlignment="1"/>
    <xf numFmtId="8" fontId="110" fillId="21" borderId="7" xfId="0" applyNumberFormat="1" applyFont="1" applyFill="1" applyBorder="1" applyAlignment="1">
      <alignment horizontal="left" wrapText="1"/>
    </xf>
    <xf numFmtId="0" fontId="109" fillId="22" borderId="7" xfId="0" applyFont="1" applyFill="1" applyBorder="1" applyAlignment="1"/>
    <xf numFmtId="8" fontId="110" fillId="21" borderId="7" xfId="0" applyNumberFormat="1" applyFont="1" applyFill="1" applyBorder="1" applyAlignment="1">
      <alignment horizontal="left"/>
    </xf>
    <xf numFmtId="0" fontId="39" fillId="0" borderId="0" xfId="0" applyFont="1" applyAlignment="1">
      <alignment horizontal="center" wrapText="1"/>
    </xf>
    <xf numFmtId="0" fontId="0" fillId="0" borderId="0" xfId="0" applyAlignment="1">
      <alignment horizontal="center" wrapText="1"/>
    </xf>
    <xf numFmtId="168" fontId="0" fillId="0" borderId="0" xfId="0" applyNumberFormat="1" applyAlignment="1">
      <alignment horizontal="left"/>
    </xf>
    <xf numFmtId="0" fontId="50" fillId="0" borderId="7" xfId="0" applyFont="1" applyBorder="1" applyAlignment="1">
      <alignment horizontal="center"/>
    </xf>
    <xf numFmtId="0" fontId="59" fillId="0" borderId="0" xfId="0" applyFont="1" applyAlignment="1">
      <alignment horizontal="center"/>
    </xf>
    <xf numFmtId="0" fontId="60" fillId="0" borderId="0" xfId="0" applyFont="1" applyAlignment="1">
      <alignment horizontal="center"/>
    </xf>
    <xf numFmtId="0" fontId="58" fillId="0" borderId="0" xfId="0" applyFont="1" applyAlignment="1">
      <alignment horizontal="center"/>
    </xf>
    <xf numFmtId="49" fontId="35" fillId="0" borderId="7" xfId="0" applyNumberFormat="1" applyFont="1" applyBorder="1" applyAlignment="1">
      <alignment horizontal="center"/>
    </xf>
    <xf numFmtId="0" fontId="0" fillId="0" borderId="7" xfId="0" applyBorder="1" applyAlignment="1"/>
  </cellXfs>
  <cellStyles count="9">
    <cellStyle name="Comma" xfId="1" builtinId="3"/>
    <cellStyle name="Currency" xfId="2" builtinId="4"/>
    <cellStyle name="Currency 2" xfId="5" xr:uid="{6248BE3C-122E-48A7-BADD-F769C4CD68D0}"/>
    <cellStyle name="Hyperlink" xfId="8" builtinId="8"/>
    <cellStyle name="Normal" xfId="0" builtinId="0"/>
    <cellStyle name="Normal 2" xfId="6" xr:uid="{492FF7F5-37A4-4B16-BCBA-1B04F4C6A560}"/>
    <cellStyle name="Normal 3" xfId="4" xr:uid="{7AF0FECC-0CC2-4D6D-A2D7-425ABF74EFE7}"/>
    <cellStyle name="Normal 4" xfId="7" xr:uid="{2815A886-AE64-40EB-B0C2-0561FD044760}"/>
    <cellStyle name="Percent" xfId="3" builtinId="5"/>
  </cellStyles>
  <dxfs count="191">
    <dxf>
      <font>
        <color rgb="FF008000"/>
      </font>
    </dxf>
    <dxf>
      <font>
        <color rgb="FFFF0000"/>
      </font>
    </dxf>
    <dxf>
      <font>
        <color theme="1"/>
      </font>
    </dxf>
    <dxf>
      <font>
        <color rgb="FF008000"/>
      </font>
    </dxf>
    <dxf>
      <font>
        <color rgb="FFFF0000"/>
      </font>
    </dxf>
    <dxf>
      <font>
        <color theme="1"/>
      </font>
    </dxf>
    <dxf>
      <font>
        <color rgb="FF00B050"/>
      </font>
    </dxf>
    <dxf>
      <font>
        <color rgb="FFFF0000"/>
      </font>
    </dxf>
    <dxf>
      <font>
        <color theme="1"/>
      </font>
    </dxf>
    <dxf>
      <font>
        <color theme="1"/>
      </font>
    </dxf>
    <dxf>
      <font>
        <color rgb="FF00B050"/>
      </font>
    </dxf>
    <dxf>
      <font>
        <color rgb="FFFF0000"/>
      </font>
    </dxf>
    <dxf>
      <font>
        <color theme="1"/>
      </font>
    </dxf>
    <dxf>
      <font>
        <color rgb="FF00B050"/>
      </font>
    </dxf>
    <dxf>
      <font>
        <color rgb="FFFF0000"/>
      </font>
    </dxf>
    <dxf>
      <font>
        <color theme="1"/>
      </font>
    </dxf>
    <dxf>
      <font>
        <color rgb="FF00B050"/>
      </font>
    </dxf>
    <dxf>
      <font>
        <color rgb="FFFF0000"/>
      </font>
    </dxf>
    <dxf>
      <font>
        <color theme="1"/>
      </font>
    </dxf>
    <dxf>
      <font>
        <color rgb="FF00B050"/>
      </font>
    </dxf>
    <dxf>
      <font>
        <color rgb="FFFF0000"/>
      </font>
    </dxf>
    <dxf>
      <font>
        <color theme="1"/>
      </font>
    </dxf>
    <dxf>
      <font>
        <color rgb="FF00B050"/>
      </font>
    </dxf>
    <dxf>
      <font>
        <color rgb="FFFF0000"/>
      </font>
    </dxf>
    <dxf>
      <font>
        <color theme="1"/>
      </font>
    </dxf>
    <dxf>
      <font>
        <color rgb="FF00B050"/>
      </font>
    </dxf>
    <dxf>
      <font>
        <color rgb="FFFF0000"/>
      </font>
    </dxf>
    <dxf>
      <font>
        <color rgb="FF00B050"/>
      </font>
    </dxf>
    <dxf>
      <font>
        <color rgb="FFFF0000"/>
      </font>
    </dxf>
    <dxf>
      <font>
        <color theme="1"/>
      </font>
    </dxf>
    <dxf>
      <font>
        <color rgb="FF00B050"/>
      </font>
    </dxf>
    <dxf>
      <font>
        <color rgb="FFFF0000"/>
      </font>
    </dxf>
    <dxf>
      <font>
        <color theme="1"/>
      </font>
    </dxf>
    <dxf>
      <font>
        <b/>
        <i val="0"/>
        <color rgb="FF00B050"/>
      </font>
    </dxf>
    <dxf>
      <font>
        <color rgb="FF00B050"/>
      </font>
    </dxf>
    <dxf>
      <font>
        <b/>
        <i val="0"/>
        <color rgb="FF00B050"/>
      </font>
    </dxf>
    <dxf>
      <font>
        <color rgb="FFFF0000"/>
      </font>
    </dxf>
    <dxf>
      <font>
        <color rgb="FF00B050"/>
      </font>
    </dxf>
    <dxf>
      <font>
        <color theme="1"/>
      </font>
    </dxf>
    <dxf>
      <font>
        <color theme="1"/>
      </font>
    </dxf>
    <dxf>
      <font>
        <color rgb="FF00B050"/>
      </font>
    </dxf>
    <dxf>
      <font>
        <color rgb="FFFF0000"/>
      </font>
    </dxf>
    <dxf>
      <font>
        <color theme="1"/>
      </font>
    </dxf>
    <dxf>
      <font>
        <color rgb="FF00B050"/>
      </font>
    </dxf>
    <dxf>
      <font>
        <color rgb="FF00B050"/>
      </font>
    </dxf>
    <dxf>
      <font>
        <color rgb="FFFF0000"/>
      </font>
    </dxf>
    <dxf>
      <font>
        <color theme="1"/>
      </font>
    </dxf>
    <dxf>
      <font>
        <color rgb="FF00B050"/>
      </font>
    </dxf>
    <dxf>
      <font>
        <color theme="1"/>
      </font>
    </dxf>
    <dxf>
      <font>
        <color rgb="FFFF0000"/>
      </font>
    </dxf>
    <dxf>
      <font>
        <color rgb="FF00B050"/>
      </font>
    </dxf>
    <dxf>
      <font>
        <color theme="1"/>
      </font>
    </dxf>
    <dxf>
      <font>
        <color rgb="FFFF0000"/>
      </font>
    </dxf>
    <dxf>
      <font>
        <color rgb="FFFF0000"/>
      </font>
    </dxf>
    <dxf>
      <font>
        <color theme="1"/>
      </font>
    </dxf>
    <dxf>
      <font>
        <color rgb="FF00B050"/>
      </font>
    </dxf>
    <dxf>
      <font>
        <color theme="1"/>
      </font>
    </dxf>
    <dxf>
      <font>
        <color rgb="FF00B050"/>
      </font>
    </dxf>
    <dxf>
      <font>
        <color rgb="FFFF0000"/>
      </font>
    </dxf>
    <dxf>
      <font>
        <color rgb="FFFF0000"/>
      </font>
    </dxf>
    <dxf>
      <font>
        <color theme="1"/>
      </font>
    </dxf>
    <dxf>
      <font>
        <color rgb="FF00B050"/>
      </font>
    </dxf>
    <dxf>
      <font>
        <color rgb="FFFF0000"/>
      </font>
    </dxf>
    <dxf>
      <font>
        <color rgb="FF00B050"/>
      </font>
    </dxf>
    <dxf>
      <font>
        <color theme="1"/>
      </font>
    </dxf>
    <dxf>
      <font>
        <color theme="1"/>
      </font>
    </dxf>
    <dxf>
      <font>
        <color rgb="FFFF0000"/>
      </font>
    </dxf>
    <dxf>
      <font>
        <color rgb="FF00B050"/>
      </font>
    </dxf>
    <dxf>
      <font>
        <color rgb="FFFF0000"/>
      </font>
    </dxf>
    <dxf>
      <font>
        <color rgb="FF00B050"/>
      </font>
    </dxf>
    <dxf>
      <font>
        <color theme="1"/>
      </font>
    </dxf>
    <dxf>
      <font>
        <color rgb="FFFF0000"/>
      </font>
    </dxf>
    <dxf>
      <font>
        <color rgb="FF00B050"/>
      </font>
    </dxf>
    <dxf>
      <font>
        <color theme="1"/>
      </font>
    </dxf>
    <dxf>
      <font>
        <color theme="1"/>
      </font>
    </dxf>
    <dxf>
      <font>
        <color rgb="FF00B050"/>
      </font>
    </dxf>
    <dxf>
      <font>
        <color rgb="FFFF0000"/>
      </font>
    </dxf>
    <dxf>
      <font>
        <color theme="1"/>
      </font>
    </dxf>
    <dxf>
      <font>
        <color rgb="FF00B050"/>
      </font>
    </dxf>
    <dxf>
      <font>
        <color rgb="FFFF0000"/>
      </font>
    </dxf>
    <dxf>
      <font>
        <color rgb="FFFF0000"/>
      </font>
    </dxf>
    <dxf>
      <font>
        <color theme="1"/>
      </font>
    </dxf>
    <dxf>
      <font>
        <color rgb="FF00B050"/>
      </font>
    </dxf>
    <dxf>
      <font>
        <color rgb="FFFF0000"/>
      </font>
    </dxf>
    <dxf>
      <font>
        <color rgb="FF00B050"/>
      </font>
    </dxf>
    <dxf>
      <font>
        <color theme="1"/>
      </font>
    </dxf>
    <dxf>
      <font>
        <color rgb="FFFF0000"/>
      </font>
    </dxf>
    <dxf>
      <font>
        <color rgb="FF00B050"/>
      </font>
    </dxf>
    <dxf>
      <font>
        <color theme="1"/>
      </font>
    </dxf>
    <dxf>
      <font>
        <color rgb="FFFF0000"/>
      </font>
    </dxf>
    <dxf>
      <font>
        <color rgb="FF00B050"/>
      </font>
    </dxf>
    <dxf>
      <font>
        <color theme="1"/>
      </font>
    </dxf>
    <dxf>
      <font>
        <color rgb="FFFF0000"/>
      </font>
    </dxf>
    <dxf>
      <font>
        <color rgb="FF00B050"/>
      </font>
    </dxf>
    <dxf>
      <font>
        <color theme="1"/>
      </font>
    </dxf>
    <dxf>
      <font>
        <color rgb="FF00B050"/>
      </font>
    </dxf>
    <dxf>
      <font>
        <color theme="1"/>
      </font>
    </dxf>
    <dxf>
      <font>
        <color rgb="FFFF0000"/>
      </font>
    </dxf>
    <dxf>
      <font>
        <color rgb="FF00B050"/>
      </font>
    </dxf>
    <dxf>
      <font>
        <color rgb="FFFF0000"/>
      </font>
    </dxf>
    <dxf>
      <font>
        <color theme="1"/>
      </font>
    </dxf>
    <dxf>
      <font>
        <color rgb="FFFF0000"/>
      </font>
    </dxf>
    <dxf>
      <font>
        <color rgb="FF00B050"/>
      </font>
    </dxf>
    <dxf>
      <font>
        <color theme="1"/>
      </font>
    </dxf>
    <dxf>
      <font>
        <color rgb="FFFF0000"/>
      </font>
    </dxf>
    <dxf>
      <font>
        <color rgb="FF00B050"/>
      </font>
    </dxf>
    <dxf>
      <font>
        <color theme="1"/>
      </font>
    </dxf>
    <dxf>
      <font>
        <color rgb="FFFF0000"/>
      </font>
    </dxf>
    <dxf>
      <font>
        <color rgb="FF00B050"/>
      </font>
    </dxf>
    <dxf>
      <font>
        <color theme="1"/>
      </font>
    </dxf>
    <dxf>
      <font>
        <color theme="1"/>
      </font>
    </dxf>
    <dxf>
      <font>
        <color rgb="FF00B050"/>
      </font>
    </dxf>
    <dxf>
      <font>
        <color rgb="FFFF0000"/>
      </font>
    </dxf>
    <dxf>
      <font>
        <color auto="1"/>
      </font>
    </dxf>
    <dxf>
      <font>
        <color rgb="FF00B050"/>
      </font>
    </dxf>
    <dxf>
      <font>
        <color rgb="FFFF0000"/>
      </font>
    </dxf>
    <dxf>
      <font>
        <color theme="1"/>
      </font>
    </dxf>
    <dxf>
      <font>
        <color rgb="FF00B050"/>
      </font>
    </dxf>
    <dxf>
      <font>
        <color rgb="FFFF0000"/>
      </font>
    </dxf>
    <dxf>
      <font>
        <color auto="1"/>
      </font>
    </dxf>
    <dxf>
      <font>
        <color rgb="FF00B050"/>
      </font>
    </dxf>
    <dxf>
      <font>
        <color rgb="FFFF0000"/>
      </font>
    </dxf>
    <dxf>
      <font>
        <color auto="1"/>
      </font>
    </dxf>
    <dxf>
      <font>
        <color rgb="FF00B050"/>
      </font>
    </dxf>
    <dxf>
      <font>
        <color rgb="FFFF0000"/>
      </font>
    </dxf>
    <dxf>
      <font>
        <color auto="1"/>
      </font>
    </dxf>
    <dxf>
      <font>
        <color rgb="FF00B050"/>
      </font>
    </dxf>
    <dxf>
      <font>
        <color rgb="FFFF0000"/>
      </font>
    </dxf>
    <dxf>
      <font>
        <color theme="1"/>
      </font>
    </dxf>
    <dxf>
      <font>
        <color rgb="FF00B050"/>
      </font>
    </dxf>
    <dxf>
      <font>
        <color rgb="FFFF0000"/>
      </font>
    </dxf>
    <dxf>
      <font>
        <color theme="1"/>
      </font>
    </dxf>
    <dxf>
      <font>
        <color rgb="FF00B050"/>
      </font>
    </dxf>
    <dxf>
      <font>
        <color rgb="FFFF0000"/>
      </font>
    </dxf>
    <dxf>
      <font>
        <color auto="1"/>
      </font>
    </dxf>
    <dxf>
      <font>
        <color rgb="FF00B050"/>
      </font>
    </dxf>
    <dxf>
      <font>
        <color rgb="FFFF0000"/>
      </font>
    </dxf>
    <dxf>
      <font>
        <color auto="1"/>
      </font>
    </dxf>
    <dxf>
      <font>
        <color rgb="FF00B050"/>
      </font>
    </dxf>
    <dxf>
      <font>
        <color rgb="FFFF0000"/>
      </font>
    </dxf>
    <dxf>
      <font>
        <color auto="1"/>
      </font>
    </dxf>
    <dxf>
      <font>
        <color rgb="FF00B050"/>
      </font>
    </dxf>
    <dxf>
      <font>
        <color rgb="FFFF0000"/>
      </font>
    </dxf>
    <dxf>
      <font>
        <color theme="1"/>
      </font>
    </dxf>
    <dxf>
      <font>
        <color rgb="FF00B050"/>
      </font>
    </dxf>
    <dxf>
      <font>
        <color rgb="FFFF0000"/>
      </font>
    </dxf>
    <dxf>
      <font>
        <color theme="1"/>
      </font>
    </dxf>
    <dxf>
      <font>
        <color rgb="FF00B050"/>
      </font>
    </dxf>
    <dxf>
      <font>
        <color rgb="FFFF0000"/>
      </font>
    </dxf>
    <dxf>
      <font>
        <color rgb="FF00B050"/>
      </font>
    </dxf>
    <dxf>
      <font>
        <color rgb="FFFF0000"/>
      </font>
    </dxf>
    <dxf>
      <font>
        <color auto="1"/>
      </font>
    </dxf>
    <dxf>
      <font>
        <color rgb="FF00B050"/>
      </font>
    </dxf>
    <dxf>
      <font>
        <color rgb="FFFF0000"/>
      </font>
    </dxf>
    <dxf>
      <font>
        <color auto="1"/>
      </font>
    </dxf>
    <dxf>
      <font>
        <color rgb="FF00B050"/>
      </font>
    </dxf>
    <dxf>
      <font>
        <color rgb="FFFF0000"/>
      </font>
    </dxf>
    <dxf>
      <font>
        <color auto="1"/>
      </font>
    </dxf>
    <dxf>
      <font>
        <color rgb="FF00B050"/>
      </font>
    </dxf>
    <dxf>
      <font>
        <color rgb="FFFF0000"/>
      </font>
    </dxf>
    <dxf>
      <font>
        <color theme="1"/>
      </font>
    </dxf>
    <dxf>
      <font>
        <color rgb="FF00B050"/>
      </font>
    </dxf>
    <dxf>
      <font>
        <color rgb="FFFF0000"/>
      </font>
    </dxf>
    <dxf>
      <font>
        <color rgb="FF00B050"/>
      </font>
    </dxf>
    <dxf>
      <font>
        <color rgb="FFFF0000"/>
      </font>
    </dxf>
    <dxf>
      <font>
        <color theme="1"/>
      </font>
    </dxf>
    <dxf>
      <font>
        <color rgb="FF00B050"/>
      </font>
    </dxf>
    <dxf>
      <font>
        <color rgb="FFFF0000"/>
      </font>
    </dxf>
    <dxf>
      <font>
        <color theme="1"/>
      </font>
    </dxf>
    <dxf>
      <font>
        <color rgb="FF00B050"/>
      </font>
    </dxf>
    <dxf>
      <font>
        <color rgb="FFFF0000"/>
      </font>
    </dxf>
    <dxf>
      <font>
        <color theme="1"/>
      </font>
    </dxf>
    <dxf>
      <font>
        <color rgb="FF00B050"/>
      </font>
    </dxf>
    <dxf>
      <font>
        <color rgb="FFFF0000"/>
      </font>
    </dxf>
    <dxf>
      <font>
        <color theme="1"/>
      </font>
    </dxf>
    <dxf>
      <font>
        <color rgb="FF00B050"/>
      </font>
    </dxf>
    <dxf>
      <font>
        <color rgb="FFFF0000"/>
      </font>
    </dxf>
    <dxf>
      <font>
        <color theme="1"/>
      </font>
    </dxf>
    <dxf>
      <font>
        <color rgb="FF00B050"/>
      </font>
    </dxf>
    <dxf>
      <font>
        <color rgb="FFFF0000"/>
      </font>
    </dxf>
    <dxf>
      <font>
        <color theme="1"/>
      </font>
    </dxf>
    <dxf>
      <font>
        <color theme="1"/>
      </font>
    </dxf>
    <dxf>
      <font>
        <color rgb="FFFF0000"/>
      </font>
    </dxf>
    <dxf>
      <font>
        <color rgb="FF00B050"/>
      </font>
    </dxf>
    <dxf>
      <font>
        <color rgb="FFFF0000"/>
      </font>
    </dxf>
    <dxf>
      <font>
        <color theme="1"/>
      </font>
    </dxf>
    <dxf>
      <font>
        <color rgb="FF00B050"/>
      </font>
    </dxf>
    <dxf>
      <font>
        <color rgb="FFFF0000"/>
      </font>
    </dxf>
    <dxf>
      <font>
        <color theme="1"/>
      </font>
    </dxf>
    <dxf>
      <font>
        <color rgb="FF00B050"/>
      </font>
    </dxf>
    <dxf>
      <font>
        <color rgb="FFFF0000"/>
      </font>
    </dxf>
  </dxfs>
  <tableStyles count="0" defaultTableStyle="TableStyleMedium2" defaultPivotStyle="PivotStyleLight16"/>
  <colors>
    <mruColors>
      <color rgb="FFCCCCFF"/>
      <color rgb="FF6600CC"/>
      <color rgb="FF9999FF"/>
      <color rgb="FF00CC00"/>
      <color rgb="FF4472C4"/>
      <color rgb="FF70AD47"/>
      <color rgb="FFFF99FF"/>
      <color rgb="FFFB63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10.xml><?xml version="1.0" encoding="utf-8"?>
<ax:ocx xmlns:ax="http://schemas.microsoft.com/office/2006/activeX" xmlns:r="http://schemas.openxmlformats.org/officeDocument/2006/relationships" ax:classid="{8BD21D10-EC42-11CE-9E0D-00AA006002F3}" ax:persistence="persistStreamInit" r:id="rId1"/>
</file>

<file path=xl/activeX/activeX11.xml><?xml version="1.0" encoding="utf-8"?>
<ax:ocx xmlns:ax="http://schemas.microsoft.com/office/2006/activeX" xmlns:r="http://schemas.openxmlformats.org/officeDocument/2006/relationships" ax:classid="{8BD21D10-EC42-11CE-9E0D-00AA006002F3}" ax:persistence="persistStreamInit" r:id="rId1"/>
</file>

<file path=xl/activeX/activeX12.xml><?xml version="1.0" encoding="utf-8"?>
<ax:ocx xmlns:ax="http://schemas.microsoft.com/office/2006/activeX" xmlns:r="http://schemas.openxmlformats.org/officeDocument/2006/relationships" ax:classid="{8BD21D10-EC42-11CE-9E0D-00AA006002F3}" ax:persistence="persistStreamInit" r:id="rId1"/>
</file>

<file path=xl/activeX/activeX13.xml><?xml version="1.0" encoding="utf-8"?>
<ax:ocx xmlns:ax="http://schemas.microsoft.com/office/2006/activeX" xmlns:r="http://schemas.openxmlformats.org/officeDocument/2006/relationships" ax:classid="{8BD21D10-EC42-11CE-9E0D-00AA006002F3}" ax:persistence="persistStreamInit" r:id="rId1"/>
</file>

<file path=xl/activeX/activeX14.xml><?xml version="1.0" encoding="utf-8"?>
<ax:ocx xmlns:ax="http://schemas.microsoft.com/office/2006/activeX" xmlns:r="http://schemas.openxmlformats.org/officeDocument/2006/relationships" ax:classid="{8BD21D10-EC42-11CE-9E0D-00AA006002F3}" ax:persistence="persistStreamInit" r:id="rId1"/>
</file>

<file path=xl/activeX/activeX15.xml><?xml version="1.0" encoding="utf-8"?>
<ax:ocx xmlns:ax="http://schemas.microsoft.com/office/2006/activeX" xmlns:r="http://schemas.openxmlformats.org/officeDocument/2006/relationships" ax:classid="{8BD21D10-EC42-11CE-9E0D-00AA006002F3}" ax:persistence="persistStreamInit" r:id="rId1"/>
</file>

<file path=xl/activeX/activeX16.xml><?xml version="1.0" encoding="utf-8"?>
<ax:ocx xmlns:ax="http://schemas.microsoft.com/office/2006/activeX" xmlns:r="http://schemas.openxmlformats.org/officeDocument/2006/relationships" ax:classid="{8BD21D10-EC42-11CE-9E0D-00AA006002F3}" ax:persistence="persistStreamInit" r:id="rId1"/>
</file>

<file path=xl/activeX/activeX17.xml><?xml version="1.0" encoding="utf-8"?>
<ax:ocx xmlns:ax="http://schemas.microsoft.com/office/2006/activeX" xmlns:r="http://schemas.openxmlformats.org/officeDocument/2006/relationships" ax:classid="{8BD21D10-EC42-11CE-9E0D-00AA006002F3}" ax:persistence="persistStreamInit" r:id="rId1"/>
</file>

<file path=xl/activeX/activeX18.xml><?xml version="1.0" encoding="utf-8"?>
<ax:ocx xmlns:ax="http://schemas.microsoft.com/office/2006/activeX" xmlns:r="http://schemas.openxmlformats.org/officeDocument/2006/relationships" ax:classid="{8BD21D10-EC42-11CE-9E0D-00AA006002F3}" ax:persistence="persistStreamInit" r:id="rId1"/>
</file>

<file path=xl/activeX/activeX19.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20.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activeX/activeX9.xml><?xml version="1.0" encoding="utf-8"?>
<ax:ocx xmlns:ax="http://schemas.microsoft.com/office/2006/activeX" xmlns:r="http://schemas.openxmlformats.org/officeDocument/2006/relationships" ax:classid="{8BD21D10-EC42-11CE-9E0D-00AA006002F3}" ax:persistence="persistStreamInit" r:id="rId1"/>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Ex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size">
        <cx:f>_xlchart.v1.2</cx:f>
      </cx:numDim>
    </cx:data>
    <cx:data id="1">
      <cx:strDim type="cat">
        <cx:f>_xlchart.v1.0</cx:f>
      </cx:strDim>
      <cx:numDim type="size">
        <cx:f>_xlchart.v1.4</cx:f>
      </cx:numDim>
    </cx:data>
  </cx:chartData>
  <cx:chart>
    <cx:plotArea>
      <cx:plotAreaRegion>
        <cx:series layoutId="treemap" uniqueId="{433CB522-12B5-4166-9B37-8D904232E200}" formatIdx="0">
          <cx:tx>
            <cx:txData>
              <cx:f>_xlchart.v1.1</cx:f>
              <cx:v>Budget Amount</cx:v>
            </cx:txData>
          </cx:tx>
          <cx:dataLabels pos="inEnd">
            <cx:visibility seriesName="0" categoryName="1" value="0"/>
          </cx:dataLabels>
          <cx:dataId val="0"/>
          <cx:layoutPr>
            <cx:parentLabelLayout val="overlapping"/>
          </cx:layoutPr>
        </cx:series>
        <cx:series layoutId="treemap" hidden="1" uniqueId="{1C414644-2308-473A-8127-81894944EEE2}" formatIdx="1">
          <cx:tx>
            <cx:txData>
              <cx:f>_xlchart.v1.3</cx:f>
              <cx:v>Percent</cx:v>
            </cx:txData>
          </cx:tx>
          <cx:dataLabels pos="inEnd">
            <cx:visibility seriesName="0" categoryName="1" value="0"/>
          </cx:dataLabels>
          <cx:dataId val="1"/>
          <cx:layoutPr>
            <cx:parentLabelLayout val="overlapping"/>
          </cx:layoutPr>
        </cx:series>
      </cx:plotAreaRegion>
    </cx:plotArea>
    <cx:legend pos="t" align="ctr" overlay="0"/>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_xlchart.v1.5</cx:f>
      </cx:strDim>
      <cx:numDim type="size">
        <cx:f>_xlchart.v1.6</cx:f>
      </cx:numDim>
    </cx:data>
  </cx:chartData>
  <cx:chart>
    <cx:title pos="t" align="ctr" overlay="0">
      <cx:tx>
        <cx:rich>
          <a:bodyPr rot="0" spcFirstLastPara="1" vertOverflow="ellipsis" vert="horz" wrap="square" lIns="38100" tIns="19050" rIns="38100" bIns="19050" anchor="ctr" anchorCtr="1" compatLnSpc="0"/>
          <a:lstStyle/>
          <a:p>
            <a:pPr algn="ctr" rtl="0">
              <a:defRPr sz="1400" b="1" i="0" u="none" strike="noStrike" kern="1200" cap="all" spc="50" baseline="0">
                <a:solidFill>
                  <a:sysClr val="windowText" lastClr="000000">
                    <a:lumMod val="65000"/>
                    <a:lumOff val="35000"/>
                  </a:sysClr>
                </a:solidFill>
                <a:latin typeface="+mn-lt"/>
                <a:ea typeface="+mn-ea"/>
                <a:cs typeface="+mn-cs"/>
              </a:defRPr>
            </a:pPr>
            <a:r>
              <a:rPr kumimoji="0" lang="en-US" sz="2000" b="1" i="0" u="none" strike="noStrike" kern="1200" cap="all" spc="50" normalizeH="0" baseline="0" noProof="0">
                <a:ln>
                  <a:noFill/>
                </a:ln>
                <a:solidFill>
                  <a:schemeClr val="bg1"/>
                </a:solidFill>
                <a:effectLst/>
                <a:uLnTx/>
                <a:uFillTx/>
                <a:latin typeface="Calibri" panose="020F0502020204030204" pitchFamily="34" charset="0"/>
                <a:cs typeface="Calibri" panose="020F0502020204030204" pitchFamily="34" charset="0"/>
              </a:rPr>
              <a:t>Williamson central appraisal district</a:t>
            </a:r>
          </a:p>
          <a:p>
            <a:pPr algn="ctr" rtl="0">
              <a:defRPr sz="1400" b="1" i="0" u="none" strike="noStrike" kern="1200" cap="all" spc="50" baseline="0">
                <a:solidFill>
                  <a:sysClr val="windowText" lastClr="000000">
                    <a:lumMod val="65000"/>
                    <a:lumOff val="35000"/>
                  </a:sysClr>
                </a:solidFill>
                <a:latin typeface="+mn-lt"/>
                <a:ea typeface="+mn-ea"/>
                <a:cs typeface="+mn-cs"/>
              </a:defRPr>
            </a:pPr>
            <a:r>
              <a:rPr kumimoji="0" lang="en-US" sz="2000" b="1" i="0" u="none" strike="noStrike" kern="1200" cap="all" spc="50" normalizeH="0" baseline="0" noProof="0">
                <a:ln>
                  <a:noFill/>
                </a:ln>
                <a:solidFill>
                  <a:schemeClr val="bg1"/>
                </a:solidFill>
                <a:effectLst/>
                <a:uLnTx/>
                <a:uFillTx/>
                <a:latin typeface="Calibri" panose="020F0502020204030204" pitchFamily="34" charset="0"/>
                <a:cs typeface="Calibri" panose="020F0502020204030204" pitchFamily="34" charset="0"/>
              </a:rPr>
              <a:t>2026 Budget Approved</a:t>
            </a:r>
          </a:p>
        </cx:rich>
      </cx:tx>
    </cx:title>
    <cx:plotArea>
      <cx:plotAreaRegion>
        <cx:series layoutId="treemap" uniqueId="{ED44D7D8-E5BC-40EC-8D3A-1FE4E07A0297}">
          <cx:dataLabels pos="inEnd">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visibility seriesName="0" categoryName="1" value="0"/>
            <cx:separator>, </cx:separator>
          </cx:dataLabels>
          <cx:dataId val="0"/>
          <cx:layoutPr>
            <cx:parentLabelLayout val="overlapping"/>
          </cx:layoutPr>
        </cx:series>
      </cx:plotAreaRegion>
    </cx:plotArea>
    <cx:legend pos="b" align="ctr" overlay="0">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legend>
  </cx:chart>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_xlchart.v1.7</cx:f>
      </cx:strDim>
      <cx:numDim type="size">
        <cx:f>_xlchart.v1.8</cx:f>
      </cx:numDim>
    </cx:data>
  </cx:chartData>
  <cx:chart>
    <cx:title pos="t" align="ctr" overlay="0">
      <cx:tx>
        <cx:rich>
          <a:bodyPr rot="0" spcFirstLastPara="1" vertOverflow="ellipsis" vert="horz" wrap="square" lIns="38100" tIns="19050" rIns="38100" bIns="19050" anchor="ctr" anchorCtr="1" compatLnSpc="0"/>
          <a:lstStyle/>
          <a:p>
            <a:pPr lvl="0" algn="ctr" rtl="0">
              <a:defRPr sz="2800" b="1" i="0" u="none" strike="noStrike" kern="1200" cap="all" baseline="0">
                <a:solidFill>
                  <a:schemeClr val="bg1"/>
                </a:solidFill>
                <a:latin typeface="+mn-lt"/>
                <a:ea typeface="+mn-ea"/>
                <a:cs typeface="+mn-cs"/>
              </a:defRPr>
            </a:pPr>
            <a:r>
              <a:rPr kumimoji="0" lang="en-US" sz="2000" b="1" i="0" u="none" strike="noStrike" kern="1200" cap="all" spc="0" normalizeH="0" baseline="0" noProof="0">
                <a:ln>
                  <a:noFill/>
                </a:ln>
                <a:solidFill>
                  <a:schemeClr val="bg1"/>
                </a:solidFill>
                <a:effectLst/>
                <a:uLnTx/>
                <a:uFillTx/>
                <a:latin typeface="Calibri" panose="020F0502020204030204"/>
              </a:rPr>
              <a:t>appraisal Review Board of Williamson Central Appraisal District</a:t>
            </a:r>
          </a:p>
          <a:p>
            <a:pPr lvl="0" algn="ctr" rtl="0">
              <a:defRPr sz="2800" b="1" i="0" u="none" strike="noStrike" kern="1200" cap="all" baseline="0">
                <a:solidFill>
                  <a:schemeClr val="bg1"/>
                </a:solidFill>
                <a:latin typeface="+mn-lt"/>
                <a:ea typeface="+mn-ea"/>
                <a:cs typeface="+mn-cs"/>
              </a:defRPr>
            </a:pPr>
            <a:r>
              <a:rPr kumimoji="0" lang="en-US" sz="2000" b="1" i="0" u="none" strike="noStrike" kern="1200" cap="all" spc="0" normalizeH="0" baseline="0" noProof="0">
                <a:ln>
                  <a:noFill/>
                </a:ln>
                <a:solidFill>
                  <a:schemeClr val="bg1"/>
                </a:solidFill>
                <a:effectLst/>
                <a:uLnTx/>
                <a:uFillTx/>
                <a:latin typeface="Calibri" panose="020F0502020204030204"/>
              </a:rPr>
              <a:t>2026 Budget Approved</a:t>
            </a:r>
          </a:p>
        </cx:rich>
      </cx:tx>
    </cx:title>
    <cx:plotArea>
      <cx:plotAreaRegion>
        <cx:series layoutId="treemap" uniqueId="{DE6E578A-9148-4F25-9804-F29797DE3283}">
          <cx:dataLabels pos="inEnd">
            <cx:txPr>
              <a:bodyPr spcFirstLastPara="1" vertOverflow="ellipsis" horzOverflow="overflow" wrap="square" lIns="0" tIns="0" rIns="0" bIns="0" anchor="ctr" anchorCtr="1"/>
              <a:lstStyle/>
              <a:p>
                <a:pPr algn="ctr" rtl="0">
                  <a:defRPr>
                    <a:solidFill>
                      <a:schemeClr val="bg1"/>
                    </a:solidFill>
                  </a:defRPr>
                </a:pPr>
                <a:endParaRPr lang="en-US" sz="1000" b="0" i="0" u="none" strike="noStrike" kern="1200" baseline="0">
                  <a:solidFill>
                    <a:schemeClr val="bg1"/>
                  </a:solidFill>
                  <a:latin typeface="Calibri" panose="020F0502020204030204"/>
                </a:endParaRPr>
              </a:p>
            </cx:txPr>
            <cx:visibility seriesName="0" categoryName="1" value="0"/>
          </cx:dataLabels>
          <cx:dataId val="0"/>
          <cx:layoutPr>
            <cx:parentLabelLayout val="overlapping"/>
          </cx:layoutPr>
        </cx:series>
      </cx:plotAreaRegion>
    </cx:plotArea>
    <cx:legend pos="b" align="ctr" overlay="0">
      <cx:txPr>
        <a:bodyPr vertOverflow="overflow" horzOverflow="overflow" wrap="square" lIns="0" tIns="0" rIns="0" bIns="0"/>
        <a:lstStyle/>
        <a:p>
          <a:pPr algn="ctr" rtl="0">
            <a:defRPr sz="900" b="0" i="0">
              <a:solidFill>
                <a:schemeClr val="bg1"/>
              </a:solidFill>
              <a:latin typeface="Calibri" panose="020F0502020204030204" pitchFamily="34" charset="0"/>
              <a:ea typeface="Calibri" panose="020F0502020204030204" pitchFamily="34" charset="0"/>
              <a:cs typeface="Calibri" panose="020F0502020204030204" pitchFamily="34" charset="0"/>
            </a:defRPr>
          </a:pPr>
          <a:endParaRPr lang="en-US">
            <a:solidFill>
              <a:schemeClr val="bg1"/>
            </a:solidFill>
          </a:endParaRPr>
        </a:p>
      </cx:txPr>
    </cx:legend>
  </cx:chart>
</cx: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415">
  <cs:axisTitle>
    <cs:lnRef idx="0"/>
    <cs:fillRef idx="0"/>
    <cs:effectRef idx="0"/>
    <cs:fontRef idx="minor">
      <a:schemeClr val="lt1">
        <a:lumMod val="95000"/>
      </a:schemeClr>
    </cs:fontRef>
    <cs:spPr>
      <a:solidFill>
        <a:schemeClr val="bg1">
          <a:lumMod val="65000"/>
        </a:schemeClr>
      </a:solidFill>
      <a:ln>
        <a:solidFill>
          <a:schemeClr val="tx1"/>
        </a:solidFill>
      </a:ln>
    </cs:spPr>
    <cs:defRPr sz="900"/>
  </cs:axisTitle>
  <cs:categoryAxis>
    <cs:lnRef idx="0"/>
    <cs:fillRef idx="0"/>
    <cs:effectRef idx="0"/>
    <cs:fontRef idx="minor">
      <a:schemeClr val="lt1">
        <a:lumMod val="95000"/>
      </a:schemeClr>
    </cs:fontRef>
    <cs:spPr>
      <a:ln w="12700" cap="flat" cmpd="sng" algn="ctr">
        <a:solidFill>
          <a:schemeClr val="lt1">
            <a:lumMod val="95000"/>
            <a:alpha val="54000"/>
          </a:schemeClr>
        </a:solidFill>
        <a:round/>
      </a:ln>
    </cs:spPr>
    <cs:defRPr sz="9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cs:chartArea>
  <cs:dataLabel>
    <cs:lnRef idx="0"/>
    <cs:fillRef idx="0"/>
    <cs:effectRef idx="0"/>
    <cs:fontRef idx="minor">
      <a:schemeClr val="lt1">
        <a:lumMod val="9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lt1"/>
    </cs:fontRef>
    <cs:spPr>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ln>
        <a:solidFill>
          <a:schemeClr val="tx1"/>
        </a:solidFill>
      </a:ln>
    </cs:spPr>
  </cs:dataPoint>
  <cs:dataPoint3D>
    <cs:lnRef idx="0"/>
    <cs:fillRef idx="0">
      <cs:styleClr val="auto"/>
    </cs:fillRef>
    <cs:effectRef idx="0"/>
    <cs:fontRef idx="minor">
      <a:schemeClr val="lt1"/>
    </cs:fontRef>
    <cs:spPr>
      <a:solidFill>
        <a:schemeClr val="phClr"/>
      </a:solidFill>
    </cs:spPr>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fillRef idx="0">
      <cs:styleClr val="auto"/>
    </cs:fillRef>
    <cs:effectRef idx="0"/>
    <cs:fontRef idx="minor">
      <a:schemeClr val="lt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lt1"/>
    </cs:fontRef>
    <cs:spPr>
      <a:ln w="28575" cap="rnd">
        <a:solidFill>
          <a:schemeClr val="phClr"/>
        </a:solidFill>
        <a:round/>
      </a:ln>
    </cs:spPr>
  </cs:dataPointWireframe>
  <cs:dataTable>
    <cs:lnRef idx="0"/>
    <cs:fillRef idx="0"/>
    <cs:effectRef idx="0"/>
    <cs:fontRef idx="minor">
      <a:schemeClr val="lt1">
        <a:lumMod val="95000"/>
      </a:schemeClr>
    </cs:fontRef>
    <cs:spPr>
      <a:ln w="9525">
        <a:solidFill>
          <a:schemeClr val="lt1">
            <a:lumMod val="95000"/>
            <a:alpha val="54000"/>
          </a:schemeClr>
        </a:solidFill>
      </a:ln>
    </cs:spPr>
    <cs:defRPr sz="9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10000"/>
            <a:lumOff val="10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95000"/>
      </a:schemeClr>
    </cs:fontRef>
    <cs:defRPr sz="9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95000"/>
      </a:schemeClr>
    </cs:fontRef>
    <cs:spPr>
      <a:ln w="12700" cap="flat" cmpd="sng" algn="ctr">
        <a:solidFill>
          <a:schemeClr val="lt1">
            <a:lumMod val="95000"/>
            <a:alpha val="54000"/>
          </a:schemeClr>
        </a:solidFill>
        <a:round/>
      </a:ln>
    </cs:spPr>
    <cs:defRPr sz="900"/>
  </cs:seriesAxis>
  <cs:seriesLine>
    <cs:lnRef idx="0"/>
    <cs:fillRef idx="0"/>
    <cs:effectRef idx="0"/>
    <cs:fontRef idx="minor">
      <a:schemeClr val="lt1"/>
    </cs:fontRef>
    <cs:spPr>
      <a:ln w="9525" cap="flat">
        <a:solidFill>
          <a:srgbClr val="D9D9D9"/>
        </a:solidFill>
        <a:round/>
      </a:ln>
    </cs:spPr>
  </cs:seriesLine>
  <cs:title>
    <cs:lnRef idx="0"/>
    <cs:fillRef idx="0"/>
    <cs:effectRef idx="0"/>
    <cs:fontRef idx="minor">
      <a:schemeClr val="lt1">
        <a:lumMod val="95000"/>
      </a:schemeClr>
    </cs:fontRef>
    <cs:defRPr sz="1600" b="1" spc="10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prstDash val="sysDash"/>
      </a:ln>
    </cs:spPr>
  </cs:trendline>
  <cs:trendlineLabel>
    <cs:lnRef idx="0"/>
    <cs:fillRef idx="0"/>
    <cs:effectRef idx="0"/>
    <cs:fontRef idx="minor">
      <a:schemeClr val="lt1">
        <a:lumMod val="95000"/>
      </a:schemeClr>
    </cs:fontRef>
    <cs:defRPr sz="9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95000"/>
      </a:schemeClr>
    </cs:fontRef>
    <cs:defRPr sz="9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415">
  <cs:axisTitle>
    <cs:lnRef idx="0"/>
    <cs:fillRef idx="0"/>
    <cs:effectRef idx="0"/>
    <cs:fontRef idx="minor">
      <a:schemeClr val="lt1">
        <a:lumMod val="95000"/>
      </a:schemeClr>
    </cs:fontRef>
    <cs:spPr>
      <a:solidFill>
        <a:schemeClr val="bg1">
          <a:lumMod val="65000"/>
        </a:schemeClr>
      </a:solidFill>
      <a:ln>
        <a:solidFill>
          <a:schemeClr val="tx1"/>
        </a:solidFill>
      </a:ln>
    </cs:spPr>
    <cs:defRPr sz="900"/>
  </cs:axisTitle>
  <cs:categoryAxis>
    <cs:lnRef idx="0"/>
    <cs:fillRef idx="0"/>
    <cs:effectRef idx="0"/>
    <cs:fontRef idx="minor">
      <a:schemeClr val="lt1">
        <a:lumMod val="95000"/>
      </a:schemeClr>
    </cs:fontRef>
    <cs:spPr>
      <a:ln w="12700" cap="flat" cmpd="sng" algn="ctr">
        <a:solidFill>
          <a:schemeClr val="lt1">
            <a:lumMod val="95000"/>
            <a:alpha val="54000"/>
          </a:schemeClr>
        </a:solidFill>
        <a:round/>
      </a:ln>
    </cs:spPr>
    <cs:defRPr sz="9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cs:chartArea>
  <cs:dataLabel>
    <cs:lnRef idx="0"/>
    <cs:fillRef idx="0"/>
    <cs:effectRef idx="0"/>
    <cs:fontRef idx="minor">
      <a:schemeClr val="lt1">
        <a:lumMod val="9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lt1"/>
    </cs:fontRef>
    <cs:spPr>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ln>
        <a:solidFill>
          <a:schemeClr val="tx1"/>
        </a:solidFill>
      </a:ln>
    </cs:spPr>
  </cs:dataPoint>
  <cs:dataPoint3D>
    <cs:lnRef idx="0"/>
    <cs:fillRef idx="0">
      <cs:styleClr val="auto"/>
    </cs:fillRef>
    <cs:effectRef idx="0"/>
    <cs:fontRef idx="minor">
      <a:schemeClr val="lt1"/>
    </cs:fontRef>
    <cs:spPr>
      <a:solidFill>
        <a:schemeClr val="phClr"/>
      </a:solidFill>
    </cs:spPr>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fillRef idx="0">
      <cs:styleClr val="auto"/>
    </cs:fillRef>
    <cs:effectRef idx="0"/>
    <cs:fontRef idx="minor">
      <a:schemeClr val="lt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lt1"/>
    </cs:fontRef>
    <cs:spPr>
      <a:ln w="28575" cap="rnd">
        <a:solidFill>
          <a:schemeClr val="phClr"/>
        </a:solidFill>
        <a:round/>
      </a:ln>
    </cs:spPr>
  </cs:dataPointWireframe>
  <cs:dataTable>
    <cs:lnRef idx="0"/>
    <cs:fillRef idx="0"/>
    <cs:effectRef idx="0"/>
    <cs:fontRef idx="minor">
      <a:schemeClr val="lt1">
        <a:lumMod val="95000"/>
      </a:schemeClr>
    </cs:fontRef>
    <cs:spPr>
      <a:ln w="9525">
        <a:solidFill>
          <a:schemeClr val="lt1">
            <a:lumMod val="95000"/>
            <a:alpha val="54000"/>
          </a:schemeClr>
        </a:solidFill>
      </a:ln>
    </cs:spPr>
    <cs:defRPr sz="9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10000"/>
            <a:lumOff val="10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95000"/>
      </a:schemeClr>
    </cs:fontRef>
    <cs:defRPr sz="9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95000"/>
      </a:schemeClr>
    </cs:fontRef>
    <cs:spPr>
      <a:ln w="12700" cap="flat" cmpd="sng" algn="ctr">
        <a:solidFill>
          <a:schemeClr val="lt1">
            <a:lumMod val="95000"/>
            <a:alpha val="54000"/>
          </a:schemeClr>
        </a:solidFill>
        <a:round/>
      </a:ln>
    </cs:spPr>
    <cs:defRPr sz="900"/>
  </cs:seriesAxis>
  <cs:seriesLine>
    <cs:lnRef idx="0"/>
    <cs:fillRef idx="0"/>
    <cs:effectRef idx="0"/>
    <cs:fontRef idx="minor">
      <a:schemeClr val="lt1"/>
    </cs:fontRef>
    <cs:spPr>
      <a:ln w="9525" cap="flat">
        <a:solidFill>
          <a:srgbClr val="D9D9D9"/>
        </a:solidFill>
        <a:round/>
      </a:ln>
    </cs:spPr>
  </cs:seriesLine>
  <cs:title>
    <cs:lnRef idx="0"/>
    <cs:fillRef idx="0"/>
    <cs:effectRef idx="0"/>
    <cs:fontRef idx="minor">
      <a:schemeClr val="lt1">
        <a:lumMod val="95000"/>
      </a:schemeClr>
    </cs:fontRef>
    <cs:defRPr sz="1600" b="1" spc="10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prstDash val="sysDash"/>
      </a:ln>
    </cs:spPr>
  </cs:trendline>
  <cs:trendlineLabel>
    <cs:lnRef idx="0"/>
    <cs:fillRef idx="0"/>
    <cs:effectRef idx="0"/>
    <cs:fontRef idx="minor">
      <a:schemeClr val="lt1">
        <a:lumMod val="95000"/>
      </a:schemeClr>
    </cs:fontRef>
    <cs:defRPr sz="9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95000"/>
      </a:schemeClr>
    </cs:fontRef>
    <cs:defRPr sz="9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14/relationships/chartEx" Target="../charts/chartEx1.xml"/><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microsoft.com/office/2014/relationships/chartEx" Target="../charts/chartEx3.xml"/><Relationship Id="rId1" Type="http://schemas.microsoft.com/office/2014/relationships/chartEx" Target="../charts/chartEx2.xml"/></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5.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6.v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_rels/vmlDrawing17.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8.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9.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20.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21.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image" Target="../media/image10.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8.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7.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92074</xdr:rowOff>
    </xdr:from>
    <xdr:to>
      <xdr:col>0</xdr:col>
      <xdr:colOff>1404938</xdr:colOff>
      <xdr:row>0</xdr:row>
      <xdr:rowOff>611188</xdr:rowOff>
    </xdr:to>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92074"/>
          <a:ext cx="1404938" cy="519114"/>
        </a:xfrm>
        <a:prstGeom prst="rect">
          <a:avLst/>
        </a:prstGeom>
        <a:noFill/>
      </xdr:spPr>
    </xdr:pic>
    <xdr:clientData fLocksWithSheet="0"/>
  </xdr:twoCellAnchor>
  <xdr:twoCellAnchor>
    <xdr:from>
      <xdr:col>6</xdr:col>
      <xdr:colOff>1084261</xdr:colOff>
      <xdr:row>0</xdr:row>
      <xdr:rowOff>47625</xdr:rowOff>
    </xdr:from>
    <xdr:to>
      <xdr:col>7</xdr:col>
      <xdr:colOff>674687</xdr:colOff>
      <xdr:row>0</xdr:row>
      <xdr:rowOff>609600</xdr:rowOff>
    </xdr:to>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xfrm>
          <a:off x="5084761" y="47625"/>
          <a:ext cx="677864" cy="561975"/>
        </a:xfrm>
        <a:prstGeom prst="rect">
          <a:avLst/>
        </a:prstGeom>
        <a:noFill/>
      </xdr:spPr>
    </xdr:pic>
    <xdr:clientData fLocksWithSheet="0"/>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xdr:col>
          <xdr:colOff>514350</xdr:colOff>
          <xdr:row>1</xdr:row>
          <xdr:rowOff>38100</xdr:rowOff>
        </xdr:to>
        <xdr:sp macro="" textlink="">
          <xdr:nvSpPr>
            <xdr:cNvPr id="139265" name="FILTER" hidden="1">
              <a:extLst>
                <a:ext uri="{63B3BB69-23CF-44E3-9099-C40C66FF867C}">
                  <a14:compatExt spid="_x0000_s139265"/>
                </a:ext>
                <a:ext uri="{FF2B5EF4-FFF2-40B4-BE49-F238E27FC236}">
                  <a16:creationId xmlns:a16="http://schemas.microsoft.com/office/drawing/2014/main" id="{00000000-0008-0000-0E00-0000012002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xdr:col>
          <xdr:colOff>514350</xdr:colOff>
          <xdr:row>1</xdr:row>
          <xdr:rowOff>38100</xdr:rowOff>
        </xdr:to>
        <xdr:sp macro="" textlink="">
          <xdr:nvSpPr>
            <xdr:cNvPr id="122883" name="FILTER" hidden="1">
              <a:extLst>
                <a:ext uri="{63B3BB69-23CF-44E3-9099-C40C66FF867C}">
                  <a14:compatExt spid="_x0000_s122883"/>
                </a:ext>
                <a:ext uri="{FF2B5EF4-FFF2-40B4-BE49-F238E27FC236}">
                  <a16:creationId xmlns:a16="http://schemas.microsoft.com/office/drawing/2014/main" id="{00000000-0008-0000-0F00-000003E0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xdr:col>
          <xdr:colOff>514350</xdr:colOff>
          <xdr:row>1</xdr:row>
          <xdr:rowOff>38100</xdr:rowOff>
        </xdr:to>
        <xdr:sp macro="" textlink="">
          <xdr:nvSpPr>
            <xdr:cNvPr id="123907" name="FILTER" hidden="1">
              <a:extLst>
                <a:ext uri="{63B3BB69-23CF-44E3-9099-C40C66FF867C}">
                  <a14:compatExt spid="_x0000_s123907"/>
                </a:ext>
                <a:ext uri="{FF2B5EF4-FFF2-40B4-BE49-F238E27FC236}">
                  <a16:creationId xmlns:a16="http://schemas.microsoft.com/office/drawing/2014/main" id="{00000000-0008-0000-1000-000003E4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xdr:col>
          <xdr:colOff>514350</xdr:colOff>
          <xdr:row>1</xdr:row>
          <xdr:rowOff>38100</xdr:rowOff>
        </xdr:to>
        <xdr:sp macro="" textlink="">
          <xdr:nvSpPr>
            <xdr:cNvPr id="109571" name="FILTER" hidden="1">
              <a:extLst>
                <a:ext uri="{63B3BB69-23CF-44E3-9099-C40C66FF867C}">
                  <a14:compatExt spid="_x0000_s109571"/>
                </a:ext>
                <a:ext uri="{FF2B5EF4-FFF2-40B4-BE49-F238E27FC236}">
                  <a16:creationId xmlns:a16="http://schemas.microsoft.com/office/drawing/2014/main" id="{00000000-0008-0000-1100-000003AC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xdr:col>
          <xdr:colOff>514350</xdr:colOff>
          <xdr:row>1</xdr:row>
          <xdr:rowOff>38100</xdr:rowOff>
        </xdr:to>
        <xdr:sp macro="" textlink="">
          <xdr:nvSpPr>
            <xdr:cNvPr id="110595" name="FILTER" hidden="1">
              <a:extLst>
                <a:ext uri="{63B3BB69-23CF-44E3-9099-C40C66FF867C}">
                  <a14:compatExt spid="_x0000_s110595"/>
                </a:ext>
                <a:ext uri="{FF2B5EF4-FFF2-40B4-BE49-F238E27FC236}">
                  <a16:creationId xmlns:a16="http://schemas.microsoft.com/office/drawing/2014/main" id="{00000000-0008-0000-1200-000003B0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xdr:col>
          <xdr:colOff>514350</xdr:colOff>
          <xdr:row>1</xdr:row>
          <xdr:rowOff>38100</xdr:rowOff>
        </xdr:to>
        <xdr:sp macro="" textlink="">
          <xdr:nvSpPr>
            <xdr:cNvPr id="108547" name="FILTER" hidden="1">
              <a:extLst>
                <a:ext uri="{63B3BB69-23CF-44E3-9099-C40C66FF867C}">
                  <a14:compatExt spid="_x0000_s108547"/>
                </a:ext>
                <a:ext uri="{FF2B5EF4-FFF2-40B4-BE49-F238E27FC236}">
                  <a16:creationId xmlns:a16="http://schemas.microsoft.com/office/drawing/2014/main" id="{00000000-0008-0000-1300-000003A8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xdr:col>
          <xdr:colOff>514350</xdr:colOff>
          <xdr:row>1</xdr:row>
          <xdr:rowOff>38100</xdr:rowOff>
        </xdr:to>
        <xdr:sp macro="" textlink="">
          <xdr:nvSpPr>
            <xdr:cNvPr id="111619" name="FILTER" hidden="1">
              <a:extLst>
                <a:ext uri="{63B3BB69-23CF-44E3-9099-C40C66FF867C}">
                  <a14:compatExt spid="_x0000_s111619"/>
                </a:ext>
                <a:ext uri="{FF2B5EF4-FFF2-40B4-BE49-F238E27FC236}">
                  <a16:creationId xmlns:a16="http://schemas.microsoft.com/office/drawing/2014/main" id="{00000000-0008-0000-1400-000003B4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xdr:col>
          <xdr:colOff>514350</xdr:colOff>
          <xdr:row>1</xdr:row>
          <xdr:rowOff>38100</xdr:rowOff>
        </xdr:to>
        <xdr:sp macro="" textlink="">
          <xdr:nvSpPr>
            <xdr:cNvPr id="124929" name="FILTER" hidden="1">
              <a:extLst>
                <a:ext uri="{63B3BB69-23CF-44E3-9099-C40C66FF867C}">
                  <a14:compatExt spid="_x0000_s124929"/>
                </a:ext>
                <a:ext uri="{FF2B5EF4-FFF2-40B4-BE49-F238E27FC236}">
                  <a16:creationId xmlns:a16="http://schemas.microsoft.com/office/drawing/2014/main" id="{00000000-0008-0000-1500-000001E8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xdr:col>
          <xdr:colOff>514350</xdr:colOff>
          <xdr:row>1</xdr:row>
          <xdr:rowOff>38100</xdr:rowOff>
        </xdr:to>
        <xdr:sp macro="" textlink="">
          <xdr:nvSpPr>
            <xdr:cNvPr id="124930" name="HEADER" hidden="1">
              <a:extLst>
                <a:ext uri="{63B3BB69-23CF-44E3-9099-C40C66FF867C}">
                  <a14:compatExt spid="_x0000_s124930"/>
                </a:ext>
                <a:ext uri="{FF2B5EF4-FFF2-40B4-BE49-F238E27FC236}">
                  <a16:creationId xmlns:a16="http://schemas.microsoft.com/office/drawing/2014/main" id="{00000000-0008-0000-1500-000002E8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xdr:col>
          <xdr:colOff>514350</xdr:colOff>
          <xdr:row>1</xdr:row>
          <xdr:rowOff>38100</xdr:rowOff>
        </xdr:to>
        <xdr:sp macro="" textlink="">
          <xdr:nvSpPr>
            <xdr:cNvPr id="112643" name="FILTER" hidden="1">
              <a:extLst>
                <a:ext uri="{63B3BB69-23CF-44E3-9099-C40C66FF867C}">
                  <a14:compatExt spid="_x0000_s112643"/>
                </a:ext>
                <a:ext uri="{FF2B5EF4-FFF2-40B4-BE49-F238E27FC236}">
                  <a16:creationId xmlns:a16="http://schemas.microsoft.com/office/drawing/2014/main" id="{00000000-0008-0000-1600-000003B8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xdr:col>
          <xdr:colOff>514350</xdr:colOff>
          <xdr:row>1</xdr:row>
          <xdr:rowOff>38100</xdr:rowOff>
        </xdr:to>
        <xdr:sp macro="" textlink="">
          <xdr:nvSpPr>
            <xdr:cNvPr id="113667" name="FILTER" hidden="1">
              <a:extLst>
                <a:ext uri="{63B3BB69-23CF-44E3-9099-C40C66FF867C}">
                  <a14:compatExt spid="_x0000_s113667"/>
                </a:ext>
                <a:ext uri="{FF2B5EF4-FFF2-40B4-BE49-F238E27FC236}">
                  <a16:creationId xmlns:a16="http://schemas.microsoft.com/office/drawing/2014/main" id="{00000000-0008-0000-1700-000003BC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20708</xdr:colOff>
      <xdr:row>0</xdr:row>
      <xdr:rowOff>0</xdr:rowOff>
    </xdr:from>
    <xdr:to>
      <xdr:col>1</xdr:col>
      <xdr:colOff>28577</xdr:colOff>
      <xdr:row>1</xdr:row>
      <xdr:rowOff>9524</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20708" y="0"/>
          <a:ext cx="3208268" cy="619125"/>
        </a:xfrm>
        <a:prstGeom prst="rect">
          <a:avLst/>
        </a:prstGeom>
      </xdr:spPr>
    </xdr:pic>
    <xdr:clientData/>
  </xdr:twoCellAnchor>
  <xdr:twoCellAnchor>
    <xdr:from>
      <xdr:col>18</xdr:col>
      <xdr:colOff>114299</xdr:colOff>
      <xdr:row>14</xdr:row>
      <xdr:rowOff>80959</xdr:rowOff>
    </xdr:from>
    <xdr:to>
      <xdr:col>26</xdr:col>
      <xdr:colOff>152400</xdr:colOff>
      <xdr:row>41</xdr:row>
      <xdr:rowOff>104775</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AC876025-4068-4AD8-01A1-5C83BB933C55}"/>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17792699" y="3567109"/>
              <a:ext cx="6667501" cy="5224466"/>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xdr:col>
          <xdr:colOff>514350</xdr:colOff>
          <xdr:row>1</xdr:row>
          <xdr:rowOff>38100</xdr:rowOff>
        </xdr:to>
        <xdr:sp macro="" textlink="">
          <xdr:nvSpPr>
            <xdr:cNvPr id="114691" name="FILTER" hidden="1">
              <a:extLst>
                <a:ext uri="{63B3BB69-23CF-44E3-9099-C40C66FF867C}">
                  <a14:compatExt spid="_x0000_s114691"/>
                </a:ext>
                <a:ext uri="{FF2B5EF4-FFF2-40B4-BE49-F238E27FC236}">
                  <a16:creationId xmlns:a16="http://schemas.microsoft.com/office/drawing/2014/main" id="{00000000-0008-0000-1900-000003C0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xdr:col>
          <xdr:colOff>514350</xdr:colOff>
          <xdr:row>1</xdr:row>
          <xdr:rowOff>38100</xdr:rowOff>
        </xdr:to>
        <xdr:sp macro="" textlink="">
          <xdr:nvSpPr>
            <xdr:cNvPr id="115715" name="FILTER" hidden="1">
              <a:extLst>
                <a:ext uri="{63B3BB69-23CF-44E3-9099-C40C66FF867C}">
                  <a14:compatExt spid="_x0000_s115715"/>
                </a:ext>
                <a:ext uri="{FF2B5EF4-FFF2-40B4-BE49-F238E27FC236}">
                  <a16:creationId xmlns:a16="http://schemas.microsoft.com/office/drawing/2014/main" id="{00000000-0008-0000-1A00-000003C4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xdr:col>
          <xdr:colOff>514350</xdr:colOff>
          <xdr:row>1</xdr:row>
          <xdr:rowOff>38100</xdr:rowOff>
        </xdr:to>
        <xdr:sp macro="" textlink="">
          <xdr:nvSpPr>
            <xdr:cNvPr id="116739" name="FILTER" hidden="1">
              <a:extLst>
                <a:ext uri="{63B3BB69-23CF-44E3-9099-C40C66FF867C}">
                  <a14:compatExt spid="_x0000_s116739"/>
                </a:ext>
                <a:ext uri="{FF2B5EF4-FFF2-40B4-BE49-F238E27FC236}">
                  <a16:creationId xmlns:a16="http://schemas.microsoft.com/office/drawing/2014/main" id="{00000000-0008-0000-1B00-000003C8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xdr:col>
          <xdr:colOff>514350</xdr:colOff>
          <xdr:row>1</xdr:row>
          <xdr:rowOff>38100</xdr:rowOff>
        </xdr:to>
        <xdr:sp macro="" textlink="">
          <xdr:nvSpPr>
            <xdr:cNvPr id="117761" name="FILTER" hidden="1">
              <a:extLst>
                <a:ext uri="{63B3BB69-23CF-44E3-9099-C40C66FF867C}">
                  <a14:compatExt spid="_x0000_s117761"/>
                </a:ext>
                <a:ext uri="{FF2B5EF4-FFF2-40B4-BE49-F238E27FC236}">
                  <a16:creationId xmlns:a16="http://schemas.microsoft.com/office/drawing/2014/main" id="{00000000-0008-0000-2100-000001CC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xdr:col>
          <xdr:colOff>514350</xdr:colOff>
          <xdr:row>1</xdr:row>
          <xdr:rowOff>38100</xdr:rowOff>
        </xdr:to>
        <xdr:sp macro="" textlink="">
          <xdr:nvSpPr>
            <xdr:cNvPr id="117762" name="HEADER" hidden="1">
              <a:extLst>
                <a:ext uri="{63B3BB69-23CF-44E3-9099-C40C66FF867C}">
                  <a14:compatExt spid="_x0000_s117762"/>
                </a:ext>
                <a:ext uri="{FF2B5EF4-FFF2-40B4-BE49-F238E27FC236}">
                  <a16:creationId xmlns:a16="http://schemas.microsoft.com/office/drawing/2014/main" id="{00000000-0008-0000-2100-000002CC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533400</xdr:colOff>
      <xdr:row>1</xdr:row>
      <xdr:rowOff>38100</xdr:rowOff>
    </xdr:to>
    <xdr:sp macro="" textlink="">
      <xdr:nvSpPr>
        <xdr:cNvPr id="98305" name="FILTER" hidden="1">
          <a:extLst>
            <a:ext uri="{63B3BB69-23CF-44E3-9099-C40C66FF867C}">
              <a14:compatExt xmlns:a14="http://schemas.microsoft.com/office/drawing/2010/main" spid="_x0000_s98305"/>
            </a:ext>
            <a:ext uri="{FF2B5EF4-FFF2-40B4-BE49-F238E27FC236}">
              <a16:creationId xmlns:a16="http://schemas.microsoft.com/office/drawing/2014/main" id="{00000000-0008-0000-2700-0000018001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2</xdr:col>
      <xdr:colOff>533400</xdr:colOff>
      <xdr:row>1</xdr:row>
      <xdr:rowOff>38100</xdr:rowOff>
    </xdr:to>
    <xdr:sp macro="" textlink="">
      <xdr:nvSpPr>
        <xdr:cNvPr id="98306" name="HEADER" hidden="1">
          <a:extLst>
            <a:ext uri="{63B3BB69-23CF-44E3-9099-C40C66FF867C}">
              <a14:compatExt xmlns:a14="http://schemas.microsoft.com/office/drawing/2010/main" spid="_x0000_s98306"/>
            </a:ext>
            <a:ext uri="{FF2B5EF4-FFF2-40B4-BE49-F238E27FC236}">
              <a16:creationId xmlns:a16="http://schemas.microsoft.com/office/drawing/2014/main" id="{00000000-0008-0000-2700-0000028001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9</xdr:col>
      <xdr:colOff>142875</xdr:colOff>
      <xdr:row>44</xdr:row>
      <xdr:rowOff>161925</xdr:rowOff>
    </xdr:to>
    <xdr:sp macro="" textlink="">
      <xdr:nvSpPr>
        <xdr:cNvPr id="2106" name="Text Box 58" hidden="1">
          <a:extLst>
            <a:ext uri="{FF2B5EF4-FFF2-40B4-BE49-F238E27FC236}">
              <a16:creationId xmlns:a16="http://schemas.microsoft.com/office/drawing/2014/main" id="{00000000-0008-0000-0C00-00003A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10</xdr:col>
      <xdr:colOff>295275</xdr:colOff>
      <xdr:row>44</xdr:row>
      <xdr:rowOff>142875</xdr:rowOff>
    </xdr:to>
    <xdr:sp macro="" textlink="">
      <xdr:nvSpPr>
        <xdr:cNvPr id="1032" name="Text Box 8" hidden="1">
          <a:extLst>
            <a:ext uri="{FF2B5EF4-FFF2-40B4-BE49-F238E27FC236}">
              <a16:creationId xmlns:a16="http://schemas.microsoft.com/office/drawing/2014/main" id="{00000000-0008-0000-0D00-00000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19050</xdr:colOff>
      <xdr:row>14</xdr:row>
      <xdr:rowOff>9524</xdr:rowOff>
    </xdr:from>
    <xdr:to>
      <xdr:col>7</xdr:col>
      <xdr:colOff>647700</xdr:colOff>
      <xdr:row>45</xdr:row>
      <xdr:rowOff>161925</xdr:rowOff>
    </xdr:to>
    <mc:AlternateContent xmlns:mc="http://schemas.openxmlformats.org/markup-compatibility/2006">
      <mc:Choice xmlns:cx1="http://schemas.microsoft.com/office/drawing/2015/9/8/chartex" Requires="cx1">
        <xdr:graphicFrame macro="">
          <xdr:nvGraphicFramePr>
            <xdr:cNvPr id="2" name="Chart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19050" y="3105149"/>
              <a:ext cx="6572250" cy="6057901"/>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fLocksWithSheet="0"/>
  </xdr:twoCellAnchor>
  <xdr:twoCellAnchor>
    <xdr:from>
      <xdr:col>8</xdr:col>
      <xdr:colOff>57150</xdr:colOff>
      <xdr:row>14</xdr:row>
      <xdr:rowOff>19050</xdr:rowOff>
    </xdr:from>
    <xdr:to>
      <xdr:col>17</xdr:col>
      <xdr:colOff>800100</xdr:colOff>
      <xdr:row>45</xdr:row>
      <xdr:rowOff>133349</xdr:rowOff>
    </xdr:to>
    <mc:AlternateContent xmlns:mc="http://schemas.openxmlformats.org/markup-compatibility/2006">
      <mc:Choice xmlns:cx1="http://schemas.microsoft.com/office/drawing/2015/9/8/chartex" Requires="cx1">
        <xdr:graphicFrame macro="">
          <xdr:nvGraphicFramePr>
            <xdr:cNvPr id="3" name="Chart 2">
              <a:extLst>
                <a:ext uri="{FF2B5EF4-FFF2-40B4-BE49-F238E27FC236}">
                  <a16:creationId xmlns:a16="http://schemas.microsoft.com/office/drawing/2014/main" id="{00000000-0008-0000-0E00-00000300000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6715125" y="3114675"/>
              <a:ext cx="6562725" cy="6019799"/>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fLocksWithSheet="0"/>
  </xdr:twoCellAnchor>
  <xdr:twoCellAnchor editAs="oneCell">
    <xdr:from>
      <xdr:col>1</xdr:col>
      <xdr:colOff>877439</xdr:colOff>
      <xdr:row>0</xdr:row>
      <xdr:rowOff>47625</xdr:rowOff>
    </xdr:from>
    <xdr:to>
      <xdr:col>6</xdr:col>
      <xdr:colOff>138249</xdr:colOff>
      <xdr:row>4</xdr:row>
      <xdr:rowOff>62591</xdr:rowOff>
    </xdr:to>
    <xdr:pic>
      <xdr:nvPicPr>
        <xdr:cNvPr id="7" name="Picture 6">
          <a:extLst>
            <a:ext uri="{FF2B5EF4-FFF2-40B4-BE49-F238E27FC236}">
              <a16:creationId xmlns:a16="http://schemas.microsoft.com/office/drawing/2014/main" id="{00000000-0008-0000-0E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477514" y="47625"/>
          <a:ext cx="3730758" cy="914400"/>
        </a:xfrm>
        <a:prstGeom prst="rect">
          <a:avLst/>
        </a:prstGeom>
      </xdr:spPr>
    </xdr:pic>
    <xdr:clientData/>
  </xdr:twoCellAnchor>
  <xdr:twoCellAnchor editAs="oneCell">
    <xdr:from>
      <xdr:col>10</xdr:col>
      <xdr:colOff>190500</xdr:colOff>
      <xdr:row>0</xdr:row>
      <xdr:rowOff>76200</xdr:rowOff>
    </xdr:from>
    <xdr:to>
      <xdr:col>15</xdr:col>
      <xdr:colOff>482731</xdr:colOff>
      <xdr:row>4</xdr:row>
      <xdr:rowOff>93890</xdr:rowOff>
    </xdr:to>
    <xdr:pic>
      <xdr:nvPicPr>
        <xdr:cNvPr id="9" name="Picture 8">
          <a:extLst>
            <a:ext uri="{FF2B5EF4-FFF2-40B4-BE49-F238E27FC236}">
              <a16:creationId xmlns:a16="http://schemas.microsoft.com/office/drawing/2014/main" id="{00000000-0008-0000-0E00-000009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201025" y="76200"/>
          <a:ext cx="3730758" cy="9144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1123951</xdr:colOff>
      <xdr:row>0</xdr:row>
      <xdr:rowOff>38101</xdr:rowOff>
    </xdr:from>
    <xdr:to>
      <xdr:col>3</xdr:col>
      <xdr:colOff>177275</xdr:colOff>
      <xdr:row>3</xdr:row>
      <xdr:rowOff>291467</xdr:rowOff>
    </xdr:to>
    <xdr:pic>
      <xdr:nvPicPr>
        <xdr:cNvPr id="3" name="Picture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1"/>
        <a:stretch>
          <a:fillRect/>
        </a:stretch>
      </xdr:blipFill>
      <xdr:spPr>
        <a:xfrm>
          <a:off x="1123951" y="38101"/>
          <a:ext cx="3428999" cy="83167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xdr:col>
          <xdr:colOff>514350</xdr:colOff>
          <xdr:row>1</xdr:row>
          <xdr:rowOff>38100</xdr:rowOff>
        </xdr:to>
        <xdr:sp macro="" textlink="">
          <xdr:nvSpPr>
            <xdr:cNvPr id="105475" name="FILTER" hidden="1">
              <a:extLst>
                <a:ext uri="{63B3BB69-23CF-44E3-9099-C40C66FF867C}">
                  <a14:compatExt spid="_x0000_s105475"/>
                </a:ext>
                <a:ext uri="{FF2B5EF4-FFF2-40B4-BE49-F238E27FC236}">
                  <a16:creationId xmlns:a16="http://schemas.microsoft.com/office/drawing/2014/main" id="{00000000-0008-0000-0B00-0000039C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xdr:col>
          <xdr:colOff>514350</xdr:colOff>
          <xdr:row>1</xdr:row>
          <xdr:rowOff>38100</xdr:rowOff>
        </xdr:to>
        <xdr:sp macro="" textlink="">
          <xdr:nvSpPr>
            <xdr:cNvPr id="106499" name="FILTER" hidden="1">
              <a:extLst>
                <a:ext uri="{63B3BB69-23CF-44E3-9099-C40C66FF867C}">
                  <a14:compatExt spid="_x0000_s106499"/>
                </a:ext>
                <a:ext uri="{FF2B5EF4-FFF2-40B4-BE49-F238E27FC236}">
                  <a16:creationId xmlns:a16="http://schemas.microsoft.com/office/drawing/2014/main" id="{00000000-0008-0000-0C00-000003A0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xdr:col>
          <xdr:colOff>514350</xdr:colOff>
          <xdr:row>1</xdr:row>
          <xdr:rowOff>38100</xdr:rowOff>
        </xdr:to>
        <xdr:sp macro="" textlink="">
          <xdr:nvSpPr>
            <xdr:cNvPr id="107521" name="FILTER" hidden="1">
              <a:extLst>
                <a:ext uri="{63B3BB69-23CF-44E3-9099-C40C66FF867C}">
                  <a14:compatExt spid="_x0000_s107521"/>
                </a:ext>
                <a:ext uri="{FF2B5EF4-FFF2-40B4-BE49-F238E27FC236}">
                  <a16:creationId xmlns:a16="http://schemas.microsoft.com/office/drawing/2014/main" id="{00000000-0008-0000-0D00-000001A4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xdr:col>
          <xdr:colOff>514350</xdr:colOff>
          <xdr:row>1</xdr:row>
          <xdr:rowOff>38100</xdr:rowOff>
        </xdr:to>
        <xdr:sp macro="" textlink="">
          <xdr:nvSpPr>
            <xdr:cNvPr id="107522" name="HEADER" hidden="1">
              <a:extLst>
                <a:ext uri="{63B3BB69-23CF-44E3-9099-C40C66FF867C}">
                  <a14:compatExt spid="_x0000_s107522"/>
                </a:ext>
                <a:ext uri="{FF2B5EF4-FFF2-40B4-BE49-F238E27FC236}">
                  <a16:creationId xmlns:a16="http://schemas.microsoft.com/office/drawing/2014/main" id="{00000000-0008-0000-0D00-000002A4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Kimberly Gamboa" id="{C2C51652-F7FA-4E0E-B7E1-4A4ED2DE50FE}" userId="Kimberly Gamboa" providerId="None"/>
  <person displayName="James Griner" id="{8CA3D4D4-945E-4C28-9F2B-99F33AEAA343}" userId="S::JamesG@wcad.org::e6cc2209-d717-4675-aea0-a2221fb136f3" providerId="AD"/>
  <person displayName="Alvin Lankford" id="{08A89809-0D34-4227-B502-C5A06E8C70BE}" userId="S::alvinl@wcad.org::173dae8c-e0e3-4c9d-b06f-67bbb21f473c" providerId="AD"/>
  <person displayName="KC McDade" id="{22ADAB35-ECD5-4919-8A90-8DD0B673EA9B}" userId="S::kmcdade@wcad.org::93d936a5-b8ff-4feb-8c37-51444b733c99" providerId="AD"/>
  <person displayName="Kimberly Gamboa" id="{DC5CE654-CDFA-40FD-B9C0-DA66A4AA5089}" userId="S::KimberlyG@wcad.org::e975d544-fa84-4f46-9943-82bc966eda33" providerId="AD"/>
  <person displayName="Kimberly Gamboa" id="{9BE2616E-1F2E-4CAF-806D-39CC909037DE}" userId="S::kimberlyg@wcad.org::e975d544-fa84-4f46-9943-82bc966eda33"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5" personId="{C2C51652-F7FA-4E0E-B7E1-4A4ED2DE50FE}" id="{A67ABA32-1B6F-43CF-B617-840F0FE0227D}">
    <text>we actually di 50% - 5.15.18</text>
  </threadedComment>
</ThreadedComments>
</file>

<file path=xl/threadedComments/threadedComment2.xml><?xml version="1.0" encoding="utf-8"?>
<ThreadedComments xmlns="http://schemas.microsoft.com/office/spreadsheetml/2018/threadedcomments" xmlns:x="http://schemas.openxmlformats.org/spreadsheetml/2006/main">
  <threadedComment ref="E5" personId="{C2C51652-F7FA-4E0E-B7E1-4A4ED2DE50FE}" id="{EFED5C70-84C2-4E9A-9250-CC4C77461078}">
    <text>we actually di 50% - 5.15.18</text>
  </threadedComment>
</ThreadedComments>
</file>

<file path=xl/threadedComments/threadedComment3.xml><?xml version="1.0" encoding="utf-8"?>
<ThreadedComments xmlns="http://schemas.microsoft.com/office/spreadsheetml/2018/threadedcomments" xmlns:x="http://schemas.openxmlformats.org/spreadsheetml/2006/main">
  <threadedComment ref="E5" personId="{C2C51652-F7FA-4E0E-B7E1-4A4ED2DE50FE}" id="{205689E8-F8BC-4E51-9D4E-B3EA08C5AE29}">
    <text>we actually did 50% - 5.15.18</text>
  </threadedComment>
  <threadedComment ref="B50" dT="2025-03-07T20:33:16.38" personId="{DC5CE654-CDFA-40FD-B9C0-DA66A4AA5089}" id="{942E4E50-4EB5-492C-9EE4-A817B8FE26BD}">
    <text>(Salary + Merit + OT + Longevity)*.97 (usage)</text>
  </threadedComment>
  <threadedComment ref="B61" dT="2025-03-07T20:34:01.74" personId="{DC5CE654-CDFA-40FD-B9C0-DA66A4AA5089}" id="{6411EE61-5B86-4464-9A55-5458E71C5E33}">
    <text>(19.00% + .10% = 19.10%)</text>
  </threadedComment>
</ThreadedComments>
</file>

<file path=xl/threadedComments/threadedComment4.xml><?xml version="1.0" encoding="utf-8"?>
<ThreadedComments xmlns="http://schemas.microsoft.com/office/spreadsheetml/2018/threadedcomments" xmlns:x="http://schemas.openxmlformats.org/spreadsheetml/2006/main">
  <threadedComment ref="D22" personId="{00000000-0000-0000-0000-000000000000}" id="{4267E100-BBF5-4906-9CE6-14DD50C5C310}">
    <text>KC McDade:
difference between RRR &amp; reg certified letters is RRR gets a piece of paper w/ signature of person to received mail. Non RRR just gets scan from PO stating delivery was made.</text>
  </threadedComment>
  <threadedComment ref="D31" personId="{00000000-0000-0000-0000-000000000000}" id="{839EAE55-98AF-42C1-9537-AFACD38828A9}">
    <text>kimg: 2023 prices
BRM Permit #74000 - $275
BRM Permit #74001 - $825</text>
  </threadedComment>
  <threadedComment ref="H64" dT="2019-03-08T20:57:09.67" personId="{9BE2616E-1F2E-4CAF-806D-39CC909037DE}" id="{DEAB302B-D4E8-429D-BB59-9B61019F70DC}">
    <text xml:space="preserve">Formula = actual divided by 12...round up to whole dollars.
</text>
  </threadedComment>
  <threadedComment ref="F94" personId="{00000000-0000-0000-0000-000000000000}" id="{4FECB316-867D-4C57-94F0-EF2CD47411D7}">
    <text>contribute to the cost of lunch, shirts, or supplies for williamson county gis day.
	-kmcdade</text>
  </threadedComment>
  <threadedComment ref="D103" dT="2020-03-02T15:07:12.52" personId="{DC5CE654-CDFA-40FD-B9C0-DA66A4AA5089}" id="{74AC8F4F-3C82-4C53-92CC-A88F04527272}">
    <text xml:space="preserve">$240 - membership
$170 for 1st designations
$85 for 2bd designations
$80 for candidacy fees
</text>
  </threadedComment>
  <threadedComment ref="E103" dT="2024-01-30T17:06:02.31" personId="{DC5CE654-CDFA-40FD-B9C0-DA66A4AA5089}" id="{68258B95-98C2-44FB-849C-1F91AEC100DC}">
    <text>JGriner - CAE candidacy
AMoore - CAE, AAS candidacy
StephanieHD
JRobins - RES
RQuinlan
VLongstreth - Candidacy RES
VBrumley
AJones
HHayden
RMata
CRMeyer
AMetcalfe
BMorrison
CLindquist
WHuntsberger
AAhmad
SGregory
LSarmiento</text>
  </threadedComment>
  <threadedComment ref="F103" personId="{00000000-0000-0000-0000-000000000000}" id="{E0A5C348-AB33-418C-97EA-77BBFE253D11}">
    <text>Kimberly Gamboa:
AUrbanek - CMS Candidacy
JMiller
ABayler - RES Candidacy
MLopez
LLippe</text>
  </threadedComment>
  <threadedComment ref="G103" personId="{00000000-0000-0000-0000-000000000000}" id="{B3A8570F-C9FA-4FC7-A966-2CDDD3CFA97F}">
    <text>Kimberly Gamboa:
ALankford - CAE, AAS
CConnelly - CAE, AAS</text>
  </threadedComment>
  <threadedComment ref="I103" personId="{00000000-0000-0000-0000-000000000000}" id="{848B4758-2734-43CD-A3CD-0A227FADC0D7}">
    <text>Registration fee = $225 / each
Designation fee = $170 / each
2nd Designation fee = $85 / each
Designation pending = $80 / each
Application fee = $50 / each</text>
  </threadedComment>
  <threadedComment ref="D109" personId="{C2C51652-F7FA-4E0E-B7E1-4A4ED2DE50FE}" id="{DBCECB29-D855-4FC0-A93A-426282539623}">
    <text xml:space="preserve">Membership fees to:
Amazon Prime (add to 2021) $499
IAAO - $200
Nectar - $4,000
Sam's Club $100
SHRM - $220
TASB - $500
Texas Co-op Purchasing $100
</text>
  </threadedComment>
  <threadedComment ref="G112" personId="{00000000-0000-0000-0000-000000000000}" id="{205540D3-3F51-4EBF-BA66-D85E3BEEDB14}">
    <text>Kimberly Gamboa:
Renewals 2025:
LyzJ
MiriamM
ChristineB
CandaceP</text>
  </threadedComment>
  <threadedComment ref="E115" dT="2020-03-02T15:34:15.04" personId="{DC5CE654-CDFA-40FD-B9C0-DA66A4AA5089}" id="{35711A77-29E8-4EED-A11E-BE5E1BC288BF}">
    <text xml:space="preserve">Dues:
A Bayler
J Griner
S Heatley-Dugger
V Longstreth
A Moore
R Quinlan
J Robins
C Vasquez
V Brumley
H Hayden
W Huntsberger
A Jones
C Lindquist
R Mata
A Metcalfe
C R Meyer
B Morrison
</text>
  </threadedComment>
  <threadedComment ref="F115" dT="2020-03-02T15:35:05.21" personId="{DC5CE654-CDFA-40FD-B9C0-DA66A4AA5089}" id="{D6A8F53C-2142-4808-84D1-8E837B3C73EE}">
    <text xml:space="preserve">Dues:
KC McDade
J Miller
J Radke
A Urbanek
</text>
  </threadedComment>
  <threadedComment ref="G115" dT="2020-03-02T15:35:37.79" personId="{DC5CE654-CDFA-40FD-B9C0-DA66A4AA5089}" id="{D61F4279-4D4D-444D-B478-345B64B36166}">
    <text xml:space="preserve">Dues:
C Connelly
A Lankford
</text>
  </threadedComment>
  <threadedComment ref="E122" personId="{00000000-0000-0000-0000-000000000000}" id="{37D0E4F1-68F9-4642-9647-78F2A59A2DDA}">
    <text>Kimberly Gamboa:
Membership:
A Bayler
R Quinlan
J Griner
A Moore</text>
  </threadedComment>
  <threadedComment ref="F122" personId="{00000000-0000-0000-0000-000000000000}" id="{13D412C3-2B58-4F1A-8ACF-39D1A9770D1C}">
    <text>Kimberly Gamboa:
Membership:
KCMcDade
J Miller</text>
  </threadedComment>
  <threadedComment ref="G122" personId="{00000000-0000-0000-0000-000000000000}" id="{89C854BC-57C7-46B7-95E4-07EF81B1FF70}">
    <text>Kimberly Gamboa:
Membership:
ALankford
CConnelly</text>
  </threadedComment>
  <threadedComment ref="E125" dT="2021-03-15T16:19:08.10" personId="{DC5CE654-CDFA-40FD-B9C0-DA66A4AA5089}" id="{7362920D-4BC4-46FE-9D52-1F2D5A867706}">
    <text>Aaron Moore
Johnny Robins
Residential Appraisal Team
Land Appraisal Team
Commercial Appraisal Team
BPP Appraisal Team
Charles Vasquez
Bart Edsell</text>
  </threadedComment>
  <threadedComment ref="F125" dT="2021-03-15T16:18:19.51" personId="{DC5CE654-CDFA-40FD-B9C0-DA66A4AA5089}" id="{51734A8F-0614-488D-A750-1D0B31477A14}">
    <text xml:space="preserve">KC McDade
Jessica Miller
Jamie Radke
</text>
  </threadedComment>
  <threadedComment ref="G125" dT="2021-03-15T16:17:50.28" personId="{DC5CE654-CDFA-40FD-B9C0-DA66A4AA5089}" id="{5B8AAAE0-5994-47B3-A222-359E26C03B44}">
    <text>Alvin Lankford
Chris Connelly</text>
  </threadedComment>
  <threadedComment ref="H144" dT="2022-03-16T15:31:05.63" personId="{DC5CE654-CDFA-40FD-B9C0-DA66A4AA5089}" id="{49EFD460-E42D-4A4E-8359-4B35027B6292}">
    <text>Actual divided by 12 months - rounded up</text>
  </threadedComment>
  <threadedComment ref="H145" dT="2023-03-07T14:36:05.41" personId="{DC5CE654-CDFA-40FD-B9C0-DA66A4AA5089}" id="{D3ECEDF9-56E5-4823-B3F3-FBB9A68E2277}">
    <text>2022 Actual divided by 12 months - rounded up</text>
  </threadedComment>
  <threadedComment ref="H146" dT="2022-03-16T15:33:40.45" personId="{DC5CE654-CDFA-40FD-B9C0-DA66A4AA5089}" id="{40C45FC5-72DD-4A5E-8C4E-E864F77D796C}">
    <text>2022 Actual divided by 12 months - rounded up</text>
  </threadedComment>
  <threadedComment ref="H147" dT="2022-03-16T15:33:17.14" personId="{DC5CE654-CDFA-40FD-B9C0-DA66A4AA5089}" id="{6A867FBF-A455-4C1F-B773-7F22D500DE02}">
    <text>2022 Actual divided by 12 months - rounded up</text>
  </threadedComment>
  <threadedComment ref="H148" dT="2022-03-16T15:34:15.32" personId="{DC5CE654-CDFA-40FD-B9C0-DA66A4AA5089}" id="{0D72FDE4-4076-4D21-A960-295B25497CEC}">
    <text>2022 Actual divided by 12 months - rounded up</text>
  </threadedComment>
  <threadedComment ref="H150" dT="2022-03-16T15:58:04.79" personId="{DC5CE654-CDFA-40FD-B9C0-DA66A4AA5089}" id="{6DCD1A06-E32B-4279-B4E5-213C8924A27B}">
    <text>Actual divided by 12 months - rounded up</text>
  </threadedComment>
  <threadedComment ref="E199" dT="2025-04-30T20:47:26.71" personId="{DC5CE654-CDFA-40FD-B9C0-DA66A4AA5089}" id="{4C3698C4-8A73-4401-8162-F812B8A3471B}">
    <text xml:space="preserve">Licenses:
Richard
Brent M
Stephanie HD
Jason H
Carrie L
Ameen A
Larry S
One for Land
</text>
  </threadedComment>
  <threadedComment ref="G199" dT="2025-04-30T20:34:12.86" personId="{DC5CE654-CDFA-40FD-B9C0-DA66A4AA5089}" id="{FEFDB002-0E79-481C-BEC0-B6A9B384EA6C}">
    <text>Licenses:
Ryan M
Zoe Y</text>
  </threadedComment>
  <threadedComment ref="E211" dT="2021-04-09T16:25:54.33" personId="{8CA3D4D4-945E-4C28-9F2B-99F33AEAA343}" id="{0BD86C99-012B-45E4-B3F6-ED02DEAAED00}">
    <text>One for each res appraisers</text>
  </threadedComment>
  <threadedComment ref="H243" dT="2021-04-22T16:59:34.40" personId="{22ADAB35-ECD5-4919-8A90-8DD0B673EA9B}" id="{8688FF19-12DF-4558-9DF6-FF0D3927F0DC}">
    <text>pool finder years: $304,759, non-pool finder years: $287,159</text>
  </threadedComment>
  <threadedComment ref="B246" dT="2023-03-07T15:20:03.81" personId="{DC5CE654-CDFA-40FD-B9C0-DA66A4AA5089}" id="{74546007-A12A-44F3-80D2-A693CECA0689}">
    <text xml:space="preserve">CAG - 2024 = $83,000; 2025 = 2% increase
</text>
  </threadedComment>
  <threadedComment ref="D320" dT="2024-03-07T22:53:05.61" personId="{DC5CE654-CDFA-40FD-B9C0-DA66A4AA5089}" id="{B7B0AAA6-86AB-4D3F-AE20-62ECCDB827C4}">
    <text>Gets everyone a zoho license and includes 45+ apps, including desk and forms that we already use.</text>
  </threadedComment>
</ThreadedComments>
</file>

<file path=xl/threadedComments/threadedComment5.xml><?xml version="1.0" encoding="utf-8"?>
<ThreadedComments xmlns="http://schemas.microsoft.com/office/spreadsheetml/2018/threadedcomments" xmlns:x="http://schemas.openxmlformats.org/spreadsheetml/2006/main">
  <threadedComment ref="E4" dT="2022-06-07T14:22:37.59" personId="{08A89809-0D34-4227-B502-C5A06E8C70BE}" id="{FEEE4B9F-3BF5-4AF1-BA30-E5701D414E58}">
    <text>Each alternate member is in the formula at their 2023 rate then divided by 6 to get the average.  Alternate members are like substitute members and are not counted in the 70 meetings below.</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12.bin"/><Relationship Id="rId5" Type="http://schemas.openxmlformats.org/officeDocument/2006/relationships/image" Target="../media/image5.emf"/><Relationship Id="rId4" Type="http://schemas.openxmlformats.org/officeDocument/2006/relationships/control" Target="../activeX/activeX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13.bin"/><Relationship Id="rId5" Type="http://schemas.openxmlformats.org/officeDocument/2006/relationships/image" Target="../media/image5.emf"/><Relationship Id="rId4" Type="http://schemas.openxmlformats.org/officeDocument/2006/relationships/control" Target="../activeX/activeX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7" Type="http://schemas.openxmlformats.org/officeDocument/2006/relationships/image" Target="../media/image7.emf"/><Relationship Id="rId2" Type="http://schemas.openxmlformats.org/officeDocument/2006/relationships/drawing" Target="../drawings/drawing9.xml"/><Relationship Id="rId1" Type="http://schemas.openxmlformats.org/officeDocument/2006/relationships/printerSettings" Target="../printerSettings/printerSettings14.bin"/><Relationship Id="rId6" Type="http://schemas.openxmlformats.org/officeDocument/2006/relationships/control" Target="../activeX/activeX4.xml"/><Relationship Id="rId5" Type="http://schemas.openxmlformats.org/officeDocument/2006/relationships/image" Target="../media/image6.emf"/><Relationship Id="rId4" Type="http://schemas.openxmlformats.org/officeDocument/2006/relationships/control" Target="../activeX/activeX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5.bin"/><Relationship Id="rId5" Type="http://schemas.openxmlformats.org/officeDocument/2006/relationships/image" Target="../media/image5.emf"/><Relationship Id="rId4" Type="http://schemas.openxmlformats.org/officeDocument/2006/relationships/control" Target="../activeX/activeX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6.bin"/><Relationship Id="rId5" Type="http://schemas.openxmlformats.org/officeDocument/2006/relationships/image" Target="../media/image5.emf"/><Relationship Id="rId4" Type="http://schemas.openxmlformats.org/officeDocument/2006/relationships/control" Target="../activeX/activeX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7.bin"/><Relationship Id="rId5" Type="http://schemas.openxmlformats.org/officeDocument/2006/relationships/image" Target="../media/image5.emf"/><Relationship Id="rId4" Type="http://schemas.openxmlformats.org/officeDocument/2006/relationships/control" Target="../activeX/activeX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8.bin"/><Relationship Id="rId5" Type="http://schemas.openxmlformats.org/officeDocument/2006/relationships/image" Target="../media/image5.emf"/><Relationship Id="rId4" Type="http://schemas.openxmlformats.org/officeDocument/2006/relationships/control" Target="../activeX/activeX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9.bin"/><Relationship Id="rId5" Type="http://schemas.openxmlformats.org/officeDocument/2006/relationships/image" Target="../media/image5.emf"/><Relationship Id="rId4" Type="http://schemas.openxmlformats.org/officeDocument/2006/relationships/control" Target="../activeX/activeX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5.xml"/><Relationship Id="rId1" Type="http://schemas.openxmlformats.org/officeDocument/2006/relationships/printerSettings" Target="../printerSettings/printerSettings20.bin"/><Relationship Id="rId5" Type="http://schemas.openxmlformats.org/officeDocument/2006/relationships/image" Target="../media/image5.emf"/><Relationship Id="rId4" Type="http://schemas.openxmlformats.org/officeDocument/2006/relationships/control" Target="../activeX/activeX1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6.xml"/><Relationship Id="rId1" Type="http://schemas.openxmlformats.org/officeDocument/2006/relationships/printerSettings" Target="../printerSettings/printerSettings21.bin"/><Relationship Id="rId5" Type="http://schemas.openxmlformats.org/officeDocument/2006/relationships/image" Target="../media/image5.emf"/><Relationship Id="rId4" Type="http://schemas.openxmlformats.org/officeDocument/2006/relationships/control" Target="../activeX/activeX11.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6.vml"/><Relationship Id="rId7" Type="http://schemas.openxmlformats.org/officeDocument/2006/relationships/image" Target="../media/image7.emf"/><Relationship Id="rId2" Type="http://schemas.openxmlformats.org/officeDocument/2006/relationships/drawing" Target="../drawings/drawing17.xml"/><Relationship Id="rId1" Type="http://schemas.openxmlformats.org/officeDocument/2006/relationships/printerSettings" Target="../printerSettings/printerSettings22.bin"/><Relationship Id="rId6" Type="http://schemas.openxmlformats.org/officeDocument/2006/relationships/control" Target="../activeX/activeX13.xml"/><Relationship Id="rId5" Type="http://schemas.openxmlformats.org/officeDocument/2006/relationships/image" Target="../media/image8.emf"/><Relationship Id="rId4" Type="http://schemas.openxmlformats.org/officeDocument/2006/relationships/control" Target="../activeX/activeX12.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8.xml"/><Relationship Id="rId1" Type="http://schemas.openxmlformats.org/officeDocument/2006/relationships/printerSettings" Target="../printerSettings/printerSettings23.bin"/><Relationship Id="rId5" Type="http://schemas.openxmlformats.org/officeDocument/2006/relationships/image" Target="../media/image5.emf"/><Relationship Id="rId4" Type="http://schemas.openxmlformats.org/officeDocument/2006/relationships/control" Target="../activeX/activeX14.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9.xml"/><Relationship Id="rId1" Type="http://schemas.openxmlformats.org/officeDocument/2006/relationships/printerSettings" Target="../printerSettings/printerSettings24.bin"/><Relationship Id="rId5" Type="http://schemas.openxmlformats.org/officeDocument/2006/relationships/image" Target="../media/image5.emf"/><Relationship Id="rId4" Type="http://schemas.openxmlformats.org/officeDocument/2006/relationships/control" Target="../activeX/activeX15.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0.xml"/><Relationship Id="rId1" Type="http://schemas.openxmlformats.org/officeDocument/2006/relationships/printerSettings" Target="../printerSettings/printerSettings25.bin"/><Relationship Id="rId5" Type="http://schemas.openxmlformats.org/officeDocument/2006/relationships/image" Target="../media/image5.emf"/><Relationship Id="rId4" Type="http://schemas.openxmlformats.org/officeDocument/2006/relationships/control" Target="../activeX/activeX16.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1.xml"/><Relationship Id="rId1" Type="http://schemas.openxmlformats.org/officeDocument/2006/relationships/printerSettings" Target="../printerSettings/printerSettings26.bin"/><Relationship Id="rId5" Type="http://schemas.openxmlformats.org/officeDocument/2006/relationships/image" Target="../media/image5.emf"/><Relationship Id="rId4" Type="http://schemas.openxmlformats.org/officeDocument/2006/relationships/control" Target="../activeX/activeX17.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2.xml"/><Relationship Id="rId1" Type="http://schemas.openxmlformats.org/officeDocument/2006/relationships/printerSettings" Target="../printerSettings/printerSettings27.bin"/><Relationship Id="rId5" Type="http://schemas.openxmlformats.org/officeDocument/2006/relationships/image" Target="../media/image5.emf"/><Relationship Id="rId4" Type="http://schemas.openxmlformats.org/officeDocument/2006/relationships/control" Target="../activeX/activeX18.xm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22.vml"/><Relationship Id="rId7" Type="http://schemas.openxmlformats.org/officeDocument/2006/relationships/image" Target="../media/image10.emf"/><Relationship Id="rId2" Type="http://schemas.openxmlformats.org/officeDocument/2006/relationships/drawing" Target="../drawings/drawing23.xml"/><Relationship Id="rId1" Type="http://schemas.openxmlformats.org/officeDocument/2006/relationships/printerSettings" Target="../printerSettings/printerSettings33.bin"/><Relationship Id="rId6" Type="http://schemas.openxmlformats.org/officeDocument/2006/relationships/control" Target="../activeX/activeX20.xml"/><Relationship Id="rId5" Type="http://schemas.openxmlformats.org/officeDocument/2006/relationships/image" Target="../media/image9.emf"/><Relationship Id="rId4" Type="http://schemas.openxmlformats.org/officeDocument/2006/relationships/control" Target="../activeX/activeX19.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 Id="rId4" Type="http://schemas.microsoft.com/office/2017/10/relationships/threadedComment" Target="../threadedComments/threadedComment3.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8.bin"/><Relationship Id="rId1" Type="http://schemas.openxmlformats.org/officeDocument/2006/relationships/hyperlink" Target="file:///\\orion-nas1\Open\Divisions\Business%20Services\Divisions\Business%20Services\Shared\Appraisal\Commercial\Valuation%20Tools\CoStar\2025\CoStar%202025.xlsx" TargetMode="External"/><Relationship Id="rId6" Type="http://schemas.microsoft.com/office/2017/10/relationships/threadedComment" Target="../threadedComments/threadedComment4.xm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9.bin"/><Relationship Id="rId5" Type="http://schemas.microsoft.com/office/2017/10/relationships/threadedComment" Target="../threadedComments/threadedComment5.xml"/><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2"/>
  <sheetViews>
    <sheetView zoomScale="140" zoomScaleNormal="140" workbookViewId="0">
      <pane ySplit="2" topLeftCell="A24" activePane="bottomLeft" state="frozen"/>
      <selection pane="bottomLeft" sqref="A1:H1"/>
    </sheetView>
  </sheetViews>
  <sheetFormatPr defaultRowHeight="15" x14ac:dyDescent="0.25"/>
  <cols>
    <col min="1" max="1" width="47.7109375" customWidth="1"/>
    <col min="2" max="2" width="12.28515625" bestFit="1" customWidth="1"/>
    <col min="3" max="6" width="12.28515625" customWidth="1"/>
    <col min="7" max="7" width="13.140625" customWidth="1"/>
    <col min="8" max="8" width="13.85546875" customWidth="1"/>
    <col min="9" max="9" width="10.5703125" customWidth="1"/>
    <col min="11" max="11" width="114.28515625" bestFit="1" customWidth="1"/>
    <col min="12" max="13" width="0" hidden="1" customWidth="1"/>
  </cols>
  <sheetData>
    <row r="1" spans="1:11" ht="49.5" customHeight="1" x14ac:dyDescent="0.4">
      <c r="A1" s="1104" t="s">
        <v>0</v>
      </c>
      <c r="B1" s="1104"/>
      <c r="C1" s="1104"/>
      <c r="D1" s="1104"/>
      <c r="E1" s="1104"/>
      <c r="F1" s="1104"/>
      <c r="G1" s="1104"/>
      <c r="H1" s="1104"/>
    </row>
    <row r="2" spans="1:11" ht="42" customHeight="1" x14ac:dyDescent="0.25">
      <c r="A2" s="298" t="s">
        <v>1</v>
      </c>
      <c r="B2" s="299" t="s">
        <v>2</v>
      </c>
      <c r="C2" s="299" t="s">
        <v>3</v>
      </c>
      <c r="D2" s="300" t="s">
        <v>4</v>
      </c>
      <c r="E2" s="299" t="s">
        <v>5</v>
      </c>
      <c r="F2" s="300" t="s">
        <v>6</v>
      </c>
      <c r="G2" s="299" t="s">
        <v>7</v>
      </c>
      <c r="H2" s="300" t="s">
        <v>8</v>
      </c>
    </row>
    <row r="3" spans="1:11" x14ac:dyDescent="0.25">
      <c r="A3" s="243" t="s">
        <v>9</v>
      </c>
      <c r="B3" s="244">
        <v>4650100</v>
      </c>
      <c r="C3" s="245">
        <f>SUM('1% Overview'!J3)</f>
        <v>4758900</v>
      </c>
      <c r="D3" s="304">
        <f>(C3-B3)/B3</f>
        <v>2.3397346293628093E-2</v>
      </c>
      <c r="E3" s="245">
        <f>SUM('2% Overview'!J3)</f>
        <v>4781600</v>
      </c>
      <c r="F3" s="304">
        <f>(E3-B3)/B3</f>
        <v>2.8278961742758221E-2</v>
      </c>
      <c r="G3" s="245" t="e">
        <f>SUM(#REF!)</f>
        <v>#REF!</v>
      </c>
      <c r="H3" s="304" t="e">
        <f>(G3-B3)/B3</f>
        <v>#REF!</v>
      </c>
    </row>
    <row r="4" spans="1:11" x14ac:dyDescent="0.25">
      <c r="A4" s="153" t="s">
        <v>10</v>
      </c>
      <c r="B4" s="154">
        <v>265800</v>
      </c>
      <c r="C4" s="240">
        <f>SUM('1% Overview'!J4)</f>
        <v>269300</v>
      </c>
      <c r="D4" s="305">
        <f>(C4-B4)/B4</f>
        <v>1.3167795334838224E-2</v>
      </c>
      <c r="E4" s="240">
        <f>SUM('2% Overview'!J4)</f>
        <v>269300</v>
      </c>
      <c r="F4" s="305">
        <f t="shared" ref="F4:F31" si="0">(E4-B4)/B4</f>
        <v>1.3167795334838224E-2</v>
      </c>
      <c r="G4" s="240" t="e">
        <f>SUM(#REF!)</f>
        <v>#REF!</v>
      </c>
      <c r="H4" s="305" t="e">
        <f t="shared" ref="H4:H23" si="1">(G4-B4)/B4</f>
        <v>#REF!</v>
      </c>
    </row>
    <row r="5" spans="1:11" x14ac:dyDescent="0.25">
      <c r="A5" s="147" t="s">
        <v>11</v>
      </c>
      <c r="B5" s="241">
        <v>675600</v>
      </c>
      <c r="C5" s="242">
        <f>SUM('1% Overview'!J5)</f>
        <v>656400</v>
      </c>
      <c r="D5" s="306">
        <f t="shared" ref="D5:D31" si="2">(C5-B5)/B5</f>
        <v>-2.8419182948490232E-2</v>
      </c>
      <c r="E5" s="242">
        <f>SUM('2% Overview'!J5)</f>
        <v>656400</v>
      </c>
      <c r="F5" s="306">
        <f t="shared" si="0"/>
        <v>-2.8419182948490232E-2</v>
      </c>
      <c r="G5" s="242" t="e">
        <f>SUM(#REF!)</f>
        <v>#REF!</v>
      </c>
      <c r="H5" s="306" t="e">
        <f t="shared" si="1"/>
        <v>#REF!</v>
      </c>
    </row>
    <row r="6" spans="1:11" x14ac:dyDescent="0.25">
      <c r="A6" s="153" t="s">
        <v>12</v>
      </c>
      <c r="B6" s="233">
        <v>882200</v>
      </c>
      <c r="C6" s="240">
        <f>SUM('1% Overview'!J6)</f>
        <v>903500</v>
      </c>
      <c r="D6" s="305">
        <f t="shared" si="2"/>
        <v>2.414418499206529E-2</v>
      </c>
      <c r="E6" s="240">
        <f>SUM('2% Overview'!J6)</f>
        <v>907800</v>
      </c>
      <c r="F6" s="305">
        <f t="shared" si="0"/>
        <v>2.9018363182951711E-2</v>
      </c>
      <c r="G6" s="240" t="e">
        <f>SUM(#REF!)</f>
        <v>#REF!</v>
      </c>
      <c r="H6" s="305" t="e">
        <f t="shared" si="1"/>
        <v>#REF!</v>
      </c>
    </row>
    <row r="7" spans="1:11" x14ac:dyDescent="0.25">
      <c r="A7" s="147" t="s">
        <v>13</v>
      </c>
      <c r="B7" s="241">
        <v>8900</v>
      </c>
      <c r="C7" s="242">
        <f>SUM('1% Overview'!J7)</f>
        <v>8900</v>
      </c>
      <c r="D7" s="306">
        <f t="shared" si="2"/>
        <v>0</v>
      </c>
      <c r="E7" s="242">
        <f>SUM('2% Overview'!J7)</f>
        <v>8900</v>
      </c>
      <c r="F7" s="306">
        <f t="shared" si="0"/>
        <v>0</v>
      </c>
      <c r="G7" s="242" t="e">
        <f>SUM(#REF!)</f>
        <v>#REF!</v>
      </c>
      <c r="H7" s="306" t="e">
        <f t="shared" si="1"/>
        <v>#REF!</v>
      </c>
    </row>
    <row r="8" spans="1:11" x14ac:dyDescent="0.25">
      <c r="A8" s="153" t="s">
        <v>14</v>
      </c>
      <c r="B8" s="233">
        <v>71000</v>
      </c>
      <c r="C8" s="240">
        <f>SUM('1% Overview'!J8)</f>
        <v>72600</v>
      </c>
      <c r="D8" s="305">
        <f t="shared" si="2"/>
        <v>2.2535211267605635E-2</v>
      </c>
      <c r="E8" s="240">
        <f>SUM('2% Overview'!J8)</f>
        <v>72900</v>
      </c>
      <c r="F8" s="305">
        <f t="shared" si="0"/>
        <v>2.6760563380281689E-2</v>
      </c>
      <c r="G8" s="240" t="e">
        <f>SUM(#REF!)</f>
        <v>#REF!</v>
      </c>
      <c r="H8" s="305" t="e">
        <f t="shared" si="1"/>
        <v>#REF!</v>
      </c>
      <c r="K8" t="s">
        <v>15</v>
      </c>
    </row>
    <row r="9" spans="1:11" x14ac:dyDescent="0.25">
      <c r="A9" s="147" t="s">
        <v>16</v>
      </c>
      <c r="B9" s="241">
        <v>13600</v>
      </c>
      <c r="C9" s="242">
        <f>SUM('1% Overview'!J9)</f>
        <v>18000</v>
      </c>
      <c r="D9" s="306">
        <f t="shared" si="2"/>
        <v>0.3235294117647059</v>
      </c>
      <c r="E9" s="242">
        <f>SUM('2% Overview'!J9)</f>
        <v>18000</v>
      </c>
      <c r="F9" s="306">
        <f t="shared" si="0"/>
        <v>0.3235294117647059</v>
      </c>
      <c r="G9" s="242" t="e">
        <f>SUM(#REF!)</f>
        <v>#REF!</v>
      </c>
      <c r="H9" s="306" t="e">
        <f t="shared" si="1"/>
        <v>#REF!</v>
      </c>
      <c r="K9" t="s">
        <v>17</v>
      </c>
    </row>
    <row r="10" spans="1:11" x14ac:dyDescent="0.25">
      <c r="A10" s="153" t="s">
        <v>18</v>
      </c>
      <c r="B10" s="233">
        <v>210900</v>
      </c>
      <c r="C10" s="240">
        <f>SUM('1% Overview'!J10)</f>
        <v>273900</v>
      </c>
      <c r="D10" s="305">
        <f t="shared" si="2"/>
        <v>0.29871977240398295</v>
      </c>
      <c r="E10" s="240">
        <f>SUM('2% Overview'!J10)</f>
        <v>273900</v>
      </c>
      <c r="F10" s="305">
        <f t="shared" si="0"/>
        <v>0.29871977240398295</v>
      </c>
      <c r="G10" s="240" t="e">
        <f>SUM(#REF!)</f>
        <v>#REF!</v>
      </c>
      <c r="H10" s="305" t="e">
        <f t="shared" si="1"/>
        <v>#REF!</v>
      </c>
      <c r="K10" t="s">
        <v>19</v>
      </c>
    </row>
    <row r="11" spans="1:11" x14ac:dyDescent="0.25">
      <c r="A11" s="147" t="s">
        <v>20</v>
      </c>
      <c r="B11" s="241">
        <v>85000</v>
      </c>
      <c r="C11" s="242">
        <f>SUM('1% Overview'!J11)</f>
        <v>101500</v>
      </c>
      <c r="D11" s="306">
        <f t="shared" si="2"/>
        <v>0.19411764705882353</v>
      </c>
      <c r="E11" s="242">
        <f>SUM('2% Overview'!J11)</f>
        <v>101500</v>
      </c>
      <c r="F11" s="306">
        <f t="shared" si="0"/>
        <v>0.19411764705882353</v>
      </c>
      <c r="G11" s="242" t="e">
        <f>SUM(#REF!)</f>
        <v>#REF!</v>
      </c>
      <c r="H11" s="306" t="e">
        <f t="shared" si="1"/>
        <v>#REF!</v>
      </c>
      <c r="K11" t="s">
        <v>21</v>
      </c>
    </row>
    <row r="12" spans="1:11" x14ac:dyDescent="0.25">
      <c r="A12" s="153" t="s">
        <v>22</v>
      </c>
      <c r="B12" s="233">
        <v>7200</v>
      </c>
      <c r="C12" s="240">
        <f>SUM('1% Overview'!J12)</f>
        <v>8500</v>
      </c>
      <c r="D12" s="305">
        <f t="shared" si="2"/>
        <v>0.18055555555555555</v>
      </c>
      <c r="E12" s="240">
        <f>SUM('2% Overview'!J12)</f>
        <v>8500</v>
      </c>
      <c r="F12" s="305">
        <f t="shared" si="0"/>
        <v>0.18055555555555555</v>
      </c>
      <c r="G12" s="240" t="e">
        <f>SUM(#REF!)</f>
        <v>#REF!</v>
      </c>
      <c r="H12" s="305" t="e">
        <f t="shared" si="1"/>
        <v>#REF!</v>
      </c>
      <c r="K12" t="s">
        <v>23</v>
      </c>
    </row>
    <row r="13" spans="1:11" x14ac:dyDescent="0.25">
      <c r="A13" s="230" t="s">
        <v>24</v>
      </c>
      <c r="B13" s="231">
        <v>80800</v>
      </c>
      <c r="C13" s="242">
        <f>SUM('1% Overview'!J13)</f>
        <v>96900</v>
      </c>
      <c r="D13" s="306">
        <f t="shared" si="2"/>
        <v>0.19925742574257427</v>
      </c>
      <c r="E13" s="242">
        <f>SUM('2% Overview'!J13)</f>
        <v>96900</v>
      </c>
      <c r="F13" s="306">
        <f t="shared" si="0"/>
        <v>0.19925742574257427</v>
      </c>
      <c r="G13" s="232" t="e">
        <f>SUM(#REF!)</f>
        <v>#REF!</v>
      </c>
      <c r="H13" s="312" t="e">
        <f t="shared" si="1"/>
        <v>#REF!</v>
      </c>
      <c r="K13" t="s">
        <v>25</v>
      </c>
    </row>
    <row r="14" spans="1:11" x14ac:dyDescent="0.25">
      <c r="A14" s="153" t="s">
        <v>26</v>
      </c>
      <c r="B14" s="233">
        <v>13500</v>
      </c>
      <c r="C14" s="240">
        <f>SUM('1% Overview'!J14)</f>
        <v>17700</v>
      </c>
      <c r="D14" s="305">
        <f t="shared" si="2"/>
        <v>0.31111111111111112</v>
      </c>
      <c r="E14" s="240">
        <f>SUM('2% Overview'!J14)</f>
        <v>17700</v>
      </c>
      <c r="F14" s="305">
        <f t="shared" si="0"/>
        <v>0.31111111111111112</v>
      </c>
      <c r="G14" s="234" t="e">
        <f>SUM(#REF!)</f>
        <v>#REF!</v>
      </c>
      <c r="H14" s="313" t="e">
        <f t="shared" si="1"/>
        <v>#REF!</v>
      </c>
      <c r="K14" t="s">
        <v>27</v>
      </c>
    </row>
    <row r="15" spans="1:11" x14ac:dyDescent="0.25">
      <c r="A15" s="147" t="s">
        <v>28</v>
      </c>
      <c r="B15" s="241">
        <v>111700</v>
      </c>
      <c r="C15" s="242">
        <f>SUM('1% Overview'!J15)</f>
        <v>159100</v>
      </c>
      <c r="D15" s="306">
        <f t="shared" si="2"/>
        <v>0.42435094001790508</v>
      </c>
      <c r="E15" s="242">
        <f>SUM('2% Overview'!J15)</f>
        <v>159100</v>
      </c>
      <c r="F15" s="306">
        <f t="shared" si="0"/>
        <v>0.42435094001790508</v>
      </c>
      <c r="G15" s="242" t="e">
        <f>SUM(#REF!)</f>
        <v>#REF!</v>
      </c>
      <c r="H15" s="306" t="e">
        <f t="shared" si="1"/>
        <v>#REF!</v>
      </c>
    </row>
    <row r="16" spans="1:11" x14ac:dyDescent="0.25">
      <c r="A16" s="153" t="s">
        <v>29</v>
      </c>
      <c r="B16" s="233">
        <v>40000</v>
      </c>
      <c r="C16" s="240">
        <f>SUM('1% Overview'!J16)</f>
        <v>42000</v>
      </c>
      <c r="D16" s="305">
        <f t="shared" si="2"/>
        <v>0.05</v>
      </c>
      <c r="E16" s="240">
        <f>SUM('2% Overview'!J16)</f>
        <v>42000</v>
      </c>
      <c r="F16" s="305">
        <f t="shared" si="0"/>
        <v>0.05</v>
      </c>
      <c r="G16" s="234" t="e">
        <f>SUM(#REF!)</f>
        <v>#REF!</v>
      </c>
      <c r="H16" s="313" t="e">
        <f t="shared" si="1"/>
        <v>#REF!</v>
      </c>
    </row>
    <row r="17" spans="1:8" x14ac:dyDescent="0.25">
      <c r="A17" s="230" t="s">
        <v>30</v>
      </c>
      <c r="B17" s="231">
        <v>167300</v>
      </c>
      <c r="C17" s="242">
        <f>SUM('1% Overview'!J17)</f>
        <v>230700</v>
      </c>
      <c r="D17" s="306">
        <f t="shared" si="2"/>
        <v>0.37895995218170953</v>
      </c>
      <c r="E17" s="242">
        <f>SUM('2% Overview'!J17)</f>
        <v>230700</v>
      </c>
      <c r="F17" s="306">
        <f t="shared" si="0"/>
        <v>0.37895995218170953</v>
      </c>
      <c r="G17" s="232" t="e">
        <f>SUM(#REF!)</f>
        <v>#REF!</v>
      </c>
      <c r="H17" s="312" t="e">
        <f t="shared" si="1"/>
        <v>#REF!</v>
      </c>
    </row>
    <row r="18" spans="1:8" x14ac:dyDescent="0.25">
      <c r="A18" s="153" t="s">
        <v>31</v>
      </c>
      <c r="B18" s="233">
        <v>129300</v>
      </c>
      <c r="C18" s="240">
        <f>SUM('1% Overview'!J18)</f>
        <v>189600</v>
      </c>
      <c r="D18" s="305">
        <f t="shared" si="2"/>
        <v>0.46635730858468677</v>
      </c>
      <c r="E18" s="240">
        <f>SUM('2% Overview'!J18)</f>
        <v>189600</v>
      </c>
      <c r="F18" s="305">
        <f t="shared" si="0"/>
        <v>0.46635730858468677</v>
      </c>
      <c r="G18" s="234" t="e">
        <f>SUM(#REF!)</f>
        <v>#REF!</v>
      </c>
      <c r="H18" s="313" t="e">
        <f t="shared" si="1"/>
        <v>#REF!</v>
      </c>
    </row>
    <row r="19" spans="1:8" x14ac:dyDescent="0.25">
      <c r="A19" s="230" t="s">
        <v>32</v>
      </c>
      <c r="B19" s="231">
        <v>10200</v>
      </c>
      <c r="C19" s="242">
        <f>SUM('1% Overview'!J19)</f>
        <v>19000</v>
      </c>
      <c r="D19" s="306">
        <f t="shared" si="2"/>
        <v>0.86274509803921573</v>
      </c>
      <c r="E19" s="242">
        <f>SUM('2% Overview'!J19)</f>
        <v>19000</v>
      </c>
      <c r="F19" s="306">
        <f t="shared" si="0"/>
        <v>0.86274509803921573</v>
      </c>
      <c r="G19" s="232" t="e">
        <f>SUM(#REF!)</f>
        <v>#REF!</v>
      </c>
      <c r="H19" s="312" t="e">
        <f t="shared" si="1"/>
        <v>#REF!</v>
      </c>
    </row>
    <row r="20" spans="1:8" x14ac:dyDescent="0.25">
      <c r="A20" s="153" t="s">
        <v>33</v>
      </c>
      <c r="B20" s="233">
        <v>6000</v>
      </c>
      <c r="C20" s="240">
        <f>SUM('1% Overview'!J20)</f>
        <v>184000</v>
      </c>
      <c r="D20" s="305">
        <f t="shared" si="2"/>
        <v>29.666666666666668</v>
      </c>
      <c r="E20" s="240">
        <f>SUM('2% Overview'!J20)</f>
        <v>184000</v>
      </c>
      <c r="F20" s="305">
        <f t="shared" si="0"/>
        <v>29.666666666666668</v>
      </c>
      <c r="G20" s="234" t="e">
        <f>SUM(#REF!)</f>
        <v>#REF!</v>
      </c>
      <c r="H20" s="313" t="e">
        <f t="shared" si="1"/>
        <v>#REF!</v>
      </c>
    </row>
    <row r="21" spans="1:8" x14ac:dyDescent="0.25">
      <c r="A21" s="230" t="s">
        <v>34</v>
      </c>
      <c r="B21" s="231">
        <v>85300</v>
      </c>
      <c r="C21" s="242">
        <f>SUM('1% Overview'!J21)</f>
        <v>180800</v>
      </c>
      <c r="D21" s="306">
        <f t="shared" si="2"/>
        <v>1.1195779601406799</v>
      </c>
      <c r="E21" s="242">
        <f>SUM('2% Overview'!J21)</f>
        <v>180800</v>
      </c>
      <c r="F21" s="306">
        <f t="shared" si="0"/>
        <v>1.1195779601406799</v>
      </c>
      <c r="G21" s="232" t="e">
        <f>SUM(#REF!)</f>
        <v>#REF!</v>
      </c>
      <c r="H21" s="312" t="e">
        <f t="shared" si="1"/>
        <v>#REF!</v>
      </c>
    </row>
    <row r="22" spans="1:8" x14ac:dyDescent="0.25">
      <c r="A22" s="153" t="s">
        <v>35</v>
      </c>
      <c r="B22" s="233">
        <v>500</v>
      </c>
      <c r="C22" s="240">
        <f>SUM('1% Overview'!J22)</f>
        <v>500</v>
      </c>
      <c r="D22" s="305">
        <f t="shared" si="2"/>
        <v>0</v>
      </c>
      <c r="E22" s="240">
        <f>SUM('2% Overview'!J22)</f>
        <v>500</v>
      </c>
      <c r="F22" s="305">
        <f t="shared" si="0"/>
        <v>0</v>
      </c>
      <c r="G22" s="234" t="e">
        <f>SUM(#REF!)</f>
        <v>#REF!</v>
      </c>
      <c r="H22" s="313" t="e">
        <f t="shared" si="1"/>
        <v>#REF!</v>
      </c>
    </row>
    <row r="23" spans="1:8" x14ac:dyDescent="0.25">
      <c r="A23" s="230" t="s">
        <v>36</v>
      </c>
      <c r="B23" s="231">
        <v>857700</v>
      </c>
      <c r="C23" s="242">
        <f>SUM('1% Overview'!J23)</f>
        <v>1369900</v>
      </c>
      <c r="D23" s="306">
        <f t="shared" si="2"/>
        <v>0.59717850064124989</v>
      </c>
      <c r="E23" s="242">
        <f>SUM('2% Overview'!J23)</f>
        <v>1369900</v>
      </c>
      <c r="F23" s="306">
        <f t="shared" si="0"/>
        <v>0.59717850064124989</v>
      </c>
      <c r="G23" s="232" t="e">
        <f>SUM(#REF!)</f>
        <v>#REF!</v>
      </c>
      <c r="H23" s="312" t="e">
        <f t="shared" si="1"/>
        <v>#REF!</v>
      </c>
    </row>
    <row r="24" spans="1:8" x14ac:dyDescent="0.25">
      <c r="A24" s="153" t="s">
        <v>37</v>
      </c>
      <c r="B24" s="233">
        <v>0</v>
      </c>
      <c r="C24" s="240">
        <f>SUM('1% Overview'!J24)</f>
        <v>0</v>
      </c>
      <c r="D24" s="305">
        <v>0</v>
      </c>
      <c r="E24" s="240">
        <f>SUM('2% Overview'!J24)</f>
        <v>0</v>
      </c>
      <c r="F24" s="305">
        <v>0</v>
      </c>
      <c r="G24" s="234" t="e">
        <f>SUM(#REF!)</f>
        <v>#REF!</v>
      </c>
      <c r="H24" s="313">
        <v>0</v>
      </c>
    </row>
    <row r="25" spans="1:8" x14ac:dyDescent="0.25">
      <c r="A25" s="324" t="s">
        <v>38</v>
      </c>
      <c r="B25" s="350">
        <v>277600</v>
      </c>
      <c r="C25" s="351">
        <f>SUM('1% Overview'!J25)</f>
        <v>475400</v>
      </c>
      <c r="D25" s="352">
        <f t="shared" si="2"/>
        <v>0.71253602305475505</v>
      </c>
      <c r="E25" s="351">
        <f>SUM('2% Overview'!J25)</f>
        <v>475400</v>
      </c>
      <c r="F25" s="352">
        <f t="shared" si="0"/>
        <v>0.71253602305475505</v>
      </c>
      <c r="G25" s="351" t="e">
        <f>SUM(#REF!)</f>
        <v>#REF!</v>
      </c>
      <c r="H25" s="352" t="e">
        <f>(G25-B25)/B25</f>
        <v>#REF!</v>
      </c>
    </row>
    <row r="26" spans="1:8" x14ac:dyDescent="0.25">
      <c r="A26" s="153" t="s">
        <v>39</v>
      </c>
      <c r="B26" s="233">
        <v>123900</v>
      </c>
      <c r="C26" s="240">
        <f>SUM('1% Overview'!J26)</f>
        <v>252600</v>
      </c>
      <c r="D26" s="305">
        <f t="shared" si="2"/>
        <v>1.0387409200968523</v>
      </c>
      <c r="E26" s="240">
        <f>SUM('2% Overview'!J26)</f>
        <v>252600</v>
      </c>
      <c r="F26" s="305">
        <f t="shared" si="0"/>
        <v>1.0387409200968523</v>
      </c>
      <c r="G26" s="234" t="e">
        <f>SUM(#REF!)</f>
        <v>#REF!</v>
      </c>
      <c r="H26" s="313" t="e">
        <f>(G26-B26)/B26</f>
        <v>#REF!</v>
      </c>
    </row>
    <row r="27" spans="1:8" x14ac:dyDescent="0.25">
      <c r="A27" s="230" t="s">
        <v>40</v>
      </c>
      <c r="B27" s="231">
        <v>17800</v>
      </c>
      <c r="C27" s="242">
        <f>SUM('1% Overview'!J27)</f>
        <v>29200</v>
      </c>
      <c r="D27" s="306">
        <f t="shared" si="2"/>
        <v>0.6404494382022472</v>
      </c>
      <c r="E27" s="242">
        <f>SUM('2% Overview'!J27)</f>
        <v>29200</v>
      </c>
      <c r="F27" s="306">
        <f t="shared" si="0"/>
        <v>0.6404494382022472</v>
      </c>
      <c r="G27" s="232" t="e">
        <f>SUM(#REF!)</f>
        <v>#REF!</v>
      </c>
      <c r="H27" s="312" t="e">
        <f>(G27-B27)/B27</f>
        <v>#REF!</v>
      </c>
    </row>
    <row r="28" spans="1:8" x14ac:dyDescent="0.25">
      <c r="A28" s="153" t="s">
        <v>41</v>
      </c>
      <c r="B28" s="233">
        <v>425600</v>
      </c>
      <c r="C28" s="240">
        <f>SUM('1% Overview'!J28)</f>
        <v>0</v>
      </c>
      <c r="D28" s="305">
        <f t="shared" si="2"/>
        <v>-1</v>
      </c>
      <c r="E28" s="240">
        <f>SUM('2% Overview'!J28)</f>
        <v>0</v>
      </c>
      <c r="F28" s="305">
        <f t="shared" si="0"/>
        <v>-1</v>
      </c>
      <c r="G28" s="234" t="e">
        <f>SUM(#REF!)</f>
        <v>#REF!</v>
      </c>
      <c r="H28" s="313" t="e">
        <f>(G28-B28)/B28</f>
        <v>#REF!</v>
      </c>
    </row>
    <row r="29" spans="1:8" x14ac:dyDescent="0.25">
      <c r="A29" s="230" t="s">
        <v>42</v>
      </c>
      <c r="B29" s="231">
        <v>61200</v>
      </c>
      <c r="C29" s="242">
        <f>SUM('1% Overview'!J29)</f>
        <v>65000</v>
      </c>
      <c r="D29" s="306">
        <f t="shared" si="2"/>
        <v>6.2091503267973858E-2</v>
      </c>
      <c r="E29" s="242">
        <f>SUM('2% Overview'!J29)</f>
        <v>65000</v>
      </c>
      <c r="F29" s="306">
        <f t="shared" si="0"/>
        <v>6.2091503267973858E-2</v>
      </c>
      <c r="G29" s="232" t="e">
        <f>SUM(#REF!)</f>
        <v>#REF!</v>
      </c>
      <c r="H29" s="312" t="e">
        <f>(G29-B29)/B29</f>
        <v>#REF!</v>
      </c>
    </row>
    <row r="30" spans="1:8" x14ac:dyDescent="0.25">
      <c r="A30" s="153" t="s">
        <v>43</v>
      </c>
      <c r="B30" s="233">
        <v>0</v>
      </c>
      <c r="C30" s="240">
        <f>SUM('1% Overview'!J30)</f>
        <v>0</v>
      </c>
      <c r="D30" s="305">
        <v>0</v>
      </c>
      <c r="E30" s="240">
        <f>SUM('2% Overview'!J30)</f>
        <v>0</v>
      </c>
      <c r="F30" s="305">
        <v>0</v>
      </c>
      <c r="G30" s="234" t="e">
        <f>SUM(#REF!)</f>
        <v>#REF!</v>
      </c>
      <c r="H30" s="313">
        <v>0</v>
      </c>
    </row>
    <row r="31" spans="1:8" x14ac:dyDescent="0.25">
      <c r="A31" s="230" t="s">
        <v>44</v>
      </c>
      <c r="B31" s="231">
        <v>5000</v>
      </c>
      <c r="C31" s="242">
        <f>SUM('1% Overview'!J31)</f>
        <v>5000</v>
      </c>
      <c r="D31" s="307">
        <f t="shared" si="2"/>
        <v>0</v>
      </c>
      <c r="E31" s="242">
        <f>SUM('2% Overview'!J31)</f>
        <v>5000</v>
      </c>
      <c r="F31" s="307">
        <f t="shared" si="0"/>
        <v>0</v>
      </c>
      <c r="G31" s="232" t="e">
        <f>SUM(#REF!)</f>
        <v>#REF!</v>
      </c>
      <c r="H31" s="312" t="e">
        <f>(G31-B31)/B31</f>
        <v>#REF!</v>
      </c>
    </row>
    <row r="32" spans="1:8" x14ac:dyDescent="0.25">
      <c r="A32" s="21" t="s">
        <v>45</v>
      </c>
      <c r="B32" s="236">
        <f>SUM(B3:B31)</f>
        <v>9283700</v>
      </c>
      <c r="C32" s="237">
        <f>SUM(C3:C31)</f>
        <v>10388900</v>
      </c>
      <c r="D32" s="308">
        <f>(C32-B32)/B32</f>
        <v>0.11904736258172927</v>
      </c>
      <c r="E32" s="237">
        <f>SUM(E3:E31)</f>
        <v>10416200</v>
      </c>
      <c r="F32" s="308">
        <f>(E32-B32)/B32</f>
        <v>0.12198800047394896</v>
      </c>
      <c r="G32" s="237" t="e">
        <f>SUM(G3:G31)</f>
        <v>#REF!</v>
      </c>
      <c r="H32" s="308" t="e">
        <f>(G32-$B$32)/$B$32</f>
        <v>#REF!</v>
      </c>
    </row>
    <row r="33" spans="1:10" x14ac:dyDescent="0.25">
      <c r="A33" s="230"/>
      <c r="B33" s="235"/>
      <c r="C33" s="235"/>
      <c r="D33" s="309"/>
      <c r="E33" s="235"/>
      <c r="F33" s="309"/>
      <c r="G33" s="232"/>
      <c r="H33" s="314"/>
    </row>
    <row r="34" spans="1:10" x14ac:dyDescent="0.25">
      <c r="A34" s="3" t="s">
        <v>46</v>
      </c>
      <c r="B34" s="233">
        <v>227800</v>
      </c>
      <c r="C34" s="240">
        <f>'1% Overview'!J34</f>
        <v>677600</v>
      </c>
      <c r="D34" s="310">
        <f>(C34-$B$34)/$B$34</f>
        <v>1.974539069359087</v>
      </c>
      <c r="E34" s="240">
        <f>'2% Overview'!J34</f>
        <v>677600</v>
      </c>
      <c r="F34" s="310">
        <f>(E34-$B$34)/$B$34</f>
        <v>1.974539069359087</v>
      </c>
      <c r="G34" s="240" t="e">
        <f>SUM(#REF!)</f>
        <v>#REF!</v>
      </c>
      <c r="H34" s="310" t="e">
        <f>(G34-$B$34)/$B$34</f>
        <v>#REF!</v>
      </c>
    </row>
    <row r="35" spans="1:10" x14ac:dyDescent="0.25">
      <c r="A35" s="364" t="s">
        <v>47</v>
      </c>
      <c r="B35" s="365">
        <f>SUM(B32:B34)</f>
        <v>9511500</v>
      </c>
      <c r="C35" s="366">
        <f>SUM(C32:C34)</f>
        <v>11066500</v>
      </c>
      <c r="D35" s="367">
        <f>(C35-$B$35)/$B$35</f>
        <v>0.16348630605057035</v>
      </c>
      <c r="E35" s="366">
        <f>SUM(E32:E34)</f>
        <v>11093800</v>
      </c>
      <c r="F35" s="367">
        <f>(E35-$B$35)/$B$35</f>
        <v>0.16635651579666719</v>
      </c>
      <c r="G35" s="366" t="e">
        <f>SUM(G32:G34)</f>
        <v>#REF!</v>
      </c>
      <c r="H35" s="367" t="e">
        <f>(G35-$B$35)/$B$35</f>
        <v>#REF!</v>
      </c>
      <c r="J35" s="121"/>
    </row>
    <row r="36" spans="1:10" x14ac:dyDescent="0.25">
      <c r="A36" s="161" t="s">
        <v>48</v>
      </c>
      <c r="B36" s="238"/>
      <c r="C36" s="239"/>
      <c r="D36" s="308"/>
      <c r="E36" s="239"/>
      <c r="F36" s="308"/>
      <c r="G36" s="239"/>
      <c r="H36" s="308"/>
    </row>
    <row r="37" spans="1:10" ht="15.75" thickBot="1" x14ac:dyDescent="0.3">
      <c r="A37" s="230" t="s">
        <v>49</v>
      </c>
      <c r="B37" s="344">
        <v>-158000</v>
      </c>
      <c r="C37" s="345">
        <f>-(322053+50000)</f>
        <v>-372053</v>
      </c>
      <c r="D37" s="346"/>
      <c r="E37" s="345">
        <f>SUM(C37)</f>
        <v>-372053</v>
      </c>
      <c r="F37" s="346"/>
      <c r="G37" s="345">
        <f>SUM(C37-27400)</f>
        <v>-399453</v>
      </c>
      <c r="H37" s="314"/>
    </row>
    <row r="38" spans="1:10" ht="16.5" thickTop="1" thickBot="1" x14ac:dyDescent="0.3">
      <c r="A38" s="29" t="s">
        <v>50</v>
      </c>
      <c r="B38" s="31">
        <f>SUM(B35:B37)</f>
        <v>9353500</v>
      </c>
      <c r="C38" s="31">
        <f t="shared" ref="C38" si="3">SUM(C35:C37)</f>
        <v>10694447</v>
      </c>
      <c r="D38" s="311">
        <f>(C38-$B$38)/$B$38</f>
        <v>0.14336312610252847</v>
      </c>
      <c r="E38" s="31">
        <f t="shared" ref="E38" si="4">SUM(E35:E37)</f>
        <v>10721747</v>
      </c>
      <c r="F38" s="311">
        <f>(E38-$B$38)/$B$38</f>
        <v>0.14628181963970707</v>
      </c>
      <c r="G38" s="31" t="e">
        <f t="shared" ref="G38" si="5">SUM(G35:G37)</f>
        <v>#REF!</v>
      </c>
      <c r="H38" s="311" t="e">
        <f>(G38-$B$38)/$B$38</f>
        <v>#REF!</v>
      </c>
    </row>
    <row r="39" spans="1:10" ht="15.75" thickTop="1" x14ac:dyDescent="0.25"/>
    <row r="40" spans="1:10" ht="21" x14ac:dyDescent="0.35">
      <c r="A40" s="1105" t="s">
        <v>51</v>
      </c>
      <c r="B40" s="1105"/>
      <c r="C40" s="1105"/>
      <c r="D40" s="1105"/>
      <c r="E40" s="1105"/>
      <c r="F40" s="1105"/>
      <c r="G40" s="1105"/>
      <c r="H40" s="1105"/>
    </row>
    <row r="41" spans="1:10" hidden="1" x14ac:dyDescent="0.25">
      <c r="C41" s="5">
        <f>C38-B38</f>
        <v>1340947</v>
      </c>
    </row>
    <row r="42" spans="1:10" hidden="1" x14ac:dyDescent="0.25">
      <c r="C42" t="s">
        <v>52</v>
      </c>
    </row>
  </sheetData>
  <protectedRanges>
    <protectedRange sqref="C34:C38 E32 C32 E34:E38 G1:G1048576" name="Range1" securityDescriptor="O:WDG:WDD:(A;;CC;;;S-1-5-21-751916245-1090913435-1903153266-1213)"/>
  </protectedRanges>
  <mergeCells count="2">
    <mergeCell ref="A1:H1"/>
    <mergeCell ref="A40:H40"/>
  </mergeCells>
  <conditionalFormatting sqref="D3:D38 F3:F38 H3:H38">
    <cfRule type="cellIs" dxfId="190" priority="5" stopIfTrue="1" operator="lessThan">
      <formula>0</formula>
    </cfRule>
    <cfRule type="cellIs" dxfId="189" priority="6" stopIfTrue="1" operator="greaterThan">
      <formula>0</formula>
    </cfRule>
  </conditionalFormatting>
  <conditionalFormatting sqref="D34:D35">
    <cfRule type="cellIs" dxfId="188" priority="13" operator="equal">
      <formula>0</formula>
    </cfRule>
    <cfRule type="cellIs" dxfId="187" priority="14" operator="lessThan">
      <formula>0</formula>
    </cfRule>
    <cfRule type="cellIs" dxfId="186" priority="15" operator="greaterThan">
      <formula>0</formula>
    </cfRule>
  </conditionalFormatting>
  <conditionalFormatting sqref="D38">
    <cfRule type="cellIs" dxfId="185" priority="19" operator="equal">
      <formula>0</formula>
    </cfRule>
    <cfRule type="cellIs" dxfId="184" priority="20" operator="lessThan">
      <formula>0</formula>
    </cfRule>
    <cfRule type="cellIs" dxfId="183" priority="21" operator="greaterThan">
      <formula>0</formula>
    </cfRule>
  </conditionalFormatting>
  <conditionalFormatting sqref="F3:F31">
    <cfRule type="expression" dxfId="182" priority="1">
      <formula>"&lt;1"</formula>
    </cfRule>
  </conditionalFormatting>
  <conditionalFormatting sqref="F3:F38 D3:D38 H3:H38">
    <cfRule type="cellIs" dxfId="181" priority="4" stopIfTrue="1" operator="equal">
      <formula>0</formula>
    </cfRule>
  </conditionalFormatting>
  <conditionalFormatting sqref="F32">
    <cfRule type="cellIs" dxfId="180" priority="7" operator="equal">
      <formula>0</formula>
    </cfRule>
    <cfRule type="cellIs" dxfId="179" priority="8" operator="lessThan">
      <formula>0</formula>
    </cfRule>
    <cfRule type="cellIs" dxfId="178" priority="9" operator="greaterThan">
      <formula>0</formula>
    </cfRule>
  </conditionalFormatting>
  <conditionalFormatting sqref="F34:F35">
    <cfRule type="cellIs" dxfId="177" priority="10" operator="equal">
      <formula>0</formula>
    </cfRule>
    <cfRule type="cellIs" dxfId="176" priority="11" operator="lessThan">
      <formula>0</formula>
    </cfRule>
    <cfRule type="cellIs" dxfId="175" priority="12" operator="greaterThan">
      <formula>0</formula>
    </cfRule>
  </conditionalFormatting>
  <conditionalFormatting sqref="F38">
    <cfRule type="cellIs" dxfId="174" priority="22" operator="equal">
      <formula>0</formula>
    </cfRule>
    <cfRule type="cellIs" dxfId="173" priority="23" operator="lessThan">
      <formula>0</formula>
    </cfRule>
    <cfRule type="cellIs" dxfId="172" priority="24" operator="greaterThan">
      <formula>0</formula>
    </cfRule>
  </conditionalFormatting>
  <conditionalFormatting sqref="H3:H32">
    <cfRule type="cellIs" dxfId="171" priority="40" operator="equal">
      <formula>0</formula>
    </cfRule>
    <cfRule type="cellIs" dxfId="170" priority="41" operator="lessThan">
      <formula>0</formula>
    </cfRule>
    <cfRule type="cellIs" dxfId="169" priority="42" operator="greaterThan">
      <formula>0</formula>
    </cfRule>
  </conditionalFormatting>
  <conditionalFormatting sqref="H34:H35">
    <cfRule type="cellIs" dxfId="168" priority="55" operator="equal">
      <formula>0</formula>
    </cfRule>
    <cfRule type="cellIs" dxfId="167" priority="56" operator="lessThan">
      <formula>0</formula>
    </cfRule>
    <cfRule type="cellIs" dxfId="166" priority="57" operator="greaterThan">
      <formula>0</formula>
    </cfRule>
  </conditionalFormatting>
  <conditionalFormatting sqref="H38">
    <cfRule type="cellIs" dxfId="165" priority="52" operator="equal">
      <formula>0</formula>
    </cfRule>
    <cfRule type="cellIs" dxfId="164" priority="53" operator="lessThan">
      <formula>0</formula>
    </cfRule>
    <cfRule type="cellIs" dxfId="163" priority="54" operator="greaterThan">
      <formula>0</formula>
    </cfRule>
  </conditionalFormatting>
  <printOptions horizontalCentered="1" verticalCentered="1"/>
  <pageMargins left="0.45" right="0.45" top="0.25" bottom="0.25" header="0.3" footer="0.3"/>
  <pageSetup scale="8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4:R59"/>
  <sheetViews>
    <sheetView workbookViewId="0">
      <selection activeCell="I7" sqref="I7"/>
    </sheetView>
  </sheetViews>
  <sheetFormatPr defaultColWidth="14.42578125" defaultRowHeight="15" customHeight="1" x14ac:dyDescent="0.25"/>
  <cols>
    <col min="1" max="1" width="9" customWidth="1"/>
    <col min="2" max="2" width="20.140625" customWidth="1"/>
    <col min="3" max="3" width="13.5703125" customWidth="1"/>
    <col min="4" max="4" width="15" customWidth="1"/>
    <col min="5" max="5" width="8.140625" customWidth="1"/>
    <col min="6" max="6" width="10.140625" customWidth="1"/>
    <col min="7" max="7" width="13.140625" customWidth="1"/>
    <col min="8" max="8" width="10.7109375" customWidth="1"/>
    <col min="9" max="9" width="11.5703125" customWidth="1"/>
    <col min="10" max="10" width="8.85546875" customWidth="1"/>
    <col min="11" max="12" width="6.5703125" customWidth="1"/>
    <col min="13" max="13" width="17.42578125" customWidth="1"/>
    <col min="14" max="14" width="13" customWidth="1"/>
    <col min="15" max="15" width="8.140625" customWidth="1"/>
    <col min="16" max="16" width="8.5703125" customWidth="1"/>
    <col min="17" max="17" width="6.5703125" customWidth="1"/>
    <col min="18" max="25" width="13.28515625" customWidth="1"/>
    <col min="26" max="26" width="15.140625" customWidth="1"/>
  </cols>
  <sheetData>
    <row r="4" spans="1:18" ht="26.25" x14ac:dyDescent="0.4">
      <c r="A4" s="392"/>
      <c r="B4" s="392"/>
      <c r="C4" s="392"/>
      <c r="D4" s="392"/>
      <c r="E4" s="392"/>
      <c r="F4" s="392"/>
      <c r="G4" s="392"/>
      <c r="H4" s="392"/>
      <c r="I4" s="392"/>
    </row>
    <row r="5" spans="1:18" ht="26.25" x14ac:dyDescent="0.4">
      <c r="A5" s="392"/>
      <c r="B5" s="392"/>
      <c r="C5" s="392"/>
      <c r="D5" s="392"/>
      <c r="E5" s="392"/>
      <c r="F5" s="392"/>
      <c r="G5" s="392"/>
      <c r="H5" s="392"/>
      <c r="I5" s="392"/>
    </row>
    <row r="6" spans="1:18" ht="26.25" x14ac:dyDescent="0.4">
      <c r="A6" s="1122" t="s">
        <v>718</v>
      </c>
      <c r="B6" s="1122"/>
      <c r="C6" s="1122"/>
      <c r="D6" s="1122"/>
      <c r="E6" s="1122"/>
      <c r="F6" s="1122"/>
      <c r="G6" s="1122"/>
      <c r="H6" s="1122"/>
      <c r="I6" s="1122" t="s">
        <v>719</v>
      </c>
      <c r="J6" s="1122"/>
      <c r="K6" s="1122"/>
      <c r="L6" s="1122"/>
      <c r="M6" s="1122"/>
      <c r="N6" s="1122"/>
      <c r="O6" s="1122"/>
      <c r="P6" s="1122"/>
      <c r="Q6" s="1122"/>
      <c r="R6" s="1122"/>
    </row>
    <row r="7" spans="1:18" ht="15" customHeight="1" x14ac:dyDescent="0.25">
      <c r="B7" s="195"/>
      <c r="C7" s="827" t="s">
        <v>65</v>
      </c>
      <c r="D7" s="828" t="s">
        <v>66</v>
      </c>
      <c r="E7" s="829" t="s">
        <v>67</v>
      </c>
      <c r="L7" s="195"/>
      <c r="M7" s="827" t="s">
        <v>65</v>
      </c>
      <c r="N7" s="828" t="s">
        <v>66</v>
      </c>
      <c r="O7" s="829" t="s">
        <v>67</v>
      </c>
      <c r="P7" s="195"/>
    </row>
    <row r="8" spans="1:18" ht="15" customHeight="1" x14ac:dyDescent="0.25">
      <c r="B8" s="195"/>
      <c r="C8" s="768" t="s">
        <v>64</v>
      </c>
      <c r="D8" s="769">
        <f>SUM('3% Overview'!U7)</f>
        <v>10999300</v>
      </c>
      <c r="E8" s="770">
        <f>D8/$D$13</f>
        <v>0.74730612965907084</v>
      </c>
      <c r="L8" s="195"/>
      <c r="M8" s="768" t="s">
        <v>565</v>
      </c>
      <c r="N8" s="769">
        <f>'ARB Budget'!F10</f>
        <v>645670</v>
      </c>
      <c r="O8" s="770">
        <f>N8/$N$13</f>
        <v>0.95287780401416766</v>
      </c>
      <c r="P8" s="195"/>
    </row>
    <row r="9" spans="1:18" ht="15" customHeight="1" x14ac:dyDescent="0.25">
      <c r="B9" s="195"/>
      <c r="C9" s="771" t="s">
        <v>68</v>
      </c>
      <c r="D9" s="772">
        <f>SUM('3% Overview'!U8)</f>
        <v>516500</v>
      </c>
      <c r="E9" s="773">
        <f>D9/$D$13</f>
        <v>3.5091652738711565E-2</v>
      </c>
      <c r="L9" s="195"/>
      <c r="M9" s="771" t="s">
        <v>68</v>
      </c>
      <c r="N9" s="772">
        <f>'ARB Budget'!F15</f>
        <v>1060</v>
      </c>
      <c r="O9" s="773">
        <f>N9/$N$13</f>
        <v>1.564344746162928E-3</v>
      </c>
      <c r="P9" s="195"/>
    </row>
    <row r="10" spans="1:18" ht="15" customHeight="1" x14ac:dyDescent="0.25">
      <c r="B10" s="195"/>
      <c r="C10" s="768" t="s">
        <v>69</v>
      </c>
      <c r="D10" s="769">
        <f>SUM('3% Overview'!U9)</f>
        <v>3132800</v>
      </c>
      <c r="E10" s="770">
        <f>D10/$D$13</f>
        <v>0.21284633049338933</v>
      </c>
      <c r="L10" s="195"/>
      <c r="M10" s="768" t="s">
        <v>566</v>
      </c>
      <c r="N10" s="769">
        <f>'ARB Budget'!F27</f>
        <v>26340</v>
      </c>
      <c r="O10" s="770">
        <f>N10/$N$13</f>
        <v>3.8872491145218416E-2</v>
      </c>
      <c r="P10" s="195"/>
    </row>
    <row r="11" spans="1:18" ht="15" customHeight="1" x14ac:dyDescent="0.25">
      <c r="B11" s="195"/>
      <c r="C11" s="771" t="s">
        <v>71</v>
      </c>
      <c r="D11" s="772">
        <f>SUM('3% Overview'!U10)</f>
        <v>0</v>
      </c>
      <c r="E11" s="773">
        <f>D11/$D$13</f>
        <v>0</v>
      </c>
      <c r="L11" s="195"/>
      <c r="M11" s="771" t="s">
        <v>567</v>
      </c>
      <c r="N11" s="772">
        <f>'ARB Budget'!F32</f>
        <v>0</v>
      </c>
      <c r="O11" s="773">
        <f>N11/$N$13</f>
        <v>0</v>
      </c>
      <c r="P11" s="195"/>
    </row>
    <row r="12" spans="1:18" ht="15" customHeight="1" x14ac:dyDescent="0.25">
      <c r="B12" s="195"/>
      <c r="C12" s="768" t="s">
        <v>72</v>
      </c>
      <c r="D12" s="769">
        <f>SUM('3% Overview'!U11)</f>
        <v>70000</v>
      </c>
      <c r="E12" s="770">
        <f>D12/$D$13</f>
        <v>4.7558871088282852E-3</v>
      </c>
      <c r="L12" s="195"/>
      <c r="M12" s="768" t="s">
        <v>568</v>
      </c>
      <c r="N12" s="769">
        <f>'ARB Budget'!F37</f>
        <v>4500</v>
      </c>
      <c r="O12" s="770">
        <f>N12/$N$13</f>
        <v>6.6410861865407317E-3</v>
      </c>
      <c r="P12" s="195"/>
    </row>
    <row r="13" spans="1:18" ht="15" customHeight="1" x14ac:dyDescent="0.25">
      <c r="B13" s="195"/>
      <c r="C13" s="771" t="s">
        <v>74</v>
      </c>
      <c r="D13" s="772">
        <f>SUM(D8:D12)</f>
        <v>14718600</v>
      </c>
      <c r="E13" s="773">
        <f>SUM(E8:E12)</f>
        <v>0.99999999999999989</v>
      </c>
      <c r="L13" s="195"/>
      <c r="M13" s="771" t="s">
        <v>74</v>
      </c>
      <c r="N13" s="772">
        <f>SUM(ROUNDUP(SUBTOTAL(109,N8:N12),-2))</f>
        <v>677600</v>
      </c>
      <c r="O13" s="774">
        <f>SUM(O8:O12)</f>
        <v>0.99995572609208971</v>
      </c>
      <c r="P13" s="195"/>
    </row>
    <row r="14" spans="1:18" ht="15" customHeight="1" x14ac:dyDescent="0.25">
      <c r="B14" s="195"/>
      <c r="C14" s="195"/>
      <c r="D14" s="195"/>
      <c r="E14" s="195"/>
    </row>
    <row r="52" spans="3:5" ht="15" customHeight="1" x14ac:dyDescent="0.25">
      <c r="C52" s="329" t="s">
        <v>65</v>
      </c>
      <c r="D52" s="330" t="s">
        <v>66</v>
      </c>
      <c r="E52" s="337" t="s">
        <v>67</v>
      </c>
    </row>
    <row r="53" spans="3:5" ht="15" customHeight="1" x14ac:dyDescent="0.25">
      <c r="C53" s="334" t="s">
        <v>64</v>
      </c>
      <c r="D53" s="331">
        <f>SUM(D8)</f>
        <v>10999300</v>
      </c>
      <c r="E53" s="332">
        <f t="shared" ref="E53:E58" si="0">D53/$D$59</f>
        <v>0.71441654434211044</v>
      </c>
    </row>
    <row r="54" spans="3:5" ht="15" customHeight="1" x14ac:dyDescent="0.25">
      <c r="C54" s="335" t="s">
        <v>68</v>
      </c>
      <c r="D54" s="339">
        <f>SUM(D9)</f>
        <v>516500</v>
      </c>
      <c r="E54" s="336">
        <f t="shared" si="0"/>
        <v>3.3547238929086398E-2</v>
      </c>
    </row>
    <row r="55" spans="3:5" ht="15" customHeight="1" x14ac:dyDescent="0.25">
      <c r="C55" s="334" t="s">
        <v>69</v>
      </c>
      <c r="D55" s="331">
        <f>SUM(D10)</f>
        <v>3132800</v>
      </c>
      <c r="E55" s="332">
        <f t="shared" si="0"/>
        <v>0.20347878047829984</v>
      </c>
    </row>
    <row r="56" spans="3:5" ht="15" customHeight="1" x14ac:dyDescent="0.25">
      <c r="C56" s="335" t="s">
        <v>71</v>
      </c>
      <c r="D56" s="339">
        <f>SUM(D11)</f>
        <v>0</v>
      </c>
      <c r="E56" s="336">
        <f t="shared" si="0"/>
        <v>0</v>
      </c>
    </row>
    <row r="57" spans="3:5" ht="15" customHeight="1" x14ac:dyDescent="0.25">
      <c r="C57" s="334" t="s">
        <v>72</v>
      </c>
      <c r="D57" s="331">
        <f>SUM(D12)</f>
        <v>70000</v>
      </c>
      <c r="E57" s="332">
        <f t="shared" si="0"/>
        <v>4.5465764279497538E-3</v>
      </c>
    </row>
    <row r="58" spans="3:5" ht="15" customHeight="1" x14ac:dyDescent="0.25">
      <c r="C58" s="338" t="s">
        <v>73</v>
      </c>
      <c r="D58" s="340">
        <f>SUM(N13)</f>
        <v>677600</v>
      </c>
      <c r="E58" s="333">
        <f t="shared" si="0"/>
        <v>4.4010859822553615E-2</v>
      </c>
    </row>
    <row r="59" spans="3:5" ht="15" customHeight="1" x14ac:dyDescent="0.25">
      <c r="C59" s="341" t="s">
        <v>158</v>
      </c>
      <c r="D59" s="342">
        <f>SUM(D53:D58)</f>
        <v>15396200</v>
      </c>
      <c r="E59" s="343">
        <f>SUM(E53:E58)</f>
        <v>1</v>
      </c>
    </row>
  </sheetData>
  <mergeCells count="2">
    <mergeCell ref="A6:H6"/>
    <mergeCell ref="I6:R6"/>
  </mergeCells>
  <printOptions horizontalCentered="1"/>
  <pageMargins left="0.25" right="0.25" top="0.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AF50C-E8DD-416A-8730-B2DDDF581907}">
  <sheetPr>
    <pageSetUpPr fitToPage="1"/>
  </sheetPr>
  <dimension ref="A4:E42"/>
  <sheetViews>
    <sheetView zoomScale="140" zoomScaleNormal="140" zoomScaleSheetLayoutView="70" workbookViewId="0">
      <selection activeCell="C10" sqref="C10"/>
    </sheetView>
  </sheetViews>
  <sheetFormatPr defaultRowHeight="15" x14ac:dyDescent="0.25"/>
  <cols>
    <col min="1" max="1" width="34.85546875" bestFit="1" customWidth="1"/>
    <col min="2" max="3" width="15.5703125" bestFit="1" customWidth="1"/>
    <col min="4" max="4" width="14.28515625" customWidth="1"/>
    <col min="5" max="5" width="15.140625" bestFit="1" customWidth="1"/>
  </cols>
  <sheetData>
    <row r="4" spans="1:5" ht="24.75" customHeight="1" x14ac:dyDescent="0.25"/>
    <row r="5" spans="1:5" ht="36" x14ac:dyDescent="0.55000000000000004">
      <c r="A5" s="1123" t="s">
        <v>569</v>
      </c>
      <c r="B5" s="1123"/>
      <c r="C5" s="1123"/>
      <c r="D5" s="1123"/>
      <c r="E5" s="1123"/>
    </row>
    <row r="6" spans="1:5" ht="19.5" customHeight="1" x14ac:dyDescent="0.35">
      <c r="A6" s="1124" t="s">
        <v>720</v>
      </c>
      <c r="B6" s="1124"/>
      <c r="C6" s="1124"/>
      <c r="D6" s="1124"/>
      <c r="E6" s="1124"/>
    </row>
    <row r="7" spans="1:5" x14ac:dyDescent="0.25">
      <c r="A7" s="1125" t="s">
        <v>717</v>
      </c>
      <c r="B7" s="1125"/>
      <c r="C7" s="1125"/>
      <c r="D7" s="1125"/>
      <c r="E7" s="1125"/>
    </row>
    <row r="8" spans="1:5" ht="9" customHeight="1" thickBot="1" x14ac:dyDescent="0.3">
      <c r="D8" s="391"/>
      <c r="E8" s="391"/>
    </row>
    <row r="9" spans="1:5" ht="30.75" thickBot="1" x14ac:dyDescent="0.3">
      <c r="A9" s="687" t="s">
        <v>570</v>
      </c>
      <c r="B9" s="686" t="s">
        <v>721</v>
      </c>
      <c r="C9" s="686" t="s">
        <v>722</v>
      </c>
      <c r="D9" s="686" t="s">
        <v>571</v>
      </c>
      <c r="E9" s="686" t="s">
        <v>572</v>
      </c>
    </row>
    <row r="10" spans="1:5" ht="15.75" x14ac:dyDescent="0.25">
      <c r="A10" s="368" t="s">
        <v>573</v>
      </c>
      <c r="B10" s="377">
        <f>SUM('3% Overview'!K3)</f>
        <v>7373300</v>
      </c>
      <c r="C10" s="378">
        <f>SUM('3% Overview'!L3)</f>
        <v>7988000</v>
      </c>
      <c r="D10" s="381">
        <f>SUM(C10-B10)</f>
        <v>614700</v>
      </c>
      <c r="E10" s="369">
        <f t="shared" ref="E10:E30" si="0">(C10-B10)/B10</f>
        <v>8.3368369658090677E-2</v>
      </c>
    </row>
    <row r="11" spans="1:5" ht="15.75" x14ac:dyDescent="0.25">
      <c r="A11" s="370" t="s">
        <v>574</v>
      </c>
      <c r="B11" s="1055">
        <f>SUM('3% Overview'!K4)</f>
        <v>359700</v>
      </c>
      <c r="C11" s="382">
        <f>SUM('3% Overview'!L4)</f>
        <v>406600</v>
      </c>
      <c r="D11" s="383">
        <f t="shared" ref="D11:D39" si="1">SUM(C11-B11)</f>
        <v>46900</v>
      </c>
      <c r="E11" s="371">
        <f t="shared" si="0"/>
        <v>0.13038643313872672</v>
      </c>
    </row>
    <row r="12" spans="1:5" ht="15.75" x14ac:dyDescent="0.25">
      <c r="A12" s="368" t="s">
        <v>575</v>
      </c>
      <c r="B12" s="377">
        <f>SUM('3% Overview'!K5)</f>
        <v>1024600</v>
      </c>
      <c r="C12" s="378">
        <f>SUM('3% Overview'!L5)</f>
        <v>944200</v>
      </c>
      <c r="D12" s="381">
        <f t="shared" si="1"/>
        <v>-80400</v>
      </c>
      <c r="E12" s="369">
        <f t="shared" si="0"/>
        <v>-7.8469646691391767E-2</v>
      </c>
    </row>
    <row r="13" spans="1:5" ht="15.75" x14ac:dyDescent="0.25">
      <c r="A13" s="370" t="s">
        <v>576</v>
      </c>
      <c r="B13" s="1055">
        <f>SUM('3% Overview'!K6)</f>
        <v>1405800</v>
      </c>
      <c r="C13" s="382">
        <f>SUM('3% Overview'!L6)</f>
        <v>1528700</v>
      </c>
      <c r="D13" s="383">
        <f t="shared" si="1"/>
        <v>122900</v>
      </c>
      <c r="E13" s="371">
        <f t="shared" si="0"/>
        <v>8.7423531085502923E-2</v>
      </c>
    </row>
    <row r="14" spans="1:5" ht="15.75" x14ac:dyDescent="0.25">
      <c r="A14" s="368" t="s">
        <v>577</v>
      </c>
      <c r="B14" s="377">
        <f>SUM('3% Overview'!K7)</f>
        <v>9200</v>
      </c>
      <c r="C14" s="378">
        <f>SUM('3% Overview'!L7)</f>
        <v>9200</v>
      </c>
      <c r="D14" s="381">
        <f t="shared" si="1"/>
        <v>0</v>
      </c>
      <c r="E14" s="369">
        <f t="shared" si="0"/>
        <v>0</v>
      </c>
    </row>
    <row r="15" spans="1:5" ht="15.75" x14ac:dyDescent="0.25">
      <c r="A15" s="370" t="s">
        <v>578</v>
      </c>
      <c r="B15" s="1055">
        <f>SUM('3% Overview'!K8)</f>
        <v>113000</v>
      </c>
      <c r="C15" s="382">
        <f>SUM('3% Overview'!L8)</f>
        <v>122600</v>
      </c>
      <c r="D15" s="383">
        <f t="shared" si="1"/>
        <v>9600</v>
      </c>
      <c r="E15" s="371">
        <f t="shared" si="0"/>
        <v>8.4955752212389379E-2</v>
      </c>
    </row>
    <row r="16" spans="1:5" ht="15.75" x14ac:dyDescent="0.25">
      <c r="A16" s="368" t="s">
        <v>579</v>
      </c>
      <c r="B16" s="377">
        <f>SUM('3% Overview'!K9)</f>
        <v>16600</v>
      </c>
      <c r="C16" s="378">
        <f>SUM('3% Overview'!L9)</f>
        <v>18000</v>
      </c>
      <c r="D16" s="381">
        <f>SUM(C16-B16)</f>
        <v>1400</v>
      </c>
      <c r="E16" s="369">
        <f t="shared" si="0"/>
        <v>8.4337349397590355E-2</v>
      </c>
    </row>
    <row r="17" spans="1:5" ht="15.75" x14ac:dyDescent="0.25">
      <c r="A17" s="370" t="s">
        <v>580</v>
      </c>
      <c r="B17" s="1055">
        <f>SUM('3% Overview'!K10)</f>
        <v>247500</v>
      </c>
      <c r="C17" s="382">
        <f>SUM('3% Overview'!L10)</f>
        <v>273900</v>
      </c>
      <c r="D17" s="383">
        <f t="shared" si="1"/>
        <v>26400</v>
      </c>
      <c r="E17" s="371">
        <f t="shared" si="0"/>
        <v>0.10666666666666667</v>
      </c>
    </row>
    <row r="18" spans="1:5" ht="15.75" x14ac:dyDescent="0.25">
      <c r="A18" s="368" t="s">
        <v>581</v>
      </c>
      <c r="B18" s="377">
        <f>SUM('3% Overview'!K11)</f>
        <v>89100</v>
      </c>
      <c r="C18" s="378">
        <f>SUM('3% Overview'!L11)</f>
        <v>101500</v>
      </c>
      <c r="D18" s="381">
        <f t="shared" si="1"/>
        <v>12400</v>
      </c>
      <c r="E18" s="369">
        <f t="shared" si="0"/>
        <v>0.13916947250280584</v>
      </c>
    </row>
    <row r="19" spans="1:5" ht="15.75" x14ac:dyDescent="0.25">
      <c r="A19" s="370" t="s">
        <v>582</v>
      </c>
      <c r="B19" s="1055">
        <f>SUM('3% Overview'!K12)</f>
        <v>7800</v>
      </c>
      <c r="C19" s="382">
        <f>SUM('3% Overview'!L12)</f>
        <v>8500</v>
      </c>
      <c r="D19" s="384">
        <f t="shared" si="1"/>
        <v>700</v>
      </c>
      <c r="E19" s="372">
        <f t="shared" si="0"/>
        <v>8.9743589743589744E-2</v>
      </c>
    </row>
    <row r="20" spans="1:5" ht="15.75" x14ac:dyDescent="0.25">
      <c r="A20" s="368" t="s">
        <v>583</v>
      </c>
      <c r="B20" s="377">
        <f>SUM('3% Overview'!K13)</f>
        <v>94000</v>
      </c>
      <c r="C20" s="378">
        <f>SUM('3% Overview'!L13)</f>
        <v>96900</v>
      </c>
      <c r="D20" s="381">
        <f t="shared" si="1"/>
        <v>2900</v>
      </c>
      <c r="E20" s="369">
        <f t="shared" si="0"/>
        <v>3.0851063829787233E-2</v>
      </c>
    </row>
    <row r="21" spans="1:5" ht="15.75" x14ac:dyDescent="0.25">
      <c r="A21" s="370" t="s">
        <v>584</v>
      </c>
      <c r="B21" s="1055">
        <f>SUM('3% Overview'!K14)</f>
        <v>16500</v>
      </c>
      <c r="C21" s="382">
        <f>SUM('3% Overview'!L14)</f>
        <v>17700</v>
      </c>
      <c r="D21" s="385">
        <f t="shared" si="1"/>
        <v>1200</v>
      </c>
      <c r="E21" s="373">
        <f t="shared" si="0"/>
        <v>7.2727272727272724E-2</v>
      </c>
    </row>
    <row r="22" spans="1:5" ht="15.75" x14ac:dyDescent="0.25">
      <c r="A22" s="368" t="s">
        <v>585</v>
      </c>
      <c r="B22" s="377">
        <f>SUM('3% Overview'!K15)</f>
        <v>165200</v>
      </c>
      <c r="C22" s="378">
        <f>SUM('3% Overview'!L15)</f>
        <v>159100</v>
      </c>
      <c r="D22" s="381">
        <f t="shared" si="1"/>
        <v>-6100</v>
      </c>
      <c r="E22" s="369">
        <f t="shared" si="0"/>
        <v>-3.6924939467312345E-2</v>
      </c>
    </row>
    <row r="23" spans="1:5" ht="15.75" x14ac:dyDescent="0.25">
      <c r="A23" s="370" t="s">
        <v>586</v>
      </c>
      <c r="B23" s="1055">
        <f>SUM('3% Overview'!K16)</f>
        <v>43500</v>
      </c>
      <c r="C23" s="382">
        <f>SUM('3% Overview'!L16)</f>
        <v>42000</v>
      </c>
      <c r="D23" s="385">
        <f>SUM(C23-B23)</f>
        <v>-1500</v>
      </c>
      <c r="E23" s="373">
        <f t="shared" si="0"/>
        <v>-3.4482758620689655E-2</v>
      </c>
    </row>
    <row r="24" spans="1:5" ht="15.75" x14ac:dyDescent="0.25">
      <c r="A24" s="368" t="s">
        <v>587</v>
      </c>
      <c r="B24" s="377">
        <f>SUM('3% Overview'!K17)</f>
        <v>224700</v>
      </c>
      <c r="C24" s="378">
        <f>SUM('3% Overview'!L17)</f>
        <v>230700</v>
      </c>
      <c r="D24" s="386">
        <f t="shared" si="1"/>
        <v>6000</v>
      </c>
      <c r="E24" s="374">
        <f t="shared" si="0"/>
        <v>2.67022696929239E-2</v>
      </c>
    </row>
    <row r="25" spans="1:5" ht="15.75" x14ac:dyDescent="0.25">
      <c r="A25" s="370" t="s">
        <v>588</v>
      </c>
      <c r="B25" s="1055">
        <f>SUM('3% Overview'!K18)</f>
        <v>189400</v>
      </c>
      <c r="C25" s="382">
        <f>SUM('3% Overview'!L18)</f>
        <v>189600</v>
      </c>
      <c r="D25" s="383">
        <f>SUM(C25-B25)</f>
        <v>200</v>
      </c>
      <c r="E25" s="371">
        <f t="shared" si="0"/>
        <v>1.0559662090813093E-3</v>
      </c>
    </row>
    <row r="26" spans="1:5" ht="15.75" x14ac:dyDescent="0.25">
      <c r="A26" s="368" t="s">
        <v>589</v>
      </c>
      <c r="B26" s="377">
        <f>SUM('3% Overview'!K19)</f>
        <v>17500</v>
      </c>
      <c r="C26" s="378">
        <f>SUM('3% Overview'!L19)</f>
        <v>19000</v>
      </c>
      <c r="D26" s="387">
        <f t="shared" si="1"/>
        <v>1500</v>
      </c>
      <c r="E26" s="375">
        <f t="shared" si="0"/>
        <v>8.5714285714285715E-2</v>
      </c>
    </row>
    <row r="27" spans="1:5" ht="15.75" x14ac:dyDescent="0.25">
      <c r="A27" s="370" t="s">
        <v>590</v>
      </c>
      <c r="B27" s="1055">
        <f>SUM('3% Overview'!K20)</f>
        <v>184000</v>
      </c>
      <c r="C27" s="382">
        <f>SUM('3% Overview'!L20)</f>
        <v>184000</v>
      </c>
      <c r="D27" s="383">
        <f>SUM(C27-B27)</f>
        <v>0</v>
      </c>
      <c r="E27" s="371">
        <f t="shared" si="0"/>
        <v>0</v>
      </c>
    </row>
    <row r="28" spans="1:5" ht="15.75" x14ac:dyDescent="0.25">
      <c r="A28" s="368" t="s">
        <v>591</v>
      </c>
      <c r="B28" s="377">
        <f>SUM('3% Overview'!K21)</f>
        <v>146100</v>
      </c>
      <c r="C28" s="378">
        <f>SUM('3% Overview'!L21)</f>
        <v>180800</v>
      </c>
      <c r="D28" s="381">
        <f t="shared" si="1"/>
        <v>34700</v>
      </c>
      <c r="E28" s="369">
        <f t="shared" si="0"/>
        <v>0.2375085557837098</v>
      </c>
    </row>
    <row r="29" spans="1:5" ht="15.75" x14ac:dyDescent="0.25">
      <c r="A29" s="370" t="s">
        <v>592</v>
      </c>
      <c r="B29" s="1055">
        <f>SUM('3% Overview'!K22)</f>
        <v>500</v>
      </c>
      <c r="C29" s="382">
        <f>SUM('3% Overview'!L22)</f>
        <v>500</v>
      </c>
      <c r="D29" s="384">
        <f t="shared" si="1"/>
        <v>0</v>
      </c>
      <c r="E29" s="372">
        <f t="shared" si="0"/>
        <v>0</v>
      </c>
    </row>
    <row r="30" spans="1:5" ht="15.75" x14ac:dyDescent="0.25">
      <c r="A30" s="368" t="s">
        <v>593</v>
      </c>
      <c r="B30" s="377">
        <f>SUM('3% Overview'!K23)</f>
        <v>1185800</v>
      </c>
      <c r="C30" s="378">
        <f>SUM('3% Overview'!L23)</f>
        <v>1369900</v>
      </c>
      <c r="D30" s="381">
        <f t="shared" si="1"/>
        <v>184100</v>
      </c>
      <c r="E30" s="369">
        <f t="shared" si="0"/>
        <v>0.1552538370720189</v>
      </c>
    </row>
    <row r="31" spans="1:5" ht="15.75" x14ac:dyDescent="0.25">
      <c r="A31" s="1056" t="s">
        <v>594</v>
      </c>
      <c r="B31" s="1055">
        <f>SUM('3% Overview'!K24)</f>
        <v>444800</v>
      </c>
      <c r="C31" s="382">
        <f>SUM('3% Overview'!L24)</f>
        <v>475400</v>
      </c>
      <c r="D31" s="1057">
        <f t="shared" si="1"/>
        <v>30600</v>
      </c>
      <c r="E31" s="1058">
        <f>(C31-B31)/B31</f>
        <v>6.8794964028776981E-2</v>
      </c>
    </row>
    <row r="32" spans="1:5" ht="15.75" x14ac:dyDescent="0.25">
      <c r="A32" s="368" t="s">
        <v>595</v>
      </c>
      <c r="B32" s="377">
        <f>SUM('3% Overview'!K25)</f>
        <v>279600</v>
      </c>
      <c r="C32" s="378">
        <f>SUM('3% Overview'!L25)</f>
        <v>252600</v>
      </c>
      <c r="D32" s="381">
        <f>SUM(C32-B32)</f>
        <v>-27000</v>
      </c>
      <c r="E32" s="369">
        <f>(C32-B32)/B32</f>
        <v>-9.6566523605150209E-2</v>
      </c>
    </row>
    <row r="33" spans="1:5" ht="15.75" x14ac:dyDescent="0.25">
      <c r="A33" s="1056" t="s">
        <v>596</v>
      </c>
      <c r="B33" s="1055">
        <f>SUM('3% Overview'!K26)</f>
        <v>25600</v>
      </c>
      <c r="C33" s="382">
        <f>SUM('3% Overview'!L26)</f>
        <v>29200</v>
      </c>
      <c r="D33" s="1057">
        <f t="shared" si="1"/>
        <v>3600</v>
      </c>
      <c r="E33" s="1058">
        <f>(C33-B33)/B33</f>
        <v>0.140625</v>
      </c>
    </row>
    <row r="34" spans="1:5" ht="15.75" x14ac:dyDescent="0.25">
      <c r="A34" s="368" t="s">
        <v>597</v>
      </c>
      <c r="B34" s="377">
        <f>SUM('3% Overview'!K27)</f>
        <v>0</v>
      </c>
      <c r="C34" s="378">
        <f>SUM('3% Overview'!L27)</f>
        <v>0</v>
      </c>
      <c r="D34" s="388">
        <f t="shared" si="1"/>
        <v>0</v>
      </c>
      <c r="E34" s="1067">
        <v>0</v>
      </c>
    </row>
    <row r="35" spans="1:5" ht="15.75" x14ac:dyDescent="0.25">
      <c r="A35" s="1056" t="s">
        <v>72</v>
      </c>
      <c r="B35" s="1055">
        <f>SUM('3% Overview'!K28)</f>
        <v>65000</v>
      </c>
      <c r="C35" s="382">
        <f>SUM('3% Overview'!L28)</f>
        <v>65000</v>
      </c>
      <c r="D35" s="1059">
        <f t="shared" si="1"/>
        <v>0</v>
      </c>
      <c r="E35" s="1060">
        <f>(C35-B35)/B35</f>
        <v>0</v>
      </c>
    </row>
    <row r="36" spans="1:5" ht="15.75" x14ac:dyDescent="0.25">
      <c r="A36" s="368" t="s">
        <v>598</v>
      </c>
      <c r="B36" s="377">
        <f>SUM('3% Overview'!K29)</f>
        <v>0</v>
      </c>
      <c r="C36" s="378">
        <f>SUM('3% Overview'!L29)</f>
        <v>0</v>
      </c>
      <c r="D36" s="387">
        <f t="shared" si="1"/>
        <v>0</v>
      </c>
      <c r="E36" s="1067">
        <v>0</v>
      </c>
    </row>
    <row r="37" spans="1:5" ht="15.75" x14ac:dyDescent="0.25">
      <c r="A37" s="1056" t="s">
        <v>599</v>
      </c>
      <c r="B37" s="1072">
        <f>SUM('3% Overview'!K30)</f>
        <v>5000</v>
      </c>
      <c r="C37" s="1073">
        <f>SUM('3% Overview'!L30)</f>
        <v>5000</v>
      </c>
      <c r="D37" s="1061">
        <f t="shared" si="1"/>
        <v>0</v>
      </c>
      <c r="E37" s="1062">
        <f>(C37-B37)/B37</f>
        <v>0</v>
      </c>
    </row>
    <row r="38" spans="1:5" ht="15.75" x14ac:dyDescent="0.25">
      <c r="A38" s="1068" t="s">
        <v>600</v>
      </c>
      <c r="B38" s="377">
        <f>SUM('3% Overview'!K31)</f>
        <v>13733800</v>
      </c>
      <c r="C38" s="378">
        <f>SUM('3% Overview'!L31)</f>
        <v>14718600</v>
      </c>
      <c r="D38" s="1069">
        <f>SUM(D10:D37)</f>
        <v>984800</v>
      </c>
      <c r="E38" s="1070">
        <f>(C38-B38)/B38</f>
        <v>7.1706301242190795E-2</v>
      </c>
    </row>
    <row r="39" spans="1:5" ht="15.75" x14ac:dyDescent="0.25">
      <c r="A39" s="1056" t="s">
        <v>73</v>
      </c>
      <c r="B39" s="1055">
        <f>SUM('3% Overview'!K33)</f>
        <v>347800</v>
      </c>
      <c r="C39" s="382">
        <f>SUM('3% Overview'!L33)</f>
        <v>677600</v>
      </c>
      <c r="D39" s="1059">
        <f t="shared" si="1"/>
        <v>329800</v>
      </c>
      <c r="E39" s="1063">
        <f>(C39-B39)/B39</f>
        <v>0.9482461184588844</v>
      </c>
    </row>
    <row r="40" spans="1:5" ht="16.5" thickBot="1" x14ac:dyDescent="0.3">
      <c r="A40" s="1068" t="s">
        <v>601</v>
      </c>
      <c r="B40" s="1074">
        <f>SUM(B38:B39)</f>
        <v>14081600</v>
      </c>
      <c r="C40" s="1075">
        <f>SUM(C38:C39)</f>
        <v>15396200</v>
      </c>
      <c r="D40" s="1069">
        <f>SUM(D38+D39)</f>
        <v>1314600</v>
      </c>
      <c r="E40" s="1071">
        <f>(C40-B40)/B40</f>
        <v>9.3355868651289628E-2</v>
      </c>
    </row>
    <row r="41" spans="1:5" ht="17.25" thickTop="1" thickBot="1" x14ac:dyDescent="0.3">
      <c r="A41" s="1064" t="s">
        <v>602</v>
      </c>
      <c r="B41" s="1055"/>
      <c r="C41" s="382"/>
      <c r="D41" s="1065"/>
      <c r="E41" s="1066"/>
    </row>
    <row r="42" spans="1:5" ht="16.5" thickBot="1" x14ac:dyDescent="0.3">
      <c r="A42" s="376" t="s">
        <v>603</v>
      </c>
      <c r="B42" s="379">
        <f>SUM(B40:B41)</f>
        <v>14081600</v>
      </c>
      <c r="C42" s="380">
        <f>SUM(C40:C41)</f>
        <v>15396200</v>
      </c>
      <c r="D42" s="389"/>
      <c r="E42" s="390">
        <f>(C42-B42)/B42</f>
        <v>9.3355868651289628E-2</v>
      </c>
    </row>
  </sheetData>
  <mergeCells count="3">
    <mergeCell ref="A5:E5"/>
    <mergeCell ref="A6:E6"/>
    <mergeCell ref="A7:E7"/>
  </mergeCells>
  <conditionalFormatting sqref="D10:D41 E42">
    <cfRule type="cellIs" dxfId="5" priority="6" operator="equal">
      <formula>0</formula>
    </cfRule>
    <cfRule type="cellIs" dxfId="4" priority="7" operator="lessThan">
      <formula>0</formula>
    </cfRule>
    <cfRule type="cellIs" dxfId="3" priority="8" operator="greaterThan">
      <formula>0</formula>
    </cfRule>
  </conditionalFormatting>
  <conditionalFormatting sqref="E10:E40">
    <cfRule type="cellIs" dxfId="2" priority="249" operator="equal">
      <formula>0</formula>
    </cfRule>
    <cfRule type="cellIs" dxfId="1" priority="250" operator="lessThan">
      <formula>0</formula>
    </cfRule>
    <cfRule type="cellIs" dxfId="0" priority="251" operator="greaterThan">
      <formula>0</formula>
    </cfRule>
  </conditionalFormatting>
  <printOptions horizontalCentered="1" verticalCentered="1"/>
  <pageMargins left="0.25" right="0.25" top="0.75" bottom="0.75" header="0.3" footer="0.3"/>
  <pageSetup orientation="portrait" r:id="rId1"/>
  <ignoredErrors>
    <ignoredError sqref="D38" formula="1"/>
  </ignoredErrors>
  <drawing r:id="rId2"/>
  <extLst>
    <ext xmlns:x14="http://schemas.microsoft.com/office/spreadsheetml/2009/9/main" uri="{78C0D931-6437-407d-A8EE-F0AAD7539E65}">
      <x14:conditionalFormattings>
        <x14:conditionalFormatting xmlns:xm="http://schemas.microsoft.com/office/excel/2006/main">
          <x14:cfRule type="iconSet" priority="1" id="{FA66CC10-FEA8-425D-8FE7-1E442781B20D}">
            <x14:iconSet iconSet="3Triangles">
              <x14:cfvo type="percent">
                <xm:f>0</xm:f>
              </x14:cfvo>
              <x14:cfvo type="num">
                <xm:f>0</xm:f>
              </x14:cfvo>
              <x14:cfvo type="num">
                <xm:f>1E-3</xm:f>
              </x14:cfvo>
            </x14:iconSet>
          </x14:cfRule>
          <xm:sqref>D41 E42</xm:sqref>
        </x14:conditionalFormatting>
        <x14:conditionalFormatting xmlns:xm="http://schemas.microsoft.com/office/excel/2006/main">
          <x14:cfRule type="iconSet" priority="252" id="{01CE2CD5-9D6D-4618-861B-C7AA7C6EE743}">
            <x14:iconSet iconSet="3Triangles">
              <x14:cfvo type="percent">
                <xm:f>0</xm:f>
              </x14:cfvo>
              <x14:cfvo type="num">
                <xm:f>0</xm:f>
              </x14:cfvo>
              <x14:cfvo type="num" gte="0">
                <xm:f>0</xm:f>
              </x14:cfvo>
            </x14:iconSet>
          </x14:cfRule>
          <xm:sqref>E10:E40</xm:sqref>
        </x14:conditionalFormatting>
      </x14:conditionalFormatting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dimension ref="A1:K23"/>
  <sheetViews>
    <sheetView workbookViewId="0">
      <pane xSplit="3" ySplit="1" topLeftCell="D2" activePane="bottomRight" state="frozenSplit"/>
      <selection pane="topRight" activeCell="D1" sqref="D1"/>
      <selection pane="bottomLeft" activeCell="A2" sqref="A2"/>
      <selection pane="bottomRight"/>
    </sheetView>
  </sheetViews>
  <sheetFormatPr defaultColWidth="14.42578125" defaultRowHeight="15" customHeight="1" x14ac:dyDescent="0.25"/>
  <cols>
    <col min="1" max="2" width="3" style="195" customWidth="1"/>
    <col min="3" max="3" width="26.28515625" style="195" customWidth="1"/>
    <col min="4" max="4" width="2.28515625" style="195" customWidth="1"/>
    <col min="5" max="5" width="17.7109375" style="195" bestFit="1" customWidth="1"/>
    <col min="6" max="6" width="10.7109375" style="195" bestFit="1" customWidth="1"/>
    <col min="7" max="7" width="17.85546875" style="195" bestFit="1" customWidth="1"/>
    <col min="8" max="8" width="24.5703125" style="195" bestFit="1" customWidth="1"/>
    <col min="9" max="9" width="30.7109375" style="195" customWidth="1"/>
    <col min="10" max="10" width="27.42578125" style="195" bestFit="1" customWidth="1"/>
    <col min="11" max="11" width="8.140625" style="195" bestFit="1" customWidth="1"/>
    <col min="12" max="16384" width="14.42578125" style="195"/>
  </cols>
  <sheetData>
    <row r="1" spans="1:11" s="196" customFormat="1" x14ac:dyDescent="0.25">
      <c r="A1" s="837"/>
      <c r="B1" s="837"/>
      <c r="C1" s="837"/>
      <c r="D1" s="837"/>
      <c r="E1" s="837"/>
      <c r="F1" s="837"/>
      <c r="G1" s="837"/>
      <c r="H1" s="837"/>
      <c r="I1" s="837"/>
      <c r="J1" s="837"/>
      <c r="K1" s="837"/>
    </row>
    <row r="2" spans="1:11" x14ac:dyDescent="0.25">
      <c r="A2" s="838"/>
      <c r="B2" s="838"/>
      <c r="C2" s="838"/>
      <c r="D2" s="838"/>
      <c r="E2" s="838"/>
      <c r="F2" s="839"/>
      <c r="G2" s="838"/>
      <c r="H2" s="838"/>
      <c r="I2" s="838"/>
      <c r="J2" s="838"/>
      <c r="K2" s="394"/>
    </row>
    <row r="3" spans="1:11" x14ac:dyDescent="0.25">
      <c r="A3" s="838"/>
      <c r="B3" s="838"/>
      <c r="C3" s="838"/>
      <c r="D3" s="838"/>
      <c r="E3" s="838"/>
      <c r="F3" s="839"/>
      <c r="G3" s="838"/>
      <c r="H3" s="838"/>
      <c r="I3" s="838"/>
      <c r="J3" s="838"/>
      <c r="K3" s="394"/>
    </row>
    <row r="4" spans="1:11" x14ac:dyDescent="0.25">
      <c r="A4" s="838"/>
      <c r="B4" s="838"/>
      <c r="C4" s="838"/>
      <c r="D4" s="838"/>
      <c r="E4" s="838"/>
      <c r="F4" s="839"/>
      <c r="G4" s="838"/>
      <c r="H4" s="838"/>
      <c r="I4" s="838"/>
      <c r="J4" s="838"/>
      <c r="K4" s="394"/>
    </row>
    <row r="5" spans="1:11" x14ac:dyDescent="0.25">
      <c r="A5" s="838"/>
      <c r="B5" s="838"/>
      <c r="C5" s="838"/>
      <c r="D5" s="838"/>
      <c r="E5" s="838"/>
      <c r="F5" s="839"/>
      <c r="G5" s="838"/>
      <c r="H5" s="838"/>
      <c r="I5" s="838"/>
      <c r="J5" s="838"/>
      <c r="K5" s="394"/>
    </row>
    <row r="6" spans="1:11" x14ac:dyDescent="0.25">
      <c r="A6" s="838"/>
      <c r="B6" s="838"/>
      <c r="C6" s="838"/>
      <c r="D6" s="838"/>
      <c r="E6" s="838"/>
      <c r="F6" s="839"/>
      <c r="G6" s="838"/>
      <c r="H6" s="838"/>
      <c r="I6" s="838"/>
      <c r="J6" s="838"/>
      <c r="K6" s="394"/>
    </row>
    <row r="7" spans="1:11" x14ac:dyDescent="0.25">
      <c r="A7" s="838"/>
      <c r="B7" s="838"/>
      <c r="C7" s="838"/>
      <c r="D7" s="838"/>
      <c r="E7" s="838"/>
      <c r="F7" s="839"/>
      <c r="G7" s="838"/>
      <c r="H7" s="838"/>
      <c r="I7" s="838"/>
      <c r="J7" s="838"/>
      <c r="K7" s="394"/>
    </row>
    <row r="8" spans="1:11" x14ac:dyDescent="0.25">
      <c r="A8" s="838"/>
      <c r="B8" s="838"/>
      <c r="C8" s="838"/>
      <c r="D8" s="838"/>
      <c r="E8" s="838"/>
      <c r="F8" s="839"/>
      <c r="G8" s="838"/>
      <c r="H8" s="838"/>
      <c r="I8" s="838"/>
      <c r="J8" s="838"/>
      <c r="K8" s="394"/>
    </row>
    <row r="9" spans="1:11" x14ac:dyDescent="0.25">
      <c r="A9" s="838"/>
      <c r="B9" s="838"/>
      <c r="C9" s="838"/>
      <c r="D9" s="838"/>
      <c r="E9" s="838"/>
      <c r="F9" s="839"/>
      <c r="G9" s="838"/>
      <c r="H9" s="838"/>
      <c r="I9" s="838"/>
      <c r="J9" s="838"/>
      <c r="K9" s="394"/>
    </row>
    <row r="10" spans="1:11" x14ac:dyDescent="0.25">
      <c r="A10" s="838"/>
      <c r="B10" s="838"/>
      <c r="C10" s="838"/>
      <c r="D10" s="838"/>
      <c r="E10" s="838"/>
      <c r="F10" s="839"/>
      <c r="G10" s="838"/>
      <c r="H10" s="838"/>
      <c r="I10" s="838"/>
      <c r="J10" s="838"/>
      <c r="K10" s="394"/>
    </row>
    <row r="11" spans="1:11" x14ac:dyDescent="0.25">
      <c r="A11" s="838"/>
      <c r="B11" s="838"/>
      <c r="C11" s="838"/>
      <c r="D11" s="838"/>
      <c r="E11" s="838"/>
      <c r="F11" s="839"/>
      <c r="G11" s="838"/>
      <c r="H11" s="838"/>
      <c r="I11" s="838"/>
      <c r="J11" s="838"/>
      <c r="K11" s="394"/>
    </row>
    <row r="12" spans="1:11" x14ac:dyDescent="0.25">
      <c r="A12" s="838"/>
      <c r="B12" s="838"/>
      <c r="C12" s="838"/>
      <c r="D12" s="838"/>
      <c r="E12" s="838"/>
      <c r="F12" s="839"/>
      <c r="G12" s="838"/>
      <c r="H12" s="838"/>
      <c r="I12" s="838"/>
      <c r="J12" s="838"/>
      <c r="K12" s="394"/>
    </row>
    <row r="13" spans="1:11" x14ac:dyDescent="0.25">
      <c r="A13" s="838"/>
      <c r="B13" s="838"/>
      <c r="C13" s="838"/>
      <c r="D13" s="838"/>
      <c r="E13" s="838"/>
      <c r="F13" s="839"/>
      <c r="G13" s="838"/>
      <c r="H13" s="838"/>
      <c r="I13" s="838"/>
      <c r="J13" s="838"/>
      <c r="K13" s="394"/>
    </row>
    <row r="14" spans="1:11" x14ac:dyDescent="0.25">
      <c r="A14" s="838"/>
      <c r="B14" s="838"/>
      <c r="C14" s="838"/>
      <c r="D14" s="838"/>
      <c r="E14" s="838"/>
      <c r="F14" s="839"/>
      <c r="G14" s="838"/>
      <c r="H14" s="838"/>
      <c r="I14" s="838"/>
      <c r="J14" s="838"/>
      <c r="K14" s="394"/>
    </row>
    <row r="15" spans="1:11" x14ac:dyDescent="0.25">
      <c r="A15" s="838"/>
      <c r="B15" s="838"/>
      <c r="C15" s="838"/>
      <c r="D15" s="838"/>
      <c r="E15" s="838"/>
      <c r="F15" s="839"/>
      <c r="G15" s="838"/>
      <c r="H15" s="838"/>
      <c r="I15" s="838"/>
      <c r="J15" s="838"/>
      <c r="K15" s="394"/>
    </row>
    <row r="16" spans="1:11" x14ac:dyDescent="0.25">
      <c r="A16" s="838"/>
      <c r="B16" s="838"/>
      <c r="C16" s="838"/>
      <c r="D16" s="838"/>
      <c r="E16" s="838"/>
      <c r="F16" s="839"/>
      <c r="G16" s="838"/>
      <c r="H16" s="838"/>
      <c r="I16" s="838"/>
      <c r="J16" s="838"/>
      <c r="K16" s="394"/>
    </row>
    <row r="17" spans="1:11" x14ac:dyDescent="0.25">
      <c r="A17" s="838"/>
      <c r="B17" s="838"/>
      <c r="C17" s="838"/>
      <c r="D17" s="838"/>
      <c r="E17" s="838"/>
      <c r="F17" s="839"/>
      <c r="G17" s="838"/>
      <c r="H17" s="838"/>
      <c r="I17" s="838"/>
      <c r="J17" s="838"/>
      <c r="K17" s="394"/>
    </row>
    <row r="18" spans="1:11" x14ac:dyDescent="0.25">
      <c r="A18" s="838"/>
      <c r="B18" s="838"/>
      <c r="C18" s="838"/>
      <c r="D18" s="838"/>
      <c r="E18" s="838"/>
      <c r="F18" s="839"/>
      <c r="G18" s="838"/>
      <c r="H18" s="838"/>
      <c r="I18" s="838"/>
      <c r="J18" s="838"/>
      <c r="K18" s="394"/>
    </row>
    <row r="19" spans="1:11" x14ac:dyDescent="0.25">
      <c r="A19" s="838"/>
      <c r="B19" s="838"/>
      <c r="C19" s="838"/>
      <c r="D19" s="838"/>
      <c r="E19" s="838"/>
      <c r="F19" s="839"/>
      <c r="G19" s="838"/>
      <c r="H19" s="838"/>
      <c r="I19" s="838"/>
      <c r="J19" s="838"/>
      <c r="K19" s="394"/>
    </row>
    <row r="20" spans="1:11" x14ac:dyDescent="0.25">
      <c r="A20" s="838"/>
      <c r="B20" s="838"/>
      <c r="C20" s="838"/>
      <c r="D20" s="838"/>
      <c r="E20" s="838"/>
      <c r="F20" s="839"/>
      <c r="G20" s="838"/>
      <c r="H20" s="838"/>
      <c r="I20" s="838"/>
      <c r="J20" s="838"/>
      <c r="K20" s="394"/>
    </row>
    <row r="21" spans="1:11" x14ac:dyDescent="0.25">
      <c r="A21" s="838"/>
      <c r="B21" s="838"/>
      <c r="C21" s="838"/>
      <c r="D21" s="838"/>
      <c r="E21" s="838"/>
      <c r="F21" s="839"/>
      <c r="G21" s="838"/>
      <c r="H21" s="838"/>
      <c r="I21" s="838"/>
      <c r="J21" s="838"/>
      <c r="K21" s="394"/>
    </row>
    <row r="22" spans="1:11" ht="15" customHeight="1" x14ac:dyDescent="0.25">
      <c r="A22" s="838"/>
      <c r="B22" s="838"/>
      <c r="C22" s="838"/>
      <c r="D22" s="838"/>
      <c r="E22" s="838"/>
      <c r="F22" s="839"/>
      <c r="G22" s="838"/>
      <c r="H22" s="838"/>
      <c r="I22" s="838"/>
      <c r="J22" s="838"/>
      <c r="K22" s="394"/>
    </row>
    <row r="23" spans="1:11" ht="15" customHeight="1" x14ac:dyDescent="0.25">
      <c r="A23" s="838"/>
      <c r="B23" s="838"/>
      <c r="C23" s="838"/>
      <c r="D23" s="838"/>
      <c r="E23" s="838"/>
      <c r="F23" s="839"/>
      <c r="G23" s="838"/>
      <c r="H23" s="838"/>
      <c r="I23" s="838"/>
      <c r="J23" s="838"/>
      <c r="K23" s="394"/>
    </row>
  </sheetData>
  <pageMargins left="0.7" right="0.7" top="0.75" bottom="0.75" header="0.1" footer="0"/>
  <pageSetup orientation="landscape" r:id="rId1"/>
  <headerFooter>
    <oddHeader>&amp;L&amp;"Arial,Bold"&amp;8 4:17 PM
&amp;"Arial,Bold"&amp;8 02/15/23
&amp;"Arial,Bold"&amp;8 Accrual Basis&amp;C&amp;"Arial,Bold"&amp;12 Williamson Central Appraisal District
&amp;"Arial,Bold"&amp;14 Account QuickReport
&amp;"Arial,Bold"&amp;10 January 1 through February 15, 2023</oddHeader>
    <oddFooter>&amp;R&amp;"Arial,Bold"&amp;8 Page &amp;P of &amp;N</oddFooter>
  </headerFooter>
  <drawing r:id="rId2"/>
  <legacyDrawing r:id="rId3"/>
  <controls>
    <mc:AlternateContent xmlns:mc="http://schemas.openxmlformats.org/markup-compatibility/2006">
      <mc:Choice Requires="x14">
        <control shapeId="105475" r:id="rId4" name="FILTER">
          <controlPr defaultSize="0" autoLine="0" r:id="rId5">
            <anchor moveWithCells="1">
              <from>
                <xdr:col>0</xdr:col>
                <xdr:colOff>0</xdr:colOff>
                <xdr:row>0</xdr:row>
                <xdr:rowOff>0</xdr:rowOff>
              </from>
              <to>
                <xdr:col>2</xdr:col>
                <xdr:colOff>514350</xdr:colOff>
                <xdr:row>1</xdr:row>
                <xdr:rowOff>38100</xdr:rowOff>
              </to>
            </anchor>
          </controlPr>
        </control>
      </mc:Choice>
      <mc:Fallback>
        <control shapeId="105475" r:id="rId4" name="FILTER"/>
      </mc:Fallback>
    </mc:AlternateContent>
  </control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
  <dimension ref="A1:K12"/>
  <sheetViews>
    <sheetView workbookViewId="0">
      <pane xSplit="3" ySplit="1" topLeftCell="D2" activePane="bottomRight" state="frozenSplit"/>
      <selection pane="topRight" activeCell="D1" sqref="D1"/>
      <selection pane="bottomLeft" activeCell="A2" sqref="A2"/>
      <selection pane="bottomRight"/>
    </sheetView>
  </sheetViews>
  <sheetFormatPr defaultColWidth="14.42578125" defaultRowHeight="15" customHeight="1" x14ac:dyDescent="0.25"/>
  <cols>
    <col min="1" max="2" width="3" style="195" customWidth="1"/>
    <col min="3" max="3" width="26.28515625" style="195" customWidth="1"/>
    <col min="4" max="4" width="2.28515625" style="195" customWidth="1"/>
    <col min="5" max="5" width="5.28515625" style="195" bestFit="1" customWidth="1"/>
    <col min="6" max="6" width="10.7109375" style="195" bestFit="1" customWidth="1"/>
    <col min="7" max="7" width="13.42578125" style="195" bestFit="1" customWidth="1"/>
    <col min="8" max="8" width="26.140625" style="195" bestFit="1" customWidth="1"/>
    <col min="9" max="9" width="30.7109375" style="195" customWidth="1"/>
    <col min="10" max="10" width="22.28515625" style="195" bestFit="1" customWidth="1"/>
    <col min="11" max="11" width="10.140625" style="195" bestFit="1" customWidth="1"/>
    <col min="12" max="16384" width="14.42578125" style="195"/>
  </cols>
  <sheetData>
    <row r="1" spans="1:11" s="196" customFormat="1" x14ac:dyDescent="0.25">
      <c r="A1" s="837"/>
      <c r="B1" s="837"/>
      <c r="C1" s="837"/>
      <c r="D1" s="837"/>
      <c r="E1" s="837"/>
      <c r="F1" s="837"/>
      <c r="G1" s="837"/>
      <c r="H1" s="837"/>
      <c r="I1" s="837"/>
      <c r="J1" s="837"/>
      <c r="K1" s="837"/>
    </row>
    <row r="2" spans="1:11" x14ac:dyDescent="0.25">
      <c r="A2" s="838"/>
      <c r="B2" s="838"/>
      <c r="C2" s="838"/>
      <c r="D2" s="838"/>
      <c r="E2" s="838"/>
      <c r="F2" s="839"/>
      <c r="G2" s="838"/>
      <c r="H2" s="838"/>
      <c r="I2" s="838"/>
      <c r="J2" s="838"/>
      <c r="K2" s="394"/>
    </row>
    <row r="3" spans="1:11" x14ac:dyDescent="0.25">
      <c r="A3" s="838"/>
      <c r="B3" s="838"/>
      <c r="C3" s="838"/>
      <c r="D3" s="838"/>
      <c r="E3" s="838"/>
      <c r="F3" s="839"/>
      <c r="G3" s="838"/>
      <c r="H3" s="838"/>
      <c r="I3" s="838"/>
      <c r="J3" s="838"/>
      <c r="K3" s="394"/>
    </row>
    <row r="4" spans="1:11" x14ac:dyDescent="0.25">
      <c r="A4" s="838"/>
      <c r="B4" s="838"/>
      <c r="C4" s="838"/>
      <c r="D4" s="838"/>
      <c r="E4" s="838"/>
      <c r="F4" s="839"/>
      <c r="G4" s="838"/>
      <c r="H4" s="838"/>
      <c r="I4" s="838"/>
      <c r="J4" s="838"/>
      <c r="K4" s="394"/>
    </row>
    <row r="5" spans="1:11" x14ac:dyDescent="0.25">
      <c r="A5" s="838"/>
      <c r="B5" s="838"/>
      <c r="C5" s="838"/>
      <c r="D5" s="838"/>
      <c r="E5" s="838"/>
      <c r="F5" s="839"/>
      <c r="G5" s="838"/>
      <c r="H5" s="838"/>
      <c r="I5" s="838"/>
      <c r="J5" s="838"/>
      <c r="K5" s="394"/>
    </row>
    <row r="6" spans="1:11" x14ac:dyDescent="0.25">
      <c r="A6" s="838"/>
      <c r="B6" s="838"/>
      <c r="C6" s="838"/>
      <c r="D6" s="838"/>
      <c r="E6" s="838"/>
      <c r="F6" s="839"/>
      <c r="G6" s="838"/>
      <c r="H6" s="838"/>
      <c r="I6" s="838"/>
      <c r="J6" s="838"/>
      <c r="K6" s="394"/>
    </row>
    <row r="7" spans="1:11" x14ac:dyDescent="0.25">
      <c r="A7" s="838"/>
      <c r="B7" s="838"/>
      <c r="C7" s="838"/>
      <c r="D7" s="838"/>
      <c r="E7" s="838"/>
      <c r="F7" s="839"/>
      <c r="G7" s="838"/>
      <c r="H7" s="838"/>
      <c r="I7" s="838"/>
      <c r="J7" s="838"/>
      <c r="K7" s="394"/>
    </row>
    <row r="8" spans="1:11" x14ac:dyDescent="0.25">
      <c r="A8" s="838"/>
      <c r="B8" s="838"/>
      <c r="C8" s="838"/>
      <c r="D8" s="838"/>
      <c r="E8" s="838"/>
      <c r="F8" s="839"/>
      <c r="G8" s="838"/>
      <c r="H8" s="838"/>
      <c r="I8" s="838"/>
      <c r="J8" s="838"/>
      <c r="K8" s="394"/>
    </row>
    <row r="9" spans="1:11" x14ac:dyDescent="0.25">
      <c r="A9" s="838"/>
      <c r="B9" s="838"/>
      <c r="C9" s="838"/>
      <c r="D9" s="838"/>
      <c r="E9" s="838"/>
      <c r="F9" s="839"/>
      <c r="G9" s="838"/>
      <c r="H9" s="838"/>
      <c r="I9" s="838"/>
      <c r="J9" s="838"/>
      <c r="K9" s="394"/>
    </row>
    <row r="10" spans="1:11" x14ac:dyDescent="0.25">
      <c r="A10" s="838"/>
      <c r="B10" s="838"/>
      <c r="C10" s="838"/>
      <c r="D10" s="838"/>
      <c r="E10" s="838"/>
      <c r="F10" s="839"/>
      <c r="G10" s="838"/>
      <c r="H10" s="838"/>
      <c r="I10" s="838"/>
      <c r="J10" s="838"/>
      <c r="K10" s="394"/>
    </row>
    <row r="11" spans="1:11" x14ac:dyDescent="0.25">
      <c r="A11" s="838"/>
      <c r="B11" s="838"/>
      <c r="C11" s="838"/>
      <c r="D11" s="838"/>
      <c r="E11" s="838"/>
      <c r="F11" s="839"/>
      <c r="G11" s="838"/>
      <c r="H11" s="838"/>
      <c r="I11" s="838"/>
      <c r="J11" s="838"/>
      <c r="K11" s="394"/>
    </row>
    <row r="12" spans="1:11" ht="15" customHeight="1" x14ac:dyDescent="0.25">
      <c r="A12" s="838"/>
      <c r="B12" s="838"/>
      <c r="C12" s="838"/>
      <c r="D12" s="838"/>
      <c r="E12" s="838"/>
      <c r="F12" s="839"/>
      <c r="G12" s="838"/>
      <c r="H12" s="838"/>
      <c r="I12" s="838"/>
      <c r="J12" s="838"/>
      <c r="K12" s="394"/>
    </row>
  </sheetData>
  <pageMargins left="0.7" right="0.7" top="0.75" bottom="0.75" header="0.1" footer="0"/>
  <pageSetup orientation="landscape" r:id="rId1"/>
  <headerFooter>
    <oddHeader>&amp;L&amp;"Arial,Bold"&amp;8 4:18 PM
&amp;"Arial,Bold"&amp;8 02/15/23
&amp;"Arial,Bold"&amp;8 Accrual Basis&amp;C&amp;"Arial,Bold"&amp;12 Williamson Central Appraisal District
&amp;"Arial,Bold"&amp;14 Account QuickReport
&amp;"Arial,Bold"&amp;10 January 1 through February 15, 2023</oddHeader>
    <oddFooter>&amp;R&amp;"Arial,Bold"&amp;8 Page &amp;P of &amp;N</oddFooter>
  </headerFooter>
  <drawing r:id="rId2"/>
  <legacyDrawing r:id="rId3"/>
  <controls>
    <mc:AlternateContent xmlns:mc="http://schemas.openxmlformats.org/markup-compatibility/2006">
      <mc:Choice Requires="x14">
        <control shapeId="106499" r:id="rId4" name="FILTER">
          <controlPr defaultSize="0" autoLine="0" r:id="rId5">
            <anchor moveWithCells="1">
              <from>
                <xdr:col>0</xdr:col>
                <xdr:colOff>0</xdr:colOff>
                <xdr:row>0</xdr:row>
                <xdr:rowOff>0</xdr:rowOff>
              </from>
              <to>
                <xdr:col>2</xdr:col>
                <xdr:colOff>514350</xdr:colOff>
                <xdr:row>1</xdr:row>
                <xdr:rowOff>38100</xdr:rowOff>
              </to>
            </anchor>
          </controlPr>
        </control>
      </mc:Choice>
      <mc:Fallback>
        <control shapeId="106499" r:id="rId4" name="FILTER"/>
      </mc:Fallback>
    </mc:AlternateContent>
  </control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dimension ref="A1:K18"/>
  <sheetViews>
    <sheetView workbookViewId="0">
      <pane xSplit="3" ySplit="1" topLeftCell="D2" activePane="bottomRight" state="frozenSplit"/>
      <selection pane="topRight" activeCell="D1" sqref="D1"/>
      <selection pane="bottomLeft" activeCell="A2" sqref="A2"/>
      <selection pane="bottomRight" sqref="A1:XFD1048576"/>
    </sheetView>
  </sheetViews>
  <sheetFormatPr defaultColWidth="14.42578125" defaultRowHeight="15" customHeight="1" x14ac:dyDescent="0.25"/>
  <cols>
    <col min="1" max="2" width="3" style="195" customWidth="1"/>
    <col min="3" max="3" width="40" style="195" customWidth="1"/>
    <col min="4" max="4" width="2.28515625" style="195" customWidth="1"/>
    <col min="5" max="5" width="5.28515625" style="195" bestFit="1" customWidth="1"/>
    <col min="6" max="6" width="10.7109375" style="195" bestFit="1" customWidth="1"/>
    <col min="7" max="7" width="6" style="195" bestFit="1" customWidth="1"/>
    <col min="8" max="8" width="9.5703125" style="195" bestFit="1" customWidth="1"/>
    <col min="9" max="9" width="30.7109375" style="195" customWidth="1"/>
    <col min="10" max="10" width="22.28515625" style="195" bestFit="1" customWidth="1"/>
    <col min="11" max="11" width="8.140625" style="195" bestFit="1" customWidth="1"/>
    <col min="12" max="16384" width="14.42578125" style="195"/>
  </cols>
  <sheetData>
    <row r="1" spans="1:11" s="196" customFormat="1" x14ac:dyDescent="0.25">
      <c r="A1" s="837"/>
      <c r="B1" s="837"/>
      <c r="C1" s="837"/>
      <c r="D1" s="837"/>
      <c r="E1" s="837"/>
      <c r="F1" s="837"/>
      <c r="G1" s="837"/>
      <c r="H1" s="837"/>
      <c r="I1" s="837"/>
      <c r="J1" s="837"/>
      <c r="K1" s="837"/>
    </row>
    <row r="2" spans="1:11" x14ac:dyDescent="0.25">
      <c r="A2" s="838"/>
      <c r="B2" s="838"/>
      <c r="C2" s="838"/>
      <c r="D2" s="838"/>
      <c r="E2" s="838"/>
      <c r="F2" s="839"/>
      <c r="G2" s="838"/>
      <c r="H2" s="838"/>
      <c r="I2" s="838"/>
      <c r="J2" s="838"/>
      <c r="K2" s="394"/>
    </row>
    <row r="3" spans="1:11" x14ac:dyDescent="0.25">
      <c r="A3" s="838"/>
      <c r="B3" s="838"/>
      <c r="C3" s="838"/>
      <c r="D3" s="838"/>
      <c r="E3" s="838"/>
      <c r="F3" s="839"/>
      <c r="G3" s="838"/>
      <c r="H3" s="838"/>
      <c r="I3" s="838"/>
      <c r="J3" s="838"/>
      <c r="K3" s="394"/>
    </row>
    <row r="4" spans="1:11" x14ac:dyDescent="0.25">
      <c r="A4" s="838"/>
      <c r="B4" s="838"/>
      <c r="C4" s="838"/>
      <c r="D4" s="838"/>
      <c r="E4" s="838"/>
      <c r="F4" s="839"/>
      <c r="G4" s="838"/>
      <c r="H4" s="838"/>
      <c r="I4" s="838"/>
      <c r="J4" s="838"/>
      <c r="K4" s="394"/>
    </row>
    <row r="5" spans="1:11" x14ac:dyDescent="0.25">
      <c r="A5" s="838"/>
      <c r="B5" s="838"/>
      <c r="C5" s="838"/>
      <c r="D5" s="838"/>
      <c r="E5" s="838"/>
      <c r="F5" s="839"/>
      <c r="G5" s="838"/>
      <c r="H5" s="838"/>
      <c r="I5" s="838"/>
      <c r="J5" s="838"/>
      <c r="K5" s="394"/>
    </row>
    <row r="6" spans="1:11" x14ac:dyDescent="0.25">
      <c r="A6" s="838"/>
      <c r="B6" s="838"/>
      <c r="C6" s="838"/>
      <c r="D6" s="838"/>
      <c r="E6" s="838"/>
      <c r="F6" s="839"/>
      <c r="G6" s="838"/>
      <c r="H6" s="838"/>
      <c r="I6" s="838"/>
      <c r="J6" s="838"/>
      <c r="K6" s="394"/>
    </row>
    <row r="7" spans="1:11" x14ac:dyDescent="0.25">
      <c r="A7" s="838"/>
      <c r="B7" s="838"/>
      <c r="C7" s="838"/>
      <c r="D7" s="838"/>
      <c r="E7" s="838"/>
      <c r="F7" s="839"/>
      <c r="G7" s="838"/>
      <c r="H7" s="838"/>
      <c r="I7" s="838"/>
      <c r="J7" s="838"/>
      <c r="K7" s="394"/>
    </row>
    <row r="8" spans="1:11" x14ac:dyDescent="0.25">
      <c r="A8" s="838"/>
      <c r="B8" s="838"/>
      <c r="C8" s="838"/>
      <c r="D8" s="838"/>
      <c r="E8" s="838"/>
      <c r="F8" s="839"/>
      <c r="G8" s="838"/>
      <c r="H8" s="838"/>
      <c r="I8" s="838"/>
      <c r="J8" s="838"/>
      <c r="K8" s="394"/>
    </row>
    <row r="9" spans="1:11" x14ac:dyDescent="0.25">
      <c r="A9" s="838"/>
      <c r="B9" s="838"/>
      <c r="C9" s="838"/>
      <c r="D9" s="838"/>
      <c r="E9" s="838"/>
      <c r="F9" s="839"/>
      <c r="G9" s="838"/>
      <c r="H9" s="838"/>
      <c r="I9" s="838"/>
      <c r="J9" s="838"/>
      <c r="K9" s="394"/>
    </row>
    <row r="10" spans="1:11" x14ac:dyDescent="0.25">
      <c r="A10" s="838"/>
      <c r="B10" s="838"/>
      <c r="C10" s="838"/>
      <c r="D10" s="838"/>
      <c r="E10" s="838"/>
      <c r="F10" s="839"/>
      <c r="G10" s="838"/>
      <c r="H10" s="838"/>
      <c r="I10" s="838"/>
      <c r="J10" s="838"/>
      <c r="K10" s="394"/>
    </row>
    <row r="11" spans="1:11" x14ac:dyDescent="0.25">
      <c r="A11" s="838"/>
      <c r="B11" s="838"/>
      <c r="C11" s="838"/>
      <c r="D11" s="838"/>
      <c r="E11" s="838"/>
      <c r="F11" s="839"/>
      <c r="G11" s="838"/>
      <c r="H11" s="838"/>
      <c r="I11" s="838"/>
      <c r="J11" s="838"/>
      <c r="K11" s="394"/>
    </row>
    <row r="12" spans="1:11" x14ac:dyDescent="0.25">
      <c r="A12" s="838"/>
      <c r="B12" s="838"/>
      <c r="C12" s="838"/>
      <c r="D12" s="838"/>
      <c r="E12" s="838"/>
      <c r="F12" s="839"/>
      <c r="G12" s="838"/>
      <c r="H12" s="838"/>
      <c r="I12" s="838"/>
      <c r="J12" s="838"/>
      <c r="K12" s="394"/>
    </row>
    <row r="13" spans="1:11" x14ac:dyDescent="0.25">
      <c r="A13" s="838"/>
      <c r="B13" s="838"/>
      <c r="C13" s="838"/>
      <c r="D13" s="838"/>
      <c r="E13" s="838"/>
      <c r="F13" s="839"/>
      <c r="G13" s="838"/>
      <c r="H13" s="838"/>
      <c r="I13" s="838"/>
      <c r="J13" s="838"/>
      <c r="K13" s="394"/>
    </row>
    <row r="14" spans="1:11" ht="15" customHeight="1" x14ac:dyDescent="0.25">
      <c r="A14" s="838"/>
      <c r="B14" s="838"/>
      <c r="C14" s="838"/>
      <c r="D14" s="838"/>
      <c r="E14" s="838"/>
      <c r="F14" s="839"/>
      <c r="G14" s="838"/>
      <c r="H14" s="838"/>
      <c r="I14" s="838"/>
      <c r="J14" s="838"/>
      <c r="K14" s="394"/>
    </row>
    <row r="15" spans="1:11" ht="15" customHeight="1" x14ac:dyDescent="0.25">
      <c r="A15" s="838"/>
      <c r="B15" s="838"/>
      <c r="C15" s="838"/>
      <c r="D15" s="838"/>
      <c r="E15" s="838"/>
      <c r="F15" s="839"/>
      <c r="G15" s="838"/>
      <c r="H15" s="838"/>
      <c r="I15" s="838"/>
      <c r="J15" s="838"/>
      <c r="K15" s="394"/>
    </row>
    <row r="16" spans="1:11" ht="15" customHeight="1" x14ac:dyDescent="0.25">
      <c r="A16" s="838"/>
      <c r="B16" s="838"/>
      <c r="C16" s="838"/>
      <c r="D16" s="838"/>
      <c r="E16" s="838"/>
      <c r="F16" s="839"/>
      <c r="G16" s="838"/>
      <c r="H16" s="838"/>
      <c r="I16" s="838"/>
      <c r="J16" s="838"/>
      <c r="K16" s="394"/>
    </row>
    <row r="17" spans="1:11" ht="15" customHeight="1" x14ac:dyDescent="0.25">
      <c r="A17" s="838"/>
      <c r="B17" s="838"/>
      <c r="C17" s="838"/>
      <c r="D17" s="838"/>
      <c r="E17" s="838"/>
      <c r="F17" s="839"/>
      <c r="G17" s="838"/>
      <c r="H17" s="838"/>
      <c r="I17" s="838"/>
      <c r="J17" s="838"/>
      <c r="K17" s="394"/>
    </row>
    <row r="18" spans="1:11" ht="15" customHeight="1" x14ac:dyDescent="0.25">
      <c r="A18" s="838"/>
      <c r="B18" s="838"/>
      <c r="C18" s="838"/>
      <c r="D18" s="838"/>
      <c r="E18" s="838"/>
      <c r="F18" s="839"/>
      <c r="G18" s="838"/>
      <c r="H18" s="838"/>
      <c r="I18" s="838"/>
      <c r="J18" s="838"/>
      <c r="K18" s="394"/>
    </row>
  </sheetData>
  <pageMargins left="0.7" right="0.7" top="0.75" bottom="0.75" header="0.1" footer="0"/>
  <pageSetup orientation="landscape" r:id="rId1"/>
  <headerFooter>
    <oddHeader>&amp;L&amp;"Arial,Bold"&amp;8 3:13 PM
&amp;"Arial,Bold"&amp;8 02/13/23
&amp;"Arial,Bold"&amp;8 Accrual Basis&amp;C&amp;"Arial,Bold"&amp;12 Williamson Central Appraisal District
&amp;"Arial,Bold"&amp;14 Account QuickReport
&amp;"Arial,Bold"&amp;10 January 1 through February 13, 2023</oddHeader>
    <oddFooter>&amp;R&amp;"Arial,Bold"&amp;8 Page &amp;P of &amp;N</oddFooter>
  </headerFooter>
  <drawing r:id="rId2"/>
  <legacyDrawing r:id="rId3"/>
  <controls>
    <mc:AlternateContent xmlns:mc="http://schemas.openxmlformats.org/markup-compatibility/2006">
      <mc:Choice Requires="x14">
        <control shapeId="107522" r:id="rId4" name="HEADER">
          <controlPr defaultSize="0" autoLine="0" r:id="rId5">
            <anchor moveWithCells="1">
              <from>
                <xdr:col>0</xdr:col>
                <xdr:colOff>0</xdr:colOff>
                <xdr:row>0</xdr:row>
                <xdr:rowOff>0</xdr:rowOff>
              </from>
              <to>
                <xdr:col>2</xdr:col>
                <xdr:colOff>514350</xdr:colOff>
                <xdr:row>1</xdr:row>
                <xdr:rowOff>38100</xdr:rowOff>
              </to>
            </anchor>
          </controlPr>
        </control>
      </mc:Choice>
      <mc:Fallback>
        <control shapeId="107522" r:id="rId4" name="HEADER"/>
      </mc:Fallback>
    </mc:AlternateContent>
    <mc:AlternateContent xmlns:mc="http://schemas.openxmlformats.org/markup-compatibility/2006">
      <mc:Choice Requires="x14">
        <control shapeId="107521" r:id="rId6" name="FILTER">
          <controlPr defaultSize="0" autoLine="0" r:id="rId7">
            <anchor moveWithCells="1">
              <from>
                <xdr:col>0</xdr:col>
                <xdr:colOff>0</xdr:colOff>
                <xdr:row>0</xdr:row>
                <xdr:rowOff>0</xdr:rowOff>
              </from>
              <to>
                <xdr:col>2</xdr:col>
                <xdr:colOff>514350</xdr:colOff>
                <xdr:row>1</xdr:row>
                <xdr:rowOff>38100</xdr:rowOff>
              </to>
            </anchor>
          </controlPr>
        </control>
      </mc:Choice>
      <mc:Fallback>
        <control shapeId="107521" r:id="rId6" name="FILTER"/>
      </mc:Fallback>
    </mc:AlternateContent>
  </control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K7"/>
  <sheetViews>
    <sheetView workbookViewId="0">
      <pane xSplit="3" ySplit="1" topLeftCell="D2" activePane="bottomRight" state="frozenSplit"/>
      <selection pane="topRight" activeCell="D1" sqref="D1"/>
      <selection pane="bottomLeft" activeCell="A2" sqref="A2"/>
      <selection pane="bottomRight" sqref="A1:XFD1048576"/>
    </sheetView>
  </sheetViews>
  <sheetFormatPr defaultColWidth="14.42578125" defaultRowHeight="15" customHeight="1" x14ac:dyDescent="0.25"/>
  <cols>
    <col min="1" max="2" width="3" style="195" customWidth="1"/>
    <col min="3" max="3" width="28" style="195" customWidth="1"/>
    <col min="4" max="4" width="2.28515625" style="195" customWidth="1"/>
    <col min="5" max="5" width="5.28515625" style="195" bestFit="1" customWidth="1"/>
    <col min="6" max="6" width="11.140625" style="195" bestFit="1" customWidth="1"/>
    <col min="7" max="7" width="6" style="195" bestFit="1" customWidth="1"/>
    <col min="8" max="8" width="30.7109375" style="195" customWidth="1"/>
    <col min="9" max="9" width="24.5703125" style="195" bestFit="1" customWidth="1"/>
    <col min="10" max="10" width="22.28515625" style="195" bestFit="1" customWidth="1"/>
    <col min="11" max="11" width="8.140625" style="195" bestFit="1" customWidth="1"/>
    <col min="12" max="16384" width="14.42578125" style="195"/>
  </cols>
  <sheetData>
    <row r="1" spans="1:11" s="196" customFormat="1" x14ac:dyDescent="0.25">
      <c r="A1" s="837"/>
      <c r="B1" s="837"/>
      <c r="C1" s="837"/>
      <c r="D1" s="837"/>
      <c r="E1" s="837"/>
      <c r="F1" s="837"/>
      <c r="G1" s="837"/>
      <c r="H1" s="837"/>
      <c r="I1" s="837"/>
      <c r="J1" s="837"/>
      <c r="K1" s="837"/>
    </row>
    <row r="2" spans="1:11" x14ac:dyDescent="0.25">
      <c r="A2" s="838"/>
      <c r="B2" s="838"/>
      <c r="C2" s="838"/>
      <c r="D2" s="838"/>
      <c r="E2" s="838"/>
      <c r="F2" s="839"/>
      <c r="G2" s="838"/>
      <c r="H2" s="838"/>
      <c r="I2" s="838"/>
      <c r="J2" s="838"/>
      <c r="K2" s="394"/>
    </row>
    <row r="3" spans="1:11" ht="15" customHeight="1" x14ac:dyDescent="0.25">
      <c r="A3" s="838"/>
      <c r="B3" s="838"/>
      <c r="C3" s="838"/>
      <c r="D3" s="838"/>
      <c r="E3" s="838"/>
      <c r="F3" s="839"/>
      <c r="G3" s="838"/>
      <c r="H3" s="838"/>
      <c r="I3" s="838"/>
      <c r="J3" s="838"/>
      <c r="K3" s="394"/>
    </row>
    <row r="4" spans="1:11" ht="15" customHeight="1" x14ac:dyDescent="0.25">
      <c r="A4" s="838"/>
      <c r="B4" s="838"/>
      <c r="C4" s="838"/>
      <c r="D4" s="838"/>
      <c r="E4" s="838"/>
      <c r="F4" s="839"/>
      <c r="G4" s="838"/>
      <c r="H4" s="838"/>
      <c r="I4" s="838"/>
      <c r="J4" s="838"/>
      <c r="K4" s="394"/>
    </row>
    <row r="5" spans="1:11" ht="15" customHeight="1" x14ac:dyDescent="0.25">
      <c r="A5" s="838"/>
      <c r="B5" s="838"/>
      <c r="C5" s="838"/>
      <c r="D5" s="838"/>
      <c r="E5" s="838"/>
      <c r="F5" s="839"/>
      <c r="G5" s="838"/>
      <c r="H5" s="838"/>
      <c r="I5" s="838"/>
      <c r="J5" s="838"/>
      <c r="K5" s="394"/>
    </row>
    <row r="6" spans="1:11" ht="15" customHeight="1" x14ac:dyDescent="0.25">
      <c r="A6" s="838"/>
      <c r="B6" s="838"/>
      <c r="C6" s="838"/>
      <c r="D6" s="838"/>
      <c r="E6" s="838"/>
      <c r="F6" s="839"/>
      <c r="G6" s="838"/>
      <c r="H6" s="838"/>
      <c r="I6" s="838"/>
      <c r="J6" s="838"/>
      <c r="K6" s="394"/>
    </row>
    <row r="7" spans="1:11" ht="15" customHeight="1" x14ac:dyDescent="0.25">
      <c r="A7" s="838"/>
      <c r="B7" s="838"/>
      <c r="C7" s="838"/>
      <c r="D7" s="838"/>
      <c r="E7" s="838"/>
      <c r="F7" s="839"/>
      <c r="G7" s="838"/>
      <c r="H7" s="838"/>
      <c r="I7" s="838"/>
      <c r="J7" s="838"/>
      <c r="K7" s="394"/>
    </row>
  </sheetData>
  <pageMargins left="0.7" right="0.7" top="0.75" bottom="0.75" header="0.1" footer="0"/>
  <pageSetup orientation="landscape" r:id="rId1"/>
  <headerFooter>
    <oddHeader>&amp;L&amp;"Arial,Bold"&amp;8 4:21 PM
&amp;"Arial,Bold"&amp;8 02/15/23
&amp;"Arial,Bold"&amp;8 Accrual Basis&amp;C&amp;"Arial,Bold"&amp;12 Williamson Central Appraisal District
&amp;"Arial,Bold"&amp;14 Account QuickReport
&amp;"Arial,Bold"&amp;10 January 1 through February 15, 2023</oddHeader>
    <oddFooter>&amp;R&amp;"Arial,Bold"&amp;8 Page &amp;P of &amp;N</oddFooter>
  </headerFooter>
  <drawing r:id="rId2"/>
  <legacyDrawing r:id="rId3"/>
  <controls>
    <mc:AlternateContent xmlns:mc="http://schemas.openxmlformats.org/markup-compatibility/2006">
      <mc:Choice Requires="x14">
        <control shapeId="139265" r:id="rId4" name="FILTER">
          <controlPr defaultSize="0" autoLine="0" r:id="rId5">
            <anchor moveWithCells="1">
              <from>
                <xdr:col>0</xdr:col>
                <xdr:colOff>0</xdr:colOff>
                <xdr:row>0</xdr:row>
                <xdr:rowOff>0</xdr:rowOff>
              </from>
              <to>
                <xdr:col>2</xdr:col>
                <xdr:colOff>514350</xdr:colOff>
                <xdr:row>1</xdr:row>
                <xdr:rowOff>38100</xdr:rowOff>
              </to>
            </anchor>
          </controlPr>
        </control>
      </mc:Choice>
      <mc:Fallback>
        <control shapeId="139265" r:id="rId4" name="FILTER"/>
      </mc:Fallback>
    </mc:AlternateContent>
  </control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dimension ref="A1:K15"/>
  <sheetViews>
    <sheetView workbookViewId="0">
      <pane xSplit="3" ySplit="1" topLeftCell="I2" activePane="bottomRight" state="frozenSplit"/>
      <selection pane="topRight" activeCell="D1" sqref="D1"/>
      <selection pane="bottomLeft" activeCell="A2" sqref="A2"/>
      <selection pane="bottomRight" sqref="A1:XFD1048576"/>
    </sheetView>
  </sheetViews>
  <sheetFormatPr defaultColWidth="14.42578125" defaultRowHeight="15" customHeight="1" x14ac:dyDescent="0.25"/>
  <cols>
    <col min="1" max="2" width="3" style="195" customWidth="1"/>
    <col min="3" max="3" width="37.5703125" style="195" customWidth="1"/>
    <col min="4" max="4" width="2.28515625" style="195" customWidth="1"/>
    <col min="5" max="5" width="17.7109375" style="195" bestFit="1" customWidth="1"/>
    <col min="6" max="6" width="10.7109375" style="195" bestFit="1" customWidth="1"/>
    <col min="7" max="7" width="16.28515625" style="195" bestFit="1" customWidth="1"/>
    <col min="8" max="8" width="25" style="195" bestFit="1" customWidth="1"/>
    <col min="9" max="9" width="30.7109375" style="195" customWidth="1"/>
    <col min="10" max="10" width="27.42578125" style="195" bestFit="1" customWidth="1"/>
    <col min="11" max="11" width="8.140625" style="195" bestFit="1" customWidth="1"/>
    <col min="12" max="16384" width="14.42578125" style="195"/>
  </cols>
  <sheetData>
    <row r="1" spans="1:11" s="196" customFormat="1" x14ac:dyDescent="0.25">
      <c r="A1" s="837"/>
      <c r="B1" s="837"/>
      <c r="C1" s="837"/>
      <c r="D1" s="837"/>
      <c r="E1" s="837"/>
      <c r="F1" s="837"/>
      <c r="G1" s="837"/>
      <c r="H1" s="837"/>
      <c r="I1" s="837"/>
      <c r="J1" s="837"/>
      <c r="K1" s="837"/>
    </row>
    <row r="2" spans="1:11" x14ac:dyDescent="0.25">
      <c r="A2" s="838"/>
      <c r="B2" s="838"/>
      <c r="C2" s="838"/>
      <c r="D2" s="838"/>
      <c r="E2" s="838"/>
      <c r="F2" s="839"/>
      <c r="G2" s="838"/>
      <c r="H2" s="838"/>
      <c r="I2" s="838"/>
      <c r="J2" s="838"/>
      <c r="K2" s="394"/>
    </row>
    <row r="3" spans="1:11" x14ac:dyDescent="0.25">
      <c r="A3" s="838"/>
      <c r="B3" s="838"/>
      <c r="C3" s="838"/>
      <c r="D3" s="838"/>
      <c r="E3" s="838"/>
      <c r="F3" s="839"/>
      <c r="G3" s="838"/>
      <c r="H3" s="838"/>
      <c r="I3" s="838"/>
      <c r="J3" s="838"/>
      <c r="K3" s="394"/>
    </row>
    <row r="4" spans="1:11" x14ac:dyDescent="0.25">
      <c r="A4" s="838"/>
      <c r="B4" s="838"/>
      <c r="C4" s="838"/>
      <c r="D4" s="838"/>
      <c r="E4" s="838"/>
      <c r="F4" s="839"/>
      <c r="G4" s="838"/>
      <c r="H4" s="838"/>
      <c r="I4" s="838"/>
      <c r="J4" s="838"/>
      <c r="K4" s="394"/>
    </row>
    <row r="5" spans="1:11" x14ac:dyDescent="0.25">
      <c r="A5" s="838"/>
      <c r="B5" s="838"/>
      <c r="C5" s="838"/>
      <c r="D5" s="838"/>
      <c r="E5" s="838"/>
      <c r="F5" s="839"/>
      <c r="G5" s="838"/>
      <c r="H5" s="838"/>
      <c r="I5" s="838"/>
      <c r="J5" s="838"/>
      <c r="K5" s="394"/>
    </row>
    <row r="6" spans="1:11" x14ac:dyDescent="0.25">
      <c r="A6" s="838"/>
      <c r="B6" s="838"/>
      <c r="C6" s="838"/>
      <c r="D6" s="838"/>
      <c r="E6" s="838"/>
      <c r="F6" s="839"/>
      <c r="G6" s="838"/>
      <c r="H6" s="838"/>
      <c r="I6" s="838"/>
      <c r="J6" s="838"/>
      <c r="K6" s="394"/>
    </row>
    <row r="7" spans="1:11" x14ac:dyDescent="0.25">
      <c r="A7" s="838"/>
      <c r="B7" s="838"/>
      <c r="C7" s="838"/>
      <c r="D7" s="838"/>
      <c r="E7" s="838"/>
      <c r="F7" s="839"/>
      <c r="G7" s="838"/>
      <c r="H7" s="838"/>
      <c r="I7" s="838"/>
      <c r="J7" s="838"/>
      <c r="K7" s="394"/>
    </row>
    <row r="8" spans="1:11" x14ac:dyDescent="0.25">
      <c r="A8" s="838"/>
      <c r="B8" s="838"/>
      <c r="C8" s="838"/>
      <c r="D8" s="838"/>
      <c r="E8" s="838"/>
      <c r="F8" s="839"/>
      <c r="G8" s="838"/>
      <c r="H8" s="838"/>
      <c r="I8" s="838"/>
      <c r="J8" s="838"/>
      <c r="K8" s="394"/>
    </row>
    <row r="9" spans="1:11" x14ac:dyDescent="0.25">
      <c r="A9" s="838"/>
      <c r="B9" s="838"/>
      <c r="C9" s="838"/>
      <c r="D9" s="838"/>
      <c r="E9" s="838"/>
      <c r="F9" s="839"/>
      <c r="G9" s="838"/>
      <c r="H9" s="838"/>
      <c r="I9" s="838"/>
      <c r="J9" s="838"/>
      <c r="K9" s="394"/>
    </row>
    <row r="10" spans="1:11" ht="15" customHeight="1" x14ac:dyDescent="0.25">
      <c r="A10" s="838"/>
      <c r="B10" s="838"/>
      <c r="C10" s="838"/>
      <c r="D10" s="838"/>
      <c r="E10" s="838"/>
      <c r="F10" s="839"/>
      <c r="G10" s="838"/>
      <c r="H10" s="838"/>
      <c r="I10" s="838"/>
      <c r="J10" s="838"/>
      <c r="K10" s="394"/>
    </row>
    <row r="11" spans="1:11" ht="15" customHeight="1" x14ac:dyDescent="0.25">
      <c r="A11" s="838"/>
      <c r="B11" s="838"/>
      <c r="C11" s="838"/>
      <c r="D11" s="838"/>
      <c r="E11" s="838"/>
      <c r="F11" s="839"/>
      <c r="G11" s="838"/>
      <c r="H11" s="838"/>
      <c r="I11" s="838"/>
      <c r="J11" s="838"/>
      <c r="K11" s="394"/>
    </row>
    <row r="12" spans="1:11" ht="15" customHeight="1" x14ac:dyDescent="0.25">
      <c r="A12" s="838"/>
      <c r="B12" s="838"/>
      <c r="C12" s="838"/>
      <c r="D12" s="838"/>
      <c r="E12" s="838"/>
      <c r="F12" s="839"/>
      <c r="G12" s="838"/>
      <c r="H12" s="838"/>
      <c r="I12" s="838"/>
      <c r="J12" s="838"/>
      <c r="K12" s="394"/>
    </row>
    <row r="13" spans="1:11" ht="15" customHeight="1" x14ac:dyDescent="0.25">
      <c r="A13" s="838"/>
      <c r="B13" s="838"/>
      <c r="C13" s="838"/>
      <c r="D13" s="838"/>
      <c r="E13" s="838"/>
      <c r="F13" s="839"/>
      <c r="G13" s="838"/>
      <c r="H13" s="838"/>
      <c r="I13" s="838"/>
      <c r="J13" s="838"/>
      <c r="K13" s="394"/>
    </row>
    <row r="14" spans="1:11" ht="15" customHeight="1" x14ac:dyDescent="0.25">
      <c r="A14" s="838"/>
      <c r="B14" s="838"/>
      <c r="C14" s="838"/>
      <c r="D14" s="838"/>
      <c r="E14" s="838"/>
      <c r="F14" s="839"/>
      <c r="G14" s="838"/>
      <c r="H14" s="838"/>
      <c r="I14" s="838"/>
      <c r="J14" s="838"/>
      <c r="K14" s="394"/>
    </row>
    <row r="15" spans="1:11" ht="15" customHeight="1" x14ac:dyDescent="0.25">
      <c r="A15" s="838"/>
      <c r="B15" s="838"/>
      <c r="C15" s="838"/>
      <c r="D15" s="838"/>
      <c r="E15" s="838"/>
      <c r="F15" s="839"/>
      <c r="G15" s="838"/>
      <c r="H15" s="838"/>
      <c r="I15" s="838"/>
      <c r="J15" s="838"/>
      <c r="K15" s="394"/>
    </row>
  </sheetData>
  <pageMargins left="0.7" right="0.7" top="0.75" bottom="0.75" header="0.1" footer="0"/>
  <pageSetup orientation="landscape" r:id="rId1"/>
  <headerFooter>
    <oddHeader>&amp;L&amp;"Arial,Bold"&amp;8 4:22 PM
&amp;"Arial,Bold"&amp;8 02/15/23
&amp;"Arial,Bold"&amp;8 Accrual Basis&amp;C&amp;"Arial,Bold"&amp;12 Williamson Central Appraisal District
&amp;"Arial,Bold"&amp;14 Account QuickReport
&amp;"Arial,Bold"&amp;10 January 1 through February 15, 2023</oddHeader>
    <oddFooter>&amp;R&amp;"Arial,Bold"&amp;8 Page &amp;P of &amp;N</oddFooter>
  </headerFooter>
  <drawing r:id="rId2"/>
  <legacyDrawing r:id="rId3"/>
  <controls>
    <mc:AlternateContent xmlns:mc="http://schemas.openxmlformats.org/markup-compatibility/2006">
      <mc:Choice Requires="x14">
        <control shapeId="122883" r:id="rId4" name="FILTER">
          <controlPr defaultSize="0" autoLine="0" r:id="rId5">
            <anchor moveWithCells="1">
              <from>
                <xdr:col>0</xdr:col>
                <xdr:colOff>0</xdr:colOff>
                <xdr:row>0</xdr:row>
                <xdr:rowOff>0</xdr:rowOff>
              </from>
              <to>
                <xdr:col>2</xdr:col>
                <xdr:colOff>514350</xdr:colOff>
                <xdr:row>1</xdr:row>
                <xdr:rowOff>38100</xdr:rowOff>
              </to>
            </anchor>
          </controlPr>
        </control>
      </mc:Choice>
      <mc:Fallback>
        <control shapeId="122883" r:id="rId4" name="FILTER"/>
      </mc:Fallback>
    </mc:AlternateContent>
  </control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dimension ref="A1:K10"/>
  <sheetViews>
    <sheetView workbookViewId="0">
      <pane xSplit="3" ySplit="1" topLeftCell="D2" activePane="bottomRight" state="frozenSplit"/>
      <selection pane="topRight" activeCell="D1" sqref="D1"/>
      <selection pane="bottomLeft" activeCell="A2" sqref="A2"/>
      <selection pane="bottomRight"/>
    </sheetView>
  </sheetViews>
  <sheetFormatPr defaultColWidth="14.42578125" defaultRowHeight="15" customHeight="1" x14ac:dyDescent="0.25"/>
  <cols>
    <col min="1" max="2" width="3" style="195" customWidth="1"/>
    <col min="3" max="3" width="36.85546875" style="195" customWidth="1"/>
    <col min="4" max="4" width="2.28515625" style="195" customWidth="1"/>
    <col min="5" max="5" width="5.28515625" style="195" bestFit="1" customWidth="1"/>
    <col min="6" max="6" width="10.7109375" style="195" bestFit="1" customWidth="1"/>
    <col min="7" max="7" width="16.28515625" style="195" bestFit="1" customWidth="1"/>
    <col min="8" max="8" width="16.42578125" style="195" bestFit="1" customWidth="1"/>
    <col min="9" max="9" width="25.140625" style="195" bestFit="1" customWidth="1"/>
    <col min="10" max="10" width="22.28515625" style="195" bestFit="1" customWidth="1"/>
    <col min="11" max="11" width="8.140625" style="195" bestFit="1" customWidth="1"/>
    <col min="12" max="16384" width="14.42578125" style="195"/>
  </cols>
  <sheetData>
    <row r="1" spans="1:11" s="196" customFormat="1" ht="15" customHeight="1" x14ac:dyDescent="0.25">
      <c r="A1" s="837"/>
      <c r="B1" s="837"/>
      <c r="C1" s="837"/>
      <c r="D1" s="837"/>
      <c r="E1" s="837"/>
      <c r="F1" s="837"/>
      <c r="G1" s="837"/>
      <c r="H1" s="837"/>
      <c r="I1" s="837"/>
      <c r="J1" s="837"/>
      <c r="K1" s="837"/>
    </row>
    <row r="2" spans="1:11" ht="15" customHeight="1" x14ac:dyDescent="0.25">
      <c r="A2" s="838"/>
      <c r="B2" s="838"/>
      <c r="C2" s="838"/>
      <c r="D2" s="838"/>
      <c r="E2" s="838"/>
      <c r="F2" s="839"/>
      <c r="G2" s="838"/>
      <c r="H2" s="838"/>
      <c r="I2" s="838"/>
      <c r="J2" s="838"/>
      <c r="K2" s="394"/>
    </row>
    <row r="3" spans="1:11" ht="15" customHeight="1" x14ac:dyDescent="0.25">
      <c r="A3" s="838"/>
      <c r="B3" s="838"/>
      <c r="C3" s="838"/>
      <c r="D3" s="838"/>
      <c r="E3" s="838"/>
      <c r="F3" s="839"/>
      <c r="G3" s="838"/>
      <c r="H3" s="838"/>
      <c r="I3" s="838"/>
      <c r="J3" s="838"/>
      <c r="K3" s="394"/>
    </row>
    <row r="4" spans="1:11" ht="15" customHeight="1" x14ac:dyDescent="0.25">
      <c r="A4" s="838"/>
      <c r="B4" s="838"/>
      <c r="C4" s="838"/>
      <c r="D4" s="838"/>
      <c r="E4" s="838"/>
      <c r="F4" s="839"/>
      <c r="G4" s="838"/>
      <c r="H4" s="838"/>
      <c r="I4" s="838"/>
      <c r="J4" s="838"/>
      <c r="K4" s="394"/>
    </row>
    <row r="5" spans="1:11" ht="15" customHeight="1" x14ac:dyDescent="0.25">
      <c r="A5" s="838"/>
      <c r="B5" s="838"/>
      <c r="C5" s="838"/>
      <c r="D5" s="838"/>
      <c r="E5" s="838"/>
      <c r="F5" s="839"/>
      <c r="G5" s="838"/>
      <c r="H5" s="838"/>
      <c r="I5" s="838"/>
      <c r="J5" s="838"/>
      <c r="K5" s="394"/>
    </row>
    <row r="6" spans="1:11" ht="15" customHeight="1" x14ac:dyDescent="0.25">
      <c r="A6" s="838"/>
      <c r="B6" s="838"/>
      <c r="C6" s="838"/>
      <c r="D6" s="838"/>
      <c r="E6" s="838"/>
      <c r="F6" s="839"/>
      <c r="G6" s="838"/>
      <c r="H6" s="838"/>
      <c r="I6" s="838"/>
      <c r="J6" s="838"/>
      <c r="K6" s="394"/>
    </row>
    <row r="7" spans="1:11" ht="15" customHeight="1" x14ac:dyDescent="0.25">
      <c r="A7" s="838"/>
      <c r="B7" s="838"/>
      <c r="C7" s="838"/>
      <c r="D7" s="838"/>
      <c r="E7" s="838"/>
      <c r="F7" s="839"/>
      <c r="G7" s="838"/>
      <c r="H7" s="838"/>
      <c r="I7" s="838"/>
      <c r="J7" s="838"/>
      <c r="K7" s="394"/>
    </row>
    <row r="8" spans="1:11" ht="15" customHeight="1" x14ac:dyDescent="0.25">
      <c r="A8" s="838"/>
      <c r="B8" s="838"/>
      <c r="C8" s="838"/>
      <c r="D8" s="838"/>
      <c r="E8" s="838"/>
      <c r="F8" s="839"/>
      <c r="G8" s="838"/>
      <c r="H8" s="838"/>
      <c r="I8" s="838"/>
      <c r="J8" s="838"/>
      <c r="K8" s="394"/>
    </row>
    <row r="9" spans="1:11" ht="15" customHeight="1" x14ac:dyDescent="0.25">
      <c r="A9" s="838"/>
      <c r="B9" s="838"/>
      <c r="C9" s="838"/>
      <c r="D9" s="838"/>
      <c r="E9" s="838"/>
      <c r="F9" s="839"/>
      <c r="G9" s="838"/>
      <c r="H9" s="838"/>
      <c r="I9" s="838"/>
      <c r="J9" s="838"/>
      <c r="K9" s="394"/>
    </row>
    <row r="10" spans="1:11" ht="15" customHeight="1" x14ac:dyDescent="0.25">
      <c r="A10" s="838"/>
      <c r="B10" s="838"/>
      <c r="C10" s="838"/>
      <c r="D10" s="838"/>
      <c r="E10" s="838"/>
      <c r="F10" s="839"/>
      <c r="G10" s="838"/>
      <c r="H10" s="838"/>
      <c r="I10" s="838"/>
      <c r="J10" s="838"/>
      <c r="K10" s="394"/>
    </row>
  </sheetData>
  <pageMargins left="0.7" right="0.7" top="0.75" bottom="0.75" header="0.1" footer="0"/>
  <pageSetup orientation="landscape" r:id="rId1"/>
  <headerFooter>
    <oddHeader>&amp;L&amp;"Arial,Bold"&amp;8 4:24 PM
&amp;"Arial,Bold"&amp;8 02/15/23
&amp;"Arial,Bold"&amp;8 Accrual Basis&amp;C&amp;"Arial,Bold"&amp;12 Williamson Central Appraisal District
&amp;"Arial,Bold"&amp;14 Account QuickReport
&amp;"Arial,Bold"&amp;10 January 1 through February 15, 2023</oddHeader>
    <oddFooter>&amp;R&amp;"Arial,Bold"&amp;8 Page &amp;P of &amp;N</oddFooter>
  </headerFooter>
  <drawing r:id="rId2"/>
  <legacyDrawing r:id="rId3"/>
  <controls>
    <mc:AlternateContent xmlns:mc="http://schemas.openxmlformats.org/markup-compatibility/2006">
      <mc:Choice Requires="x14">
        <control shapeId="123907" r:id="rId4" name="FILTER">
          <controlPr defaultSize="0" autoLine="0" r:id="rId5">
            <anchor moveWithCells="1">
              <from>
                <xdr:col>0</xdr:col>
                <xdr:colOff>0</xdr:colOff>
                <xdr:row>0</xdr:row>
                <xdr:rowOff>0</xdr:rowOff>
              </from>
              <to>
                <xdr:col>2</xdr:col>
                <xdr:colOff>514350</xdr:colOff>
                <xdr:row>1</xdr:row>
                <xdr:rowOff>38100</xdr:rowOff>
              </to>
            </anchor>
          </controlPr>
        </control>
      </mc:Choice>
      <mc:Fallback>
        <control shapeId="123907" r:id="rId4" name="FILTER"/>
      </mc:Fallback>
    </mc:AlternateContent>
  </control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41"/>
  <dimension ref="A1:K78"/>
  <sheetViews>
    <sheetView workbookViewId="0">
      <pane xSplit="3" ySplit="1" topLeftCell="D2" activePane="bottomRight" state="frozenSplit"/>
      <selection pane="topRight" activeCell="D1" sqref="D1"/>
      <selection pane="bottomLeft" activeCell="A2" sqref="A2"/>
      <selection pane="bottomRight"/>
    </sheetView>
  </sheetViews>
  <sheetFormatPr defaultColWidth="14.42578125" defaultRowHeight="15" customHeight="1" x14ac:dyDescent="0.25"/>
  <cols>
    <col min="1" max="2" width="3" style="195" customWidth="1"/>
    <col min="3" max="3" width="39.140625" style="195" customWidth="1"/>
    <col min="4" max="4" width="2.28515625" style="195" customWidth="1"/>
    <col min="5" max="5" width="17.7109375" style="195" bestFit="1" customWidth="1"/>
    <col min="6" max="6" width="11.140625" style="195" bestFit="1" customWidth="1"/>
    <col min="7" max="7" width="17" style="195" bestFit="1" customWidth="1"/>
    <col min="8" max="9" width="30.7109375" style="195" customWidth="1"/>
    <col min="10" max="10" width="28.42578125" style="195" bestFit="1" customWidth="1"/>
    <col min="11" max="11" width="9.140625" style="195" bestFit="1" customWidth="1"/>
    <col min="12" max="16384" width="14.42578125" style="195"/>
  </cols>
  <sheetData>
    <row r="1" spans="1:11" s="196" customFormat="1" x14ac:dyDescent="0.25">
      <c r="A1" s="837"/>
      <c r="B1" s="837"/>
      <c r="C1" s="837"/>
      <c r="D1" s="837"/>
      <c r="E1" s="837"/>
      <c r="F1" s="837"/>
      <c r="G1" s="837"/>
      <c r="H1" s="837"/>
      <c r="I1" s="837"/>
      <c r="J1" s="837"/>
      <c r="K1" s="837"/>
    </row>
    <row r="2" spans="1:11" x14ac:dyDescent="0.25">
      <c r="A2" s="838"/>
      <c r="B2" s="838"/>
      <c r="C2" s="838"/>
      <c r="D2" s="838"/>
      <c r="E2" s="838"/>
      <c r="F2" s="839"/>
      <c r="G2" s="838"/>
      <c r="H2" s="838"/>
      <c r="I2" s="838"/>
      <c r="J2" s="838"/>
      <c r="K2" s="394"/>
    </row>
    <row r="3" spans="1:11" x14ac:dyDescent="0.25">
      <c r="A3" s="838"/>
      <c r="B3" s="838"/>
      <c r="C3" s="838"/>
      <c r="D3" s="838"/>
      <c r="E3" s="838"/>
      <c r="F3" s="839"/>
      <c r="G3" s="838"/>
      <c r="H3" s="838"/>
      <c r="I3" s="838"/>
      <c r="J3" s="838"/>
      <c r="K3" s="394"/>
    </row>
    <row r="4" spans="1:11" x14ac:dyDescent="0.25">
      <c r="A4" s="838"/>
      <c r="B4" s="838"/>
      <c r="C4" s="838"/>
      <c r="D4" s="838"/>
      <c r="E4" s="838"/>
      <c r="F4" s="839"/>
      <c r="G4" s="838"/>
      <c r="H4" s="838"/>
      <c r="I4" s="838"/>
      <c r="J4" s="838"/>
      <c r="K4" s="394"/>
    </row>
    <row r="5" spans="1:11" x14ac:dyDescent="0.25">
      <c r="A5" s="838"/>
      <c r="B5" s="838"/>
      <c r="C5" s="838"/>
      <c r="D5" s="838"/>
      <c r="E5" s="838"/>
      <c r="F5" s="839"/>
      <c r="G5" s="838"/>
      <c r="H5" s="838"/>
      <c r="I5" s="838"/>
      <c r="J5" s="838"/>
      <c r="K5" s="394"/>
    </row>
    <row r="6" spans="1:11" x14ac:dyDescent="0.25">
      <c r="A6" s="838"/>
      <c r="B6" s="838"/>
      <c r="C6" s="838"/>
      <c r="D6" s="838"/>
      <c r="E6" s="838"/>
      <c r="F6" s="839"/>
      <c r="G6" s="838"/>
      <c r="H6" s="838"/>
      <c r="I6" s="838"/>
      <c r="J6" s="838"/>
      <c r="K6" s="394"/>
    </row>
    <row r="7" spans="1:11" x14ac:dyDescent="0.25">
      <c r="A7" s="838"/>
      <c r="B7" s="838"/>
      <c r="C7" s="838"/>
      <c r="D7" s="838"/>
      <c r="E7" s="838"/>
      <c r="F7" s="839"/>
      <c r="G7" s="838"/>
      <c r="H7" s="838"/>
      <c r="I7" s="838"/>
      <c r="J7" s="838"/>
      <c r="K7" s="394"/>
    </row>
    <row r="8" spans="1:11" x14ac:dyDescent="0.25">
      <c r="A8" s="838"/>
      <c r="B8" s="838"/>
      <c r="C8" s="838"/>
      <c r="D8" s="838"/>
      <c r="E8" s="838"/>
      <c r="F8" s="839"/>
      <c r="G8" s="838"/>
      <c r="H8" s="838"/>
      <c r="I8" s="838"/>
      <c r="J8" s="838"/>
      <c r="K8" s="394"/>
    </row>
    <row r="9" spans="1:11" x14ac:dyDescent="0.25">
      <c r="A9" s="838"/>
      <c r="B9" s="838"/>
      <c r="C9" s="838"/>
      <c r="D9" s="838"/>
      <c r="E9" s="838"/>
      <c r="F9" s="839"/>
      <c r="G9" s="838"/>
      <c r="H9" s="838"/>
      <c r="I9" s="838"/>
      <c r="J9" s="838"/>
      <c r="K9" s="394"/>
    </row>
    <row r="10" spans="1:11" x14ac:dyDescent="0.25">
      <c r="A10" s="838"/>
      <c r="B10" s="838"/>
      <c r="C10" s="838"/>
      <c r="D10" s="838"/>
      <c r="E10" s="838"/>
      <c r="F10" s="839"/>
      <c r="G10" s="838"/>
      <c r="H10" s="838"/>
      <c r="I10" s="838"/>
      <c r="J10" s="838"/>
      <c r="K10" s="394"/>
    </row>
    <row r="11" spans="1:11" x14ac:dyDescent="0.25">
      <c r="A11" s="838"/>
      <c r="B11" s="838"/>
      <c r="C11" s="838"/>
      <c r="D11" s="838"/>
      <c r="E11" s="838"/>
      <c r="F11" s="839"/>
      <c r="G11" s="838"/>
      <c r="H11" s="838"/>
      <c r="I11" s="838"/>
      <c r="J11" s="838"/>
      <c r="K11" s="394"/>
    </row>
    <row r="12" spans="1:11" x14ac:dyDescent="0.25">
      <c r="A12" s="838"/>
      <c r="B12" s="838"/>
      <c r="C12" s="838"/>
      <c r="D12" s="838"/>
      <c r="E12" s="838"/>
      <c r="F12" s="839"/>
      <c r="G12" s="838"/>
      <c r="H12" s="838"/>
      <c r="I12" s="838"/>
      <c r="J12" s="838"/>
      <c r="K12" s="394"/>
    </row>
    <row r="13" spans="1:11" x14ac:dyDescent="0.25">
      <c r="A13" s="838"/>
      <c r="B13" s="838"/>
      <c r="C13" s="838"/>
      <c r="D13" s="838"/>
      <c r="E13" s="838"/>
      <c r="F13" s="839"/>
      <c r="G13" s="838"/>
      <c r="H13" s="838"/>
      <c r="I13" s="838"/>
      <c r="J13" s="838"/>
      <c r="K13" s="394"/>
    </row>
    <row r="14" spans="1:11" x14ac:dyDescent="0.25">
      <c r="A14" s="838"/>
      <c r="B14" s="838"/>
      <c r="C14" s="838"/>
      <c r="D14" s="838"/>
      <c r="E14" s="838"/>
      <c r="F14" s="839"/>
      <c r="G14" s="838"/>
      <c r="H14" s="838"/>
      <c r="I14" s="838"/>
      <c r="J14" s="838"/>
      <c r="K14" s="394"/>
    </row>
    <row r="15" spans="1:11" x14ac:dyDescent="0.25">
      <c r="A15" s="838"/>
      <c r="B15" s="838"/>
      <c r="C15" s="838"/>
      <c r="D15" s="838"/>
      <c r="E15" s="838"/>
      <c r="F15" s="839"/>
      <c r="G15" s="838"/>
      <c r="H15" s="838"/>
      <c r="I15" s="838"/>
      <c r="J15" s="838"/>
      <c r="K15" s="394"/>
    </row>
    <row r="16" spans="1:11" x14ac:dyDescent="0.25">
      <c r="A16" s="838"/>
      <c r="B16" s="838"/>
      <c r="C16" s="838"/>
      <c r="D16" s="838"/>
      <c r="E16" s="838"/>
      <c r="F16" s="839"/>
      <c r="G16" s="838"/>
      <c r="H16" s="838"/>
      <c r="I16" s="838"/>
      <c r="J16" s="838"/>
      <c r="K16" s="394"/>
    </row>
    <row r="17" spans="1:11" x14ac:dyDescent="0.25">
      <c r="A17" s="838"/>
      <c r="B17" s="838"/>
      <c r="C17" s="838"/>
      <c r="D17" s="838"/>
      <c r="E17" s="838"/>
      <c r="F17" s="839"/>
      <c r="G17" s="838"/>
      <c r="H17" s="838"/>
      <c r="I17" s="838"/>
      <c r="J17" s="838"/>
      <c r="K17" s="394"/>
    </row>
    <row r="18" spans="1:11" x14ac:dyDescent="0.25">
      <c r="A18" s="838"/>
      <c r="B18" s="838"/>
      <c r="C18" s="838"/>
      <c r="D18" s="838"/>
      <c r="E18" s="838"/>
      <c r="F18" s="839"/>
      <c r="G18" s="838"/>
      <c r="H18" s="838"/>
      <c r="I18" s="838"/>
      <c r="J18" s="838"/>
      <c r="K18" s="394"/>
    </row>
    <row r="19" spans="1:11" x14ac:dyDescent="0.25">
      <c r="A19" s="838"/>
      <c r="B19" s="838"/>
      <c r="C19" s="838"/>
      <c r="D19" s="838"/>
      <c r="E19" s="838"/>
      <c r="F19" s="839"/>
      <c r="G19" s="838"/>
      <c r="H19" s="838"/>
      <c r="I19" s="838"/>
      <c r="J19" s="838"/>
      <c r="K19" s="394"/>
    </row>
    <row r="20" spans="1:11" x14ac:dyDescent="0.25">
      <c r="A20" s="838"/>
      <c r="B20" s="838"/>
      <c r="C20" s="838"/>
      <c r="D20" s="838"/>
      <c r="E20" s="838"/>
      <c r="F20" s="839"/>
      <c r="G20" s="838"/>
      <c r="H20" s="838"/>
      <c r="I20" s="838"/>
      <c r="J20" s="838"/>
      <c r="K20" s="394"/>
    </row>
    <row r="21" spans="1:11" x14ac:dyDescent="0.25">
      <c r="A21" s="838"/>
      <c r="B21" s="838"/>
      <c r="C21" s="838"/>
      <c r="D21" s="838"/>
      <c r="E21" s="838"/>
      <c r="F21" s="839"/>
      <c r="G21" s="838"/>
      <c r="H21" s="838"/>
      <c r="I21" s="838"/>
      <c r="J21" s="838"/>
      <c r="K21" s="394"/>
    </row>
    <row r="22" spans="1:11" x14ac:dyDescent="0.25">
      <c r="A22" s="838"/>
      <c r="B22" s="838"/>
      <c r="C22" s="838"/>
      <c r="D22" s="838"/>
      <c r="E22" s="838"/>
      <c r="F22" s="839"/>
      <c r="G22" s="838"/>
      <c r="H22" s="838"/>
      <c r="I22" s="838"/>
      <c r="J22" s="838"/>
      <c r="K22" s="394"/>
    </row>
    <row r="23" spans="1:11" x14ac:dyDescent="0.25">
      <c r="A23" s="838"/>
      <c r="B23" s="838"/>
      <c r="C23" s="838"/>
      <c r="D23" s="838"/>
      <c r="E23" s="838"/>
      <c r="F23" s="839"/>
      <c r="G23" s="838"/>
      <c r="H23" s="838"/>
      <c r="I23" s="838"/>
      <c r="J23" s="838"/>
      <c r="K23" s="394"/>
    </row>
    <row r="24" spans="1:11" x14ac:dyDescent="0.25">
      <c r="A24" s="838"/>
      <c r="B24" s="838"/>
      <c r="C24" s="838"/>
      <c r="D24" s="838"/>
      <c r="E24" s="838"/>
      <c r="F24" s="839"/>
      <c r="G24" s="838"/>
      <c r="H24" s="838"/>
      <c r="I24" s="838"/>
      <c r="J24" s="838"/>
      <c r="K24" s="394"/>
    </row>
    <row r="25" spans="1:11" x14ac:dyDescent="0.25">
      <c r="A25" s="838"/>
      <c r="B25" s="838"/>
      <c r="C25" s="838"/>
      <c r="D25" s="838"/>
      <c r="E25" s="838"/>
      <c r="F25" s="839"/>
      <c r="G25" s="838"/>
      <c r="H25" s="838"/>
      <c r="I25" s="838"/>
      <c r="J25" s="838"/>
      <c r="K25" s="394"/>
    </row>
    <row r="26" spans="1:11" x14ac:dyDescent="0.25">
      <c r="A26" s="838"/>
      <c r="B26" s="838"/>
      <c r="C26" s="838"/>
      <c r="D26" s="838"/>
      <c r="E26" s="838"/>
      <c r="F26" s="839"/>
      <c r="G26" s="838"/>
      <c r="H26" s="838"/>
      <c r="I26" s="838"/>
      <c r="J26" s="838"/>
      <c r="K26" s="394"/>
    </row>
    <row r="27" spans="1:11" x14ac:dyDescent="0.25">
      <c r="A27" s="838"/>
      <c r="B27" s="838"/>
      <c r="C27" s="838"/>
      <c r="D27" s="838"/>
      <c r="E27" s="838"/>
      <c r="F27" s="839"/>
      <c r="G27" s="838"/>
      <c r="H27" s="838"/>
      <c r="I27" s="838"/>
      <c r="J27" s="838"/>
      <c r="K27" s="394"/>
    </row>
    <row r="28" spans="1:11" x14ac:dyDescent="0.25">
      <c r="A28" s="838"/>
      <c r="B28" s="838"/>
      <c r="C28" s="838"/>
      <c r="D28" s="838"/>
      <c r="E28" s="838"/>
      <c r="F28" s="839"/>
      <c r="G28" s="838"/>
      <c r="H28" s="838"/>
      <c r="I28" s="838"/>
      <c r="J28" s="838"/>
      <c r="K28" s="394"/>
    </row>
    <row r="29" spans="1:11" x14ac:dyDescent="0.25">
      <c r="A29" s="838"/>
      <c r="B29" s="838"/>
      <c r="C29" s="838"/>
      <c r="D29" s="838"/>
      <c r="E29" s="838"/>
      <c r="F29" s="839"/>
      <c r="G29" s="838"/>
      <c r="H29" s="838"/>
      <c r="I29" s="838"/>
      <c r="J29" s="838"/>
      <c r="K29" s="394"/>
    </row>
    <row r="30" spans="1:11" x14ac:dyDescent="0.25">
      <c r="A30" s="838"/>
      <c r="B30" s="838"/>
      <c r="C30" s="838"/>
      <c r="D30" s="838"/>
      <c r="E30" s="838"/>
      <c r="F30" s="839"/>
      <c r="G30" s="838"/>
      <c r="H30" s="838"/>
      <c r="I30" s="838"/>
      <c r="J30" s="838"/>
      <c r="K30" s="394"/>
    </row>
    <row r="31" spans="1:11" x14ac:dyDescent="0.25">
      <c r="A31" s="838"/>
      <c r="B31" s="838"/>
      <c r="C31" s="838"/>
      <c r="D31" s="838"/>
      <c r="E31" s="838"/>
      <c r="F31" s="839"/>
      <c r="G31" s="838"/>
      <c r="H31" s="838"/>
      <c r="I31" s="838"/>
      <c r="J31" s="838"/>
      <c r="K31" s="394"/>
    </row>
    <row r="32" spans="1:11" x14ac:dyDescent="0.25">
      <c r="A32" s="838"/>
      <c r="B32" s="838"/>
      <c r="C32" s="838"/>
      <c r="D32" s="838"/>
      <c r="E32" s="838"/>
      <c r="F32" s="839"/>
      <c r="G32" s="838"/>
      <c r="H32" s="838"/>
      <c r="I32" s="838"/>
      <c r="J32" s="838"/>
      <c r="K32" s="394"/>
    </row>
    <row r="33" spans="1:11" x14ac:dyDescent="0.25">
      <c r="A33" s="838"/>
      <c r="B33" s="838"/>
      <c r="C33" s="838"/>
      <c r="D33" s="838"/>
      <c r="E33" s="838"/>
      <c r="F33" s="839"/>
      <c r="G33" s="838"/>
      <c r="H33" s="838"/>
      <c r="I33" s="838"/>
      <c r="J33" s="838"/>
      <c r="K33" s="394"/>
    </row>
    <row r="34" spans="1:11" x14ac:dyDescent="0.25">
      <c r="A34" s="838"/>
      <c r="B34" s="838"/>
      <c r="C34" s="838"/>
      <c r="D34" s="838"/>
      <c r="E34" s="838"/>
      <c r="F34" s="839"/>
      <c r="G34" s="838"/>
      <c r="H34" s="838"/>
      <c r="I34" s="838"/>
      <c r="J34" s="838"/>
      <c r="K34" s="394"/>
    </row>
    <row r="35" spans="1:11" x14ac:dyDescent="0.25">
      <c r="A35" s="838"/>
      <c r="B35" s="838"/>
      <c r="C35" s="838"/>
      <c r="D35" s="838"/>
      <c r="E35" s="838"/>
      <c r="F35" s="839"/>
      <c r="G35" s="838"/>
      <c r="H35" s="838"/>
      <c r="I35" s="838"/>
      <c r="J35" s="838"/>
      <c r="K35" s="394"/>
    </row>
    <row r="36" spans="1:11" x14ac:dyDescent="0.25">
      <c r="A36" s="838"/>
      <c r="B36" s="838"/>
      <c r="C36" s="838"/>
      <c r="D36" s="838"/>
      <c r="E36" s="838"/>
      <c r="F36" s="839"/>
      <c r="G36" s="838"/>
      <c r="H36" s="838"/>
      <c r="I36" s="838"/>
      <c r="J36" s="838"/>
      <c r="K36" s="394"/>
    </row>
    <row r="37" spans="1:11" x14ac:dyDescent="0.25">
      <c r="A37" s="838"/>
      <c r="B37" s="838"/>
      <c r="C37" s="838"/>
      <c r="D37" s="838"/>
      <c r="E37" s="838"/>
      <c r="F37" s="839"/>
      <c r="G37" s="838"/>
      <c r="H37" s="838"/>
      <c r="I37" s="838"/>
      <c r="J37" s="838"/>
      <c r="K37" s="394"/>
    </row>
    <row r="38" spans="1:11" x14ac:dyDescent="0.25">
      <c r="A38" s="838"/>
      <c r="B38" s="838"/>
      <c r="C38" s="838"/>
      <c r="D38" s="838"/>
      <c r="E38" s="838"/>
      <c r="F38" s="839"/>
      <c r="G38" s="838"/>
      <c r="H38" s="838"/>
      <c r="I38" s="838"/>
      <c r="J38" s="838"/>
      <c r="K38" s="394"/>
    </row>
    <row r="39" spans="1:11" x14ac:dyDescent="0.25">
      <c r="A39" s="838"/>
      <c r="B39" s="838"/>
      <c r="C39" s="838"/>
      <c r="D39" s="838"/>
      <c r="E39" s="838"/>
      <c r="F39" s="839"/>
      <c r="G39" s="838"/>
      <c r="H39" s="838"/>
      <c r="I39" s="838"/>
      <c r="J39" s="838"/>
      <c r="K39" s="394"/>
    </row>
    <row r="40" spans="1:11" x14ac:dyDescent="0.25">
      <c r="A40" s="838"/>
      <c r="B40" s="838"/>
      <c r="C40" s="838"/>
      <c r="D40" s="838"/>
      <c r="E40" s="838"/>
      <c r="F40" s="839"/>
      <c r="G40" s="838"/>
      <c r="H40" s="838"/>
      <c r="I40" s="838"/>
      <c r="J40" s="838"/>
      <c r="K40" s="394"/>
    </row>
    <row r="41" spans="1:11" x14ac:dyDescent="0.25">
      <c r="A41" s="838"/>
      <c r="B41" s="838"/>
      <c r="C41" s="838"/>
      <c r="D41" s="838"/>
      <c r="E41" s="838"/>
      <c r="F41" s="839"/>
      <c r="G41" s="838"/>
      <c r="H41" s="838"/>
      <c r="I41" s="838"/>
      <c r="J41" s="838"/>
      <c r="K41" s="394"/>
    </row>
    <row r="42" spans="1:11" x14ac:dyDescent="0.25">
      <c r="A42" s="838"/>
      <c r="B42" s="838"/>
      <c r="C42" s="838"/>
      <c r="D42" s="838"/>
      <c r="E42" s="838"/>
      <c r="F42" s="839"/>
      <c r="G42" s="838"/>
      <c r="H42" s="838"/>
      <c r="I42" s="838"/>
      <c r="J42" s="838"/>
      <c r="K42" s="394"/>
    </row>
    <row r="43" spans="1:11" x14ac:dyDescent="0.25">
      <c r="A43" s="838"/>
      <c r="B43" s="838"/>
      <c r="C43" s="838"/>
      <c r="D43" s="838"/>
      <c r="E43" s="838"/>
      <c r="F43" s="839"/>
      <c r="G43" s="838"/>
      <c r="H43" s="838"/>
      <c r="I43" s="838"/>
      <c r="J43" s="838"/>
      <c r="K43" s="394"/>
    </row>
    <row r="44" spans="1:11" x14ac:dyDescent="0.25">
      <c r="A44" s="838"/>
      <c r="B44" s="838"/>
      <c r="C44" s="838"/>
      <c r="D44" s="838"/>
      <c r="E44" s="838"/>
      <c r="F44" s="839"/>
      <c r="G44" s="838"/>
      <c r="H44" s="838"/>
      <c r="I44" s="838"/>
      <c r="J44" s="838"/>
      <c r="K44" s="394"/>
    </row>
    <row r="45" spans="1:11" x14ac:dyDescent="0.25">
      <c r="A45" s="838"/>
      <c r="B45" s="838"/>
      <c r="C45" s="838"/>
      <c r="D45" s="838"/>
      <c r="E45" s="838"/>
      <c r="F45" s="839"/>
      <c r="G45" s="838"/>
      <c r="H45" s="838"/>
      <c r="I45" s="838"/>
      <c r="J45" s="838"/>
      <c r="K45" s="394"/>
    </row>
    <row r="46" spans="1:11" x14ac:dyDescent="0.25">
      <c r="A46" s="838"/>
      <c r="B46" s="838"/>
      <c r="C46" s="838"/>
      <c r="D46" s="838"/>
      <c r="E46" s="838"/>
      <c r="F46" s="839"/>
      <c r="G46" s="838"/>
      <c r="H46" s="838"/>
      <c r="I46" s="838"/>
      <c r="J46" s="838"/>
      <c r="K46" s="394"/>
    </row>
    <row r="47" spans="1:11" x14ac:dyDescent="0.25">
      <c r="A47" s="838"/>
      <c r="B47" s="838"/>
      <c r="C47" s="838"/>
      <c r="D47" s="838"/>
      <c r="E47" s="838"/>
      <c r="F47" s="839"/>
      <c r="G47" s="838"/>
      <c r="H47" s="838"/>
      <c r="I47" s="838"/>
      <c r="J47" s="838"/>
      <c r="K47" s="394"/>
    </row>
    <row r="48" spans="1:11" x14ac:dyDescent="0.25">
      <c r="A48" s="838"/>
      <c r="B48" s="838"/>
      <c r="C48" s="838"/>
      <c r="D48" s="838"/>
      <c r="E48" s="838"/>
      <c r="F48" s="839"/>
      <c r="G48" s="838"/>
      <c r="H48" s="838"/>
      <c r="I48" s="838"/>
      <c r="J48" s="838"/>
      <c r="K48" s="394"/>
    </row>
    <row r="49" spans="1:11" x14ac:dyDescent="0.25">
      <c r="A49" s="838"/>
      <c r="B49" s="838"/>
      <c r="C49" s="838"/>
      <c r="D49" s="838"/>
      <c r="E49" s="838"/>
      <c r="F49" s="839"/>
      <c r="G49" s="838"/>
      <c r="H49" s="838"/>
      <c r="I49" s="838"/>
      <c r="J49" s="838"/>
      <c r="K49" s="394"/>
    </row>
    <row r="50" spans="1:11" x14ac:dyDescent="0.25">
      <c r="A50" s="838"/>
      <c r="B50" s="838"/>
      <c r="C50" s="838"/>
      <c r="D50" s="838"/>
      <c r="E50" s="838"/>
      <c r="F50" s="839"/>
      <c r="G50" s="838"/>
      <c r="H50" s="838"/>
      <c r="I50" s="838"/>
      <c r="J50" s="838"/>
      <c r="K50" s="394"/>
    </row>
    <row r="51" spans="1:11" x14ac:dyDescent="0.25">
      <c r="A51" s="838"/>
      <c r="B51" s="838"/>
      <c r="C51" s="838"/>
      <c r="D51" s="838"/>
      <c r="E51" s="838"/>
      <c r="F51" s="839"/>
      <c r="G51" s="838"/>
      <c r="H51" s="838"/>
      <c r="I51" s="838"/>
      <c r="J51" s="838"/>
      <c r="K51" s="394"/>
    </row>
    <row r="52" spans="1:11" x14ac:dyDescent="0.25">
      <c r="A52" s="838"/>
      <c r="B52" s="838"/>
      <c r="C52" s="838"/>
      <c r="D52" s="838"/>
      <c r="E52" s="838"/>
      <c r="F52" s="839"/>
      <c r="G52" s="838"/>
      <c r="H52" s="838"/>
      <c r="I52" s="838"/>
      <c r="J52" s="838"/>
      <c r="K52" s="394"/>
    </row>
    <row r="53" spans="1:11" x14ac:dyDescent="0.25">
      <c r="A53" s="838"/>
      <c r="B53" s="838"/>
      <c r="C53" s="838"/>
      <c r="D53" s="838"/>
      <c r="E53" s="838"/>
      <c r="F53" s="839"/>
      <c r="G53" s="838"/>
      <c r="H53" s="838"/>
      <c r="I53" s="838"/>
      <c r="J53" s="838"/>
      <c r="K53" s="394"/>
    </row>
    <row r="54" spans="1:11" x14ac:dyDescent="0.25">
      <c r="A54" s="838"/>
      <c r="B54" s="838"/>
      <c r="C54" s="838"/>
      <c r="D54" s="838"/>
      <c r="E54" s="838"/>
      <c r="F54" s="839"/>
      <c r="G54" s="838"/>
      <c r="H54" s="838"/>
      <c r="I54" s="838"/>
      <c r="J54" s="838"/>
      <c r="K54" s="394"/>
    </row>
    <row r="55" spans="1:11" x14ac:dyDescent="0.25">
      <c r="A55" s="838"/>
      <c r="B55" s="838"/>
      <c r="C55" s="838"/>
      <c r="D55" s="838"/>
      <c r="E55" s="838"/>
      <c r="F55" s="839"/>
      <c r="G55" s="838"/>
      <c r="H55" s="838"/>
      <c r="I55" s="838"/>
      <c r="J55" s="838"/>
      <c r="K55" s="394"/>
    </row>
    <row r="56" spans="1:11" x14ac:dyDescent="0.25">
      <c r="A56" s="838"/>
      <c r="B56" s="838"/>
      <c r="C56" s="838"/>
      <c r="D56" s="838"/>
      <c r="E56" s="838"/>
      <c r="F56" s="839"/>
      <c r="G56" s="838"/>
      <c r="H56" s="838"/>
      <c r="I56" s="838"/>
      <c r="J56" s="838"/>
      <c r="K56" s="394"/>
    </row>
    <row r="57" spans="1:11" x14ac:dyDescent="0.25">
      <c r="A57" s="838"/>
      <c r="B57" s="838"/>
      <c r="C57" s="838"/>
      <c r="D57" s="838"/>
      <c r="E57" s="838"/>
      <c r="F57" s="839"/>
      <c r="G57" s="838"/>
      <c r="H57" s="838"/>
      <c r="I57" s="838"/>
      <c r="J57" s="838"/>
      <c r="K57" s="394"/>
    </row>
    <row r="58" spans="1:11" x14ac:dyDescent="0.25">
      <c r="A58" s="838"/>
      <c r="B58" s="838"/>
      <c r="C58" s="838"/>
      <c r="D58" s="838"/>
      <c r="E58" s="838"/>
      <c r="F58" s="839"/>
      <c r="G58" s="838"/>
      <c r="H58" s="838"/>
      <c r="I58" s="838"/>
      <c r="J58" s="838"/>
      <c r="K58" s="394"/>
    </row>
    <row r="59" spans="1:11" x14ac:dyDescent="0.25">
      <c r="A59" s="838"/>
      <c r="B59" s="838"/>
      <c r="C59" s="838"/>
      <c r="D59" s="838"/>
      <c r="E59" s="838"/>
      <c r="F59" s="839"/>
      <c r="G59" s="838"/>
      <c r="H59" s="838"/>
      <c r="I59" s="838"/>
      <c r="J59" s="838"/>
      <c r="K59" s="394"/>
    </row>
    <row r="60" spans="1:11" x14ac:dyDescent="0.25">
      <c r="A60" s="838"/>
      <c r="B60" s="838"/>
      <c r="C60" s="838"/>
      <c r="D60" s="838"/>
      <c r="E60" s="838"/>
      <c r="F60" s="839"/>
      <c r="G60" s="838"/>
      <c r="H60" s="838"/>
      <c r="I60" s="838"/>
      <c r="J60" s="838"/>
      <c r="K60" s="394"/>
    </row>
    <row r="61" spans="1:11" x14ac:dyDescent="0.25">
      <c r="A61" s="838"/>
      <c r="B61" s="838"/>
      <c r="C61" s="838"/>
      <c r="D61" s="838"/>
      <c r="E61" s="838"/>
      <c r="F61" s="839"/>
      <c r="G61" s="838"/>
      <c r="H61" s="838"/>
      <c r="I61" s="838"/>
      <c r="J61" s="838"/>
      <c r="K61" s="394"/>
    </row>
    <row r="62" spans="1:11" x14ac:dyDescent="0.25">
      <c r="A62" s="838"/>
      <c r="B62" s="838"/>
      <c r="C62" s="838"/>
      <c r="D62" s="838"/>
      <c r="E62" s="838"/>
      <c r="F62" s="839"/>
      <c r="G62" s="838"/>
      <c r="H62" s="838"/>
      <c r="I62" s="838"/>
      <c r="J62" s="838"/>
      <c r="K62" s="394"/>
    </row>
    <row r="63" spans="1:11" x14ac:dyDescent="0.25">
      <c r="A63" s="838"/>
      <c r="B63" s="838"/>
      <c r="C63" s="838"/>
      <c r="D63" s="838"/>
      <c r="E63" s="838"/>
      <c r="F63" s="839"/>
      <c r="G63" s="838"/>
      <c r="H63" s="838"/>
      <c r="I63" s="838"/>
      <c r="J63" s="838"/>
      <c r="K63" s="394"/>
    </row>
    <row r="64" spans="1:11" ht="15" customHeight="1" x14ac:dyDescent="0.25">
      <c r="A64" s="838"/>
      <c r="B64" s="838"/>
      <c r="C64" s="838"/>
      <c r="D64" s="838"/>
      <c r="E64" s="838"/>
      <c r="F64" s="839"/>
      <c r="G64" s="838"/>
      <c r="H64" s="838"/>
      <c r="I64" s="838"/>
      <c r="J64" s="838"/>
      <c r="K64" s="394"/>
    </row>
    <row r="65" spans="1:11" ht="15" customHeight="1" x14ac:dyDescent="0.25">
      <c r="A65" s="838"/>
      <c r="B65" s="838"/>
      <c r="C65" s="838"/>
      <c r="D65" s="838"/>
      <c r="E65" s="838"/>
      <c r="F65" s="839"/>
      <c r="G65" s="838"/>
      <c r="H65" s="838"/>
      <c r="I65" s="838"/>
      <c r="J65" s="838"/>
      <c r="K65" s="394"/>
    </row>
    <row r="66" spans="1:11" ht="15" customHeight="1" x14ac:dyDescent="0.25">
      <c r="A66" s="838"/>
      <c r="B66" s="838"/>
      <c r="C66" s="838"/>
      <c r="D66" s="838"/>
      <c r="E66" s="838"/>
      <c r="F66" s="839"/>
      <c r="G66" s="838"/>
      <c r="H66" s="838"/>
      <c r="I66" s="838"/>
      <c r="J66" s="838"/>
      <c r="K66" s="394"/>
    </row>
    <row r="67" spans="1:11" ht="15" customHeight="1" x14ac:dyDescent="0.25">
      <c r="A67" s="838"/>
      <c r="B67" s="838"/>
      <c r="C67" s="838"/>
      <c r="D67" s="838"/>
      <c r="E67" s="838"/>
      <c r="F67" s="839"/>
      <c r="G67" s="838"/>
      <c r="H67" s="838"/>
      <c r="I67" s="838"/>
      <c r="J67" s="838"/>
      <c r="K67" s="394"/>
    </row>
    <row r="68" spans="1:11" ht="15" customHeight="1" x14ac:dyDescent="0.25">
      <c r="A68" s="838"/>
      <c r="B68" s="838"/>
      <c r="C68" s="838"/>
      <c r="D68" s="838"/>
      <c r="E68" s="838"/>
      <c r="F68" s="839"/>
      <c r="G68" s="838"/>
      <c r="H68" s="838"/>
      <c r="I68" s="838"/>
      <c r="J68" s="838"/>
      <c r="K68" s="394"/>
    </row>
    <row r="69" spans="1:11" ht="15" customHeight="1" x14ac:dyDescent="0.25">
      <c r="A69" s="838"/>
      <c r="B69" s="838"/>
      <c r="C69" s="838"/>
      <c r="D69" s="838"/>
      <c r="E69" s="838"/>
      <c r="F69" s="839"/>
      <c r="G69" s="838"/>
      <c r="H69" s="838"/>
      <c r="I69" s="838"/>
      <c r="J69" s="838"/>
      <c r="K69" s="394"/>
    </row>
    <row r="70" spans="1:11" ht="15" customHeight="1" x14ac:dyDescent="0.25">
      <c r="A70" s="838"/>
      <c r="B70" s="838"/>
      <c r="C70" s="838"/>
      <c r="D70" s="838"/>
      <c r="E70" s="838"/>
      <c r="F70" s="839"/>
      <c r="G70" s="838"/>
      <c r="H70" s="838"/>
      <c r="I70" s="838"/>
      <c r="J70" s="838"/>
      <c r="K70" s="394"/>
    </row>
    <row r="71" spans="1:11" ht="15" customHeight="1" x14ac:dyDescent="0.25">
      <c r="A71" s="838"/>
      <c r="B71" s="838"/>
      <c r="C71" s="838"/>
      <c r="D71" s="838"/>
      <c r="E71" s="838"/>
      <c r="F71" s="839"/>
      <c r="G71" s="838"/>
      <c r="H71" s="838"/>
      <c r="I71" s="838"/>
      <c r="J71" s="838"/>
      <c r="K71" s="394"/>
    </row>
    <row r="72" spans="1:11" ht="15" customHeight="1" x14ac:dyDescent="0.25">
      <c r="A72" s="838"/>
      <c r="B72" s="838"/>
      <c r="C72" s="838"/>
      <c r="D72" s="838"/>
      <c r="E72" s="838"/>
      <c r="F72" s="839"/>
      <c r="G72" s="838"/>
      <c r="H72" s="838"/>
      <c r="I72" s="838"/>
      <c r="J72" s="838"/>
      <c r="K72" s="394"/>
    </row>
    <row r="73" spans="1:11" ht="15" customHeight="1" x14ac:dyDescent="0.25">
      <c r="A73" s="838"/>
      <c r="B73" s="838"/>
      <c r="C73" s="838"/>
      <c r="D73" s="838"/>
      <c r="E73" s="838"/>
      <c r="F73" s="839"/>
      <c r="G73" s="838"/>
      <c r="H73" s="838"/>
      <c r="I73" s="838"/>
      <c r="J73" s="838"/>
      <c r="K73" s="394"/>
    </row>
    <row r="74" spans="1:11" ht="15" customHeight="1" x14ac:dyDescent="0.25">
      <c r="A74" s="838"/>
      <c r="B74" s="838"/>
      <c r="C74" s="838"/>
      <c r="D74" s="838"/>
      <c r="E74" s="838"/>
      <c r="F74" s="839"/>
      <c r="G74" s="838"/>
      <c r="H74" s="838"/>
      <c r="I74" s="838"/>
      <c r="J74" s="838"/>
      <c r="K74" s="394"/>
    </row>
    <row r="75" spans="1:11" ht="15" customHeight="1" x14ac:dyDescent="0.25">
      <c r="A75" s="838"/>
      <c r="B75" s="838"/>
      <c r="C75" s="838"/>
      <c r="D75" s="838"/>
      <c r="E75" s="838"/>
      <c r="F75" s="839"/>
      <c r="G75" s="838"/>
      <c r="H75" s="838"/>
      <c r="I75" s="838"/>
      <c r="J75" s="838"/>
      <c r="K75" s="394"/>
    </row>
    <row r="76" spans="1:11" ht="15" customHeight="1" x14ac:dyDescent="0.25">
      <c r="A76" s="838"/>
      <c r="B76" s="838"/>
      <c r="C76" s="838"/>
      <c r="D76" s="838"/>
      <c r="E76" s="838"/>
      <c r="F76" s="839"/>
      <c r="G76" s="838"/>
      <c r="H76" s="838"/>
      <c r="I76" s="838"/>
      <c r="J76" s="838"/>
      <c r="K76" s="394"/>
    </row>
    <row r="77" spans="1:11" ht="15" customHeight="1" x14ac:dyDescent="0.25">
      <c r="A77" s="838"/>
      <c r="B77" s="838"/>
      <c r="C77" s="838"/>
      <c r="D77" s="838"/>
      <c r="E77" s="838"/>
      <c r="F77" s="839"/>
      <c r="G77" s="838"/>
      <c r="H77" s="838"/>
      <c r="I77" s="838"/>
      <c r="J77" s="838"/>
      <c r="K77" s="394"/>
    </row>
    <row r="78" spans="1:11" ht="15" customHeight="1" x14ac:dyDescent="0.25">
      <c r="A78" s="838"/>
      <c r="B78" s="838"/>
      <c r="C78" s="838"/>
      <c r="D78" s="838"/>
      <c r="E78" s="838"/>
      <c r="F78" s="839"/>
      <c r="G78" s="838"/>
      <c r="H78" s="838"/>
      <c r="I78" s="838"/>
      <c r="J78" s="838"/>
      <c r="K78" s="394"/>
    </row>
  </sheetData>
  <pageMargins left="0.7" right="0.7" top="0.75" bottom="0.75" header="0.1" footer="0"/>
  <pageSetup orientation="portrait" r:id="rId1"/>
  <headerFooter>
    <oddHeader>&amp;L&amp;"Arial,Bold"&amp;8 4:31 PM
&amp;"Arial,Bold"&amp;8 02/15/23
&amp;"Arial,Bold"&amp;8 Accrual Basis&amp;C&amp;"Arial,Bold"&amp;12 Williamson Central Appraisal District
&amp;"Arial,Bold"&amp;14 Account QuickReport
&amp;"Arial,Bold"&amp;10 January 1 through February 15, 2023</oddHeader>
    <oddFooter>&amp;R&amp;"Arial,Bold"&amp;8 Page &amp;P of &amp;N</oddFooter>
  </headerFooter>
  <drawing r:id="rId2"/>
  <legacyDrawing r:id="rId3"/>
  <controls>
    <mc:AlternateContent xmlns:mc="http://schemas.openxmlformats.org/markup-compatibility/2006">
      <mc:Choice Requires="x14">
        <control shapeId="109571" r:id="rId4" name="FILTER">
          <controlPr defaultSize="0" autoLine="0" r:id="rId5">
            <anchor moveWithCells="1">
              <from>
                <xdr:col>0</xdr:col>
                <xdr:colOff>0</xdr:colOff>
                <xdr:row>0</xdr:row>
                <xdr:rowOff>0</xdr:rowOff>
              </from>
              <to>
                <xdr:col>2</xdr:col>
                <xdr:colOff>514350</xdr:colOff>
                <xdr:row>1</xdr:row>
                <xdr:rowOff>38100</xdr:rowOff>
              </to>
            </anchor>
          </controlPr>
        </control>
      </mc:Choice>
      <mc:Fallback>
        <control shapeId="109571" r:id="rId4" name="FILTER"/>
      </mc:Fallback>
    </mc:AlternateContent>
  </control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51"/>
  <dimension ref="A1:K13"/>
  <sheetViews>
    <sheetView workbookViewId="0">
      <pane xSplit="3" ySplit="1" topLeftCell="D2" activePane="bottomRight" state="frozenSplit"/>
      <selection pane="topRight" activeCell="D1" sqref="D1"/>
      <selection pane="bottomLeft" activeCell="A2" sqref="A2"/>
      <selection pane="bottomRight" sqref="A1:XFD1048576"/>
    </sheetView>
  </sheetViews>
  <sheetFormatPr defaultColWidth="14.42578125" defaultRowHeight="15" customHeight="1" x14ac:dyDescent="0.25"/>
  <cols>
    <col min="1" max="2" width="3" style="195" customWidth="1"/>
    <col min="3" max="3" width="33.85546875" style="195" customWidth="1"/>
    <col min="4" max="4" width="2.28515625" style="195" customWidth="1"/>
    <col min="5" max="5" width="5.28515625" style="195" bestFit="1" customWidth="1"/>
    <col min="6" max="6" width="10.7109375" style="195" bestFit="1" customWidth="1"/>
    <col min="7" max="7" width="12.42578125" style="195" bestFit="1" customWidth="1"/>
    <col min="8" max="8" width="25.140625" style="195" bestFit="1" customWidth="1"/>
    <col min="9" max="9" width="30.7109375" style="195" customWidth="1"/>
    <col min="10" max="10" width="22.28515625" style="195" bestFit="1" customWidth="1"/>
    <col min="11" max="11" width="8.140625" style="195" bestFit="1" customWidth="1"/>
    <col min="12" max="16384" width="14.42578125" style="195"/>
  </cols>
  <sheetData>
    <row r="1" spans="1:11" s="196" customFormat="1" x14ac:dyDescent="0.25">
      <c r="A1" s="837"/>
      <c r="B1" s="837"/>
      <c r="C1" s="837"/>
      <c r="D1" s="837"/>
      <c r="E1" s="837"/>
      <c r="F1" s="837"/>
      <c r="G1" s="837"/>
      <c r="H1" s="837"/>
      <c r="I1" s="837"/>
      <c r="J1" s="837"/>
      <c r="K1" s="837"/>
    </row>
    <row r="2" spans="1:11" x14ac:dyDescent="0.25">
      <c r="A2" s="838"/>
      <c r="B2" s="838"/>
      <c r="C2" s="838"/>
      <c r="D2" s="838"/>
      <c r="E2" s="838"/>
      <c r="F2" s="839"/>
      <c r="G2" s="838"/>
      <c r="H2" s="838"/>
      <c r="I2" s="838"/>
      <c r="J2" s="838"/>
      <c r="K2" s="394"/>
    </row>
    <row r="3" spans="1:11" x14ac:dyDescent="0.25">
      <c r="A3" s="838"/>
      <c r="B3" s="838"/>
      <c r="C3" s="838"/>
      <c r="D3" s="838"/>
      <c r="E3" s="838"/>
      <c r="F3" s="839"/>
      <c r="G3" s="838"/>
      <c r="H3" s="838"/>
      <c r="I3" s="838"/>
      <c r="J3" s="838"/>
      <c r="K3" s="394"/>
    </row>
    <row r="4" spans="1:11" x14ac:dyDescent="0.25">
      <c r="A4" s="838"/>
      <c r="B4" s="838"/>
      <c r="C4" s="838"/>
      <c r="D4" s="838"/>
      <c r="E4" s="838"/>
      <c r="F4" s="839"/>
      <c r="G4" s="838"/>
      <c r="H4" s="838"/>
      <c r="I4" s="838"/>
      <c r="J4" s="838"/>
      <c r="K4" s="394"/>
    </row>
    <row r="5" spans="1:11" x14ac:dyDescent="0.25">
      <c r="A5" s="838"/>
      <c r="B5" s="838"/>
      <c r="C5" s="838"/>
      <c r="D5" s="838"/>
      <c r="E5" s="838"/>
      <c r="F5" s="839"/>
      <c r="G5" s="838"/>
      <c r="H5" s="838"/>
      <c r="I5" s="838"/>
      <c r="J5" s="838"/>
      <c r="K5" s="394"/>
    </row>
    <row r="6" spans="1:11" x14ac:dyDescent="0.25">
      <c r="A6" s="838"/>
      <c r="B6" s="838"/>
      <c r="C6" s="838"/>
      <c r="D6" s="838"/>
      <c r="E6" s="838"/>
      <c r="F6" s="839"/>
      <c r="G6" s="838"/>
      <c r="H6" s="838"/>
      <c r="I6" s="838"/>
      <c r="J6" s="838"/>
      <c r="K6" s="394"/>
    </row>
    <row r="7" spans="1:11" x14ac:dyDescent="0.25">
      <c r="A7" s="838"/>
      <c r="B7" s="838"/>
      <c r="C7" s="838"/>
      <c r="D7" s="838"/>
      <c r="E7" s="838"/>
      <c r="F7" s="839"/>
      <c r="G7" s="838"/>
      <c r="H7" s="838"/>
      <c r="I7" s="838"/>
      <c r="J7" s="838"/>
      <c r="K7" s="394"/>
    </row>
    <row r="8" spans="1:11" x14ac:dyDescent="0.25">
      <c r="A8" s="838"/>
      <c r="B8" s="838"/>
      <c r="C8" s="838"/>
      <c r="D8" s="838"/>
      <c r="E8" s="838"/>
      <c r="F8" s="839"/>
      <c r="G8" s="838"/>
      <c r="H8" s="838"/>
      <c r="I8" s="838"/>
      <c r="J8" s="838"/>
      <c r="K8" s="394"/>
    </row>
    <row r="9" spans="1:11" x14ac:dyDescent="0.25">
      <c r="A9" s="838"/>
      <c r="B9" s="838"/>
      <c r="C9" s="838"/>
      <c r="D9" s="838"/>
      <c r="E9" s="838"/>
      <c r="F9" s="839"/>
      <c r="G9" s="838"/>
      <c r="H9" s="838"/>
      <c r="I9" s="838"/>
      <c r="J9" s="838"/>
      <c r="K9" s="394"/>
    </row>
    <row r="10" spans="1:11" x14ac:dyDescent="0.25">
      <c r="A10" s="838"/>
      <c r="B10" s="838"/>
      <c r="C10" s="838"/>
      <c r="D10" s="838"/>
      <c r="E10" s="838"/>
      <c r="F10" s="839"/>
      <c r="G10" s="838"/>
      <c r="H10" s="838"/>
      <c r="I10" s="838"/>
      <c r="J10" s="838"/>
      <c r="K10" s="394"/>
    </row>
    <row r="11" spans="1:11" ht="15" customHeight="1" x14ac:dyDescent="0.25">
      <c r="A11" s="838"/>
      <c r="B11" s="838"/>
      <c r="C11" s="838"/>
      <c r="D11" s="838"/>
      <c r="E11" s="838"/>
      <c r="F11" s="839"/>
      <c r="G11" s="838"/>
      <c r="H11" s="838"/>
      <c r="I11" s="838"/>
      <c r="J11" s="838"/>
      <c r="K11" s="394"/>
    </row>
    <row r="12" spans="1:11" ht="15" customHeight="1" x14ac:dyDescent="0.25">
      <c r="A12" s="838"/>
      <c r="B12" s="838"/>
      <c r="C12" s="838"/>
      <c r="D12" s="838"/>
      <c r="E12" s="838"/>
      <c r="F12" s="839"/>
      <c r="G12" s="838"/>
      <c r="H12" s="838"/>
      <c r="I12" s="838"/>
      <c r="J12" s="838"/>
      <c r="K12" s="394"/>
    </row>
    <row r="13" spans="1:11" ht="15" customHeight="1" x14ac:dyDescent="0.25">
      <c r="A13" s="838"/>
      <c r="B13" s="838"/>
      <c r="C13" s="838"/>
      <c r="D13" s="838"/>
      <c r="E13" s="838"/>
      <c r="F13" s="839"/>
      <c r="G13" s="838"/>
      <c r="H13" s="838"/>
      <c r="I13" s="838"/>
      <c r="J13" s="838"/>
      <c r="K13" s="394"/>
    </row>
  </sheetData>
  <pageMargins left="0.7" right="0.7" top="0.75" bottom="0.75" header="0.1" footer="0"/>
  <pageSetup orientation="portrait" r:id="rId1"/>
  <headerFooter>
    <oddHeader>&amp;L&amp;"Arial,Bold"&amp;8 4:32 PM
&amp;"Arial,Bold"&amp;8 02/15/23
&amp;"Arial,Bold"&amp;8 Accrual Basis&amp;C&amp;"Arial,Bold"&amp;12 Williamson Central Appraisal District
&amp;"Arial,Bold"&amp;14 Account QuickReport
&amp;"Arial,Bold"&amp;10 January 1 through February 15, 2023</oddHeader>
    <oddFooter>&amp;R&amp;"Arial,Bold"&amp;8 Page &amp;P of &amp;N</oddFooter>
  </headerFooter>
  <drawing r:id="rId2"/>
  <legacyDrawing r:id="rId3"/>
  <controls>
    <mc:AlternateContent xmlns:mc="http://schemas.openxmlformats.org/markup-compatibility/2006">
      <mc:Choice Requires="x14">
        <control shapeId="110595" r:id="rId4" name="FILTER">
          <controlPr defaultSize="0" autoLine="0" r:id="rId5">
            <anchor moveWithCells="1">
              <from>
                <xdr:col>0</xdr:col>
                <xdr:colOff>0</xdr:colOff>
                <xdr:row>0</xdr:row>
                <xdr:rowOff>0</xdr:rowOff>
              </from>
              <to>
                <xdr:col>2</xdr:col>
                <xdr:colOff>514350</xdr:colOff>
                <xdr:row>1</xdr:row>
                <xdr:rowOff>38100</xdr:rowOff>
              </to>
            </anchor>
          </controlPr>
        </control>
      </mc:Choice>
      <mc:Fallback>
        <control shapeId="110595" r:id="rId4" name="FILTER"/>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BD95E-6C0F-4E35-960D-E2F957C450C0}">
  <sheetPr>
    <pageSetUpPr fitToPage="1"/>
  </sheetPr>
  <dimension ref="A1:T92"/>
  <sheetViews>
    <sheetView zoomScaleNormal="100" workbookViewId="0">
      <selection activeCell="B17" sqref="B17"/>
    </sheetView>
  </sheetViews>
  <sheetFormatPr defaultColWidth="14.42578125" defaultRowHeight="15" x14ac:dyDescent="0.25"/>
  <cols>
    <col min="1" max="1" width="48" bestFit="1" customWidth="1"/>
    <col min="2" max="2" width="12.140625" bestFit="1" customWidth="1"/>
    <col min="3" max="3" width="11.5703125" bestFit="1" customWidth="1"/>
    <col min="4" max="4" width="12.140625" bestFit="1" customWidth="1"/>
    <col min="5" max="5" width="12.140625" customWidth="1"/>
    <col min="6" max="9" width="12.5703125" customWidth="1"/>
    <col min="10" max="10" width="12.42578125" customWidth="1"/>
    <col min="11" max="11" width="9.7109375" bestFit="1" customWidth="1"/>
    <col min="12" max="12" width="7" customWidth="1"/>
    <col min="13" max="13" width="12.5703125" bestFit="1" customWidth="1"/>
    <col min="14" max="14" width="15" bestFit="1" customWidth="1"/>
    <col min="15" max="17" width="13.28515625" customWidth="1"/>
    <col min="18" max="18" width="13.5703125" bestFit="1" customWidth="1"/>
    <col min="19" max="19" width="15" bestFit="1" customWidth="1"/>
    <col min="20" max="24" width="13.28515625" customWidth="1"/>
    <col min="25" max="27" width="15.140625" customWidth="1"/>
  </cols>
  <sheetData>
    <row r="1" spans="1:20" ht="26.25" x14ac:dyDescent="0.4">
      <c r="A1" s="1108" t="s">
        <v>53</v>
      </c>
      <c r="B1" s="1108"/>
      <c r="C1" s="1108"/>
      <c r="D1" s="1108"/>
      <c r="E1" s="1108"/>
      <c r="F1" s="1108"/>
      <c r="G1" s="1108"/>
      <c r="H1" s="1108"/>
      <c r="I1" s="1108"/>
      <c r="J1" s="1108"/>
      <c r="K1" s="1108"/>
    </row>
    <row r="2" spans="1:20" ht="45" customHeight="1" x14ac:dyDescent="0.25">
      <c r="A2" s="295" t="s">
        <v>1</v>
      </c>
      <c r="B2" s="296" t="s">
        <v>54</v>
      </c>
      <c r="C2" s="296" t="s">
        <v>55</v>
      </c>
      <c r="D2" s="296" t="s">
        <v>56</v>
      </c>
      <c r="E2" s="296" t="s">
        <v>57</v>
      </c>
      <c r="F2" s="296" t="s">
        <v>58</v>
      </c>
      <c r="G2" s="296" t="s">
        <v>59</v>
      </c>
      <c r="H2" s="296" t="s">
        <v>60</v>
      </c>
      <c r="I2" s="296" t="s">
        <v>2</v>
      </c>
      <c r="J2" s="296" t="s">
        <v>61</v>
      </c>
      <c r="K2" s="297" t="s">
        <v>62</v>
      </c>
      <c r="L2" s="1"/>
      <c r="M2" s="1"/>
      <c r="N2" t="s">
        <v>63</v>
      </c>
    </row>
    <row r="3" spans="1:20" x14ac:dyDescent="0.25">
      <c r="A3" s="147" t="s">
        <v>9</v>
      </c>
      <c r="B3" s="139">
        <v>3942800</v>
      </c>
      <c r="C3" s="139">
        <v>3852722</v>
      </c>
      <c r="D3" s="139">
        <v>4225900</v>
      </c>
      <c r="E3" s="139">
        <v>4114339</v>
      </c>
      <c r="F3" s="139">
        <v>4348900</v>
      </c>
      <c r="G3" s="139">
        <v>4237072</v>
      </c>
      <c r="H3" s="139">
        <v>4350500</v>
      </c>
      <c r="I3" s="139">
        <v>4650100</v>
      </c>
      <c r="J3" s="148">
        <f>SUM(ROUNDUP('1% Personnel'!E10,-2))</f>
        <v>4758900</v>
      </c>
      <c r="K3" s="149">
        <f>(J3-I3)/I3</f>
        <v>2.3397346293628093E-2</v>
      </c>
      <c r="L3" s="1"/>
      <c r="M3" s="3">
        <v>2020</v>
      </c>
      <c r="N3">
        <v>2021</v>
      </c>
    </row>
    <row r="4" spans="1:20" x14ac:dyDescent="0.25">
      <c r="A4" s="3" t="s">
        <v>10</v>
      </c>
      <c r="B4" s="5">
        <v>229700</v>
      </c>
      <c r="C4" s="5">
        <v>215369</v>
      </c>
      <c r="D4" s="4">
        <v>257800</v>
      </c>
      <c r="E4" s="4">
        <v>231208</v>
      </c>
      <c r="F4" s="4">
        <v>255600</v>
      </c>
      <c r="G4" s="4">
        <v>236554</v>
      </c>
      <c r="H4" s="4">
        <v>253000</v>
      </c>
      <c r="I4" s="4">
        <v>265800</v>
      </c>
      <c r="J4" s="4">
        <f>SUM(ROUNDUP('1% Personnel'!E34,-2))</f>
        <v>269300</v>
      </c>
      <c r="K4" s="150">
        <f t="shared" ref="K4:K31" si="0">(J4-I4)/I4</f>
        <v>1.3167795334838224E-2</v>
      </c>
      <c r="L4" s="1"/>
      <c r="M4" s="1109" t="s">
        <v>64</v>
      </c>
      <c r="N4" s="1107"/>
    </row>
    <row r="5" spans="1:20" x14ac:dyDescent="0.25">
      <c r="A5" s="147" t="s">
        <v>11</v>
      </c>
      <c r="B5" s="139">
        <v>551200</v>
      </c>
      <c r="C5" s="139">
        <v>523428</v>
      </c>
      <c r="D5" s="139">
        <v>568800</v>
      </c>
      <c r="E5" s="139">
        <v>541872</v>
      </c>
      <c r="F5" s="139">
        <v>603100</v>
      </c>
      <c r="G5" s="139">
        <v>557116</v>
      </c>
      <c r="H5" s="139">
        <v>626700</v>
      </c>
      <c r="I5" s="139">
        <v>675600</v>
      </c>
      <c r="J5" s="148">
        <f>SUM(ROUNDUP('1% Personnel'!E43,-2))</f>
        <v>656400</v>
      </c>
      <c r="K5" s="149">
        <f t="shared" si="0"/>
        <v>-2.8419182948490232E-2</v>
      </c>
      <c r="L5" s="1"/>
      <c r="M5" s="4">
        <f>SUM(I3:I8)</f>
        <v>6553600</v>
      </c>
      <c r="N5" s="5">
        <f>SUM(J3:J8)</f>
        <v>6669600</v>
      </c>
      <c r="O5" s="127">
        <f>N5/N35</f>
        <v>0.60268377535806261</v>
      </c>
    </row>
    <row r="6" spans="1:20" x14ac:dyDescent="0.25">
      <c r="A6" s="3" t="s">
        <v>12</v>
      </c>
      <c r="B6" s="5">
        <v>674900</v>
      </c>
      <c r="C6" s="5">
        <v>715849</v>
      </c>
      <c r="D6" s="5">
        <v>751300</v>
      </c>
      <c r="E6" s="5">
        <v>678833</v>
      </c>
      <c r="F6" s="5">
        <v>752100</v>
      </c>
      <c r="G6" s="5">
        <v>697225</v>
      </c>
      <c r="H6" s="5">
        <v>717700</v>
      </c>
      <c r="I6" s="5">
        <v>882200</v>
      </c>
      <c r="J6" s="4">
        <f>SUM(ROUNDUP('1% Personnel'!E57,-2))</f>
        <v>903500</v>
      </c>
      <c r="K6" s="150">
        <f t="shared" si="0"/>
        <v>2.414418499206529E-2</v>
      </c>
      <c r="L6" s="1"/>
      <c r="M6" s="1"/>
      <c r="O6" s="128"/>
      <c r="R6" s="281" t="s">
        <v>65</v>
      </c>
      <c r="S6" s="282" t="s">
        <v>66</v>
      </c>
      <c r="T6" s="283" t="s">
        <v>67</v>
      </c>
    </row>
    <row r="7" spans="1:20" x14ac:dyDescent="0.25">
      <c r="A7" s="151" t="s">
        <v>13</v>
      </c>
      <c r="B7" s="140">
        <v>8800</v>
      </c>
      <c r="C7" s="140">
        <v>8159</v>
      </c>
      <c r="D7" s="140">
        <v>8900</v>
      </c>
      <c r="E7" s="140">
        <v>8492</v>
      </c>
      <c r="F7" s="140">
        <v>8900</v>
      </c>
      <c r="G7" s="140">
        <v>8302</v>
      </c>
      <c r="H7" s="140">
        <v>8900</v>
      </c>
      <c r="I7" s="140">
        <v>8900</v>
      </c>
      <c r="J7" s="152">
        <f>SUM(ROUNDUP('1% Personnel'!E63,-2))</f>
        <v>8900</v>
      </c>
      <c r="K7" s="149">
        <f t="shared" si="0"/>
        <v>0</v>
      </c>
      <c r="L7" s="1"/>
      <c r="M7" s="1"/>
      <c r="O7" s="128"/>
      <c r="R7" s="269" t="s">
        <v>64</v>
      </c>
      <c r="S7" s="270">
        <f>SUM(N5)</f>
        <v>6669600</v>
      </c>
      <c r="T7" s="271">
        <f t="shared" ref="T7:T12" si="1">S7/$S$13</f>
        <v>0.60268377535806261</v>
      </c>
    </row>
    <row r="8" spans="1:20" x14ac:dyDescent="0.25">
      <c r="A8" s="3" t="s">
        <v>14</v>
      </c>
      <c r="B8" s="5">
        <v>62900</v>
      </c>
      <c r="C8" s="5">
        <v>54592</v>
      </c>
      <c r="D8" s="5">
        <v>67400</v>
      </c>
      <c r="E8" s="5">
        <v>58060</v>
      </c>
      <c r="F8" s="5">
        <v>67900</v>
      </c>
      <c r="G8" s="5">
        <v>60053</v>
      </c>
      <c r="H8" s="5">
        <v>67400</v>
      </c>
      <c r="I8" s="5">
        <v>71000</v>
      </c>
      <c r="J8" s="4">
        <f>SUM(ROUNDUP('1% Personnel'!E77,-2))</f>
        <v>72600</v>
      </c>
      <c r="K8" s="150">
        <f t="shared" si="0"/>
        <v>2.2535211267605635E-2</v>
      </c>
      <c r="L8" s="1"/>
      <c r="M8" s="1"/>
      <c r="O8" s="128"/>
      <c r="R8" s="272" t="s">
        <v>68</v>
      </c>
      <c r="S8" s="273">
        <f>SUM(N11)</f>
        <v>516500</v>
      </c>
      <c r="T8" s="274">
        <f t="shared" si="1"/>
        <v>4.6672389644422357E-2</v>
      </c>
    </row>
    <row r="9" spans="1:20" x14ac:dyDescent="0.25">
      <c r="A9" s="151" t="s">
        <v>16</v>
      </c>
      <c r="B9" s="140">
        <v>12600</v>
      </c>
      <c r="C9" s="140">
        <v>10891</v>
      </c>
      <c r="D9" s="140">
        <v>12070</v>
      </c>
      <c r="E9" s="140">
        <v>9363</v>
      </c>
      <c r="F9" s="140">
        <v>15100</v>
      </c>
      <c r="G9" s="140">
        <v>11279</v>
      </c>
      <c r="H9" s="140">
        <v>14100</v>
      </c>
      <c r="I9" s="140">
        <v>13600</v>
      </c>
      <c r="J9" s="152">
        <f>SUM(ROUNDUP('Budget-Services'!I15,-2))</f>
        <v>18000</v>
      </c>
      <c r="K9" s="149">
        <f t="shared" si="0"/>
        <v>0.3235294117647059</v>
      </c>
      <c r="L9" s="1"/>
      <c r="M9" s="1"/>
      <c r="O9" s="128"/>
      <c r="R9" s="269" t="s">
        <v>69</v>
      </c>
      <c r="S9" s="270">
        <f>SUM(N17)</f>
        <v>3132800</v>
      </c>
      <c r="T9" s="271">
        <f t="shared" si="1"/>
        <v>0.28308860073193876</v>
      </c>
    </row>
    <row r="10" spans="1:20" x14ac:dyDescent="0.25">
      <c r="A10" s="3" t="s">
        <v>18</v>
      </c>
      <c r="B10" s="5">
        <v>93900</v>
      </c>
      <c r="C10" s="5">
        <v>93900</v>
      </c>
      <c r="D10" s="5">
        <v>109400</v>
      </c>
      <c r="E10" s="5">
        <v>108514</v>
      </c>
      <c r="F10" s="5">
        <v>116900</v>
      </c>
      <c r="G10" s="5">
        <v>108342</v>
      </c>
      <c r="H10" s="5">
        <v>129900</v>
      </c>
      <c r="I10" s="5">
        <v>210900</v>
      </c>
      <c r="J10" s="4">
        <f>SUM(ROUNDUP('Budget-Services'!I39,-2))</f>
        <v>273900</v>
      </c>
      <c r="K10" s="150">
        <f t="shared" si="0"/>
        <v>0.29871977240398295</v>
      </c>
      <c r="L10" s="1"/>
      <c r="M10" s="1109" t="s">
        <v>70</v>
      </c>
      <c r="N10" s="1107"/>
      <c r="O10" s="128"/>
      <c r="R10" s="272" t="s">
        <v>71</v>
      </c>
      <c r="S10" s="273">
        <f>SUM(N28)</f>
        <v>0</v>
      </c>
      <c r="T10" s="274">
        <f t="shared" si="1"/>
        <v>0</v>
      </c>
    </row>
    <row r="11" spans="1:20" x14ac:dyDescent="0.25">
      <c r="A11" s="250" t="s">
        <v>20</v>
      </c>
      <c r="B11" s="251">
        <v>44200</v>
      </c>
      <c r="C11" s="251">
        <v>44200</v>
      </c>
      <c r="D11" s="251">
        <v>48400</v>
      </c>
      <c r="E11" s="251">
        <v>53093</v>
      </c>
      <c r="F11" s="251">
        <v>53400</v>
      </c>
      <c r="G11" s="251">
        <v>50379</v>
      </c>
      <c r="H11" s="251">
        <v>58800</v>
      </c>
      <c r="I11" s="251">
        <v>85000</v>
      </c>
      <c r="J11" s="252">
        <f>SUM(ROUNDUP('Budget-Services'!I61,-2))</f>
        <v>101500</v>
      </c>
      <c r="K11" s="149">
        <f t="shared" si="0"/>
        <v>0.19411764705882353</v>
      </c>
      <c r="L11" s="1"/>
      <c r="M11" s="4">
        <f>SUM(I9:I14)</f>
        <v>411000</v>
      </c>
      <c r="N11" s="5">
        <f>SUM(J9:J14)</f>
        <v>516500</v>
      </c>
      <c r="O11" s="127">
        <f>N11/N35</f>
        <v>4.6672389644422357E-2</v>
      </c>
      <c r="R11" s="269" t="s">
        <v>72</v>
      </c>
      <c r="S11" s="270">
        <f>SUM(N31)</f>
        <v>70000</v>
      </c>
      <c r="T11" s="271">
        <f t="shared" si="1"/>
        <v>6.3253964668142596E-3</v>
      </c>
    </row>
    <row r="12" spans="1:20" ht="15.75" thickBot="1" x14ac:dyDescent="0.3">
      <c r="A12" s="3" t="s">
        <v>22</v>
      </c>
      <c r="B12" s="5">
        <v>4800</v>
      </c>
      <c r="C12" s="5">
        <v>4800</v>
      </c>
      <c r="D12" s="5">
        <v>5830</v>
      </c>
      <c r="E12" s="5">
        <v>5827</v>
      </c>
      <c r="F12" s="5">
        <v>6000</v>
      </c>
      <c r="G12" s="5">
        <v>6243</v>
      </c>
      <c r="H12" s="5">
        <v>7200</v>
      </c>
      <c r="I12" s="5">
        <v>7200</v>
      </c>
      <c r="J12" s="4">
        <f>SUM(ROUNDUP('Budget-Services'!I65,-2))</f>
        <v>8500</v>
      </c>
      <c r="K12" s="150">
        <f t="shared" si="0"/>
        <v>0.18055555555555555</v>
      </c>
      <c r="L12" s="1"/>
      <c r="M12" s="1"/>
      <c r="O12" s="128"/>
      <c r="R12" s="275" t="s">
        <v>73</v>
      </c>
      <c r="S12" s="276">
        <f>SUM(N34)</f>
        <v>677600</v>
      </c>
      <c r="T12" s="277">
        <f t="shared" si="1"/>
        <v>6.1229837798762031E-2</v>
      </c>
    </row>
    <row r="13" spans="1:20" ht="15.75" thickBot="1" x14ac:dyDescent="0.3">
      <c r="A13" s="147" t="s">
        <v>24</v>
      </c>
      <c r="B13" s="139">
        <v>61000</v>
      </c>
      <c r="C13" s="139">
        <v>109071</v>
      </c>
      <c r="D13" s="139">
        <v>72300</v>
      </c>
      <c r="E13" s="139">
        <v>68848</v>
      </c>
      <c r="F13" s="139">
        <v>72800</v>
      </c>
      <c r="G13" s="139">
        <v>76288</v>
      </c>
      <c r="H13" s="139">
        <v>78900</v>
      </c>
      <c r="I13" s="139">
        <v>80800</v>
      </c>
      <c r="J13" s="148">
        <f>SUM(ROUNDUP('Budget-Services'!I79,-2))</f>
        <v>96900</v>
      </c>
      <c r="K13" s="149">
        <f t="shared" si="0"/>
        <v>0.19925742574257427</v>
      </c>
      <c r="L13" s="1"/>
      <c r="M13" s="1"/>
      <c r="O13" s="128"/>
      <c r="R13" s="280" t="s">
        <v>74</v>
      </c>
      <c r="S13" s="278">
        <f>SUM(S7:S12)</f>
        <v>11066500</v>
      </c>
      <c r="T13" s="279">
        <f>SUM(T7:T12)</f>
        <v>1</v>
      </c>
    </row>
    <row r="14" spans="1:20" x14ac:dyDescent="0.25">
      <c r="A14" s="3" t="s">
        <v>26</v>
      </c>
      <c r="B14" s="5">
        <v>30600</v>
      </c>
      <c r="C14" s="5">
        <v>17822</v>
      </c>
      <c r="D14" s="5">
        <v>15210</v>
      </c>
      <c r="E14" s="5">
        <v>12829</v>
      </c>
      <c r="F14" s="5">
        <v>18500</v>
      </c>
      <c r="G14" s="5">
        <v>6455</v>
      </c>
      <c r="H14" s="5">
        <v>14300</v>
      </c>
      <c r="I14" s="5">
        <v>13500</v>
      </c>
      <c r="J14" s="4">
        <f>SUM(ROUNDUP('Budget-Services'!I91,-2))</f>
        <v>17700</v>
      </c>
      <c r="K14" s="150">
        <f t="shared" si="0"/>
        <v>0.31111111111111112</v>
      </c>
      <c r="L14" s="1"/>
      <c r="M14" s="1"/>
      <c r="O14" s="128"/>
    </row>
    <row r="15" spans="1:20" x14ac:dyDescent="0.25">
      <c r="A15" s="250" t="s">
        <v>28</v>
      </c>
      <c r="B15" s="251">
        <v>89800</v>
      </c>
      <c r="C15" s="251">
        <v>72828</v>
      </c>
      <c r="D15" s="251">
        <v>102500</v>
      </c>
      <c r="E15" s="251">
        <v>99861</v>
      </c>
      <c r="F15" s="251">
        <v>90100</v>
      </c>
      <c r="G15" s="251">
        <v>97252</v>
      </c>
      <c r="H15" s="251">
        <v>106900</v>
      </c>
      <c r="I15" s="251">
        <v>111700</v>
      </c>
      <c r="J15" s="252">
        <f>SUM(ROUNDUP('Budget-Services'!I131,-2))</f>
        <v>159100</v>
      </c>
      <c r="K15" s="149">
        <f t="shared" si="0"/>
        <v>0.42435094001790508</v>
      </c>
      <c r="L15" s="1"/>
      <c r="M15" s="1"/>
      <c r="O15" s="128"/>
    </row>
    <row r="16" spans="1:20" x14ac:dyDescent="0.25">
      <c r="A16" s="153" t="s">
        <v>29</v>
      </c>
      <c r="B16" s="141">
        <v>53400</v>
      </c>
      <c r="C16" s="141">
        <v>42720</v>
      </c>
      <c r="D16" s="141">
        <v>47990</v>
      </c>
      <c r="E16" s="141">
        <v>47989</v>
      </c>
      <c r="F16" s="141">
        <v>41400</v>
      </c>
      <c r="G16" s="141">
        <v>25290</v>
      </c>
      <c r="H16" s="141">
        <v>40000</v>
      </c>
      <c r="I16" s="141">
        <v>40000</v>
      </c>
      <c r="J16" s="154">
        <f>SUM(ROUNDUP('Budget-Services'!I141,-2))</f>
        <v>42000</v>
      </c>
      <c r="K16" s="150">
        <f t="shared" si="0"/>
        <v>0.05</v>
      </c>
      <c r="L16" s="1"/>
      <c r="M16" s="1109" t="s">
        <v>69</v>
      </c>
      <c r="N16" s="1107"/>
      <c r="O16" s="128"/>
    </row>
    <row r="17" spans="1:16" x14ac:dyDescent="0.25">
      <c r="A17" s="250" t="s">
        <v>30</v>
      </c>
      <c r="B17" s="251">
        <v>156400</v>
      </c>
      <c r="C17" s="251">
        <v>145935</v>
      </c>
      <c r="D17" s="251">
        <v>157990</v>
      </c>
      <c r="E17" s="251">
        <v>157984</v>
      </c>
      <c r="F17" s="251">
        <v>155000</v>
      </c>
      <c r="G17" s="251">
        <v>156639</v>
      </c>
      <c r="H17" s="251">
        <v>158400</v>
      </c>
      <c r="I17" s="251">
        <v>167300</v>
      </c>
      <c r="J17" s="252">
        <f>SUM(ROUNDUP('Budget-Services'!I151,-2))</f>
        <v>230700</v>
      </c>
      <c r="K17" s="149">
        <f t="shared" si="0"/>
        <v>0.37895995218170953</v>
      </c>
      <c r="L17" s="1"/>
      <c r="M17" s="4">
        <f>SUM(I15:I27)</f>
        <v>1827300</v>
      </c>
      <c r="N17" s="5">
        <f>SUM(J15:J27)</f>
        <v>3132800</v>
      </c>
      <c r="O17" s="127">
        <f>N17/N35</f>
        <v>0.28308860073193876</v>
      </c>
    </row>
    <row r="18" spans="1:16" x14ac:dyDescent="0.25">
      <c r="A18" s="153" t="s">
        <v>31</v>
      </c>
      <c r="B18" s="141">
        <v>84800</v>
      </c>
      <c r="C18" s="141">
        <v>114375</v>
      </c>
      <c r="D18" s="141">
        <v>98710</v>
      </c>
      <c r="E18" s="141">
        <v>158880</v>
      </c>
      <c r="F18" s="5">
        <v>106500</v>
      </c>
      <c r="G18" s="5">
        <v>111418</v>
      </c>
      <c r="H18" s="5">
        <v>128000</v>
      </c>
      <c r="I18" s="5">
        <v>129300</v>
      </c>
      <c r="J18" s="4">
        <f>SUM(ROUNDUP('Budget-Services'!I180,-2))</f>
        <v>189600</v>
      </c>
      <c r="K18" s="150">
        <f t="shared" si="0"/>
        <v>0.46635730858468677</v>
      </c>
      <c r="L18" s="1"/>
      <c r="M18" s="1"/>
      <c r="O18" s="128"/>
    </row>
    <row r="19" spans="1:16" x14ac:dyDescent="0.25">
      <c r="A19" s="250" t="s">
        <v>32</v>
      </c>
      <c r="B19" s="251">
        <v>7800</v>
      </c>
      <c r="C19" s="251">
        <v>7800</v>
      </c>
      <c r="D19" s="251">
        <v>8250</v>
      </c>
      <c r="E19" s="251">
        <v>8250</v>
      </c>
      <c r="F19" s="251">
        <v>8400</v>
      </c>
      <c r="G19" s="251">
        <v>9300</v>
      </c>
      <c r="H19" s="251">
        <v>10100</v>
      </c>
      <c r="I19" s="251">
        <v>10200</v>
      </c>
      <c r="J19" s="252">
        <f>SUM(ROUNDUP('Budget-Services'!I185,-2))</f>
        <v>19000</v>
      </c>
      <c r="K19" s="149">
        <f t="shared" si="0"/>
        <v>0.86274509803921573</v>
      </c>
      <c r="L19" s="1"/>
      <c r="M19" s="6"/>
      <c r="N19" s="5"/>
      <c r="O19" s="128"/>
    </row>
    <row r="20" spans="1:16" x14ac:dyDescent="0.25">
      <c r="A20" s="3" t="s">
        <v>33</v>
      </c>
      <c r="B20" s="5">
        <v>4500</v>
      </c>
      <c r="C20" s="5">
        <v>4500</v>
      </c>
      <c r="D20" s="5">
        <v>6000</v>
      </c>
      <c r="E20" s="5">
        <v>4703</v>
      </c>
      <c r="F20" s="5">
        <v>6000</v>
      </c>
      <c r="G20" s="5">
        <v>5833</v>
      </c>
      <c r="H20" s="5">
        <v>6000</v>
      </c>
      <c r="I20" s="5">
        <v>6000</v>
      </c>
      <c r="J20" s="4">
        <f>SUM(ROUNDUP('Budget-Services'!I190,-2))</f>
        <v>184000</v>
      </c>
      <c r="K20" s="150">
        <f t="shared" si="0"/>
        <v>29.666666666666668</v>
      </c>
      <c r="L20" s="1"/>
      <c r="M20" s="1"/>
      <c r="O20" s="128"/>
    </row>
    <row r="21" spans="1:16" x14ac:dyDescent="0.25">
      <c r="A21" s="151" t="s">
        <v>34</v>
      </c>
      <c r="B21" s="140">
        <v>44600</v>
      </c>
      <c r="C21" s="140">
        <v>40997</v>
      </c>
      <c r="D21" s="140">
        <v>47100</v>
      </c>
      <c r="E21" s="140">
        <v>43537</v>
      </c>
      <c r="F21" s="140">
        <v>45700</v>
      </c>
      <c r="G21" s="140">
        <v>75711</v>
      </c>
      <c r="H21" s="140">
        <v>47200</v>
      </c>
      <c r="I21" s="140">
        <v>85300</v>
      </c>
      <c r="J21" s="152">
        <f>SUM(ROUNDUP('Budget-Services'!I228,-2))</f>
        <v>180800</v>
      </c>
      <c r="K21" s="149">
        <f t="shared" si="0"/>
        <v>1.1195779601406799</v>
      </c>
      <c r="L21" s="1"/>
      <c r="M21" s="1"/>
      <c r="O21" s="128"/>
    </row>
    <row r="22" spans="1:16" x14ac:dyDescent="0.25">
      <c r="A22" s="153" t="s">
        <v>35</v>
      </c>
      <c r="B22" s="141">
        <v>500</v>
      </c>
      <c r="C22" s="141">
        <v>0</v>
      </c>
      <c r="D22" s="141">
        <v>500</v>
      </c>
      <c r="E22" s="141">
        <v>0</v>
      </c>
      <c r="F22" s="141">
        <v>500</v>
      </c>
      <c r="G22" s="141">
        <v>0</v>
      </c>
      <c r="H22" s="141">
        <v>500</v>
      </c>
      <c r="I22" s="141">
        <v>500</v>
      </c>
      <c r="J22" s="154">
        <f>SUM(ROUNDUP('Budget-Services'!I232,-2))</f>
        <v>500</v>
      </c>
      <c r="K22" s="150">
        <f t="shared" si="0"/>
        <v>0</v>
      </c>
      <c r="L22" s="1"/>
      <c r="M22" s="1"/>
      <c r="O22" s="128"/>
    </row>
    <row r="23" spans="1:16" x14ac:dyDescent="0.25">
      <c r="A23" s="147" t="s">
        <v>36</v>
      </c>
      <c r="B23" s="139">
        <v>446500</v>
      </c>
      <c r="C23" s="139">
        <v>399678</v>
      </c>
      <c r="D23" s="139">
        <v>783300</v>
      </c>
      <c r="E23" s="139">
        <v>630893</v>
      </c>
      <c r="F23" s="139">
        <v>822700</v>
      </c>
      <c r="G23" s="139">
        <v>802957</v>
      </c>
      <c r="H23" s="139">
        <v>840700</v>
      </c>
      <c r="I23" s="139">
        <v>857700</v>
      </c>
      <c r="J23" s="148">
        <f>SUM(ROUNDUP('Budget-Services'!I257,-2))</f>
        <v>1369900</v>
      </c>
      <c r="K23" s="149">
        <f t="shared" si="0"/>
        <v>0.59717850064124989</v>
      </c>
      <c r="L23" s="1"/>
      <c r="M23" s="1"/>
      <c r="O23" s="128"/>
    </row>
    <row r="24" spans="1:16" x14ac:dyDescent="0.25">
      <c r="A24" s="153" t="s">
        <v>37</v>
      </c>
      <c r="B24" s="141">
        <v>237900</v>
      </c>
      <c r="C24" s="141">
        <v>189905</v>
      </c>
      <c r="D24" s="141">
        <v>0</v>
      </c>
      <c r="E24" s="141">
        <v>0</v>
      </c>
      <c r="F24" s="141">
        <v>0</v>
      </c>
      <c r="G24" s="141">
        <v>0</v>
      </c>
      <c r="H24" s="141">
        <v>0</v>
      </c>
      <c r="I24" s="141">
        <v>0</v>
      </c>
      <c r="J24" s="154">
        <v>0</v>
      </c>
      <c r="K24" s="150">
        <v>0</v>
      </c>
      <c r="L24" s="1"/>
      <c r="M24" s="1"/>
      <c r="O24" s="128"/>
    </row>
    <row r="25" spans="1:16" x14ac:dyDescent="0.25">
      <c r="A25" s="324" t="s">
        <v>38</v>
      </c>
      <c r="B25" s="327">
        <v>310000</v>
      </c>
      <c r="C25" s="327">
        <v>319353</v>
      </c>
      <c r="D25" s="327">
        <v>262350</v>
      </c>
      <c r="E25" s="327">
        <v>241812</v>
      </c>
      <c r="F25" s="327">
        <v>274000</v>
      </c>
      <c r="G25" s="327">
        <v>223432</v>
      </c>
      <c r="H25" s="327">
        <v>270800</v>
      </c>
      <c r="I25" s="327">
        <v>277600</v>
      </c>
      <c r="J25" s="328">
        <f>SUM(ROUNDUP('Budget-Services'!I299,-2))</f>
        <v>475400</v>
      </c>
      <c r="K25" s="326">
        <f t="shared" si="0"/>
        <v>0.71253602305475505</v>
      </c>
      <c r="L25" s="1"/>
      <c r="M25" s="1"/>
      <c r="O25" s="128"/>
    </row>
    <row r="26" spans="1:16" x14ac:dyDescent="0.25">
      <c r="A26" s="3" t="s">
        <v>39</v>
      </c>
      <c r="B26" s="5">
        <v>31300</v>
      </c>
      <c r="C26" s="5">
        <v>4110</v>
      </c>
      <c r="D26" s="5">
        <v>65700</v>
      </c>
      <c r="E26" s="5">
        <v>24540</v>
      </c>
      <c r="F26" s="5">
        <f>63700-1900</f>
        <v>61800</v>
      </c>
      <c r="G26" s="5">
        <v>81161</v>
      </c>
      <c r="H26" s="5">
        <v>96400</v>
      </c>
      <c r="I26" s="5">
        <v>123900</v>
      </c>
      <c r="J26" s="4">
        <f>SUM(ROUNDUP('Budget-Services'!I322,-2))</f>
        <v>252600</v>
      </c>
      <c r="K26" s="150">
        <f t="shared" si="0"/>
        <v>1.0387409200968523</v>
      </c>
      <c r="L26" s="1"/>
      <c r="M26" s="1"/>
      <c r="O26" s="128"/>
    </row>
    <row r="27" spans="1:16" x14ac:dyDescent="0.25">
      <c r="A27" s="151" t="s">
        <v>40</v>
      </c>
      <c r="B27" s="140">
        <v>17400</v>
      </c>
      <c r="C27" s="140">
        <v>13820</v>
      </c>
      <c r="D27" s="140">
        <v>16300</v>
      </c>
      <c r="E27" s="140">
        <v>16298</v>
      </c>
      <c r="F27" s="140">
        <v>15200</v>
      </c>
      <c r="G27" s="140">
        <v>16586</v>
      </c>
      <c r="H27" s="140">
        <v>17500</v>
      </c>
      <c r="I27" s="140">
        <v>17800</v>
      </c>
      <c r="J27" s="152">
        <f>SUM(ROUNDUP('Budget-Services'!I331,-2))</f>
        <v>29200</v>
      </c>
      <c r="K27" s="149">
        <f t="shared" si="0"/>
        <v>0.6404494382022472</v>
      </c>
      <c r="L27" s="1"/>
      <c r="M27" s="1109" t="s">
        <v>71</v>
      </c>
      <c r="N27" s="1107"/>
      <c r="O27" s="128"/>
    </row>
    <row r="28" spans="1:16" x14ac:dyDescent="0.25">
      <c r="A28" s="3" t="s">
        <v>41</v>
      </c>
      <c r="B28" s="5">
        <v>425600</v>
      </c>
      <c r="C28" s="5">
        <v>425517</v>
      </c>
      <c r="D28" s="5">
        <v>425600</v>
      </c>
      <c r="E28" s="5">
        <f>356665+68852</f>
        <v>425517</v>
      </c>
      <c r="F28" s="5">
        <v>425600</v>
      </c>
      <c r="G28" s="5">
        <f>369169+56348</f>
        <v>425517</v>
      </c>
      <c r="H28" s="5">
        <v>425600</v>
      </c>
      <c r="I28" s="5">
        <v>425600</v>
      </c>
      <c r="J28" s="4">
        <f>SUM(ROUNDUP('Budget-Services'!I335,-2))</f>
        <v>0</v>
      </c>
      <c r="K28" s="150">
        <f t="shared" si="0"/>
        <v>-1</v>
      </c>
      <c r="L28" s="1"/>
      <c r="M28" s="4">
        <f>SUM(I28)</f>
        <v>425600</v>
      </c>
      <c r="N28" s="5">
        <f>SUM(J28)</f>
        <v>0</v>
      </c>
      <c r="O28" s="127">
        <f>N28/N35</f>
        <v>0</v>
      </c>
    </row>
    <row r="29" spans="1:16" x14ac:dyDescent="0.25">
      <c r="A29" s="151" t="s">
        <v>42</v>
      </c>
      <c r="B29" s="140">
        <v>50000</v>
      </c>
      <c r="C29" s="140">
        <v>110591</v>
      </c>
      <c r="D29" s="140">
        <v>66500</v>
      </c>
      <c r="E29" s="140">
        <v>41191</v>
      </c>
      <c r="F29" s="140">
        <v>55000</v>
      </c>
      <c r="G29" s="140">
        <v>105866</v>
      </c>
      <c r="H29" s="140">
        <v>80000</v>
      </c>
      <c r="I29" s="140">
        <v>61200</v>
      </c>
      <c r="J29" s="152">
        <f>SUM(ROUNDUP('Budget-Services'!I341,-2))</f>
        <v>65000</v>
      </c>
      <c r="K29" s="149">
        <f t="shared" si="0"/>
        <v>6.2091503267973858E-2</v>
      </c>
      <c r="L29" s="1"/>
      <c r="M29" s="1"/>
      <c r="O29" s="128"/>
    </row>
    <row r="30" spans="1:16" x14ac:dyDescent="0.25">
      <c r="A30" s="3" t="s">
        <v>43</v>
      </c>
      <c r="B30" s="5">
        <v>0</v>
      </c>
      <c r="C30" s="5">
        <v>0</v>
      </c>
      <c r="D30" s="5">
        <v>0</v>
      </c>
      <c r="E30" s="5">
        <v>0</v>
      </c>
      <c r="F30" s="5">
        <v>0</v>
      </c>
      <c r="G30" s="5">
        <v>0</v>
      </c>
      <c r="H30" s="5">
        <v>0</v>
      </c>
      <c r="I30" s="5">
        <v>0</v>
      </c>
      <c r="J30" s="4">
        <f>SUM(ROUNDUP('Budget-Services'!I345,-2))</f>
        <v>0</v>
      </c>
      <c r="K30" s="150">
        <v>0</v>
      </c>
      <c r="L30" s="1"/>
      <c r="M30" s="1106" t="s">
        <v>72</v>
      </c>
      <c r="N30" s="1107"/>
      <c r="O30" s="128"/>
    </row>
    <row r="31" spans="1:16" x14ac:dyDescent="0.25">
      <c r="A31" s="151" t="s">
        <v>44</v>
      </c>
      <c r="B31" s="142">
        <v>5000</v>
      </c>
      <c r="C31" s="142">
        <v>0</v>
      </c>
      <c r="D31" s="142">
        <v>5000</v>
      </c>
      <c r="E31" s="142">
        <v>0</v>
      </c>
      <c r="F31" s="142">
        <v>5000</v>
      </c>
      <c r="G31" s="142">
        <v>0</v>
      </c>
      <c r="H31" s="142">
        <v>5000</v>
      </c>
      <c r="I31" s="142">
        <v>5000</v>
      </c>
      <c r="J31" s="155">
        <v>5000</v>
      </c>
      <c r="K31" s="149">
        <f t="shared" si="0"/>
        <v>0</v>
      </c>
      <c r="L31" s="1"/>
      <c r="M31" s="4">
        <f>SUM(I29:I31)</f>
        <v>66200</v>
      </c>
      <c r="N31" s="5">
        <f>SUM(J29:J31)</f>
        <v>70000</v>
      </c>
      <c r="O31" s="127">
        <f>N31/N35</f>
        <v>6.3253964668142596E-3</v>
      </c>
    </row>
    <row r="32" spans="1:16" ht="15.75" thickBot="1" x14ac:dyDescent="0.3">
      <c r="A32" s="21" t="s">
        <v>45</v>
      </c>
      <c r="B32" s="23">
        <f t="shared" ref="B32:F32" si="2">SUM(B3:B31)</f>
        <v>7682900</v>
      </c>
      <c r="C32" s="23">
        <f t="shared" si="2"/>
        <v>7542932</v>
      </c>
      <c r="D32" s="23">
        <f t="shared" si="2"/>
        <v>8237100</v>
      </c>
      <c r="E32" s="23">
        <f>SUM(E3:E31)</f>
        <v>7792733</v>
      </c>
      <c r="F32" s="23">
        <f t="shared" si="2"/>
        <v>8432100</v>
      </c>
      <c r="G32" s="23">
        <f>SUM(G3:G31)</f>
        <v>8192270</v>
      </c>
      <c r="H32" s="23">
        <f>SUM(H3:H31)</f>
        <v>8560500</v>
      </c>
      <c r="I32" s="23">
        <f>SUM(I3:I31)</f>
        <v>9283700</v>
      </c>
      <c r="J32" s="22">
        <f>SUM(J3:J31)</f>
        <v>10388900</v>
      </c>
      <c r="K32" s="156">
        <f>(J32-I32)/I32</f>
        <v>0.11904736258172927</v>
      </c>
      <c r="L32" s="1"/>
      <c r="M32" s="146">
        <f>SUM(M31+M28+M17+M11+M5)</f>
        <v>9283700</v>
      </c>
      <c r="N32" s="110">
        <f>SUM(N31+N28+N17+N11+N5)</f>
        <v>10388900</v>
      </c>
      <c r="P32" s="316">
        <f>N32-M32</f>
        <v>1105200</v>
      </c>
    </row>
    <row r="33" spans="1:16" ht="15.75" thickTop="1" x14ac:dyDescent="0.25">
      <c r="A33" s="151"/>
      <c r="B33" s="143"/>
      <c r="C33" s="143"/>
      <c r="D33" s="143"/>
      <c r="E33" s="143"/>
      <c r="F33" s="143"/>
      <c r="G33" s="143"/>
      <c r="H33" s="143"/>
      <c r="I33" s="143"/>
      <c r="J33" s="143"/>
      <c r="K33" s="157"/>
      <c r="L33" s="1"/>
      <c r="M33" s="3"/>
      <c r="O33" s="128"/>
    </row>
    <row r="34" spans="1:16" x14ac:dyDescent="0.25">
      <c r="A34" s="3" t="s">
        <v>46</v>
      </c>
      <c r="B34" s="246">
        <v>166300</v>
      </c>
      <c r="C34" s="246">
        <v>172982</v>
      </c>
      <c r="D34" s="246">
        <v>185900</v>
      </c>
      <c r="E34" s="246">
        <v>152449</v>
      </c>
      <c r="F34" s="246">
        <v>187100</v>
      </c>
      <c r="G34" s="246">
        <v>127911</v>
      </c>
      <c r="H34" s="246">
        <v>195300</v>
      </c>
      <c r="I34" s="246">
        <v>227800</v>
      </c>
      <c r="J34" s="247">
        <f>SUM(ROUNDUP('ARB Budget'!F39,-2))</f>
        <v>677600</v>
      </c>
      <c r="K34" s="150">
        <f>(J34-I34)/I34</f>
        <v>1.974539069359087</v>
      </c>
      <c r="L34" s="1"/>
      <c r="M34" s="4">
        <f>SUM(I34)</f>
        <v>227800</v>
      </c>
      <c r="N34" s="248">
        <f>SUM(J34)</f>
        <v>677600</v>
      </c>
      <c r="O34" s="249">
        <f>N34/N35</f>
        <v>6.1229837798762031E-2</v>
      </c>
    </row>
    <row r="35" spans="1:16" ht="15.75" thickBot="1" x14ac:dyDescent="0.3">
      <c r="A35" s="158" t="s">
        <v>47</v>
      </c>
      <c r="B35" s="144">
        <f t="shared" ref="B35:J35" si="3">SUM(B32:B34)</f>
        <v>7849200</v>
      </c>
      <c r="C35" s="144">
        <f t="shared" si="3"/>
        <v>7715914</v>
      </c>
      <c r="D35" s="144">
        <f t="shared" si="3"/>
        <v>8423000</v>
      </c>
      <c r="E35" s="144">
        <f>SUM(E32:E34)</f>
        <v>7945182</v>
      </c>
      <c r="F35" s="144">
        <f t="shared" si="3"/>
        <v>8619200</v>
      </c>
      <c r="G35" s="144">
        <f>SUM(G32:G34)</f>
        <v>8320181</v>
      </c>
      <c r="H35" s="144">
        <f>SUM(H32:H34)</f>
        <v>8755800</v>
      </c>
      <c r="I35" s="144">
        <f>SUM(I32:I34)</f>
        <v>9511500</v>
      </c>
      <c r="J35" s="159">
        <f t="shared" si="3"/>
        <v>11066500</v>
      </c>
      <c r="K35" s="160">
        <f>(J35-I35)/I35</f>
        <v>0.16348630605057035</v>
      </c>
      <c r="L35" s="1"/>
      <c r="M35" s="110">
        <f>SUM(M32:M34)</f>
        <v>9511500</v>
      </c>
      <c r="N35" s="125">
        <f>SUM(N32:N34)</f>
        <v>11066500</v>
      </c>
      <c r="O35" s="128">
        <f>SUM(O5:O34)</f>
        <v>1</v>
      </c>
      <c r="P35" s="316">
        <f>N35-M35</f>
        <v>1555000</v>
      </c>
    </row>
    <row r="36" spans="1:16" ht="15.75" thickTop="1" x14ac:dyDescent="0.25">
      <c r="A36" s="161" t="s">
        <v>48</v>
      </c>
      <c r="B36" s="145"/>
      <c r="C36" s="145"/>
      <c r="D36" s="145"/>
      <c r="E36" s="145"/>
      <c r="F36" s="145"/>
      <c r="G36" s="145"/>
      <c r="H36" s="145"/>
      <c r="I36" s="145"/>
      <c r="J36" s="154"/>
      <c r="K36" s="150"/>
    </row>
    <row r="37" spans="1:16" ht="15.75" thickBot="1" x14ac:dyDescent="0.3">
      <c r="A37" s="250" t="s">
        <v>49</v>
      </c>
      <c r="B37" s="262"/>
      <c r="C37" s="262"/>
      <c r="D37" s="347">
        <v>-247604</v>
      </c>
      <c r="E37" s="347"/>
      <c r="F37" s="347">
        <v>-200000</v>
      </c>
      <c r="G37" s="347"/>
      <c r="H37" s="347"/>
      <c r="I37" s="347">
        <v>-158000</v>
      </c>
      <c r="J37" s="348">
        <f>-(322053+50000)</f>
        <v>-372053</v>
      </c>
      <c r="K37" s="349"/>
      <c r="L37" s="1"/>
      <c r="M37" s="1"/>
    </row>
    <row r="38" spans="1:16" ht="16.5" thickTop="1" thickBot="1" x14ac:dyDescent="0.3">
      <c r="A38" s="29" t="s">
        <v>50</v>
      </c>
      <c r="B38" s="30">
        <f>SUM(B35)</f>
        <v>7849200</v>
      </c>
      <c r="C38" s="30"/>
      <c r="D38" s="30">
        <f t="shared" ref="D38:J38" si="4">SUM(D35:D37)</f>
        <v>8175396</v>
      </c>
      <c r="E38" s="30"/>
      <c r="F38" s="30">
        <f t="shared" si="4"/>
        <v>8419200</v>
      </c>
      <c r="G38" s="30"/>
      <c r="H38" s="30">
        <f>SUM(H35:H37)</f>
        <v>8755800</v>
      </c>
      <c r="I38" s="30">
        <f>SUM(I35:I37)</f>
        <v>9353500</v>
      </c>
      <c r="J38" s="31">
        <f t="shared" si="4"/>
        <v>10694447</v>
      </c>
      <c r="K38" s="163">
        <f>(J38-I38)/I38</f>
        <v>0.14336312610252847</v>
      </c>
      <c r="O38" s="5"/>
    </row>
    <row r="39" spans="1:16" ht="15.75" thickTop="1" x14ac:dyDescent="0.25">
      <c r="A39" s="26"/>
      <c r="B39" s="26"/>
      <c r="C39" s="26"/>
      <c r="D39" s="26"/>
      <c r="E39" s="26"/>
      <c r="F39" s="26"/>
      <c r="G39" s="26"/>
      <c r="H39" s="26"/>
      <c r="I39" s="26"/>
      <c r="J39" s="26"/>
      <c r="K39" s="26"/>
      <c r="L39" s="1"/>
      <c r="M39" s="1"/>
    </row>
    <row r="40" spans="1:16" x14ac:dyDescent="0.25">
      <c r="A40" s="26"/>
      <c r="B40" s="26"/>
      <c r="C40" s="26"/>
      <c r="D40" s="26"/>
      <c r="E40" s="26"/>
      <c r="F40" s="26"/>
      <c r="G40" s="26"/>
      <c r="H40" s="26"/>
      <c r="I40" s="26"/>
      <c r="J40" s="26"/>
      <c r="K40" s="26"/>
      <c r="L40" s="1"/>
      <c r="M40" s="1"/>
    </row>
    <row r="41" spans="1:16" x14ac:dyDescent="0.25">
      <c r="A41" s="26"/>
      <c r="B41" s="32"/>
      <c r="C41" s="32"/>
      <c r="D41" s="32"/>
      <c r="E41" s="32"/>
      <c r="F41" s="32"/>
      <c r="G41" s="32"/>
      <c r="H41" s="32"/>
      <c r="I41" s="32"/>
      <c r="J41" s="32"/>
      <c r="K41" s="26"/>
      <c r="L41" s="1"/>
      <c r="M41" s="1"/>
    </row>
    <row r="42" spans="1:16" x14ac:dyDescent="0.25">
      <c r="J42" s="3"/>
      <c r="K42" s="3"/>
      <c r="L42" s="1"/>
      <c r="M42" s="1"/>
    </row>
    <row r="43" spans="1:16" x14ac:dyDescent="0.25">
      <c r="J43" s="3"/>
      <c r="K43" s="3"/>
      <c r="L43" s="1"/>
      <c r="M43" s="1"/>
    </row>
    <row r="44" spans="1:16" x14ac:dyDescent="0.25">
      <c r="J44" s="3"/>
      <c r="K44" s="3"/>
      <c r="L44" s="1"/>
      <c r="M44" s="1"/>
    </row>
    <row r="45" spans="1:16" x14ac:dyDescent="0.25">
      <c r="L45" s="1"/>
      <c r="M45" s="1"/>
    </row>
    <row r="46" spans="1:16" x14ac:dyDescent="0.25">
      <c r="L46" s="1"/>
      <c r="M46" s="1"/>
    </row>
    <row r="47" spans="1:16" x14ac:dyDescent="0.25">
      <c r="L47" s="1"/>
      <c r="M47" s="1"/>
    </row>
    <row r="48" spans="1:16" x14ac:dyDescent="0.25">
      <c r="L48" s="1"/>
      <c r="M48" s="1"/>
    </row>
    <row r="49" spans="12:13" x14ac:dyDescent="0.25">
      <c r="L49" s="1"/>
      <c r="M49" s="1"/>
    </row>
    <row r="50" spans="12:13" x14ac:dyDescent="0.25">
      <c r="L50" s="1"/>
      <c r="M50" s="1"/>
    </row>
    <row r="51" spans="12:13" x14ac:dyDescent="0.25">
      <c r="L51" s="1"/>
      <c r="M51" s="1"/>
    </row>
    <row r="52" spans="12:13" x14ac:dyDescent="0.25">
      <c r="L52" s="1"/>
      <c r="M52" s="1"/>
    </row>
    <row r="53" spans="12:13" x14ac:dyDescent="0.25">
      <c r="L53" s="1"/>
      <c r="M53" s="1"/>
    </row>
    <row r="54" spans="12:13" x14ac:dyDescent="0.25">
      <c r="L54" s="1"/>
      <c r="M54" s="1"/>
    </row>
    <row r="55" spans="12:13" x14ac:dyDescent="0.25">
      <c r="L55" s="1"/>
      <c r="M55" s="1"/>
    </row>
    <row r="56" spans="12:13" x14ac:dyDescent="0.25">
      <c r="L56" s="1"/>
      <c r="M56" s="1"/>
    </row>
    <row r="57" spans="12:13" x14ac:dyDescent="0.25">
      <c r="L57" s="1"/>
      <c r="M57" s="1"/>
    </row>
    <row r="58" spans="12:13" x14ac:dyDescent="0.25">
      <c r="L58" s="1"/>
      <c r="M58" s="1"/>
    </row>
    <row r="59" spans="12:13" x14ac:dyDescent="0.25">
      <c r="L59" s="1"/>
      <c r="M59" s="1"/>
    </row>
    <row r="60" spans="12:13" x14ac:dyDescent="0.25">
      <c r="L60" s="1"/>
      <c r="M60" s="1"/>
    </row>
    <row r="61" spans="12:13" x14ac:dyDescent="0.25">
      <c r="L61" s="1"/>
      <c r="M61" s="1"/>
    </row>
    <row r="62" spans="12:13" x14ac:dyDescent="0.25">
      <c r="L62" s="1"/>
      <c r="M62" s="1"/>
    </row>
    <row r="63" spans="12:13" x14ac:dyDescent="0.25">
      <c r="L63" s="1"/>
      <c r="M63" s="1"/>
    </row>
    <row r="64" spans="12:13" x14ac:dyDescent="0.25">
      <c r="L64" s="1"/>
      <c r="M64" s="1"/>
    </row>
    <row r="65" spans="12:13" x14ac:dyDescent="0.25">
      <c r="L65" s="1"/>
      <c r="M65" s="1"/>
    </row>
    <row r="66" spans="12:13" x14ac:dyDescent="0.25">
      <c r="L66" s="1"/>
      <c r="M66" s="1"/>
    </row>
    <row r="67" spans="12:13" x14ac:dyDescent="0.25">
      <c r="L67" s="1"/>
      <c r="M67" s="1"/>
    </row>
    <row r="68" spans="12:13" x14ac:dyDescent="0.25">
      <c r="L68" s="1"/>
      <c r="M68" s="1"/>
    </row>
    <row r="69" spans="12:13" x14ac:dyDescent="0.25">
      <c r="L69" s="1"/>
      <c r="M69" s="1"/>
    </row>
    <row r="70" spans="12:13" x14ac:dyDescent="0.25">
      <c r="L70" s="1"/>
      <c r="M70" s="1"/>
    </row>
    <row r="71" spans="12:13" x14ac:dyDescent="0.25">
      <c r="L71" s="1"/>
      <c r="M71" s="1"/>
    </row>
    <row r="72" spans="12:13" x14ac:dyDescent="0.25">
      <c r="L72" s="1"/>
      <c r="M72" s="1"/>
    </row>
    <row r="73" spans="12:13" x14ac:dyDescent="0.25">
      <c r="L73" s="1"/>
      <c r="M73" s="1"/>
    </row>
    <row r="74" spans="12:13" x14ac:dyDescent="0.25">
      <c r="L74" s="1"/>
      <c r="M74" s="1"/>
    </row>
    <row r="75" spans="12:13" x14ac:dyDescent="0.25">
      <c r="L75" s="1"/>
      <c r="M75" s="1"/>
    </row>
    <row r="76" spans="12:13" x14ac:dyDescent="0.25">
      <c r="L76" s="1"/>
      <c r="M76" s="1"/>
    </row>
    <row r="77" spans="12:13" x14ac:dyDescent="0.25">
      <c r="L77" s="1"/>
      <c r="M77" s="1"/>
    </row>
    <row r="78" spans="12:13" x14ac:dyDescent="0.25">
      <c r="L78" s="1"/>
      <c r="M78" s="1"/>
    </row>
    <row r="79" spans="12:13" x14ac:dyDescent="0.25">
      <c r="L79" s="1"/>
      <c r="M79" s="1"/>
    </row>
    <row r="80" spans="12:13" x14ac:dyDescent="0.25">
      <c r="L80" s="1"/>
      <c r="M80" s="1"/>
    </row>
    <row r="81" spans="1:13" x14ac:dyDescent="0.25">
      <c r="L81" s="1"/>
      <c r="M81" s="1"/>
    </row>
    <row r="82" spans="1:13" x14ac:dyDescent="0.25">
      <c r="L82" s="1"/>
      <c r="M82" s="1"/>
    </row>
    <row r="83" spans="1:13" x14ac:dyDescent="0.25">
      <c r="L83" s="1"/>
      <c r="M83" s="1"/>
    </row>
    <row r="84" spans="1:13" x14ac:dyDescent="0.25">
      <c r="L84" s="1"/>
      <c r="M84" s="1"/>
    </row>
    <row r="85" spans="1:13" x14ac:dyDescent="0.25">
      <c r="L85" s="1"/>
      <c r="M85" s="1"/>
    </row>
    <row r="86" spans="1:13" x14ac:dyDescent="0.25">
      <c r="L86" s="1"/>
      <c r="M86" s="1"/>
    </row>
    <row r="87" spans="1:13" x14ac:dyDescent="0.25">
      <c r="L87" s="1"/>
      <c r="M87" s="1"/>
    </row>
    <row r="88" spans="1:13" x14ac:dyDescent="0.25">
      <c r="L88" s="1"/>
      <c r="M88" s="1"/>
    </row>
    <row r="89" spans="1:13" x14ac:dyDescent="0.25">
      <c r="L89" s="1"/>
      <c r="M89" s="1"/>
    </row>
    <row r="90" spans="1:13" x14ac:dyDescent="0.25">
      <c r="L90" s="1"/>
      <c r="M90" s="1"/>
    </row>
    <row r="91" spans="1:13" x14ac:dyDescent="0.25">
      <c r="L91" s="1"/>
      <c r="M91" s="1"/>
    </row>
    <row r="92" spans="1:13" x14ac:dyDescent="0.25">
      <c r="A92" s="26"/>
      <c r="B92" s="33"/>
      <c r="C92" s="33"/>
      <c r="D92" s="33"/>
      <c r="E92" s="33"/>
      <c r="F92" s="33"/>
      <c r="G92" s="33"/>
      <c r="H92" s="33"/>
      <c r="I92" s="33"/>
      <c r="J92" s="33"/>
      <c r="K92" s="33"/>
      <c r="L92" s="1"/>
      <c r="M92" s="1"/>
    </row>
  </sheetData>
  <mergeCells count="6">
    <mergeCell ref="M30:N30"/>
    <mergeCell ref="A1:K1"/>
    <mergeCell ref="M4:N4"/>
    <mergeCell ref="M10:N10"/>
    <mergeCell ref="M16:N16"/>
    <mergeCell ref="M27:N27"/>
  </mergeCells>
  <conditionalFormatting sqref="K3:K38">
    <cfRule type="cellIs" dxfId="162" priority="1" stopIfTrue="1" operator="lessThan">
      <formula>0</formula>
    </cfRule>
    <cfRule type="cellIs" dxfId="161" priority="2" stopIfTrue="1" operator="greaterThan">
      <formula>0</formula>
    </cfRule>
    <cfRule type="cellIs" dxfId="160" priority="3" stopIfTrue="1" operator="equal">
      <formula>0</formula>
    </cfRule>
  </conditionalFormatting>
  <printOptions horizontalCentered="1"/>
  <pageMargins left="0.25" right="0.25" top="0.75" bottom="0.75" header="0.3" footer="0.3"/>
  <pageSetup scale="79" orientation="landscape"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6"/>
  <dimension ref="A1:K16"/>
  <sheetViews>
    <sheetView workbookViewId="0">
      <pane xSplit="3" ySplit="1" topLeftCell="D2" activePane="bottomRight" state="frozenSplit"/>
      <selection pane="topRight" activeCell="D1" sqref="D1"/>
      <selection pane="bottomLeft" activeCell="A2" sqref="A2"/>
      <selection pane="bottomRight" sqref="A1:XFD1048576"/>
    </sheetView>
  </sheetViews>
  <sheetFormatPr defaultColWidth="14.42578125" defaultRowHeight="15" customHeight="1" x14ac:dyDescent="0.25"/>
  <cols>
    <col min="1" max="2" width="3" style="195" customWidth="1"/>
    <col min="3" max="3" width="25.42578125" style="195" customWidth="1"/>
    <col min="4" max="4" width="2.28515625" style="195" customWidth="1"/>
    <col min="5" max="5" width="5.28515625" style="195" bestFit="1" customWidth="1"/>
    <col min="6" max="6" width="10.7109375" style="195" bestFit="1" customWidth="1"/>
    <col min="7" max="7" width="21.140625" style="195" bestFit="1" customWidth="1"/>
    <col min="8" max="8" width="19.28515625" style="195" bestFit="1" customWidth="1"/>
    <col min="9" max="9" width="30.7109375" style="195" customWidth="1"/>
    <col min="10" max="10" width="22.28515625" style="195" bestFit="1" customWidth="1"/>
    <col min="11" max="11" width="9.140625" style="195" bestFit="1" customWidth="1"/>
    <col min="12" max="16384" width="14.42578125" style="195"/>
  </cols>
  <sheetData>
    <row r="1" spans="1:11" s="196" customFormat="1" ht="15" customHeight="1" x14ac:dyDescent="0.25">
      <c r="A1" s="837"/>
      <c r="B1" s="837"/>
      <c r="C1" s="837"/>
      <c r="D1" s="837"/>
      <c r="E1" s="837"/>
      <c r="F1" s="837"/>
      <c r="G1" s="837"/>
      <c r="H1" s="837"/>
      <c r="I1" s="837"/>
      <c r="J1" s="837"/>
      <c r="K1" s="837"/>
    </row>
    <row r="2" spans="1:11" ht="15" customHeight="1" x14ac:dyDescent="0.25">
      <c r="A2" s="838"/>
      <c r="B2" s="838"/>
      <c r="C2" s="838"/>
      <c r="D2" s="838"/>
      <c r="E2" s="838"/>
      <c r="F2" s="839"/>
      <c r="G2" s="838"/>
      <c r="H2" s="838"/>
      <c r="I2" s="838"/>
      <c r="J2" s="838"/>
      <c r="K2" s="394"/>
    </row>
    <row r="3" spans="1:11" ht="15" customHeight="1" x14ac:dyDescent="0.25">
      <c r="A3" s="838"/>
      <c r="B3" s="838"/>
      <c r="C3" s="838"/>
      <c r="D3" s="838"/>
      <c r="E3" s="838"/>
      <c r="F3" s="839"/>
      <c r="G3" s="838"/>
      <c r="H3" s="838"/>
      <c r="I3" s="838"/>
      <c r="J3" s="838"/>
      <c r="K3" s="394"/>
    </row>
    <row r="4" spans="1:11" ht="15" customHeight="1" x14ac:dyDescent="0.25">
      <c r="A4" s="838"/>
      <c r="B4" s="838"/>
      <c r="C4" s="838"/>
      <c r="D4" s="838"/>
      <c r="E4" s="838"/>
      <c r="F4" s="839"/>
      <c r="G4" s="838"/>
      <c r="H4" s="838"/>
      <c r="I4" s="838"/>
      <c r="J4" s="838"/>
      <c r="K4" s="394"/>
    </row>
    <row r="5" spans="1:11" ht="15" customHeight="1" x14ac:dyDescent="0.25">
      <c r="A5" s="838"/>
      <c r="B5" s="838"/>
      <c r="C5" s="838"/>
      <c r="D5" s="838"/>
      <c r="E5" s="838"/>
      <c r="F5" s="839"/>
      <c r="G5" s="838"/>
      <c r="H5" s="838"/>
      <c r="I5" s="838"/>
      <c r="J5" s="838"/>
      <c r="K5" s="394"/>
    </row>
    <row r="6" spans="1:11" ht="15" customHeight="1" x14ac:dyDescent="0.25">
      <c r="A6" s="838"/>
      <c r="B6" s="838"/>
      <c r="C6" s="838"/>
      <c r="D6" s="838"/>
      <c r="E6" s="838"/>
      <c r="F6" s="839"/>
      <c r="G6" s="838"/>
      <c r="H6" s="838"/>
      <c r="I6" s="838"/>
      <c r="J6" s="838"/>
      <c r="K6" s="394"/>
    </row>
    <row r="7" spans="1:11" ht="15" customHeight="1" x14ac:dyDescent="0.25">
      <c r="A7" s="838"/>
      <c r="B7" s="838"/>
      <c r="C7" s="838"/>
      <c r="D7" s="838"/>
      <c r="E7" s="838"/>
      <c r="F7" s="839"/>
      <c r="G7" s="838"/>
      <c r="H7" s="838"/>
      <c r="I7" s="838"/>
      <c r="J7" s="838"/>
      <c r="K7" s="394"/>
    </row>
    <row r="8" spans="1:11" ht="15" customHeight="1" x14ac:dyDescent="0.25">
      <c r="A8" s="838"/>
      <c r="B8" s="838"/>
      <c r="C8" s="838"/>
      <c r="D8" s="838"/>
      <c r="E8" s="838"/>
      <c r="F8" s="839"/>
      <c r="G8" s="838"/>
      <c r="H8" s="838"/>
      <c r="I8" s="838"/>
      <c r="J8" s="838"/>
      <c r="K8" s="394"/>
    </row>
    <row r="9" spans="1:11" ht="15" customHeight="1" x14ac:dyDescent="0.25">
      <c r="A9" s="838"/>
      <c r="B9" s="838"/>
      <c r="C9" s="838"/>
      <c r="D9" s="838"/>
      <c r="E9" s="838"/>
      <c r="F9" s="839"/>
      <c r="G9" s="838"/>
      <c r="H9" s="838"/>
      <c r="I9" s="838"/>
      <c r="J9" s="838"/>
      <c r="K9" s="394"/>
    </row>
    <row r="10" spans="1:11" ht="15" customHeight="1" x14ac:dyDescent="0.25">
      <c r="A10" s="838"/>
      <c r="B10" s="838"/>
      <c r="C10" s="838"/>
      <c r="D10" s="838"/>
      <c r="E10" s="838"/>
      <c r="F10" s="839"/>
      <c r="G10" s="838"/>
      <c r="H10" s="838"/>
      <c r="I10" s="838"/>
      <c r="J10" s="838"/>
      <c r="K10" s="394"/>
    </row>
    <row r="11" spans="1:11" ht="15" customHeight="1" x14ac:dyDescent="0.25">
      <c r="A11" s="838"/>
      <c r="B11" s="838"/>
      <c r="C11" s="838"/>
      <c r="D11" s="838"/>
      <c r="E11" s="838"/>
      <c r="F11" s="839"/>
      <c r="G11" s="838"/>
      <c r="H11" s="838"/>
      <c r="I11" s="838"/>
      <c r="J11" s="838"/>
      <c r="K11" s="394"/>
    </row>
    <row r="12" spans="1:11" ht="15" customHeight="1" x14ac:dyDescent="0.25">
      <c r="A12" s="838"/>
      <c r="B12" s="838"/>
      <c r="C12" s="838"/>
      <c r="D12" s="838"/>
      <c r="E12" s="838"/>
      <c r="F12" s="839"/>
      <c r="G12" s="838"/>
      <c r="H12" s="838"/>
      <c r="I12" s="838"/>
      <c r="J12" s="838"/>
      <c r="K12" s="394"/>
    </row>
    <row r="13" spans="1:11" ht="15" customHeight="1" x14ac:dyDescent="0.25">
      <c r="A13" s="838"/>
      <c r="B13" s="838"/>
      <c r="C13" s="838"/>
      <c r="D13" s="838"/>
      <c r="E13" s="838"/>
      <c r="F13" s="839"/>
      <c r="G13" s="838"/>
      <c r="H13" s="838"/>
      <c r="I13" s="838"/>
      <c r="J13" s="838"/>
      <c r="K13" s="394"/>
    </row>
    <row r="14" spans="1:11" ht="15" customHeight="1" x14ac:dyDescent="0.25">
      <c r="A14" s="838"/>
      <c r="B14" s="838"/>
      <c r="C14" s="838"/>
      <c r="D14" s="838"/>
      <c r="E14" s="838"/>
      <c r="F14" s="839"/>
      <c r="G14" s="838"/>
      <c r="H14" s="838"/>
      <c r="I14" s="838"/>
      <c r="J14" s="838"/>
      <c r="K14" s="394"/>
    </row>
    <row r="15" spans="1:11" ht="15" customHeight="1" x14ac:dyDescent="0.25">
      <c r="A15" s="838"/>
      <c r="B15" s="838"/>
      <c r="C15" s="838"/>
      <c r="D15" s="838"/>
      <c r="E15" s="838"/>
      <c r="F15" s="839"/>
      <c r="G15" s="838"/>
      <c r="H15" s="838"/>
      <c r="I15" s="838"/>
      <c r="J15" s="838"/>
      <c r="K15" s="394"/>
    </row>
    <row r="16" spans="1:11" ht="15" customHeight="1" x14ac:dyDescent="0.25">
      <c r="A16" s="838"/>
      <c r="B16" s="838"/>
      <c r="C16" s="838"/>
      <c r="D16" s="838"/>
      <c r="E16" s="838"/>
      <c r="F16" s="839"/>
      <c r="G16" s="838"/>
      <c r="H16" s="838"/>
      <c r="I16" s="838"/>
      <c r="J16" s="838"/>
      <c r="K16" s="394"/>
    </row>
  </sheetData>
  <pageMargins left="0.7" right="0.7" top="0.75" bottom="0.75" header="0.1" footer="0"/>
  <pageSetup orientation="portrait" r:id="rId1"/>
  <headerFooter>
    <oddHeader>&amp;L&amp;"Arial,Bold"&amp;8 4:33 PM
&amp;"Arial,Bold"&amp;8 02/15/23
&amp;"Arial,Bold"&amp;8 Accrual Basis&amp;C&amp;"Arial,Bold"&amp;12 Williamson Central Appraisal District
&amp;"Arial,Bold"&amp;14 Account QuickReport
&amp;"Arial,Bold"&amp;10 January 1 through February 15, 2023</oddHeader>
    <oddFooter>&amp;R&amp;"Arial,Bold"&amp;8 Page &amp;P of &amp;N</oddFooter>
  </headerFooter>
  <drawing r:id="rId2"/>
  <legacyDrawing r:id="rId3"/>
  <controls>
    <mc:AlternateContent xmlns:mc="http://schemas.openxmlformats.org/markup-compatibility/2006">
      <mc:Choice Requires="x14">
        <control shapeId="108547" r:id="rId4" name="FILTER">
          <controlPr defaultSize="0" autoLine="0" r:id="rId5">
            <anchor moveWithCells="1">
              <from>
                <xdr:col>0</xdr:col>
                <xdr:colOff>0</xdr:colOff>
                <xdr:row>0</xdr:row>
                <xdr:rowOff>0</xdr:rowOff>
              </from>
              <to>
                <xdr:col>2</xdr:col>
                <xdr:colOff>514350</xdr:colOff>
                <xdr:row>1</xdr:row>
                <xdr:rowOff>38100</xdr:rowOff>
              </to>
            </anchor>
          </controlPr>
        </control>
      </mc:Choice>
      <mc:Fallback>
        <control shapeId="108547" r:id="rId4" name="FILTER"/>
      </mc:Fallback>
    </mc:AlternateContent>
  </control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7"/>
  <dimension ref="A1:K27"/>
  <sheetViews>
    <sheetView workbookViewId="0">
      <pane xSplit="3" ySplit="1" topLeftCell="D2" activePane="bottomRight" state="frozenSplit"/>
      <selection pane="topRight" activeCell="D1" sqref="D1"/>
      <selection pane="bottomLeft" activeCell="A2" sqref="A2"/>
      <selection pane="bottomRight" sqref="A1:XFD1048576"/>
    </sheetView>
  </sheetViews>
  <sheetFormatPr defaultColWidth="14.42578125" defaultRowHeight="15" customHeight="1" x14ac:dyDescent="0.25"/>
  <cols>
    <col min="1" max="2" width="3" style="195" customWidth="1"/>
    <col min="3" max="3" width="39.5703125" style="195" customWidth="1"/>
    <col min="4" max="4" width="2.28515625" style="195" customWidth="1"/>
    <col min="5" max="5" width="5.28515625" style="195" bestFit="1" customWidth="1"/>
    <col min="6" max="6" width="10.7109375" style="195" bestFit="1" customWidth="1"/>
    <col min="7" max="7" width="16.140625" style="195" bestFit="1" customWidth="1"/>
    <col min="8" max="9" width="30.7109375" style="195" customWidth="1"/>
    <col min="10" max="10" width="22.28515625" style="195" bestFit="1" customWidth="1"/>
    <col min="11" max="11" width="9.140625" style="195" bestFit="1" customWidth="1"/>
    <col min="12" max="16384" width="14.42578125" style="195"/>
  </cols>
  <sheetData>
    <row r="1" spans="1:11" s="196" customFormat="1" x14ac:dyDescent="0.25">
      <c r="A1" s="837"/>
      <c r="B1" s="837"/>
      <c r="C1" s="837"/>
      <c r="D1" s="837"/>
      <c r="E1" s="837"/>
      <c r="F1" s="837"/>
      <c r="G1" s="837"/>
      <c r="H1" s="837"/>
      <c r="I1" s="837"/>
      <c r="J1" s="837"/>
      <c r="K1" s="837"/>
    </row>
    <row r="2" spans="1:11" x14ac:dyDescent="0.25">
      <c r="A2" s="838"/>
      <c r="B2" s="838"/>
      <c r="C2" s="838"/>
      <c r="D2" s="838"/>
      <c r="E2" s="838"/>
      <c r="F2" s="839"/>
      <c r="G2" s="838"/>
      <c r="H2" s="838"/>
      <c r="I2" s="838"/>
      <c r="J2" s="838"/>
      <c r="K2" s="394"/>
    </row>
    <row r="3" spans="1:11" x14ac:dyDescent="0.25">
      <c r="A3" s="838"/>
      <c r="B3" s="838"/>
      <c r="C3" s="838"/>
      <c r="D3" s="838"/>
      <c r="E3" s="838"/>
      <c r="F3" s="839"/>
      <c r="G3" s="838"/>
      <c r="H3" s="838"/>
      <c r="I3" s="838"/>
      <c r="J3" s="838"/>
      <c r="K3" s="394"/>
    </row>
    <row r="4" spans="1:11" x14ac:dyDescent="0.25">
      <c r="A4" s="838"/>
      <c r="B4" s="838"/>
      <c r="C4" s="838"/>
      <c r="D4" s="838"/>
      <c r="E4" s="838"/>
      <c r="F4" s="839"/>
      <c r="G4" s="838"/>
      <c r="H4" s="838"/>
      <c r="I4" s="838"/>
      <c r="J4" s="838"/>
      <c r="K4" s="394"/>
    </row>
    <row r="5" spans="1:11" x14ac:dyDescent="0.25">
      <c r="A5" s="838"/>
      <c r="B5" s="838"/>
      <c r="C5" s="838"/>
      <c r="D5" s="838"/>
      <c r="E5" s="838"/>
      <c r="F5" s="839"/>
      <c r="G5" s="838"/>
      <c r="H5" s="838"/>
      <c r="I5" s="838"/>
      <c r="J5" s="838"/>
      <c r="K5" s="394"/>
    </row>
    <row r="6" spans="1:11" x14ac:dyDescent="0.25">
      <c r="A6" s="838"/>
      <c r="B6" s="838"/>
      <c r="C6" s="838"/>
      <c r="D6" s="838"/>
      <c r="E6" s="838"/>
      <c r="F6" s="839"/>
      <c r="G6" s="838"/>
      <c r="H6" s="838"/>
      <c r="I6" s="838"/>
      <c r="J6" s="838"/>
      <c r="K6" s="394"/>
    </row>
    <row r="7" spans="1:11" x14ac:dyDescent="0.25">
      <c r="A7" s="838"/>
      <c r="B7" s="838"/>
      <c r="C7" s="838"/>
      <c r="D7" s="838"/>
      <c r="E7" s="838"/>
      <c r="F7" s="839"/>
      <c r="G7" s="838"/>
      <c r="H7" s="838"/>
      <c r="I7" s="838"/>
      <c r="J7" s="838"/>
      <c r="K7" s="394"/>
    </row>
    <row r="8" spans="1:11" x14ac:dyDescent="0.25">
      <c r="A8" s="838"/>
      <c r="B8" s="838"/>
      <c r="C8" s="838"/>
      <c r="D8" s="838"/>
      <c r="E8" s="838"/>
      <c r="F8" s="839"/>
      <c r="G8" s="838"/>
      <c r="H8" s="838"/>
      <c r="I8" s="838"/>
      <c r="J8" s="838"/>
      <c r="K8" s="394"/>
    </row>
    <row r="9" spans="1:11" x14ac:dyDescent="0.25">
      <c r="A9" s="838"/>
      <c r="B9" s="838"/>
      <c r="C9" s="838"/>
      <c r="D9" s="838"/>
      <c r="E9" s="838"/>
      <c r="F9" s="839"/>
      <c r="G9" s="838"/>
      <c r="H9" s="838"/>
      <c r="I9" s="838"/>
      <c r="J9" s="838"/>
      <c r="K9" s="394"/>
    </row>
    <row r="10" spans="1:11" x14ac:dyDescent="0.25">
      <c r="A10" s="838"/>
      <c r="B10" s="838"/>
      <c r="C10" s="838"/>
      <c r="D10" s="838"/>
      <c r="E10" s="838"/>
      <c r="F10" s="839"/>
      <c r="G10" s="838"/>
      <c r="H10" s="838"/>
      <c r="I10" s="838"/>
      <c r="J10" s="838"/>
      <c r="K10" s="394"/>
    </row>
    <row r="11" spans="1:11" x14ac:dyDescent="0.25">
      <c r="A11" s="838"/>
      <c r="B11" s="838"/>
      <c r="C11" s="838"/>
      <c r="D11" s="838"/>
      <c r="E11" s="838"/>
      <c r="F11" s="839"/>
      <c r="G11" s="838"/>
      <c r="H11" s="838"/>
      <c r="I11" s="838"/>
      <c r="J11" s="838"/>
      <c r="K11" s="394"/>
    </row>
    <row r="12" spans="1:11" x14ac:dyDescent="0.25">
      <c r="A12" s="838"/>
      <c r="B12" s="838"/>
      <c r="C12" s="838"/>
      <c r="D12" s="838"/>
      <c r="E12" s="838"/>
      <c r="F12" s="839"/>
      <c r="G12" s="838"/>
      <c r="H12" s="838"/>
      <c r="I12" s="838"/>
      <c r="J12" s="838"/>
      <c r="K12" s="394"/>
    </row>
    <row r="13" spans="1:11" x14ac:dyDescent="0.25">
      <c r="A13" s="838"/>
      <c r="B13" s="838"/>
      <c r="C13" s="838"/>
      <c r="D13" s="838"/>
      <c r="E13" s="838"/>
      <c r="F13" s="839"/>
      <c r="G13" s="838"/>
      <c r="H13" s="838"/>
      <c r="I13" s="838"/>
      <c r="J13" s="838"/>
      <c r="K13" s="394"/>
    </row>
    <row r="14" spans="1:11" x14ac:dyDescent="0.25">
      <c r="A14" s="838"/>
      <c r="B14" s="838"/>
      <c r="C14" s="838"/>
      <c r="D14" s="838"/>
      <c r="E14" s="838"/>
      <c r="F14" s="839"/>
      <c r="G14" s="838"/>
      <c r="H14" s="838"/>
      <c r="I14" s="838"/>
      <c r="J14" s="838"/>
      <c r="K14" s="394"/>
    </row>
    <row r="15" spans="1:11" x14ac:dyDescent="0.25">
      <c r="A15" s="838"/>
      <c r="B15" s="838"/>
      <c r="C15" s="838"/>
      <c r="D15" s="838"/>
      <c r="E15" s="838"/>
      <c r="F15" s="839"/>
      <c r="G15" s="838"/>
      <c r="H15" s="838"/>
      <c r="I15" s="838"/>
      <c r="J15" s="838"/>
      <c r="K15" s="394"/>
    </row>
    <row r="16" spans="1:11" x14ac:dyDescent="0.25">
      <c r="A16" s="838"/>
      <c r="B16" s="838"/>
      <c r="C16" s="838"/>
      <c r="D16" s="838"/>
      <c r="E16" s="838"/>
      <c r="F16" s="839"/>
      <c r="G16" s="838"/>
      <c r="H16" s="838"/>
      <c r="I16" s="838"/>
      <c r="J16" s="838"/>
      <c r="K16" s="394"/>
    </row>
    <row r="17" spans="1:11" x14ac:dyDescent="0.25">
      <c r="A17" s="838"/>
      <c r="B17" s="838"/>
      <c r="C17" s="838"/>
      <c r="D17" s="838"/>
      <c r="E17" s="838"/>
      <c r="F17" s="839"/>
      <c r="G17" s="838"/>
      <c r="H17" s="838"/>
      <c r="I17" s="838"/>
      <c r="J17" s="838"/>
      <c r="K17" s="394"/>
    </row>
    <row r="18" spans="1:11" x14ac:dyDescent="0.25">
      <c r="A18" s="838"/>
      <c r="B18" s="838"/>
      <c r="C18" s="838"/>
      <c r="D18" s="838"/>
      <c r="E18" s="838"/>
      <c r="F18" s="839"/>
      <c r="G18" s="838"/>
      <c r="H18" s="838"/>
      <c r="I18" s="838"/>
      <c r="J18" s="838"/>
      <c r="K18" s="394"/>
    </row>
    <row r="19" spans="1:11" x14ac:dyDescent="0.25">
      <c r="A19" s="838"/>
      <c r="B19" s="838"/>
      <c r="C19" s="838"/>
      <c r="D19" s="838"/>
      <c r="E19" s="838"/>
      <c r="F19" s="839"/>
      <c r="G19" s="838"/>
      <c r="H19" s="838"/>
      <c r="I19" s="838"/>
      <c r="J19" s="838"/>
      <c r="K19" s="394"/>
    </row>
    <row r="20" spans="1:11" ht="15" customHeight="1" x14ac:dyDescent="0.25">
      <c r="A20" s="838"/>
      <c r="B20" s="838"/>
      <c r="C20" s="838"/>
      <c r="D20" s="838"/>
      <c r="E20" s="838"/>
      <c r="F20" s="839"/>
      <c r="G20" s="838"/>
      <c r="H20" s="838"/>
      <c r="I20" s="838"/>
      <c r="J20" s="838"/>
      <c r="K20" s="394"/>
    </row>
    <row r="21" spans="1:11" ht="15" customHeight="1" x14ac:dyDescent="0.25">
      <c r="A21" s="838"/>
      <c r="B21" s="838"/>
      <c r="C21" s="838"/>
      <c r="D21" s="838"/>
      <c r="E21" s="838"/>
      <c r="F21" s="839"/>
      <c r="G21" s="838"/>
      <c r="H21" s="838"/>
      <c r="I21" s="838"/>
      <c r="J21" s="838"/>
      <c r="K21" s="394"/>
    </row>
    <row r="22" spans="1:11" ht="15" customHeight="1" x14ac:dyDescent="0.25">
      <c r="A22" s="838"/>
      <c r="B22" s="838"/>
      <c r="C22" s="838"/>
      <c r="D22" s="838"/>
      <c r="E22" s="838"/>
      <c r="F22" s="839"/>
      <c r="G22" s="838"/>
      <c r="H22" s="838"/>
      <c r="I22" s="838"/>
      <c r="J22" s="838"/>
      <c r="K22" s="394"/>
    </row>
    <row r="23" spans="1:11" ht="15" customHeight="1" x14ac:dyDescent="0.25">
      <c r="A23" s="838"/>
      <c r="B23" s="838"/>
      <c r="C23" s="838"/>
      <c r="D23" s="838"/>
      <c r="E23" s="838"/>
      <c r="F23" s="839"/>
      <c r="G23" s="838"/>
      <c r="H23" s="838"/>
      <c r="I23" s="838"/>
      <c r="J23" s="838"/>
      <c r="K23" s="394"/>
    </row>
    <row r="24" spans="1:11" ht="15" customHeight="1" x14ac:dyDescent="0.25">
      <c r="A24" s="838"/>
      <c r="B24" s="838"/>
      <c r="C24" s="838"/>
      <c r="D24" s="838"/>
      <c r="E24" s="838"/>
      <c r="F24" s="839"/>
      <c r="G24" s="838"/>
      <c r="H24" s="838"/>
      <c r="I24" s="838"/>
      <c r="J24" s="838"/>
      <c r="K24" s="394"/>
    </row>
    <row r="25" spans="1:11" ht="15" customHeight="1" x14ac:dyDescent="0.25">
      <c r="A25" s="838"/>
      <c r="B25" s="838"/>
      <c r="C25" s="838"/>
      <c r="D25" s="838"/>
      <c r="E25" s="838"/>
      <c r="F25" s="839"/>
      <c r="G25" s="838"/>
      <c r="H25" s="838"/>
      <c r="I25" s="838"/>
      <c r="J25" s="838"/>
      <c r="K25" s="394"/>
    </row>
    <row r="26" spans="1:11" ht="15" customHeight="1" x14ac:dyDescent="0.25">
      <c r="A26" s="838"/>
      <c r="B26" s="838"/>
      <c r="C26" s="838"/>
      <c r="D26" s="838"/>
      <c r="E26" s="838"/>
      <c r="F26" s="839"/>
      <c r="G26" s="838"/>
      <c r="H26" s="838"/>
      <c r="I26" s="838"/>
      <c r="J26" s="838"/>
      <c r="K26" s="394"/>
    </row>
    <row r="27" spans="1:11" ht="15" customHeight="1" x14ac:dyDescent="0.25">
      <c r="A27" s="838"/>
      <c r="B27" s="838"/>
      <c r="C27" s="838"/>
      <c r="D27" s="838"/>
      <c r="E27" s="838"/>
      <c r="F27" s="839"/>
      <c r="G27" s="838"/>
      <c r="H27" s="838"/>
      <c r="I27" s="838"/>
      <c r="J27" s="838"/>
      <c r="K27" s="394"/>
    </row>
  </sheetData>
  <pageMargins left="0.7" right="0.7" top="0.75" bottom="0.75" header="0.1" footer="0"/>
  <pageSetup orientation="portrait" r:id="rId1"/>
  <headerFooter>
    <oddHeader>&amp;L&amp;"Arial,Bold"&amp;8 4:37 PM
&amp;"Arial,Bold"&amp;8 02/15/23
&amp;"Arial,Bold"&amp;8 Accrual Basis&amp;C&amp;"Arial,Bold"&amp;12 Williamson Central Appraisal District
&amp;"Arial,Bold"&amp;14 Account QuickReport
&amp;"Arial,Bold"&amp;10 January 1 through February 15, 2023</oddHeader>
    <oddFooter>&amp;R&amp;"Arial,Bold"&amp;8 Page &amp;P of &amp;N</oddFooter>
  </headerFooter>
  <drawing r:id="rId2"/>
  <legacyDrawing r:id="rId3"/>
  <controls>
    <mc:AlternateContent xmlns:mc="http://schemas.openxmlformats.org/markup-compatibility/2006">
      <mc:Choice Requires="x14">
        <control shapeId="111619" r:id="rId4" name="FILTER">
          <controlPr defaultSize="0" autoLine="0" r:id="rId5">
            <anchor moveWithCells="1">
              <from>
                <xdr:col>0</xdr:col>
                <xdr:colOff>0</xdr:colOff>
                <xdr:row>0</xdr:row>
                <xdr:rowOff>0</xdr:rowOff>
              </from>
              <to>
                <xdr:col>2</xdr:col>
                <xdr:colOff>514350</xdr:colOff>
                <xdr:row>1</xdr:row>
                <xdr:rowOff>38100</xdr:rowOff>
              </to>
            </anchor>
          </controlPr>
        </control>
      </mc:Choice>
      <mc:Fallback>
        <control shapeId="111619" r:id="rId4" name="FILTER"/>
      </mc:Fallback>
    </mc:AlternateContent>
  </control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8"/>
  <dimension ref="A1:K10"/>
  <sheetViews>
    <sheetView workbookViewId="0">
      <pane xSplit="3" ySplit="1" topLeftCell="D2" activePane="bottomRight" state="frozenSplit"/>
      <selection pane="topRight" activeCell="D1" sqref="D1"/>
      <selection pane="bottomLeft" activeCell="A2" sqref="A2"/>
      <selection pane="bottomRight" sqref="A1:XFD1048576"/>
    </sheetView>
  </sheetViews>
  <sheetFormatPr defaultColWidth="14.42578125" defaultRowHeight="15" customHeight="1" x14ac:dyDescent="0.25"/>
  <cols>
    <col min="1" max="2" width="3" style="195" customWidth="1"/>
    <col min="3" max="3" width="25.42578125" style="195" customWidth="1"/>
    <col min="4" max="4" width="2.28515625" style="195" customWidth="1"/>
    <col min="5" max="5" width="5.28515625" style="195" bestFit="1" customWidth="1"/>
    <col min="6" max="6" width="10.7109375" style="195" bestFit="1" customWidth="1"/>
    <col min="7" max="7" width="7.5703125" style="195" bestFit="1" customWidth="1"/>
    <col min="8" max="8" width="15.5703125" style="195" bestFit="1" customWidth="1"/>
    <col min="9" max="9" width="22.7109375" style="195" bestFit="1" customWidth="1"/>
    <col min="10" max="10" width="22.28515625" style="195" bestFit="1" customWidth="1"/>
    <col min="11" max="11" width="8.140625" style="195" bestFit="1" customWidth="1"/>
    <col min="12" max="16384" width="14.42578125" style="195"/>
  </cols>
  <sheetData>
    <row r="1" spans="1:11" s="196" customFormat="1" x14ac:dyDescent="0.25">
      <c r="A1" s="837"/>
      <c r="B1" s="837"/>
      <c r="C1" s="837"/>
      <c r="D1" s="837"/>
      <c r="E1" s="837"/>
      <c r="F1" s="837"/>
      <c r="G1" s="837"/>
      <c r="H1" s="837"/>
      <c r="I1" s="837"/>
      <c r="J1" s="837"/>
      <c r="K1" s="837"/>
    </row>
    <row r="2" spans="1:11" x14ac:dyDescent="0.25">
      <c r="A2" s="838"/>
      <c r="B2" s="838"/>
      <c r="C2" s="838"/>
      <c r="D2" s="838"/>
      <c r="E2" s="838"/>
      <c r="F2" s="839"/>
      <c r="G2" s="838"/>
      <c r="H2" s="838"/>
      <c r="I2" s="838"/>
      <c r="J2" s="838"/>
      <c r="K2" s="394"/>
    </row>
    <row r="3" spans="1:11" ht="15" customHeight="1" x14ac:dyDescent="0.25">
      <c r="A3" s="838"/>
      <c r="B3" s="838"/>
      <c r="C3" s="838"/>
      <c r="D3" s="838"/>
      <c r="E3" s="838"/>
      <c r="F3" s="839"/>
      <c r="G3" s="838"/>
      <c r="H3" s="838"/>
      <c r="I3" s="838"/>
      <c r="J3" s="838"/>
      <c r="K3" s="394"/>
    </row>
    <row r="4" spans="1:11" ht="15" customHeight="1" x14ac:dyDescent="0.25">
      <c r="A4" s="838"/>
      <c r="B4" s="838"/>
      <c r="C4" s="838"/>
      <c r="D4" s="838"/>
      <c r="E4" s="838"/>
      <c r="F4" s="839"/>
      <c r="G4" s="838"/>
      <c r="H4" s="838"/>
      <c r="I4" s="838"/>
      <c r="J4" s="838"/>
      <c r="K4" s="394"/>
    </row>
    <row r="5" spans="1:11" ht="15" customHeight="1" x14ac:dyDescent="0.25">
      <c r="A5" s="838"/>
      <c r="B5" s="838"/>
      <c r="C5" s="838"/>
      <c r="D5" s="838"/>
      <c r="E5" s="838"/>
      <c r="F5" s="839"/>
      <c r="G5" s="838"/>
      <c r="H5" s="838"/>
      <c r="I5" s="838"/>
      <c r="J5" s="838"/>
      <c r="K5" s="394"/>
    </row>
    <row r="6" spans="1:11" ht="15" customHeight="1" x14ac:dyDescent="0.25">
      <c r="A6" s="838"/>
      <c r="B6" s="838"/>
      <c r="C6" s="838"/>
      <c r="D6" s="838"/>
      <c r="E6" s="838"/>
      <c r="F6" s="839"/>
      <c r="G6" s="838"/>
      <c r="H6" s="838"/>
      <c r="I6" s="838"/>
      <c r="J6" s="838"/>
      <c r="K6" s="394"/>
    </row>
    <row r="7" spans="1:11" ht="15" customHeight="1" x14ac:dyDescent="0.25">
      <c r="A7" s="838"/>
      <c r="B7" s="838"/>
      <c r="C7" s="838"/>
      <c r="D7" s="838"/>
      <c r="E7" s="838"/>
      <c r="F7" s="839"/>
      <c r="G7" s="838"/>
      <c r="H7" s="838"/>
      <c r="I7" s="838"/>
      <c r="J7" s="838"/>
      <c r="K7" s="394"/>
    </row>
    <row r="8" spans="1:11" ht="15" customHeight="1" x14ac:dyDescent="0.25">
      <c r="A8" s="838"/>
      <c r="B8" s="838"/>
      <c r="C8" s="838"/>
      <c r="D8" s="838"/>
      <c r="E8" s="838"/>
      <c r="F8" s="839"/>
      <c r="G8" s="838"/>
      <c r="H8" s="838"/>
      <c r="I8" s="838"/>
      <c r="J8" s="838"/>
      <c r="K8" s="394"/>
    </row>
    <row r="9" spans="1:11" ht="15" customHeight="1" x14ac:dyDescent="0.25">
      <c r="A9" s="838"/>
      <c r="B9" s="838"/>
      <c r="C9" s="838"/>
      <c r="D9" s="838"/>
      <c r="E9" s="838"/>
      <c r="F9" s="839"/>
      <c r="G9" s="838"/>
      <c r="H9" s="838"/>
      <c r="I9" s="838"/>
      <c r="J9" s="838"/>
      <c r="K9" s="394"/>
    </row>
    <row r="10" spans="1:11" ht="15" customHeight="1" x14ac:dyDescent="0.25">
      <c r="A10" s="838"/>
      <c r="B10" s="838"/>
      <c r="C10" s="838"/>
      <c r="D10" s="838"/>
      <c r="E10" s="838"/>
      <c r="F10" s="839"/>
      <c r="G10" s="838"/>
      <c r="H10" s="838"/>
      <c r="I10" s="838"/>
      <c r="J10" s="838"/>
      <c r="K10" s="394"/>
    </row>
  </sheetData>
  <pageMargins left="0.7" right="0.7" top="0.75" bottom="0.75" header="0.1" footer="0"/>
  <pageSetup orientation="landscape" r:id="rId1"/>
  <headerFooter>
    <oddHeader>&amp;L&amp;"Arial,Bold"&amp;8 3:47 PM
&amp;"Arial,Bold"&amp;8 02/13/23
&amp;"Arial,Bold"&amp;8 Accrual Basis&amp;C&amp;"Arial,Bold"&amp;12 Williamson Central Appraisal District
&amp;"Arial,Bold"&amp;14 Account QuickReport
&amp;"Arial,Bold"&amp;10 January 1 through February 13, 2023</oddHeader>
    <oddFooter>&amp;R&amp;"Arial,Bold"&amp;8 Page &amp;P of &amp;N</oddFooter>
  </headerFooter>
  <drawing r:id="rId2"/>
  <legacyDrawing r:id="rId3"/>
  <controls>
    <mc:AlternateContent xmlns:mc="http://schemas.openxmlformats.org/markup-compatibility/2006">
      <mc:Choice Requires="x14">
        <control shapeId="124930" r:id="rId4" name="HEADER">
          <controlPr defaultSize="0" autoLine="0" r:id="rId5">
            <anchor moveWithCells="1">
              <from>
                <xdr:col>0</xdr:col>
                <xdr:colOff>0</xdr:colOff>
                <xdr:row>0</xdr:row>
                <xdr:rowOff>0</xdr:rowOff>
              </from>
              <to>
                <xdr:col>2</xdr:col>
                <xdr:colOff>514350</xdr:colOff>
                <xdr:row>1</xdr:row>
                <xdr:rowOff>38100</xdr:rowOff>
              </to>
            </anchor>
          </controlPr>
        </control>
      </mc:Choice>
      <mc:Fallback>
        <control shapeId="124930" r:id="rId4" name="HEADER"/>
      </mc:Fallback>
    </mc:AlternateContent>
    <mc:AlternateContent xmlns:mc="http://schemas.openxmlformats.org/markup-compatibility/2006">
      <mc:Choice Requires="x14">
        <control shapeId="124929" r:id="rId6" name="FILTER">
          <controlPr defaultSize="0" autoLine="0" r:id="rId7">
            <anchor moveWithCells="1">
              <from>
                <xdr:col>0</xdr:col>
                <xdr:colOff>0</xdr:colOff>
                <xdr:row>0</xdr:row>
                <xdr:rowOff>0</xdr:rowOff>
              </from>
              <to>
                <xdr:col>2</xdr:col>
                <xdr:colOff>514350</xdr:colOff>
                <xdr:row>1</xdr:row>
                <xdr:rowOff>38100</xdr:rowOff>
              </to>
            </anchor>
          </controlPr>
        </control>
      </mc:Choice>
      <mc:Fallback>
        <control shapeId="124929" r:id="rId6" name="FILTER"/>
      </mc:Fallback>
    </mc:AlternateContent>
  </control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1"/>
  <dimension ref="A1:K12"/>
  <sheetViews>
    <sheetView workbookViewId="0">
      <pane xSplit="3" ySplit="1" topLeftCell="D2" activePane="bottomRight" state="frozenSplit"/>
      <selection pane="topRight" activeCell="D1" sqref="D1"/>
      <selection pane="bottomLeft" activeCell="A2" sqref="A2"/>
      <selection pane="bottomRight" sqref="A1:XFD1048576"/>
    </sheetView>
  </sheetViews>
  <sheetFormatPr defaultColWidth="14.42578125" defaultRowHeight="15" customHeight="1" x14ac:dyDescent="0.25"/>
  <cols>
    <col min="1" max="2" width="3" style="195" customWidth="1"/>
    <col min="3" max="3" width="36.7109375" style="195" customWidth="1"/>
    <col min="4" max="4" width="2.28515625" style="195" customWidth="1"/>
    <col min="5" max="5" width="17.7109375" style="195" bestFit="1" customWidth="1"/>
    <col min="6" max="6" width="10.7109375" style="195" bestFit="1" customWidth="1"/>
    <col min="7" max="7" width="16" style="195" bestFit="1" customWidth="1"/>
    <col min="8" max="8" width="20.7109375" style="195" bestFit="1" customWidth="1"/>
    <col min="9" max="9" width="30.7109375" style="195" customWidth="1"/>
    <col min="10" max="10" width="27.42578125" style="195" bestFit="1" customWidth="1"/>
    <col min="11" max="11" width="8.140625" style="195" bestFit="1" customWidth="1"/>
    <col min="12" max="16384" width="14.42578125" style="195"/>
  </cols>
  <sheetData>
    <row r="1" spans="1:11" s="196" customFormat="1" x14ac:dyDescent="0.25">
      <c r="A1" s="837"/>
      <c r="B1" s="837"/>
      <c r="C1" s="837"/>
      <c r="D1" s="837"/>
      <c r="E1" s="837"/>
      <c r="F1" s="837"/>
      <c r="G1" s="837"/>
      <c r="H1" s="837"/>
      <c r="I1" s="837"/>
      <c r="J1" s="837"/>
      <c r="K1" s="837"/>
    </row>
    <row r="2" spans="1:11" x14ac:dyDescent="0.25">
      <c r="A2" s="838"/>
      <c r="B2" s="838"/>
      <c r="C2" s="838"/>
      <c r="D2" s="838"/>
      <c r="E2" s="838"/>
      <c r="F2" s="839"/>
      <c r="G2" s="838"/>
      <c r="H2" s="838"/>
      <c r="I2" s="838"/>
      <c r="J2" s="838"/>
      <c r="K2" s="394"/>
    </row>
    <row r="3" spans="1:11" x14ac:dyDescent="0.25">
      <c r="A3" s="838"/>
      <c r="B3" s="838"/>
      <c r="C3" s="838"/>
      <c r="D3" s="838"/>
      <c r="E3" s="838"/>
      <c r="F3" s="839"/>
      <c r="G3" s="838"/>
      <c r="H3" s="838"/>
      <c r="I3" s="838"/>
      <c r="J3" s="838"/>
      <c r="K3" s="394"/>
    </row>
    <row r="4" spans="1:11" x14ac:dyDescent="0.25">
      <c r="A4" s="838"/>
      <c r="B4" s="838"/>
      <c r="C4" s="838"/>
      <c r="D4" s="838"/>
      <c r="E4" s="838"/>
      <c r="F4" s="839"/>
      <c r="G4" s="838"/>
      <c r="H4" s="838"/>
      <c r="I4" s="838"/>
      <c r="J4" s="838"/>
      <c r="K4" s="394"/>
    </row>
    <row r="5" spans="1:11" x14ac:dyDescent="0.25">
      <c r="A5" s="838"/>
      <c r="B5" s="838"/>
      <c r="C5" s="838"/>
      <c r="D5" s="838"/>
      <c r="E5" s="838"/>
      <c r="F5" s="839"/>
      <c r="G5" s="838"/>
      <c r="H5" s="838"/>
      <c r="I5" s="838"/>
      <c r="J5" s="838"/>
      <c r="K5" s="394"/>
    </row>
    <row r="6" spans="1:11" x14ac:dyDescent="0.25">
      <c r="A6" s="838"/>
      <c r="B6" s="838"/>
      <c r="C6" s="838"/>
      <c r="D6" s="838"/>
      <c r="E6" s="838"/>
      <c r="F6" s="839"/>
      <c r="G6" s="838"/>
      <c r="H6" s="838"/>
      <c r="I6" s="838"/>
      <c r="J6" s="838"/>
      <c r="K6" s="394"/>
    </row>
    <row r="7" spans="1:11" x14ac:dyDescent="0.25">
      <c r="A7" s="838"/>
      <c r="B7" s="838"/>
      <c r="C7" s="838"/>
      <c r="D7" s="838"/>
      <c r="E7" s="838"/>
      <c r="F7" s="839"/>
      <c r="G7" s="838"/>
      <c r="H7" s="838"/>
      <c r="I7" s="838"/>
      <c r="J7" s="838"/>
      <c r="K7" s="394"/>
    </row>
    <row r="8" spans="1:11" x14ac:dyDescent="0.25">
      <c r="A8" s="838"/>
      <c r="B8" s="838"/>
      <c r="C8" s="838"/>
      <c r="D8" s="838"/>
      <c r="E8" s="838"/>
      <c r="F8" s="839"/>
      <c r="G8" s="838"/>
      <c r="H8" s="838"/>
      <c r="I8" s="838"/>
      <c r="J8" s="838"/>
      <c r="K8" s="394"/>
    </row>
    <row r="9" spans="1:11" x14ac:dyDescent="0.25">
      <c r="A9" s="838"/>
      <c r="B9" s="838"/>
      <c r="C9" s="838"/>
      <c r="D9" s="838"/>
      <c r="E9" s="838"/>
      <c r="F9" s="839"/>
      <c r="G9" s="838"/>
      <c r="H9" s="838"/>
      <c r="I9" s="838"/>
      <c r="J9" s="838"/>
      <c r="K9" s="394"/>
    </row>
    <row r="10" spans="1:11" x14ac:dyDescent="0.25">
      <c r="A10" s="838"/>
      <c r="B10" s="838"/>
      <c r="C10" s="838"/>
      <c r="D10" s="838"/>
      <c r="E10" s="838"/>
      <c r="F10" s="839"/>
      <c r="G10" s="838"/>
      <c r="H10" s="838"/>
      <c r="I10" s="838"/>
      <c r="J10" s="838"/>
      <c r="K10" s="394"/>
    </row>
    <row r="11" spans="1:11" ht="15" customHeight="1" x14ac:dyDescent="0.25">
      <c r="A11" s="838"/>
      <c r="B11" s="838"/>
      <c r="C11" s="838"/>
      <c r="D11" s="838"/>
      <c r="E11" s="838"/>
      <c r="F11" s="839"/>
      <c r="G11" s="838"/>
      <c r="H11" s="838"/>
      <c r="I11" s="838"/>
      <c r="J11" s="838"/>
      <c r="K11" s="394"/>
    </row>
    <row r="12" spans="1:11" ht="15" customHeight="1" x14ac:dyDescent="0.25">
      <c r="A12" s="838"/>
      <c r="B12" s="838"/>
      <c r="C12" s="838"/>
      <c r="D12" s="838"/>
      <c r="E12" s="838"/>
      <c r="F12" s="839"/>
      <c r="G12" s="838"/>
      <c r="H12" s="838"/>
      <c r="I12" s="838"/>
      <c r="J12" s="838"/>
      <c r="K12" s="394"/>
    </row>
  </sheetData>
  <pageMargins left="0.7" right="0.7" top="0.75" bottom="0.75" header="0.1" footer="0"/>
  <pageSetup orientation="landscape" r:id="rId1"/>
  <headerFooter>
    <oddHeader>&amp;L&amp;"Arial,Bold"&amp;8 4:40 PM
&amp;"Arial,Bold"&amp;8 02/15/23
&amp;"Arial,Bold"&amp;8 Accrual Basis&amp;C&amp;"Arial,Bold"&amp;12 Williamson Central Appraisal District
&amp;"Arial,Bold"&amp;14 Account QuickReport
&amp;"Arial,Bold"&amp;10 January 1 through February 15, 2023</oddHeader>
    <oddFooter>&amp;R&amp;"Arial,Bold"&amp;8 Page &amp;P of &amp;N</oddFooter>
  </headerFooter>
  <drawing r:id="rId2"/>
  <legacyDrawing r:id="rId3"/>
  <controls>
    <mc:AlternateContent xmlns:mc="http://schemas.openxmlformats.org/markup-compatibility/2006">
      <mc:Choice Requires="x14">
        <control shapeId="112643" r:id="rId4" name="FILTER">
          <controlPr defaultSize="0" autoLine="0" r:id="rId5">
            <anchor moveWithCells="1">
              <from>
                <xdr:col>0</xdr:col>
                <xdr:colOff>0</xdr:colOff>
                <xdr:row>0</xdr:row>
                <xdr:rowOff>0</xdr:rowOff>
              </from>
              <to>
                <xdr:col>2</xdr:col>
                <xdr:colOff>514350</xdr:colOff>
                <xdr:row>1</xdr:row>
                <xdr:rowOff>38100</xdr:rowOff>
              </to>
            </anchor>
          </controlPr>
        </control>
      </mc:Choice>
      <mc:Fallback>
        <control shapeId="112643" r:id="rId4" name="FILTER"/>
      </mc:Fallback>
    </mc:AlternateContent>
  </control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dimension ref="A1:K23"/>
  <sheetViews>
    <sheetView workbookViewId="0">
      <pane xSplit="3" ySplit="1" topLeftCell="D2" activePane="bottomRight" state="frozenSplit"/>
      <selection pane="topRight" activeCell="D1" sqref="D1"/>
      <selection pane="bottomLeft" activeCell="A2" sqref="A2"/>
      <selection pane="bottomRight" sqref="A1:XFD1048576"/>
    </sheetView>
  </sheetViews>
  <sheetFormatPr defaultColWidth="14.42578125" defaultRowHeight="15" customHeight="1" x14ac:dyDescent="0.25"/>
  <cols>
    <col min="1" max="2" width="3" style="195" customWidth="1"/>
    <col min="3" max="3" width="25.42578125" style="195" customWidth="1"/>
    <col min="4" max="4" width="2.28515625" style="195" customWidth="1"/>
    <col min="5" max="5" width="17.7109375" style="195" bestFit="1" customWidth="1"/>
    <col min="6" max="6" width="10.7109375" style="195" bestFit="1" customWidth="1"/>
    <col min="7" max="7" width="12.85546875" style="195" bestFit="1" customWidth="1"/>
    <col min="8" max="8" width="28.42578125" style="195" bestFit="1" customWidth="1"/>
    <col min="9" max="9" width="30.7109375" style="195" customWidth="1"/>
    <col min="10" max="10" width="27.42578125" style="195" bestFit="1" customWidth="1"/>
    <col min="11" max="11" width="9.140625" style="195" bestFit="1" customWidth="1"/>
    <col min="12" max="16384" width="14.42578125" style="195"/>
  </cols>
  <sheetData>
    <row r="1" spans="1:11" s="196" customFormat="1" x14ac:dyDescent="0.25">
      <c r="A1" s="837"/>
      <c r="B1" s="837"/>
      <c r="C1" s="837"/>
      <c r="D1" s="837"/>
      <c r="E1" s="837"/>
      <c r="F1" s="837"/>
      <c r="G1" s="837"/>
      <c r="H1" s="837"/>
      <c r="I1" s="837"/>
      <c r="J1" s="837"/>
      <c r="K1" s="837"/>
    </row>
    <row r="2" spans="1:11" x14ac:dyDescent="0.25">
      <c r="A2" s="838"/>
      <c r="B2" s="838"/>
      <c r="C2" s="838"/>
      <c r="D2" s="838"/>
      <c r="E2" s="838"/>
      <c r="F2" s="839"/>
      <c r="G2" s="838"/>
      <c r="H2" s="838"/>
      <c r="I2" s="838"/>
      <c r="J2" s="838"/>
      <c r="K2" s="394"/>
    </row>
    <row r="3" spans="1:11" x14ac:dyDescent="0.25">
      <c r="A3" s="838"/>
      <c r="B3" s="838"/>
      <c r="C3" s="838"/>
      <c r="D3" s="838"/>
      <c r="E3" s="838"/>
      <c r="F3" s="839"/>
      <c r="G3" s="838"/>
      <c r="H3" s="838"/>
      <c r="I3" s="838"/>
      <c r="J3" s="838"/>
      <c r="K3" s="394"/>
    </row>
    <row r="4" spans="1:11" x14ac:dyDescent="0.25">
      <c r="A4" s="838"/>
      <c r="B4" s="838"/>
      <c r="C4" s="838"/>
      <c r="D4" s="838"/>
      <c r="E4" s="838"/>
      <c r="F4" s="839"/>
      <c r="G4" s="838"/>
      <c r="H4" s="838"/>
      <c r="I4" s="838"/>
      <c r="J4" s="838"/>
      <c r="K4" s="394"/>
    </row>
    <row r="5" spans="1:11" x14ac:dyDescent="0.25">
      <c r="A5" s="838"/>
      <c r="B5" s="838"/>
      <c r="C5" s="838"/>
      <c r="D5" s="838"/>
      <c r="E5" s="838"/>
      <c r="F5" s="839"/>
      <c r="G5" s="838"/>
      <c r="H5" s="838"/>
      <c r="I5" s="838"/>
      <c r="J5" s="838"/>
      <c r="K5" s="394"/>
    </row>
    <row r="6" spans="1:11" x14ac:dyDescent="0.25">
      <c r="A6" s="838"/>
      <c r="B6" s="838"/>
      <c r="C6" s="838"/>
      <c r="D6" s="838"/>
      <c r="E6" s="838"/>
      <c r="F6" s="839"/>
      <c r="G6" s="838"/>
      <c r="H6" s="838"/>
      <c r="I6" s="838"/>
      <c r="J6" s="838"/>
      <c r="K6" s="394"/>
    </row>
    <row r="7" spans="1:11" x14ac:dyDescent="0.25">
      <c r="A7" s="838"/>
      <c r="B7" s="838"/>
      <c r="C7" s="838"/>
      <c r="D7" s="838"/>
      <c r="E7" s="838"/>
      <c r="F7" s="839"/>
      <c r="G7" s="838"/>
      <c r="H7" s="838"/>
      <c r="I7" s="838"/>
      <c r="J7" s="838"/>
      <c r="K7" s="394"/>
    </row>
    <row r="8" spans="1:11" x14ac:dyDescent="0.25">
      <c r="A8" s="838"/>
      <c r="B8" s="838"/>
      <c r="C8" s="838"/>
      <c r="D8" s="838"/>
      <c r="E8" s="838"/>
      <c r="F8" s="839"/>
      <c r="G8" s="838"/>
      <c r="H8" s="838"/>
      <c r="I8" s="838"/>
      <c r="J8" s="838"/>
      <c r="K8" s="394"/>
    </row>
    <row r="9" spans="1:11" x14ac:dyDescent="0.25">
      <c r="A9" s="838"/>
      <c r="B9" s="838"/>
      <c r="C9" s="838"/>
      <c r="D9" s="838"/>
      <c r="E9" s="838"/>
      <c r="F9" s="839"/>
      <c r="G9" s="838"/>
      <c r="H9" s="838"/>
      <c r="I9" s="838"/>
      <c r="J9" s="838"/>
      <c r="K9" s="394"/>
    </row>
    <row r="10" spans="1:11" x14ac:dyDescent="0.25">
      <c r="A10" s="838"/>
      <c r="B10" s="838"/>
      <c r="C10" s="838"/>
      <c r="D10" s="838"/>
      <c r="E10" s="838"/>
      <c r="F10" s="839"/>
      <c r="G10" s="838"/>
      <c r="H10" s="838"/>
      <c r="I10" s="838"/>
      <c r="J10" s="838"/>
      <c r="K10" s="394"/>
    </row>
    <row r="11" spans="1:11" x14ac:dyDescent="0.25">
      <c r="A11" s="838"/>
      <c r="B11" s="838"/>
      <c r="C11" s="838"/>
      <c r="D11" s="838"/>
      <c r="E11" s="838"/>
      <c r="F11" s="839"/>
      <c r="G11" s="838"/>
      <c r="H11" s="838"/>
      <c r="I11" s="838"/>
      <c r="J11" s="838"/>
      <c r="K11" s="394"/>
    </row>
    <row r="12" spans="1:11" x14ac:dyDescent="0.25">
      <c r="A12" s="838"/>
      <c r="B12" s="838"/>
      <c r="C12" s="838"/>
      <c r="D12" s="838"/>
      <c r="E12" s="838"/>
      <c r="F12" s="839"/>
      <c r="G12" s="838"/>
      <c r="H12" s="838"/>
      <c r="I12" s="838"/>
      <c r="J12" s="838"/>
      <c r="K12" s="394"/>
    </row>
    <row r="13" spans="1:11" x14ac:dyDescent="0.25">
      <c r="A13" s="838"/>
      <c r="B13" s="838"/>
      <c r="C13" s="838"/>
      <c r="D13" s="838"/>
      <c r="E13" s="838"/>
      <c r="F13" s="839"/>
      <c r="G13" s="838"/>
      <c r="H13" s="838"/>
      <c r="I13" s="838"/>
      <c r="J13" s="838"/>
      <c r="K13" s="394"/>
    </row>
    <row r="14" spans="1:11" x14ac:dyDescent="0.25">
      <c r="A14" s="838"/>
      <c r="B14" s="838"/>
      <c r="C14" s="838"/>
      <c r="D14" s="838"/>
      <c r="E14" s="838"/>
      <c r="F14" s="839"/>
      <c r="G14" s="838"/>
      <c r="H14" s="838"/>
      <c r="I14" s="838"/>
      <c r="J14" s="838"/>
      <c r="K14" s="394"/>
    </row>
    <row r="15" spans="1:11" x14ac:dyDescent="0.25">
      <c r="A15" s="838"/>
      <c r="B15" s="838"/>
      <c r="C15" s="838"/>
      <c r="D15" s="838"/>
      <c r="E15" s="838"/>
      <c r="F15" s="839"/>
      <c r="G15" s="838"/>
      <c r="H15" s="838"/>
      <c r="I15" s="838"/>
      <c r="J15" s="838"/>
      <c r="K15" s="394"/>
    </row>
    <row r="16" spans="1:11" x14ac:dyDescent="0.25">
      <c r="A16" s="838"/>
      <c r="B16" s="838"/>
      <c r="C16" s="838"/>
      <c r="D16" s="838"/>
      <c r="E16" s="838"/>
      <c r="F16" s="839"/>
      <c r="G16" s="838"/>
      <c r="H16" s="838"/>
      <c r="I16" s="838"/>
      <c r="J16" s="838"/>
      <c r="K16" s="394"/>
    </row>
    <row r="17" spans="1:11" x14ac:dyDescent="0.25">
      <c r="A17" s="838"/>
      <c r="B17" s="838"/>
      <c r="C17" s="838"/>
      <c r="D17" s="838"/>
      <c r="E17" s="838"/>
      <c r="F17" s="839"/>
      <c r="G17" s="838"/>
      <c r="H17" s="838"/>
      <c r="I17" s="838"/>
      <c r="J17" s="838"/>
      <c r="K17" s="394"/>
    </row>
    <row r="18" spans="1:11" x14ac:dyDescent="0.25">
      <c r="A18" s="838"/>
      <c r="B18" s="838"/>
      <c r="C18" s="838"/>
      <c r="D18" s="838"/>
      <c r="E18" s="838"/>
      <c r="F18" s="839"/>
      <c r="G18" s="838"/>
      <c r="H18" s="838"/>
      <c r="I18" s="838"/>
      <c r="J18" s="838"/>
      <c r="K18" s="394"/>
    </row>
    <row r="19" spans="1:11" ht="15" customHeight="1" x14ac:dyDescent="0.25">
      <c r="A19" s="838"/>
      <c r="B19" s="838"/>
      <c r="C19" s="838"/>
      <c r="D19" s="838"/>
      <c r="E19" s="838"/>
      <c r="F19" s="839"/>
      <c r="G19" s="838"/>
      <c r="H19" s="838"/>
      <c r="I19" s="838"/>
      <c r="J19" s="838"/>
      <c r="K19" s="394"/>
    </row>
    <row r="20" spans="1:11" ht="15" customHeight="1" x14ac:dyDescent="0.25">
      <c r="A20" s="838"/>
      <c r="B20" s="838"/>
      <c r="C20" s="838"/>
      <c r="D20" s="838"/>
      <c r="E20" s="838"/>
      <c r="F20" s="839"/>
      <c r="G20" s="838"/>
      <c r="H20" s="838"/>
      <c r="I20" s="838"/>
      <c r="J20" s="838"/>
      <c r="K20" s="394"/>
    </row>
    <row r="21" spans="1:11" ht="15" customHeight="1" x14ac:dyDescent="0.25">
      <c r="A21" s="838"/>
      <c r="B21" s="838"/>
      <c r="C21" s="838"/>
      <c r="D21" s="838"/>
      <c r="E21" s="838"/>
      <c r="F21" s="839"/>
      <c r="G21" s="838"/>
      <c r="H21" s="838"/>
      <c r="I21" s="838"/>
      <c r="J21" s="838"/>
      <c r="K21" s="394"/>
    </row>
    <row r="22" spans="1:11" ht="15" customHeight="1" x14ac:dyDescent="0.25">
      <c r="A22" s="838"/>
      <c r="B22" s="838"/>
      <c r="C22" s="838"/>
      <c r="D22" s="838"/>
      <c r="E22" s="838"/>
      <c r="F22" s="839"/>
      <c r="G22" s="838"/>
      <c r="H22" s="838"/>
      <c r="I22" s="838"/>
      <c r="J22" s="838"/>
      <c r="K22" s="394"/>
    </row>
    <row r="23" spans="1:11" ht="15" customHeight="1" x14ac:dyDescent="0.25">
      <c r="A23" s="838"/>
      <c r="B23" s="838"/>
      <c r="C23" s="838"/>
      <c r="D23" s="838"/>
      <c r="E23" s="838"/>
      <c r="F23" s="839"/>
      <c r="G23" s="838"/>
      <c r="H23" s="838"/>
      <c r="I23" s="838"/>
      <c r="J23" s="838"/>
      <c r="K23" s="394"/>
    </row>
  </sheetData>
  <pageMargins left="0.7" right="0.7" top="0.75" bottom="0.75" header="0.1" footer="0"/>
  <pageSetup orientation="portrait" r:id="rId1"/>
  <headerFooter>
    <oddHeader>&amp;L&amp;"Arial,Bold"&amp;8 4:43 PM
&amp;"Arial,Bold"&amp;8 02/15/23
&amp;"Arial,Bold"&amp;8 Accrual Basis&amp;C&amp;"Arial,Bold"&amp;12 Williamson Central Appraisal District
&amp;"Arial,Bold"&amp;14 Account QuickReport
&amp;"Arial,Bold"&amp;10 January 1 through February 15, 2023</oddHeader>
    <oddFooter>&amp;R&amp;"Arial,Bold"&amp;8 Page &amp;P of &amp;N</oddFooter>
  </headerFooter>
  <drawing r:id="rId2"/>
  <legacyDrawing r:id="rId3"/>
  <controls>
    <mc:AlternateContent xmlns:mc="http://schemas.openxmlformats.org/markup-compatibility/2006">
      <mc:Choice Requires="x14">
        <control shapeId="113667" r:id="rId4" name="FILTER">
          <controlPr defaultSize="0" autoLine="0" r:id="rId5">
            <anchor moveWithCells="1">
              <from>
                <xdr:col>0</xdr:col>
                <xdr:colOff>0</xdr:colOff>
                <xdr:row>0</xdr:row>
                <xdr:rowOff>0</xdr:rowOff>
              </from>
              <to>
                <xdr:col>2</xdr:col>
                <xdr:colOff>514350</xdr:colOff>
                <xdr:row>1</xdr:row>
                <xdr:rowOff>38100</xdr:rowOff>
              </to>
            </anchor>
          </controlPr>
        </control>
      </mc:Choice>
      <mc:Fallback>
        <control shapeId="113667" r:id="rId4" name="FILTER"/>
      </mc:Fallback>
    </mc:AlternateContent>
  </control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
  <sheetViews>
    <sheetView workbookViewId="0"/>
  </sheetViews>
  <sheetFormatPr defaultRowHeight="15" x14ac:dyDescent="0.25"/>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0"/>
  <dimension ref="A1:K17"/>
  <sheetViews>
    <sheetView workbookViewId="0">
      <pane xSplit="3" ySplit="1" topLeftCell="D2" activePane="bottomRight" state="frozenSplit"/>
      <selection pane="topRight" activeCell="D1" sqref="D1"/>
      <selection pane="bottomLeft" activeCell="A2" sqref="A2"/>
      <selection pane="bottomRight" sqref="A1:XFD1048576"/>
    </sheetView>
  </sheetViews>
  <sheetFormatPr defaultColWidth="14.42578125" defaultRowHeight="15" customHeight="1" x14ac:dyDescent="0.25"/>
  <cols>
    <col min="1" max="2" width="3" style="195" customWidth="1"/>
    <col min="3" max="3" width="37.42578125" style="195" customWidth="1"/>
    <col min="4" max="4" width="2.28515625" style="195" customWidth="1"/>
    <col min="5" max="5" width="17.7109375" style="195" bestFit="1" customWidth="1"/>
    <col min="6" max="6" width="10.7109375" style="195" bestFit="1" customWidth="1"/>
    <col min="7" max="7" width="12.85546875" style="195" bestFit="1" customWidth="1"/>
    <col min="8" max="9" width="30.7109375" style="195" customWidth="1"/>
    <col min="10" max="10" width="27.42578125" style="195" bestFit="1" customWidth="1"/>
    <col min="11" max="11" width="9.140625" style="195" bestFit="1" customWidth="1"/>
    <col min="12" max="16384" width="14.42578125" style="195"/>
  </cols>
  <sheetData>
    <row r="1" spans="1:11" s="196" customFormat="1" x14ac:dyDescent="0.25">
      <c r="A1" s="837"/>
      <c r="B1" s="837"/>
      <c r="C1" s="837"/>
      <c r="D1" s="837"/>
      <c r="E1" s="837"/>
      <c r="F1" s="837"/>
      <c r="G1" s="837"/>
      <c r="H1" s="837"/>
      <c r="I1" s="837"/>
      <c r="J1" s="837"/>
      <c r="K1" s="837"/>
    </row>
    <row r="2" spans="1:11" x14ac:dyDescent="0.25">
      <c r="A2" s="838"/>
      <c r="B2" s="838"/>
      <c r="C2" s="838"/>
      <c r="D2" s="838"/>
      <c r="E2" s="838"/>
      <c r="F2" s="839"/>
      <c r="G2" s="838"/>
      <c r="H2" s="838"/>
      <c r="I2" s="838"/>
      <c r="J2" s="838"/>
      <c r="K2" s="394"/>
    </row>
    <row r="3" spans="1:11" x14ac:dyDescent="0.25">
      <c r="A3" s="838"/>
      <c r="B3" s="838"/>
      <c r="C3" s="838"/>
      <c r="D3" s="838"/>
      <c r="E3" s="838"/>
      <c r="F3" s="839"/>
      <c r="G3" s="838"/>
      <c r="H3" s="838"/>
      <c r="I3" s="838"/>
      <c r="J3" s="838"/>
      <c r="K3" s="394"/>
    </row>
    <row r="4" spans="1:11" x14ac:dyDescent="0.25">
      <c r="A4" s="838"/>
      <c r="B4" s="838"/>
      <c r="C4" s="838"/>
      <c r="D4" s="838"/>
      <c r="E4" s="838"/>
      <c r="F4" s="839"/>
      <c r="G4" s="838"/>
      <c r="H4" s="838"/>
      <c r="I4" s="838"/>
      <c r="J4" s="838"/>
      <c r="K4" s="394"/>
    </row>
    <row r="5" spans="1:11" x14ac:dyDescent="0.25">
      <c r="A5" s="838"/>
      <c r="B5" s="838"/>
      <c r="C5" s="838"/>
      <c r="D5" s="838"/>
      <c r="E5" s="838"/>
      <c r="F5" s="839"/>
      <c r="G5" s="838"/>
      <c r="H5" s="838"/>
      <c r="I5" s="838"/>
      <c r="J5" s="838"/>
      <c r="K5" s="394"/>
    </row>
    <row r="6" spans="1:11" x14ac:dyDescent="0.25">
      <c r="A6" s="838"/>
      <c r="B6" s="838"/>
      <c r="C6" s="838"/>
      <c r="D6" s="838"/>
      <c r="E6" s="838"/>
      <c r="F6" s="839"/>
      <c r="G6" s="838"/>
      <c r="H6" s="838"/>
      <c r="I6" s="838"/>
      <c r="J6" s="838"/>
      <c r="K6" s="394"/>
    </row>
    <row r="7" spans="1:11" x14ac:dyDescent="0.25">
      <c r="A7" s="838"/>
      <c r="B7" s="838"/>
      <c r="C7" s="838"/>
      <c r="D7" s="838"/>
      <c r="E7" s="838"/>
      <c r="F7" s="839"/>
      <c r="G7" s="838"/>
      <c r="H7" s="838"/>
      <c r="I7" s="838"/>
      <c r="J7" s="838"/>
      <c r="K7" s="394"/>
    </row>
    <row r="8" spans="1:11" x14ac:dyDescent="0.25">
      <c r="A8" s="838"/>
      <c r="B8" s="838"/>
      <c r="C8" s="838"/>
      <c r="D8" s="838"/>
      <c r="E8" s="838"/>
      <c r="F8" s="839"/>
      <c r="G8" s="838"/>
      <c r="H8" s="838"/>
      <c r="I8" s="838"/>
      <c r="J8" s="838"/>
      <c r="K8" s="394"/>
    </row>
    <row r="9" spans="1:11" x14ac:dyDescent="0.25">
      <c r="A9" s="838"/>
      <c r="B9" s="838"/>
      <c r="C9" s="838"/>
      <c r="D9" s="838"/>
      <c r="E9" s="838"/>
      <c r="F9" s="839"/>
      <c r="G9" s="838"/>
      <c r="H9" s="838"/>
      <c r="I9" s="838"/>
      <c r="J9" s="838"/>
      <c r="K9" s="394"/>
    </row>
    <row r="10" spans="1:11" x14ac:dyDescent="0.25">
      <c r="A10" s="838"/>
      <c r="B10" s="838"/>
      <c r="C10" s="838"/>
      <c r="D10" s="838"/>
      <c r="E10" s="838"/>
      <c r="F10" s="839"/>
      <c r="G10" s="838"/>
      <c r="H10" s="838"/>
      <c r="I10" s="838"/>
      <c r="J10" s="838"/>
      <c r="K10" s="394"/>
    </row>
    <row r="11" spans="1:11" x14ac:dyDescent="0.25">
      <c r="A11" s="838"/>
      <c r="B11" s="838"/>
      <c r="C11" s="838"/>
      <c r="D11" s="838"/>
      <c r="E11" s="838"/>
      <c r="F11" s="839"/>
      <c r="G11" s="838"/>
      <c r="H11" s="838"/>
      <c r="I11" s="838"/>
      <c r="J11" s="838"/>
      <c r="K11" s="394"/>
    </row>
    <row r="12" spans="1:11" x14ac:dyDescent="0.25">
      <c r="A12" s="838"/>
      <c r="B12" s="838"/>
      <c r="C12" s="838"/>
      <c r="D12" s="838"/>
      <c r="E12" s="838"/>
      <c r="F12" s="839"/>
      <c r="G12" s="838"/>
      <c r="H12" s="838"/>
      <c r="I12" s="838"/>
      <c r="J12" s="838"/>
      <c r="K12" s="394"/>
    </row>
    <row r="13" spans="1:11" x14ac:dyDescent="0.25">
      <c r="A13" s="838"/>
      <c r="B13" s="838"/>
      <c r="C13" s="838"/>
      <c r="D13" s="838"/>
      <c r="E13" s="838"/>
      <c r="F13" s="839"/>
      <c r="G13" s="838"/>
      <c r="H13" s="838"/>
      <c r="I13" s="838"/>
      <c r="J13" s="838"/>
      <c r="K13" s="394"/>
    </row>
    <row r="14" spans="1:11" x14ac:dyDescent="0.25">
      <c r="A14" s="838"/>
      <c r="B14" s="838"/>
      <c r="C14" s="838"/>
      <c r="D14" s="838"/>
      <c r="E14" s="838"/>
      <c r="F14" s="839"/>
      <c r="G14" s="838"/>
      <c r="H14" s="838"/>
      <c r="I14" s="838"/>
      <c r="J14" s="838"/>
      <c r="K14" s="394"/>
    </row>
    <row r="15" spans="1:11" x14ac:dyDescent="0.25">
      <c r="A15" s="838"/>
      <c r="B15" s="838"/>
      <c r="C15" s="838"/>
      <c r="D15" s="838"/>
      <c r="E15" s="838"/>
      <c r="F15" s="839"/>
      <c r="G15" s="838"/>
      <c r="H15" s="838"/>
      <c r="I15" s="838"/>
      <c r="J15" s="838"/>
      <c r="K15" s="394"/>
    </row>
    <row r="16" spans="1:11" ht="15" customHeight="1" x14ac:dyDescent="0.25">
      <c r="A16" s="838"/>
      <c r="B16" s="838"/>
      <c r="C16" s="838"/>
      <c r="D16" s="838"/>
      <c r="E16" s="838"/>
      <c r="F16" s="839"/>
      <c r="G16" s="838"/>
      <c r="H16" s="838"/>
      <c r="I16" s="838"/>
      <c r="J16" s="838"/>
      <c r="K16" s="394"/>
    </row>
    <row r="17" spans="1:11" ht="15" customHeight="1" x14ac:dyDescent="0.25">
      <c r="A17" s="838"/>
      <c r="B17" s="838"/>
      <c r="C17" s="838"/>
      <c r="D17" s="838"/>
      <c r="E17" s="838"/>
      <c r="F17" s="839"/>
      <c r="G17" s="838"/>
      <c r="H17" s="838"/>
      <c r="I17" s="838"/>
      <c r="J17" s="838"/>
      <c r="K17" s="394"/>
    </row>
  </sheetData>
  <pageMargins left="0.7" right="0.7" top="0.75" bottom="0.75" header="0.1" footer="0"/>
  <pageSetup orientation="portrait" r:id="rId1"/>
  <headerFooter>
    <oddHeader>&amp;L&amp;"Arial,Bold"&amp;8 4:45 PM
&amp;"Arial,Bold"&amp;8 02/15/23
&amp;"Arial,Bold"&amp;8 Accrual Basis&amp;C&amp;"Arial,Bold"&amp;12 Williamson Central Appraisal District
&amp;"Arial,Bold"&amp;14 Account QuickReport
&amp;"Arial,Bold"&amp;10 January 1 through February 15, 2023</oddHeader>
    <oddFooter>&amp;R&amp;"Arial,Bold"&amp;8 Page &amp;P of &amp;N</oddFooter>
  </headerFooter>
  <drawing r:id="rId2"/>
  <legacyDrawing r:id="rId3"/>
  <controls>
    <mc:AlternateContent xmlns:mc="http://schemas.openxmlformats.org/markup-compatibility/2006">
      <mc:Choice Requires="x14">
        <control shapeId="114691" r:id="rId4" name="FILTER">
          <controlPr defaultSize="0" autoLine="0" r:id="rId5">
            <anchor moveWithCells="1">
              <from>
                <xdr:col>0</xdr:col>
                <xdr:colOff>0</xdr:colOff>
                <xdr:row>0</xdr:row>
                <xdr:rowOff>0</xdr:rowOff>
              </from>
              <to>
                <xdr:col>2</xdr:col>
                <xdr:colOff>514350</xdr:colOff>
                <xdr:row>1</xdr:row>
                <xdr:rowOff>38100</xdr:rowOff>
              </to>
            </anchor>
          </controlPr>
        </control>
      </mc:Choice>
      <mc:Fallback>
        <control shapeId="114691" r:id="rId4" name="FILTER"/>
      </mc:Fallback>
    </mc:AlternateContent>
  </control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1"/>
  <dimension ref="A1:K23"/>
  <sheetViews>
    <sheetView workbookViewId="0">
      <pane xSplit="3" ySplit="1" topLeftCell="D2" activePane="bottomRight" state="frozenSplit"/>
      <selection pane="topRight" activeCell="D1" sqref="D1"/>
      <selection pane="bottomLeft" activeCell="A2" sqref="A2"/>
      <selection pane="bottomRight" sqref="A1:XFD1048576"/>
    </sheetView>
  </sheetViews>
  <sheetFormatPr defaultColWidth="14.42578125" defaultRowHeight="15" customHeight="1" x14ac:dyDescent="0.25"/>
  <cols>
    <col min="1" max="2" width="3" style="195" customWidth="1"/>
    <col min="3" max="3" width="25.42578125" style="195" customWidth="1"/>
    <col min="4" max="4" width="2.28515625" style="195" customWidth="1"/>
    <col min="5" max="5" width="17.7109375" style="195" bestFit="1" customWidth="1"/>
    <col min="6" max="6" width="10.7109375" style="195" bestFit="1" customWidth="1"/>
    <col min="7" max="7" width="14.140625" style="195" bestFit="1" customWidth="1"/>
    <col min="8" max="9" width="30.7109375" style="195" customWidth="1"/>
    <col min="10" max="10" width="27.42578125" style="195" bestFit="1" customWidth="1"/>
    <col min="11" max="11" width="10.140625" style="195" bestFit="1" customWidth="1"/>
    <col min="12" max="16384" width="14.42578125" style="195"/>
  </cols>
  <sheetData>
    <row r="1" spans="1:11" s="196" customFormat="1" x14ac:dyDescent="0.25">
      <c r="A1" s="837"/>
      <c r="B1" s="837"/>
      <c r="C1" s="837"/>
      <c r="D1" s="837"/>
      <c r="E1" s="837"/>
      <c r="F1" s="837"/>
      <c r="G1" s="837"/>
      <c r="H1" s="837"/>
      <c r="I1" s="837"/>
      <c r="J1" s="837"/>
      <c r="K1" s="837"/>
    </row>
    <row r="2" spans="1:11" x14ac:dyDescent="0.25">
      <c r="A2" s="838"/>
      <c r="B2" s="838"/>
      <c r="C2" s="838"/>
      <c r="D2" s="838"/>
      <c r="E2" s="838"/>
      <c r="F2" s="839"/>
      <c r="G2" s="838"/>
      <c r="H2" s="838"/>
      <c r="I2" s="838"/>
      <c r="J2" s="838"/>
      <c r="K2" s="394"/>
    </row>
    <row r="3" spans="1:11" x14ac:dyDescent="0.25">
      <c r="A3" s="838"/>
      <c r="B3" s="838"/>
      <c r="C3" s="838"/>
      <c r="D3" s="838"/>
      <c r="E3" s="838"/>
      <c r="F3" s="839"/>
      <c r="G3" s="838"/>
      <c r="H3" s="838"/>
      <c r="I3" s="838"/>
      <c r="J3" s="838"/>
      <c r="K3" s="394"/>
    </row>
    <row r="4" spans="1:11" x14ac:dyDescent="0.25">
      <c r="A4" s="838"/>
      <c r="B4" s="838"/>
      <c r="C4" s="838"/>
      <c r="D4" s="838"/>
      <c r="E4" s="838"/>
      <c r="F4" s="839"/>
      <c r="G4" s="838"/>
      <c r="H4" s="838"/>
      <c r="I4" s="838"/>
      <c r="J4" s="838"/>
      <c r="K4" s="394"/>
    </row>
    <row r="5" spans="1:11" x14ac:dyDescent="0.25">
      <c r="A5" s="838"/>
      <c r="B5" s="838"/>
      <c r="C5" s="838"/>
      <c r="D5" s="838"/>
      <c r="E5" s="838"/>
      <c r="F5" s="839"/>
      <c r="G5" s="838"/>
      <c r="H5" s="838"/>
      <c r="I5" s="838"/>
      <c r="J5" s="838"/>
      <c r="K5" s="394"/>
    </row>
    <row r="6" spans="1:11" x14ac:dyDescent="0.25">
      <c r="A6" s="838"/>
      <c r="B6" s="838"/>
      <c r="C6" s="838"/>
      <c r="D6" s="838"/>
      <c r="E6" s="838"/>
      <c r="F6" s="839"/>
      <c r="G6" s="838"/>
      <c r="H6" s="838"/>
      <c r="I6" s="838"/>
      <c r="J6" s="838"/>
      <c r="K6" s="394"/>
    </row>
    <row r="7" spans="1:11" x14ac:dyDescent="0.25">
      <c r="A7" s="838"/>
      <c r="B7" s="838"/>
      <c r="C7" s="838"/>
      <c r="D7" s="838"/>
      <c r="E7" s="838"/>
      <c r="F7" s="839"/>
      <c r="G7" s="838"/>
      <c r="H7" s="838"/>
      <c r="I7" s="838"/>
      <c r="J7" s="838"/>
      <c r="K7" s="394"/>
    </row>
    <row r="8" spans="1:11" x14ac:dyDescent="0.25">
      <c r="A8" s="838"/>
      <c r="B8" s="838"/>
      <c r="C8" s="838"/>
      <c r="D8" s="838"/>
      <c r="E8" s="838"/>
      <c r="F8" s="839"/>
      <c r="G8" s="838"/>
      <c r="H8" s="838"/>
      <c r="I8" s="838"/>
      <c r="J8" s="838"/>
      <c r="K8" s="394"/>
    </row>
    <row r="9" spans="1:11" x14ac:dyDescent="0.25">
      <c r="A9" s="838"/>
      <c r="B9" s="838"/>
      <c r="C9" s="838"/>
      <c r="D9" s="838"/>
      <c r="E9" s="838"/>
      <c r="F9" s="839"/>
      <c r="G9" s="838"/>
      <c r="H9" s="838"/>
      <c r="I9" s="838"/>
      <c r="J9" s="838"/>
      <c r="K9" s="394"/>
    </row>
    <row r="10" spans="1:11" x14ac:dyDescent="0.25">
      <c r="A10" s="838"/>
      <c r="B10" s="838"/>
      <c r="C10" s="838"/>
      <c r="D10" s="838"/>
      <c r="E10" s="838"/>
      <c r="F10" s="839"/>
      <c r="G10" s="838"/>
      <c r="H10" s="838"/>
      <c r="I10" s="838"/>
      <c r="J10" s="838"/>
      <c r="K10" s="394"/>
    </row>
    <row r="11" spans="1:11" x14ac:dyDescent="0.25">
      <c r="A11" s="838"/>
      <c r="B11" s="838"/>
      <c r="C11" s="838"/>
      <c r="D11" s="838"/>
      <c r="E11" s="838"/>
      <c r="F11" s="839"/>
      <c r="G11" s="838"/>
      <c r="H11" s="838"/>
      <c r="I11" s="838"/>
      <c r="J11" s="838"/>
      <c r="K11" s="394"/>
    </row>
    <row r="12" spans="1:11" x14ac:dyDescent="0.25">
      <c r="A12" s="838"/>
      <c r="B12" s="838"/>
      <c r="C12" s="838"/>
      <c r="D12" s="838"/>
      <c r="E12" s="838"/>
      <c r="F12" s="839"/>
      <c r="G12" s="838"/>
      <c r="H12" s="838"/>
      <c r="I12" s="838"/>
      <c r="J12" s="838"/>
      <c r="K12" s="394"/>
    </row>
    <row r="13" spans="1:11" x14ac:dyDescent="0.25">
      <c r="A13" s="838"/>
      <c r="B13" s="838"/>
      <c r="C13" s="838"/>
      <c r="D13" s="838"/>
      <c r="E13" s="838"/>
      <c r="F13" s="839"/>
      <c r="G13" s="838"/>
      <c r="H13" s="838"/>
      <c r="I13" s="838"/>
      <c r="J13" s="838"/>
      <c r="K13" s="394"/>
    </row>
    <row r="14" spans="1:11" x14ac:dyDescent="0.25">
      <c r="A14" s="838"/>
      <c r="B14" s="838"/>
      <c r="C14" s="838"/>
      <c r="D14" s="838"/>
      <c r="E14" s="838"/>
      <c r="F14" s="839"/>
      <c r="G14" s="838"/>
      <c r="H14" s="838"/>
      <c r="I14" s="838"/>
      <c r="J14" s="838"/>
      <c r="K14" s="394"/>
    </row>
    <row r="15" spans="1:11" x14ac:dyDescent="0.25">
      <c r="A15" s="838"/>
      <c r="B15" s="838"/>
      <c r="C15" s="838"/>
      <c r="D15" s="838"/>
      <c r="E15" s="838"/>
      <c r="F15" s="839"/>
      <c r="G15" s="838"/>
      <c r="H15" s="838"/>
      <c r="I15" s="838"/>
      <c r="J15" s="838"/>
      <c r="K15" s="394"/>
    </row>
    <row r="16" spans="1:11" x14ac:dyDescent="0.25">
      <c r="A16" s="838"/>
      <c r="B16" s="838"/>
      <c r="C16" s="838"/>
      <c r="D16" s="838"/>
      <c r="E16" s="838"/>
      <c r="F16" s="839"/>
      <c r="G16" s="838"/>
      <c r="H16" s="838"/>
      <c r="I16" s="838"/>
      <c r="J16" s="838"/>
      <c r="K16" s="394"/>
    </row>
    <row r="17" spans="1:11" x14ac:dyDescent="0.25">
      <c r="A17" s="838"/>
      <c r="B17" s="838"/>
      <c r="C17" s="838"/>
      <c r="D17" s="838"/>
      <c r="E17" s="838"/>
      <c r="F17" s="839"/>
      <c r="G17" s="838"/>
      <c r="H17" s="838"/>
      <c r="I17" s="838"/>
      <c r="J17" s="838"/>
      <c r="K17" s="394"/>
    </row>
    <row r="18" spans="1:11" x14ac:dyDescent="0.25">
      <c r="A18" s="838"/>
      <c r="B18" s="838"/>
      <c r="C18" s="838"/>
      <c r="D18" s="838"/>
      <c r="E18" s="838"/>
      <c r="F18" s="839"/>
      <c r="G18" s="838"/>
      <c r="H18" s="838"/>
      <c r="I18" s="838"/>
      <c r="J18" s="838"/>
      <c r="K18" s="394"/>
    </row>
    <row r="19" spans="1:11" x14ac:dyDescent="0.25">
      <c r="A19" s="838"/>
      <c r="B19" s="838"/>
      <c r="C19" s="838"/>
      <c r="D19" s="838"/>
      <c r="E19" s="838"/>
      <c r="F19" s="839"/>
      <c r="G19" s="838"/>
      <c r="H19" s="838"/>
      <c r="I19" s="838"/>
      <c r="J19" s="838"/>
      <c r="K19" s="394"/>
    </row>
    <row r="20" spans="1:11" ht="15" customHeight="1" x14ac:dyDescent="0.25">
      <c r="A20" s="838"/>
      <c r="B20" s="838"/>
      <c r="C20" s="838"/>
      <c r="D20" s="838"/>
      <c r="E20" s="838"/>
      <c r="F20" s="839"/>
      <c r="G20" s="838"/>
      <c r="H20" s="838"/>
      <c r="I20" s="838"/>
      <c r="J20" s="838"/>
      <c r="K20" s="394"/>
    </row>
    <row r="21" spans="1:11" ht="15" customHeight="1" x14ac:dyDescent="0.25">
      <c r="A21" s="838"/>
      <c r="B21" s="838"/>
      <c r="C21" s="838"/>
      <c r="D21" s="838"/>
      <c r="E21" s="838"/>
      <c r="F21" s="839"/>
      <c r="G21" s="838"/>
      <c r="H21" s="838"/>
      <c r="I21" s="838"/>
      <c r="J21" s="838"/>
      <c r="K21" s="394"/>
    </row>
    <row r="22" spans="1:11" ht="15" customHeight="1" x14ac:dyDescent="0.25">
      <c r="A22" s="838"/>
      <c r="B22" s="838"/>
      <c r="C22" s="838"/>
      <c r="D22" s="838"/>
      <c r="E22" s="838"/>
      <c r="F22" s="839"/>
      <c r="G22" s="838"/>
      <c r="H22" s="838"/>
      <c r="I22" s="838"/>
      <c r="J22" s="838"/>
      <c r="K22" s="394"/>
    </row>
    <row r="23" spans="1:11" ht="15" customHeight="1" x14ac:dyDescent="0.25">
      <c r="A23" s="838"/>
      <c r="B23" s="838"/>
      <c r="C23" s="838"/>
      <c r="D23" s="838"/>
      <c r="E23" s="838"/>
      <c r="F23" s="839"/>
      <c r="G23" s="838"/>
      <c r="H23" s="838"/>
      <c r="I23" s="838"/>
      <c r="J23" s="838"/>
      <c r="K23" s="394"/>
    </row>
  </sheetData>
  <pageMargins left="0.7" right="0.7" top="0.75" bottom="0.75" header="0.1" footer="0"/>
  <pageSetup orientation="portrait" r:id="rId1"/>
  <headerFooter>
    <oddHeader>&amp;L&amp;"Arial,Bold"&amp;8 4:47 PM
&amp;"Arial,Bold"&amp;8 02/15/23
&amp;"Arial,Bold"&amp;8 Accrual Basis&amp;C&amp;"Arial,Bold"&amp;12 Williamson Central Appraisal District
&amp;"Arial,Bold"&amp;14 Account QuickReport
&amp;"Arial,Bold"&amp;10 January 1 through February 15, 2023</oddHeader>
    <oddFooter>&amp;R&amp;"Arial,Bold"&amp;8 Page &amp;P of &amp;N</oddFooter>
  </headerFooter>
  <drawing r:id="rId2"/>
  <legacyDrawing r:id="rId3"/>
  <controls>
    <mc:AlternateContent xmlns:mc="http://schemas.openxmlformats.org/markup-compatibility/2006">
      <mc:Choice Requires="x14">
        <control shapeId="115715" r:id="rId4" name="FILTER">
          <controlPr defaultSize="0" autoLine="0" r:id="rId5">
            <anchor moveWithCells="1">
              <from>
                <xdr:col>0</xdr:col>
                <xdr:colOff>0</xdr:colOff>
                <xdr:row>0</xdr:row>
                <xdr:rowOff>0</xdr:rowOff>
              </from>
              <to>
                <xdr:col>2</xdr:col>
                <xdr:colOff>514350</xdr:colOff>
                <xdr:row>1</xdr:row>
                <xdr:rowOff>38100</xdr:rowOff>
              </to>
            </anchor>
          </controlPr>
        </control>
      </mc:Choice>
      <mc:Fallback>
        <control shapeId="115715" r:id="rId4" name="FILTER"/>
      </mc:Fallback>
    </mc:AlternateContent>
  </control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2"/>
  <dimension ref="A1:K23"/>
  <sheetViews>
    <sheetView workbookViewId="0">
      <pane xSplit="3" ySplit="1" topLeftCell="D2" activePane="bottomRight" state="frozenSplit"/>
      <selection pane="topRight" activeCell="D1" sqref="D1"/>
      <selection pane="bottomLeft" activeCell="A2" sqref="A2"/>
      <selection pane="bottomRight" sqref="A1:XFD1048576"/>
    </sheetView>
  </sheetViews>
  <sheetFormatPr defaultColWidth="14.42578125" defaultRowHeight="15" customHeight="1" x14ac:dyDescent="0.25"/>
  <cols>
    <col min="1" max="2" width="3" style="195" customWidth="1"/>
    <col min="3" max="3" width="37" style="195" customWidth="1"/>
    <col min="4" max="4" width="2.28515625" style="195" customWidth="1"/>
    <col min="5" max="5" width="17.7109375" style="195" bestFit="1" customWidth="1"/>
    <col min="6" max="6" width="10.7109375" style="195" bestFit="1" customWidth="1"/>
    <col min="7" max="7" width="11" style="195" bestFit="1" customWidth="1"/>
    <col min="8" max="8" width="22.7109375" style="195" bestFit="1" customWidth="1"/>
    <col min="9" max="9" width="30.7109375" style="195" customWidth="1"/>
    <col min="10" max="10" width="27.42578125" style="195" bestFit="1" customWidth="1"/>
    <col min="11" max="11" width="9.140625" style="195" bestFit="1" customWidth="1"/>
    <col min="12" max="16384" width="14.42578125" style="195"/>
  </cols>
  <sheetData>
    <row r="1" spans="1:11" s="196" customFormat="1" x14ac:dyDescent="0.25">
      <c r="A1" s="837"/>
      <c r="B1" s="837"/>
      <c r="C1" s="837"/>
      <c r="D1" s="837"/>
      <c r="E1" s="837"/>
      <c r="F1" s="837"/>
      <c r="G1" s="837"/>
      <c r="H1" s="837"/>
      <c r="I1" s="837"/>
      <c r="J1" s="837"/>
      <c r="K1" s="837"/>
    </row>
    <row r="2" spans="1:11" x14ac:dyDescent="0.25">
      <c r="A2" s="838"/>
      <c r="B2" s="838"/>
      <c r="C2" s="838"/>
      <c r="D2" s="838"/>
      <c r="E2" s="838"/>
      <c r="F2" s="839"/>
      <c r="G2" s="838"/>
      <c r="H2" s="838"/>
      <c r="I2" s="838"/>
      <c r="J2" s="838"/>
      <c r="K2" s="394"/>
    </row>
    <row r="3" spans="1:11" x14ac:dyDescent="0.25">
      <c r="A3" s="838"/>
      <c r="B3" s="838"/>
      <c r="C3" s="838"/>
      <c r="D3" s="838"/>
      <c r="E3" s="838"/>
      <c r="F3" s="839"/>
      <c r="G3" s="838"/>
      <c r="H3" s="838"/>
      <c r="I3" s="838"/>
      <c r="J3" s="838"/>
      <c r="K3" s="394"/>
    </row>
    <row r="4" spans="1:11" x14ac:dyDescent="0.25">
      <c r="A4" s="838"/>
      <c r="B4" s="838"/>
      <c r="C4" s="838"/>
      <c r="D4" s="838"/>
      <c r="E4" s="838"/>
      <c r="F4" s="839"/>
      <c r="G4" s="838"/>
      <c r="H4" s="838"/>
      <c r="I4" s="838"/>
      <c r="J4" s="838"/>
      <c r="K4" s="394"/>
    </row>
    <row r="5" spans="1:11" x14ac:dyDescent="0.25">
      <c r="A5" s="838"/>
      <c r="B5" s="838"/>
      <c r="C5" s="838"/>
      <c r="D5" s="838"/>
      <c r="E5" s="838"/>
      <c r="F5" s="839"/>
      <c r="G5" s="838"/>
      <c r="H5" s="838"/>
      <c r="I5" s="838"/>
      <c r="J5" s="838"/>
      <c r="K5" s="394"/>
    </row>
    <row r="6" spans="1:11" x14ac:dyDescent="0.25">
      <c r="A6" s="838"/>
      <c r="B6" s="838"/>
      <c r="C6" s="838"/>
      <c r="D6" s="838"/>
      <c r="E6" s="838"/>
      <c r="F6" s="839"/>
      <c r="G6" s="838"/>
      <c r="H6" s="838"/>
      <c r="I6" s="838"/>
      <c r="J6" s="838"/>
      <c r="K6" s="394"/>
    </row>
    <row r="7" spans="1:11" x14ac:dyDescent="0.25">
      <c r="A7" s="838"/>
      <c r="B7" s="838"/>
      <c r="C7" s="838"/>
      <c r="D7" s="838"/>
      <c r="E7" s="838"/>
      <c r="F7" s="839"/>
      <c r="G7" s="838"/>
      <c r="H7" s="838"/>
      <c r="I7" s="838"/>
      <c r="J7" s="838"/>
      <c r="K7" s="394"/>
    </row>
    <row r="8" spans="1:11" x14ac:dyDescent="0.25">
      <c r="A8" s="838"/>
      <c r="B8" s="838"/>
      <c r="C8" s="838"/>
      <c r="D8" s="838"/>
      <c r="E8" s="838"/>
      <c r="F8" s="839"/>
      <c r="G8" s="838"/>
      <c r="H8" s="838"/>
      <c r="I8" s="838"/>
      <c r="J8" s="838"/>
      <c r="K8" s="394"/>
    </row>
    <row r="9" spans="1:11" x14ac:dyDescent="0.25">
      <c r="A9" s="838"/>
      <c r="B9" s="838"/>
      <c r="C9" s="838"/>
      <c r="D9" s="838"/>
      <c r="E9" s="838"/>
      <c r="F9" s="839"/>
      <c r="G9" s="838"/>
      <c r="H9" s="838"/>
      <c r="I9" s="838"/>
      <c r="J9" s="838"/>
      <c r="K9" s="394"/>
    </row>
    <row r="10" spans="1:11" x14ac:dyDescent="0.25">
      <c r="A10" s="838"/>
      <c r="B10" s="838"/>
      <c r="C10" s="838"/>
      <c r="D10" s="838"/>
      <c r="E10" s="838"/>
      <c r="F10" s="839"/>
      <c r="G10" s="838"/>
      <c r="H10" s="838"/>
      <c r="I10" s="838"/>
      <c r="J10" s="838"/>
      <c r="K10" s="394"/>
    </row>
    <row r="11" spans="1:11" x14ac:dyDescent="0.25">
      <c r="A11" s="838"/>
      <c r="B11" s="838"/>
      <c r="C11" s="838"/>
      <c r="D11" s="838"/>
      <c r="E11" s="838"/>
      <c r="F11" s="839"/>
      <c r="G11" s="838"/>
      <c r="H11" s="838"/>
      <c r="I11" s="838"/>
      <c r="J11" s="838"/>
      <c r="K11" s="394"/>
    </row>
    <row r="12" spans="1:11" x14ac:dyDescent="0.25">
      <c r="A12" s="838"/>
      <c r="B12" s="838"/>
      <c r="C12" s="838"/>
      <c r="D12" s="838"/>
      <c r="E12" s="838"/>
      <c r="F12" s="839"/>
      <c r="G12" s="838"/>
      <c r="H12" s="838"/>
      <c r="I12" s="838"/>
      <c r="J12" s="838"/>
      <c r="K12" s="394"/>
    </row>
    <row r="13" spans="1:11" x14ac:dyDescent="0.25">
      <c r="A13" s="838"/>
      <c r="B13" s="838"/>
      <c r="C13" s="838"/>
      <c r="D13" s="838"/>
      <c r="E13" s="838"/>
      <c r="F13" s="839"/>
      <c r="G13" s="838"/>
      <c r="H13" s="838"/>
      <c r="I13" s="838"/>
      <c r="J13" s="838"/>
      <c r="K13" s="394"/>
    </row>
    <row r="14" spans="1:11" x14ac:dyDescent="0.25">
      <c r="A14" s="838"/>
      <c r="B14" s="838"/>
      <c r="C14" s="838"/>
      <c r="D14" s="838"/>
      <c r="E14" s="838"/>
      <c r="F14" s="839"/>
      <c r="G14" s="838"/>
      <c r="H14" s="838"/>
      <c r="I14" s="838"/>
      <c r="J14" s="838"/>
      <c r="K14" s="394"/>
    </row>
    <row r="15" spans="1:11" x14ac:dyDescent="0.25">
      <c r="A15" s="838"/>
      <c r="B15" s="838"/>
      <c r="C15" s="838"/>
      <c r="D15" s="838"/>
      <c r="E15" s="838"/>
      <c r="F15" s="839"/>
      <c r="G15" s="838"/>
      <c r="H15" s="838"/>
      <c r="I15" s="838"/>
      <c r="J15" s="838"/>
      <c r="K15" s="394"/>
    </row>
    <row r="16" spans="1:11" x14ac:dyDescent="0.25">
      <c r="A16" s="838"/>
      <c r="B16" s="838"/>
      <c r="C16" s="838"/>
      <c r="D16" s="838"/>
      <c r="E16" s="838"/>
      <c r="F16" s="839"/>
      <c r="G16" s="838"/>
      <c r="H16" s="838"/>
      <c r="I16" s="838"/>
      <c r="J16" s="838"/>
      <c r="K16" s="394"/>
    </row>
    <row r="17" spans="1:11" x14ac:dyDescent="0.25">
      <c r="A17" s="838"/>
      <c r="B17" s="838"/>
      <c r="C17" s="838"/>
      <c r="D17" s="838"/>
      <c r="E17" s="838"/>
      <c r="F17" s="839"/>
      <c r="G17" s="838"/>
      <c r="H17" s="838"/>
      <c r="I17" s="838"/>
      <c r="J17" s="838"/>
      <c r="K17" s="394"/>
    </row>
    <row r="18" spans="1:11" ht="15" customHeight="1" x14ac:dyDescent="0.25">
      <c r="A18" s="838"/>
      <c r="B18" s="838"/>
      <c r="C18" s="838"/>
      <c r="D18" s="838"/>
      <c r="E18" s="838"/>
      <c r="F18" s="839"/>
      <c r="G18" s="838"/>
      <c r="H18" s="838"/>
      <c r="I18" s="838"/>
      <c r="J18" s="838"/>
      <c r="K18" s="394"/>
    </row>
    <row r="19" spans="1:11" ht="15" customHeight="1" x14ac:dyDescent="0.25">
      <c r="A19" s="838"/>
      <c r="B19" s="838"/>
      <c r="C19" s="838"/>
      <c r="D19" s="838"/>
      <c r="E19" s="838"/>
      <c r="F19" s="839"/>
      <c r="G19" s="838"/>
      <c r="H19" s="838"/>
      <c r="I19" s="838"/>
      <c r="J19" s="838"/>
      <c r="K19" s="394"/>
    </row>
    <row r="20" spans="1:11" ht="15" customHeight="1" x14ac:dyDescent="0.25">
      <c r="A20" s="838"/>
      <c r="B20" s="838"/>
      <c r="C20" s="838"/>
      <c r="D20" s="838"/>
      <c r="E20" s="838"/>
      <c r="F20" s="839"/>
      <c r="G20" s="838"/>
      <c r="H20" s="838"/>
      <c r="I20" s="838"/>
      <c r="J20" s="838"/>
      <c r="K20" s="394"/>
    </row>
    <row r="21" spans="1:11" ht="15" customHeight="1" x14ac:dyDescent="0.25">
      <c r="A21" s="838"/>
      <c r="B21" s="838"/>
      <c r="C21" s="838"/>
      <c r="D21" s="838"/>
      <c r="E21" s="838"/>
      <c r="F21" s="839"/>
      <c r="G21" s="838"/>
      <c r="H21" s="838"/>
      <c r="I21" s="838"/>
      <c r="J21" s="838"/>
      <c r="K21" s="394"/>
    </row>
    <row r="22" spans="1:11" ht="15" customHeight="1" x14ac:dyDescent="0.25">
      <c r="A22" s="838"/>
      <c r="B22" s="838"/>
      <c r="C22" s="838"/>
      <c r="D22" s="838"/>
      <c r="E22" s="838"/>
      <c r="F22" s="839"/>
      <c r="G22" s="838"/>
      <c r="H22" s="838"/>
      <c r="I22" s="838"/>
      <c r="J22" s="838"/>
      <c r="K22" s="394"/>
    </row>
    <row r="23" spans="1:11" ht="15" customHeight="1" x14ac:dyDescent="0.25">
      <c r="A23" s="838"/>
      <c r="B23" s="838"/>
      <c r="C23" s="838"/>
      <c r="D23" s="838"/>
      <c r="E23" s="838"/>
      <c r="F23" s="839"/>
      <c r="G23" s="838"/>
      <c r="H23" s="838"/>
      <c r="I23" s="838"/>
      <c r="J23" s="838"/>
      <c r="K23" s="394"/>
    </row>
  </sheetData>
  <pageMargins left="0.7" right="0.7" top="0.75" bottom="0.75" header="0.1" footer="0"/>
  <pageSetup orientation="portrait" r:id="rId1"/>
  <headerFooter>
    <oddHeader>&amp;L&amp;"Arial,Bold"&amp;8 4:51 PM
&amp;"Arial,Bold"&amp;8 02/15/23
&amp;"Arial,Bold"&amp;8 Accrual Basis&amp;C&amp;"Arial,Bold"&amp;12 Williamson Central Appraisal District
&amp;"Arial,Bold"&amp;14 Account QuickReport
&amp;"Arial,Bold"&amp;10 January 1 through February 15, 2023</oddHeader>
    <oddFooter>&amp;R&amp;"Arial,Bold"&amp;8 Page &amp;P of &amp;N</oddFooter>
  </headerFooter>
  <drawing r:id="rId2"/>
  <legacyDrawing r:id="rId3"/>
  <controls>
    <mc:AlternateContent xmlns:mc="http://schemas.openxmlformats.org/markup-compatibility/2006">
      <mc:Choice Requires="x14">
        <control shapeId="116739" r:id="rId4" name="FILTER">
          <controlPr defaultSize="0" autoLine="0" r:id="rId5">
            <anchor moveWithCells="1">
              <from>
                <xdr:col>0</xdr:col>
                <xdr:colOff>0</xdr:colOff>
                <xdr:row>0</xdr:row>
                <xdr:rowOff>0</xdr:rowOff>
              </from>
              <to>
                <xdr:col>2</xdr:col>
                <xdr:colOff>514350</xdr:colOff>
                <xdr:row>1</xdr:row>
                <xdr:rowOff>38100</xdr:rowOff>
              </to>
            </anchor>
          </controlPr>
        </control>
      </mc:Choice>
      <mc:Fallback>
        <control shapeId="116739" r:id="rId4" name="FILTER"/>
      </mc:Fallback>
    </mc:AlternateContent>
  </control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Z2"/>
  <sheetViews>
    <sheetView workbookViewId="0">
      <selection sqref="A1:XFD1048576"/>
    </sheetView>
  </sheetViews>
  <sheetFormatPr defaultColWidth="14.42578125" defaultRowHeight="15" customHeight="1" x14ac:dyDescent="0.25"/>
  <cols>
    <col min="1" max="26" width="8.7109375" style="195" customWidth="1"/>
    <col min="27" max="16384" width="14.42578125" style="195"/>
  </cols>
  <sheetData>
    <row r="1" spans="1:26" ht="15" customHeight="1" x14ac:dyDescent="0.45">
      <c r="A1" s="1126"/>
      <c r="B1" s="1127"/>
      <c r="C1" s="1127"/>
      <c r="D1" s="1127"/>
      <c r="E1" s="1127"/>
      <c r="F1" s="1127"/>
      <c r="G1" s="1127"/>
      <c r="H1" s="196"/>
      <c r="I1" s="196"/>
    </row>
    <row r="2" spans="1:26" x14ac:dyDescent="0.25">
      <c r="A2" s="840"/>
      <c r="B2" s="840"/>
      <c r="C2" s="840"/>
      <c r="D2" s="840"/>
      <c r="E2" s="841"/>
      <c r="F2" s="840"/>
      <c r="G2" s="840"/>
      <c r="H2" s="841"/>
      <c r="I2" s="840"/>
      <c r="J2" s="196"/>
      <c r="K2" s="196"/>
      <c r="L2" s="196"/>
      <c r="M2" s="196"/>
      <c r="N2" s="196"/>
      <c r="O2" s="196"/>
      <c r="P2" s="196"/>
      <c r="Q2" s="196"/>
      <c r="R2" s="196"/>
      <c r="S2" s="196"/>
      <c r="T2" s="196"/>
      <c r="U2" s="196"/>
      <c r="V2" s="196"/>
      <c r="W2" s="196"/>
      <c r="X2" s="196"/>
      <c r="Y2" s="196"/>
      <c r="Z2" s="196"/>
    </row>
  </sheetData>
  <mergeCells count="1">
    <mergeCell ref="A1:G1"/>
  </mergeCells>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0ED7F-B42F-43BF-B618-48EE152F4898}">
  <dimension ref="A1:N1002"/>
  <sheetViews>
    <sheetView topLeftCell="A23" zoomScaleNormal="100" workbookViewId="0">
      <selection activeCell="B31" sqref="B31"/>
    </sheetView>
  </sheetViews>
  <sheetFormatPr defaultColWidth="14.42578125" defaultRowHeight="15" x14ac:dyDescent="0.25"/>
  <cols>
    <col min="1" max="1" width="25.140625" customWidth="1"/>
    <col min="2" max="2" width="66.140625" customWidth="1"/>
    <col min="3" max="3" width="2.42578125" customWidth="1"/>
    <col min="4" max="4" width="13.42578125" customWidth="1"/>
    <col min="5" max="5" width="12.5703125" customWidth="1"/>
    <col min="6" max="6" width="7.42578125" hidden="1" customWidth="1"/>
    <col min="7" max="7" width="11.42578125" hidden="1" customWidth="1"/>
    <col min="8" max="8" width="11.5703125" customWidth="1"/>
    <col min="9" max="9" width="78.7109375" customWidth="1"/>
    <col min="10" max="19" width="13.28515625" customWidth="1"/>
    <col min="20" max="26" width="15.140625" customWidth="1"/>
  </cols>
  <sheetData>
    <row r="1" spans="1:14" ht="26.25" x14ac:dyDescent="0.4">
      <c r="A1" s="1104" t="s">
        <v>75</v>
      </c>
      <c r="B1" s="1104"/>
      <c r="C1" s="1104"/>
      <c r="D1" s="1104"/>
      <c r="E1" s="1104"/>
      <c r="F1" s="1104"/>
      <c r="G1" s="1104"/>
      <c r="H1" s="1104"/>
    </row>
    <row r="2" spans="1:14" ht="45" customHeight="1" x14ac:dyDescent="0.25">
      <c r="A2" s="286" t="s">
        <v>76</v>
      </c>
      <c r="B2" s="286" t="s">
        <v>77</v>
      </c>
      <c r="C2" s="286"/>
      <c r="D2" s="288"/>
      <c r="E2" s="287" t="s">
        <v>78</v>
      </c>
      <c r="F2" s="287" t="s">
        <v>79</v>
      </c>
      <c r="G2" s="287" t="s">
        <v>80</v>
      </c>
      <c r="H2" s="287" t="s">
        <v>81</v>
      </c>
      <c r="I2" s="2"/>
    </row>
    <row r="3" spans="1:14" ht="19.5" customHeight="1" x14ac:dyDescent="0.3">
      <c r="A3" s="1110" t="s">
        <v>9</v>
      </c>
      <c r="B3" s="1110"/>
      <c r="C3" s="1110"/>
      <c r="D3" s="1110"/>
      <c r="E3" s="1110"/>
      <c r="F3" s="1110"/>
      <c r="G3" s="1110"/>
      <c r="H3" s="1110"/>
      <c r="I3" s="7"/>
    </row>
    <row r="4" spans="1:14" x14ac:dyDescent="0.25">
      <c r="A4" s="253"/>
      <c r="B4" s="8" t="s">
        <v>82</v>
      </c>
      <c r="C4" s="9"/>
      <c r="D4" s="8"/>
      <c r="E4" s="10">
        <f>(H5*2)+(H4)</f>
        <v>4541680</v>
      </c>
      <c r="F4" s="254"/>
      <c r="G4" s="254"/>
      <c r="H4" s="11">
        <v>4367000</v>
      </c>
      <c r="I4" s="12" t="s">
        <v>83</v>
      </c>
      <c r="J4" s="59"/>
    </row>
    <row r="5" spans="1:14" x14ac:dyDescent="0.25">
      <c r="A5" s="255" t="s">
        <v>84</v>
      </c>
      <c r="B5" s="256" t="s">
        <v>85</v>
      </c>
      <c r="C5" s="257"/>
      <c r="D5" s="258"/>
      <c r="E5" s="95">
        <f>(E4*1%)*50%</f>
        <v>22708.400000000001</v>
      </c>
      <c r="F5" s="259"/>
      <c r="G5" s="259"/>
      <c r="H5" s="260">
        <v>87340</v>
      </c>
      <c r="I5" s="2"/>
      <c r="M5" s="111">
        <v>3797336</v>
      </c>
      <c r="N5" t="s">
        <v>86</v>
      </c>
    </row>
    <row r="6" spans="1:14" x14ac:dyDescent="0.25">
      <c r="A6" s="13"/>
      <c r="B6" s="14" t="s">
        <v>87</v>
      </c>
      <c r="C6" s="9"/>
      <c r="D6" s="14"/>
      <c r="E6" s="10">
        <v>17000</v>
      </c>
      <c r="F6" s="15"/>
      <c r="G6" s="15"/>
      <c r="H6" s="16">
        <v>17000</v>
      </c>
      <c r="I6" s="2"/>
      <c r="M6" s="112">
        <v>0.03</v>
      </c>
      <c r="N6" t="s">
        <v>88</v>
      </c>
    </row>
    <row r="7" spans="1:14" x14ac:dyDescent="0.25">
      <c r="A7" s="167"/>
      <c r="B7" s="168" t="s">
        <v>89</v>
      </c>
      <c r="C7" s="166"/>
      <c r="D7" s="168"/>
      <c r="E7" s="95">
        <v>27500</v>
      </c>
      <c r="F7" s="169"/>
      <c r="G7" s="169"/>
      <c r="H7" s="170">
        <v>28750</v>
      </c>
      <c r="I7" s="12"/>
      <c r="M7" s="111">
        <f>M5*M6</f>
        <v>113920.08</v>
      </c>
      <c r="N7" t="s">
        <v>90</v>
      </c>
    </row>
    <row r="8" spans="1:14" x14ac:dyDescent="0.25">
      <c r="A8" s="130" t="s">
        <v>91</v>
      </c>
      <c r="B8" s="8" t="s">
        <v>92</v>
      </c>
      <c r="C8" s="9"/>
      <c r="D8" s="8"/>
      <c r="E8" s="10">
        <v>120000</v>
      </c>
      <c r="F8" s="11"/>
      <c r="G8" s="11"/>
      <c r="H8" s="11">
        <v>120000</v>
      </c>
      <c r="I8" s="2"/>
      <c r="M8" s="111">
        <f>M7*0.25</f>
        <v>28480.02</v>
      </c>
      <c r="N8" t="s">
        <v>93</v>
      </c>
    </row>
    <row r="9" spans="1:14" x14ac:dyDescent="0.25">
      <c r="A9" s="171" t="s">
        <v>94</v>
      </c>
      <c r="B9" s="172" t="s">
        <v>95</v>
      </c>
      <c r="C9" s="173"/>
      <c r="D9" s="172"/>
      <c r="E9" s="95">
        <v>30000</v>
      </c>
      <c r="F9" s="169"/>
      <c r="G9" s="169"/>
      <c r="H9" s="170">
        <v>30000</v>
      </c>
      <c r="I9" s="2"/>
      <c r="M9" s="111">
        <f>M5+M7</f>
        <v>3911256.08</v>
      </c>
      <c r="N9" t="s">
        <v>96</v>
      </c>
    </row>
    <row r="10" spans="1:14" ht="15.75" thickBot="1" x14ac:dyDescent="0.3">
      <c r="A10" s="17"/>
      <c r="B10" s="18" t="s">
        <v>97</v>
      </c>
      <c r="C10" s="19"/>
      <c r="D10" s="98">
        <f>SUM(Summary!D3)</f>
        <v>2.3397346293628093E-2</v>
      </c>
      <c r="E10" s="96">
        <f>(SUM(E4:E9))</f>
        <v>4758888.4000000004</v>
      </c>
      <c r="F10" s="174"/>
      <c r="G10" s="174"/>
      <c r="H10" s="175">
        <f>SUM(H4:H9)</f>
        <v>4650090</v>
      </c>
      <c r="I10" s="2"/>
      <c r="M10" s="111"/>
    </row>
    <row r="11" spans="1:14" ht="13.5" customHeight="1" thickTop="1" x14ac:dyDescent="0.25">
      <c r="A11" s="24"/>
      <c r="B11" s="24"/>
      <c r="C11" s="25"/>
      <c r="D11" s="26"/>
      <c r="E11" s="27"/>
      <c r="F11" s="27"/>
      <c r="G11" s="27"/>
      <c r="H11" s="27"/>
      <c r="I11" s="2"/>
      <c r="M11" s="111">
        <v>4239580</v>
      </c>
      <c r="N11" t="s">
        <v>98</v>
      </c>
    </row>
    <row r="12" spans="1:14" ht="19.5" customHeight="1" x14ac:dyDescent="0.3">
      <c r="A12" s="1112" t="s">
        <v>10</v>
      </c>
      <c r="B12" s="1112"/>
      <c r="C12" s="1112"/>
      <c r="D12" s="1112"/>
      <c r="E12" s="1112"/>
      <c r="F12" s="1112"/>
      <c r="G12" s="1112"/>
      <c r="H12" s="1112"/>
      <c r="I12" s="7"/>
      <c r="M12" s="111">
        <f>M11-M9</f>
        <v>328323.91999999993</v>
      </c>
      <c r="N12" t="s">
        <v>99</v>
      </c>
    </row>
    <row r="13" spans="1:14" x14ac:dyDescent="0.25">
      <c r="A13" s="13"/>
      <c r="B13" s="28" t="s">
        <v>100</v>
      </c>
      <c r="C13" s="176"/>
      <c r="D13" s="3"/>
      <c r="E13" s="3"/>
      <c r="F13" s="3"/>
      <c r="G13" s="3"/>
      <c r="H13" s="3"/>
      <c r="I13" s="2"/>
      <c r="M13" s="111">
        <v>140000</v>
      </c>
      <c r="N13" t="s">
        <v>101</v>
      </c>
    </row>
    <row r="14" spans="1:14" x14ac:dyDescent="0.25">
      <c r="A14" s="261"/>
      <c r="B14" s="256" t="s">
        <v>102</v>
      </c>
      <c r="C14" s="257"/>
      <c r="D14" s="258"/>
      <c r="E14" s="262">
        <f>((600*12)*34)*0.95</f>
        <v>232560</v>
      </c>
      <c r="F14" s="263"/>
      <c r="G14" s="263"/>
      <c r="H14" s="263">
        <v>232560</v>
      </c>
      <c r="I14" s="2"/>
      <c r="M14" s="111">
        <f>M11-M13</f>
        <v>4099580</v>
      </c>
      <c r="N14" t="s">
        <v>103</v>
      </c>
    </row>
    <row r="15" spans="1:14" x14ac:dyDescent="0.25">
      <c r="A15" s="13"/>
      <c r="B15" s="14" t="s">
        <v>104</v>
      </c>
      <c r="C15" s="9"/>
      <c r="D15" s="8"/>
      <c r="E15" s="177">
        <f>600*12</f>
        <v>7200</v>
      </c>
      <c r="F15" s="11"/>
      <c r="G15" s="11"/>
      <c r="H15" s="11">
        <v>7200</v>
      </c>
      <c r="I15" s="2"/>
      <c r="M15" s="111"/>
    </row>
    <row r="16" spans="1:14" x14ac:dyDescent="0.25">
      <c r="A16" s="164"/>
      <c r="B16" s="178" t="s">
        <v>105</v>
      </c>
      <c r="C16" s="166"/>
      <c r="D16" s="166"/>
      <c r="E16" s="97">
        <v>1000</v>
      </c>
      <c r="F16" s="179"/>
      <c r="G16" s="179"/>
      <c r="H16" s="180">
        <v>1000</v>
      </c>
      <c r="I16" s="2"/>
    </row>
    <row r="17" spans="1:14" x14ac:dyDescent="0.25">
      <c r="A17" s="24"/>
      <c r="B17" s="35" t="s">
        <v>106</v>
      </c>
      <c r="C17" s="37"/>
      <c r="E17" s="181">
        <f>SUM(E14:E16)</f>
        <v>240760</v>
      </c>
      <c r="F17" s="38"/>
      <c r="G17" s="38"/>
      <c r="H17" s="40">
        <f>SUM(H14:H16)</f>
        <v>240760</v>
      </c>
      <c r="I17" s="2"/>
    </row>
    <row r="18" spans="1:14" x14ac:dyDescent="0.25">
      <c r="A18" s="13"/>
      <c r="C18" s="393"/>
      <c r="E18" s="3"/>
      <c r="H18" s="3"/>
      <c r="I18" s="2"/>
      <c r="N18" s="51">
        <f>H4*1.03</f>
        <v>4498010</v>
      </c>
    </row>
    <row r="19" spans="1:14" x14ac:dyDescent="0.25">
      <c r="A19" s="13"/>
      <c r="B19" s="182" t="s">
        <v>107</v>
      </c>
      <c r="C19" s="183"/>
      <c r="D19" s="8"/>
      <c r="H19" s="3"/>
      <c r="I19" s="2"/>
    </row>
    <row r="20" spans="1:14" x14ac:dyDescent="0.25">
      <c r="A20" s="164"/>
      <c r="B20" s="168" t="s">
        <v>108</v>
      </c>
      <c r="C20" s="166"/>
      <c r="D20" s="184"/>
      <c r="E20" s="162">
        <f>(1*110)*12</f>
        <v>1320</v>
      </c>
      <c r="F20" s="185"/>
      <c r="G20" s="185"/>
      <c r="H20" s="185">
        <v>1320</v>
      </c>
      <c r="I20" s="2" t="s">
        <v>109</v>
      </c>
    </row>
    <row r="21" spans="1:14" x14ac:dyDescent="0.25">
      <c r="A21" s="42"/>
      <c r="B21" s="8" t="s">
        <v>110</v>
      </c>
      <c r="C21" s="9"/>
      <c r="E21" s="177">
        <f>(90*5)*12</f>
        <v>5400</v>
      </c>
      <c r="F21" s="11"/>
      <c r="G21" s="11"/>
      <c r="H21" s="11">
        <v>5400</v>
      </c>
      <c r="I21" s="2" t="s">
        <v>111</v>
      </c>
    </row>
    <row r="22" spans="1:14" x14ac:dyDescent="0.25">
      <c r="A22" s="186"/>
      <c r="B22" s="168" t="s">
        <v>112</v>
      </c>
      <c r="C22" s="166"/>
      <c r="D22" s="184"/>
      <c r="E22" s="97">
        <f>(70*11)*12</f>
        <v>9240</v>
      </c>
      <c r="F22" s="187"/>
      <c r="G22" s="187"/>
      <c r="H22" s="187">
        <v>9240</v>
      </c>
      <c r="I22" s="2" t="s">
        <v>113</v>
      </c>
    </row>
    <row r="23" spans="1:14" x14ac:dyDescent="0.25">
      <c r="A23" s="24"/>
      <c r="B23" s="35" t="s">
        <v>106</v>
      </c>
      <c r="C23" s="37"/>
      <c r="E23" s="181">
        <f>SUM(E20:E22)</f>
        <v>15960</v>
      </c>
      <c r="F23" s="40"/>
      <c r="G23" s="40"/>
      <c r="H23" s="40">
        <f>SUM(H20:H22)</f>
        <v>15960</v>
      </c>
      <c r="I23" s="2"/>
    </row>
    <row r="24" spans="1:14" x14ac:dyDescent="0.25">
      <c r="A24" s="24"/>
      <c r="B24" s="35"/>
      <c r="C24" s="37"/>
      <c r="E24" s="40"/>
      <c r="F24" s="40"/>
      <c r="G24" s="40"/>
      <c r="H24" s="40"/>
      <c r="I24" s="2"/>
    </row>
    <row r="25" spans="1:14" x14ac:dyDescent="0.25">
      <c r="A25" s="24"/>
      <c r="B25" s="43" t="s">
        <v>114</v>
      </c>
      <c r="C25" s="44"/>
      <c r="E25" s="40"/>
      <c r="F25" s="40"/>
      <c r="G25" s="40"/>
      <c r="H25" s="40"/>
      <c r="I25" s="2"/>
    </row>
    <row r="26" spans="1:14" x14ac:dyDescent="0.25">
      <c r="A26" s="188"/>
      <c r="B26" s="189" t="s">
        <v>115</v>
      </c>
      <c r="C26" s="190"/>
      <c r="D26" s="140">
        <v>1000</v>
      </c>
      <c r="E26" s="162">
        <f t="shared" ref="E26:E31" si="0">C26*D26</f>
        <v>0</v>
      </c>
      <c r="F26" s="191"/>
      <c r="G26" s="191"/>
      <c r="H26" s="185">
        <v>0</v>
      </c>
      <c r="I26" s="2"/>
    </row>
    <row r="27" spans="1:14" x14ac:dyDescent="0.25">
      <c r="A27" s="45"/>
      <c r="B27" s="14" t="s">
        <v>116</v>
      </c>
      <c r="C27" s="46">
        <v>1</v>
      </c>
      <c r="D27" s="5">
        <v>1000</v>
      </c>
      <c r="E27" s="177">
        <f t="shared" si="0"/>
        <v>1000</v>
      </c>
      <c r="F27" s="40"/>
      <c r="G27" s="40"/>
      <c r="H27" s="11">
        <v>1000</v>
      </c>
      <c r="I27" s="2" t="s">
        <v>117</v>
      </c>
    </row>
    <row r="28" spans="1:14" x14ac:dyDescent="0.25">
      <c r="A28" s="188"/>
      <c r="B28" s="189" t="s">
        <v>118</v>
      </c>
      <c r="C28" s="190"/>
      <c r="D28" s="140">
        <v>1000</v>
      </c>
      <c r="E28" s="162">
        <f t="shared" si="0"/>
        <v>0</v>
      </c>
      <c r="F28" s="191"/>
      <c r="G28" s="191"/>
      <c r="H28" s="185">
        <v>0</v>
      </c>
      <c r="I28" s="2"/>
    </row>
    <row r="29" spans="1:14" x14ac:dyDescent="0.25">
      <c r="A29" s="45"/>
      <c r="B29" s="14" t="s">
        <v>119</v>
      </c>
      <c r="C29" s="46">
        <v>1</v>
      </c>
      <c r="D29" s="5">
        <v>1500</v>
      </c>
      <c r="E29" s="177">
        <f t="shared" si="0"/>
        <v>1500</v>
      </c>
      <c r="F29" s="40"/>
      <c r="G29" s="40"/>
      <c r="H29" s="11">
        <v>0</v>
      </c>
      <c r="I29" s="2" t="s">
        <v>120</v>
      </c>
    </row>
    <row r="30" spans="1:14" x14ac:dyDescent="0.25">
      <c r="A30" s="188"/>
      <c r="B30" s="189" t="s">
        <v>121</v>
      </c>
      <c r="C30" s="190">
        <v>4</v>
      </c>
      <c r="D30" s="140">
        <v>2000</v>
      </c>
      <c r="E30" s="162">
        <f t="shared" si="0"/>
        <v>8000</v>
      </c>
      <c r="F30" s="191"/>
      <c r="G30" s="191"/>
      <c r="H30" s="185">
        <v>8000</v>
      </c>
      <c r="I30" s="2" t="s">
        <v>122</v>
      </c>
    </row>
    <row r="31" spans="1:14" x14ac:dyDescent="0.25">
      <c r="A31" s="289"/>
      <c r="B31" s="290" t="s">
        <v>123</v>
      </c>
      <c r="C31" s="291">
        <v>1</v>
      </c>
      <c r="D31" s="141">
        <v>2000</v>
      </c>
      <c r="E31" s="292">
        <f t="shared" si="0"/>
        <v>2000</v>
      </c>
      <c r="F31" s="293"/>
      <c r="G31" s="293"/>
      <c r="H31" s="294">
        <v>0</v>
      </c>
      <c r="I31" s="2" t="s">
        <v>124</v>
      </c>
    </row>
    <row r="32" spans="1:14" x14ac:dyDescent="0.25">
      <c r="A32" s="24"/>
      <c r="B32" s="14"/>
      <c r="C32" s="9"/>
      <c r="E32" s="181">
        <f>SUM(E26:E31)</f>
        <v>12500</v>
      </c>
      <c r="F32" s="40"/>
      <c r="G32" s="40"/>
      <c r="H32" s="40">
        <f>SUM(H26:H31)</f>
        <v>9000</v>
      </c>
      <c r="I32" s="2"/>
    </row>
    <row r="33" spans="1:9" x14ac:dyDescent="0.25">
      <c r="A33" s="24"/>
      <c r="B33" s="14"/>
      <c r="C33" s="9"/>
      <c r="E33" s="11"/>
      <c r="F33" s="40"/>
      <c r="G33" s="40"/>
      <c r="H33" s="11"/>
      <c r="I33" s="2"/>
    </row>
    <row r="34" spans="1:9" ht="15.75" thickBot="1" x14ac:dyDescent="0.3">
      <c r="A34" s="24"/>
      <c r="B34" s="18" t="s">
        <v>97</v>
      </c>
      <c r="C34" s="19"/>
      <c r="D34" s="98">
        <f>SUM(Summary!D4)</f>
        <v>1.3167795334838224E-2</v>
      </c>
      <c r="E34" s="96">
        <f>SUM(E17+E23+E32)</f>
        <v>269220</v>
      </c>
      <c r="F34" s="174"/>
      <c r="G34" s="174"/>
      <c r="H34" s="175">
        <f>SUM(H17+H23+H32)</f>
        <v>265720</v>
      </c>
      <c r="I34" s="2"/>
    </row>
    <row r="35" spans="1:9" ht="15.75" thickTop="1" x14ac:dyDescent="0.25">
      <c r="A35" s="13"/>
      <c r="B35" s="13"/>
      <c r="C35" s="50"/>
      <c r="D35" s="13"/>
      <c r="E35" s="13"/>
      <c r="F35" s="13"/>
      <c r="G35" s="13"/>
      <c r="H35" s="26"/>
      <c r="I35" s="2"/>
    </row>
    <row r="36" spans="1:9" ht="19.5" customHeight="1" x14ac:dyDescent="0.3">
      <c r="A36" s="1112" t="s">
        <v>125</v>
      </c>
      <c r="B36" s="1112"/>
      <c r="C36" s="1112"/>
      <c r="D36" s="1112"/>
      <c r="E36" s="1112"/>
      <c r="F36" s="1112"/>
      <c r="G36" s="1112"/>
      <c r="H36" s="1112"/>
      <c r="I36" s="7" t="s">
        <v>126</v>
      </c>
    </row>
    <row r="37" spans="1:9" x14ac:dyDescent="0.25">
      <c r="A37" s="130" t="s">
        <v>127</v>
      </c>
      <c r="B37" s="14" t="s">
        <v>128</v>
      </c>
      <c r="C37" s="9"/>
      <c r="D37" s="284"/>
      <c r="E37" s="177">
        <f>ROUND((36.51*73*8)+((36.51*105%)*73*4),0)</f>
        <v>32516</v>
      </c>
      <c r="F37" s="353"/>
      <c r="G37" s="353"/>
      <c r="H37" s="4">
        <v>29224</v>
      </c>
      <c r="I37" s="2"/>
    </row>
    <row r="38" spans="1:9" x14ac:dyDescent="0.25">
      <c r="A38" s="354" t="s">
        <v>127</v>
      </c>
      <c r="B38" s="355" t="s">
        <v>129</v>
      </c>
      <c r="C38" s="356"/>
      <c r="D38" s="357"/>
      <c r="E38" s="358">
        <f>((621.8-10)*73*8)+(((621.8-10)*115%)*73*4)</f>
        <v>562733.6399999999</v>
      </c>
      <c r="F38" s="359"/>
      <c r="G38" s="359"/>
      <c r="H38" s="360">
        <v>588602</v>
      </c>
      <c r="I38" s="2"/>
    </row>
    <row r="39" spans="1:9" x14ac:dyDescent="0.25">
      <c r="A39" s="130"/>
      <c r="B39" s="14" t="s">
        <v>130</v>
      </c>
      <c r="C39" s="9"/>
      <c r="D39" s="284"/>
      <c r="E39" s="177">
        <f>(140*20*12)</f>
        <v>33600</v>
      </c>
      <c r="F39" s="11"/>
      <c r="G39" s="11"/>
      <c r="H39" s="11">
        <v>32232</v>
      </c>
      <c r="I39" s="2"/>
    </row>
    <row r="40" spans="1:9" x14ac:dyDescent="0.25">
      <c r="A40" s="354" t="s">
        <v>127</v>
      </c>
      <c r="B40" s="355" t="s">
        <v>131</v>
      </c>
      <c r="C40" s="356"/>
      <c r="D40" s="357"/>
      <c r="E40" s="358">
        <f>((7.28*73)*8)+((7.28*105%)*73*4)</f>
        <v>6483.5680000000011</v>
      </c>
      <c r="F40" s="360"/>
      <c r="G40" s="360"/>
      <c r="H40" s="360">
        <v>5590</v>
      </c>
      <c r="I40" s="2"/>
    </row>
    <row r="41" spans="1:9" x14ac:dyDescent="0.25">
      <c r="A41" s="130" t="s">
        <v>132</v>
      </c>
      <c r="B41" s="14" t="s">
        <v>133</v>
      </c>
      <c r="C41" s="9"/>
      <c r="D41" s="284"/>
      <c r="E41" s="177">
        <f>((((4*73)*12)+2370))</f>
        <v>5874</v>
      </c>
      <c r="F41" s="11"/>
      <c r="G41" s="11"/>
      <c r="H41" s="11">
        <v>5821</v>
      </c>
    </row>
    <row r="42" spans="1:9" x14ac:dyDescent="0.25">
      <c r="A42" s="354" t="s">
        <v>132</v>
      </c>
      <c r="B42" s="361" t="s">
        <v>134</v>
      </c>
      <c r="C42" s="362"/>
      <c r="D42" s="363"/>
      <c r="E42" s="358">
        <f>(((E4+E5)*0.331%))</f>
        <v>15108.125604000001</v>
      </c>
      <c r="F42" s="360"/>
      <c r="G42" s="360"/>
      <c r="H42" s="360">
        <v>14031</v>
      </c>
      <c r="I42" s="2"/>
    </row>
    <row r="43" spans="1:9" ht="15.75" thickBot="1" x14ac:dyDescent="0.3">
      <c r="A43" s="192"/>
      <c r="B43" s="18" t="s">
        <v>97</v>
      </c>
      <c r="C43" s="19"/>
      <c r="D43" s="98">
        <f>SUM(Summary!D5)</f>
        <v>-2.8419182948490232E-2</v>
      </c>
      <c r="E43" s="96">
        <f>SUM(E37:E42)</f>
        <v>656315.33360399981</v>
      </c>
      <c r="F43" s="174"/>
      <c r="G43" s="174"/>
      <c r="H43" s="193">
        <f>SUM(H37:H42)</f>
        <v>675500</v>
      </c>
      <c r="I43" s="57"/>
    </row>
    <row r="44" spans="1:9" ht="20.25" thickTop="1" x14ac:dyDescent="0.3">
      <c r="A44" s="194"/>
      <c r="B44" s="195"/>
      <c r="C44" s="196"/>
      <c r="D44" s="285"/>
      <c r="E44" s="195"/>
      <c r="F44" s="195"/>
      <c r="G44" s="195"/>
      <c r="H44" s="195"/>
      <c r="I44" s="2"/>
    </row>
    <row r="45" spans="1:9" ht="20.25" customHeight="1" x14ac:dyDescent="0.3">
      <c r="A45" s="1112" t="s">
        <v>12</v>
      </c>
      <c r="B45" s="1112"/>
      <c r="C45" s="1112"/>
      <c r="D45" s="1112"/>
      <c r="E45" s="1112"/>
      <c r="F45" s="1112"/>
      <c r="G45" s="1112"/>
      <c r="H45" s="1112"/>
      <c r="I45" s="197"/>
    </row>
    <row r="46" spans="1:9" x14ac:dyDescent="0.25">
      <c r="A46" s="115" t="s">
        <v>135</v>
      </c>
      <c r="B46" s="14" t="s">
        <v>136</v>
      </c>
      <c r="C46" s="9"/>
      <c r="D46" s="9"/>
      <c r="E46" s="177">
        <f>SUM(E4:E7)*0.97</f>
        <v>4470621.7480000006</v>
      </c>
      <c r="F46" s="254"/>
      <c r="G46" s="254"/>
      <c r="H46" s="59">
        <v>4365087</v>
      </c>
      <c r="I46" s="7"/>
    </row>
    <row r="47" spans="1:9" x14ac:dyDescent="0.25">
      <c r="A47" s="264"/>
      <c r="B47" s="258" t="s">
        <v>137</v>
      </c>
      <c r="C47" s="257"/>
      <c r="D47" s="265"/>
      <c r="E47" s="266">
        <f>SUM(E14+E15+E32)</f>
        <v>252260</v>
      </c>
      <c r="F47" s="267"/>
      <c r="G47" s="267"/>
      <c r="H47" s="267">
        <v>248760</v>
      </c>
      <c r="I47" s="2"/>
    </row>
    <row r="48" spans="1:9" x14ac:dyDescent="0.25">
      <c r="A48" s="114"/>
      <c r="B48" s="14"/>
      <c r="C48" s="9"/>
      <c r="D48" s="3"/>
      <c r="E48" s="177">
        <f>SUM(E46:E47)</f>
        <v>4722881.7480000006</v>
      </c>
      <c r="F48" s="38"/>
      <c r="G48" s="38"/>
      <c r="H48" s="40">
        <f>SUM(H46:H47)</f>
        <v>4613847</v>
      </c>
      <c r="I48" s="2"/>
    </row>
    <row r="49" spans="1:9" x14ac:dyDescent="0.25">
      <c r="A49" s="115"/>
      <c r="B49" s="8"/>
      <c r="C49" s="9"/>
      <c r="D49" s="9"/>
      <c r="E49" s="11"/>
      <c r="F49" s="11"/>
      <c r="G49" s="11"/>
      <c r="H49" s="11"/>
      <c r="I49" s="2"/>
    </row>
    <row r="50" spans="1:9" x14ac:dyDescent="0.25">
      <c r="A50" s="198" t="s">
        <v>138</v>
      </c>
      <c r="B50" s="199" t="s">
        <v>139</v>
      </c>
      <c r="C50" s="200"/>
      <c r="D50" s="201"/>
      <c r="E50" s="97">
        <f>E48*0.12%</f>
        <v>5667.4580976000007</v>
      </c>
      <c r="F50" s="202"/>
      <c r="G50" s="202"/>
      <c r="H50" s="203">
        <v>5537</v>
      </c>
      <c r="I50" s="2"/>
    </row>
    <row r="51" spans="1:9" ht="15.75" thickBot="1" x14ac:dyDescent="0.3">
      <c r="A51" s="115"/>
      <c r="B51" s="18"/>
      <c r="C51" s="19"/>
      <c r="E51" s="177">
        <f>SUM(E50)</f>
        <v>5667.4580976000007</v>
      </c>
      <c r="F51" s="204"/>
      <c r="G51" s="204"/>
      <c r="H51" s="103">
        <f>SUM(H50)</f>
        <v>5537</v>
      </c>
      <c r="I51" s="2"/>
    </row>
    <row r="52" spans="1:9" ht="15.75" thickTop="1" x14ac:dyDescent="0.25">
      <c r="A52" s="115"/>
      <c r="B52" s="13"/>
      <c r="C52" s="50"/>
      <c r="D52" s="13"/>
      <c r="E52" s="13"/>
      <c r="F52" s="13"/>
      <c r="G52" s="13"/>
      <c r="H52" s="27"/>
      <c r="I52" s="2"/>
    </row>
    <row r="53" spans="1:9" x14ac:dyDescent="0.25">
      <c r="A53" s="115" t="s">
        <v>140</v>
      </c>
      <c r="B53" s="205" t="s">
        <v>141</v>
      </c>
      <c r="C53" s="60"/>
      <c r="D53" s="13"/>
      <c r="E53" s="177">
        <f>E48*16.75%</f>
        <v>791082.69279000012</v>
      </c>
      <c r="F53" s="62"/>
      <c r="G53" s="62"/>
      <c r="H53" s="27">
        <v>825417</v>
      </c>
      <c r="I53" s="7"/>
    </row>
    <row r="54" spans="1:9" x14ac:dyDescent="0.25">
      <c r="A54" s="268" t="s">
        <v>138</v>
      </c>
      <c r="B54" s="199" t="s">
        <v>142</v>
      </c>
      <c r="C54" s="200"/>
      <c r="D54" s="164"/>
      <c r="E54" s="97">
        <f>E48*0.13%</f>
        <v>6139.7462724000006</v>
      </c>
      <c r="F54" s="206"/>
      <c r="G54" s="206"/>
      <c r="H54" s="207">
        <v>5537</v>
      </c>
      <c r="I54" s="7"/>
    </row>
    <row r="55" spans="1:9" x14ac:dyDescent="0.25">
      <c r="A55" s="116"/>
      <c r="B55" s="18"/>
      <c r="C55" s="67"/>
      <c r="D55" s="98">
        <f>(E55-H55)/H55</f>
        <v>-4.0593776475713293E-2</v>
      </c>
      <c r="E55" s="177">
        <f>SUM(E53:E54)</f>
        <v>797222.43906240014</v>
      </c>
      <c r="F55" s="62"/>
      <c r="G55" s="62"/>
      <c r="H55" s="104">
        <f>SUM(H53:H54)</f>
        <v>830954</v>
      </c>
      <c r="I55" s="7"/>
    </row>
    <row r="56" spans="1:9" x14ac:dyDescent="0.25">
      <c r="A56" s="114"/>
      <c r="B56" s="62"/>
      <c r="C56" s="67"/>
      <c r="D56" s="20"/>
      <c r="E56" s="71"/>
      <c r="F56" s="62"/>
      <c r="G56" s="62"/>
      <c r="H56" s="27"/>
      <c r="I56" s="7"/>
    </row>
    <row r="57" spans="1:9" x14ac:dyDescent="0.25">
      <c r="A57" s="198" t="s">
        <v>143</v>
      </c>
      <c r="B57" s="206" t="s">
        <v>144</v>
      </c>
      <c r="C57" s="208"/>
      <c r="D57" s="201"/>
      <c r="E57" s="162">
        <f>E48*19.13%</f>
        <v>903487.27839240013</v>
      </c>
      <c r="F57" s="206"/>
      <c r="G57" s="206"/>
      <c r="H57" s="207">
        <v>882168</v>
      </c>
      <c r="I57" s="7"/>
    </row>
    <row r="58" spans="1:9" x14ac:dyDescent="0.25">
      <c r="A58" s="115" t="s">
        <v>145</v>
      </c>
      <c r="B58" s="62" t="s">
        <v>146</v>
      </c>
      <c r="C58" s="67"/>
      <c r="D58" s="20"/>
      <c r="E58" s="71"/>
      <c r="F58" s="62"/>
      <c r="G58" s="62"/>
      <c r="H58" s="27"/>
      <c r="I58" s="7"/>
    </row>
    <row r="59" spans="1:9" ht="15.75" thickBot="1" x14ac:dyDescent="0.3">
      <c r="A59" s="114"/>
      <c r="B59" s="18" t="s">
        <v>97</v>
      </c>
      <c r="C59" s="67"/>
      <c r="D59" s="98">
        <f>SUM(Summary!$D$6)</f>
        <v>2.414418499206529E-2</v>
      </c>
      <c r="E59" s="96">
        <f>SUM(E57:E58)</f>
        <v>903487.27839240013</v>
      </c>
      <c r="F59" s="73"/>
      <c r="G59" s="73"/>
      <c r="H59" s="209">
        <f>SUM(H57:H58)</f>
        <v>882168</v>
      </c>
      <c r="I59" s="7"/>
    </row>
    <row r="60" spans="1:9" ht="15.75" thickTop="1" x14ac:dyDescent="0.25">
      <c r="A60" s="13"/>
      <c r="B60" s="62"/>
      <c r="C60" s="67"/>
      <c r="D60" s="13"/>
      <c r="E60" s="62"/>
      <c r="F60" s="62"/>
      <c r="G60" s="62"/>
      <c r="H60" s="26"/>
      <c r="I60" s="7"/>
    </row>
    <row r="61" spans="1:9" ht="19.5" customHeight="1" x14ac:dyDescent="0.3">
      <c r="A61" s="1110" t="s">
        <v>147</v>
      </c>
      <c r="B61" s="1111"/>
      <c r="C61" s="1111"/>
      <c r="D61" s="1111"/>
      <c r="E61" s="1111"/>
      <c r="F61" s="1111"/>
      <c r="G61" s="1111"/>
      <c r="H61" s="1111"/>
      <c r="I61" s="7"/>
    </row>
    <row r="62" spans="1:9" x14ac:dyDescent="0.25">
      <c r="A62" s="13"/>
      <c r="B62" t="s">
        <v>148</v>
      </c>
      <c r="C62" s="393"/>
      <c r="E62" s="177">
        <f>(2003*4)*110%</f>
        <v>8813.2000000000007</v>
      </c>
      <c r="F62" s="74"/>
      <c r="G62" s="74"/>
      <c r="H62" s="59">
        <v>8813.2000000000007</v>
      </c>
      <c r="I62" s="2"/>
    </row>
    <row r="63" spans="1:9" ht="15.75" thickBot="1" x14ac:dyDescent="0.3">
      <c r="A63" s="210"/>
      <c r="B63" s="211" t="s">
        <v>97</v>
      </c>
      <c r="C63" s="212"/>
      <c r="D63" s="99">
        <f>SUM(Summary!$D$7)</f>
        <v>0</v>
      </c>
      <c r="E63" s="102">
        <f>SUM(E62)</f>
        <v>8813.2000000000007</v>
      </c>
      <c r="F63" s="75"/>
      <c r="G63" s="75"/>
      <c r="H63" s="105">
        <f>SUM(H62)</f>
        <v>8813.2000000000007</v>
      </c>
      <c r="I63" s="2"/>
    </row>
    <row r="64" spans="1:9" ht="15.75" thickTop="1" x14ac:dyDescent="0.25">
      <c r="A64" s="13"/>
      <c r="B64" s="13"/>
      <c r="C64" s="50"/>
      <c r="D64" s="13"/>
      <c r="E64" s="13"/>
      <c r="F64" s="13"/>
      <c r="G64" s="13"/>
      <c r="H64" s="26"/>
      <c r="I64" s="2"/>
    </row>
    <row r="65" spans="1:9" ht="19.5" customHeight="1" x14ac:dyDescent="0.3">
      <c r="A65" s="1110" t="s">
        <v>149</v>
      </c>
      <c r="B65" s="1111"/>
      <c r="C65" s="1111"/>
      <c r="D65" s="1111"/>
      <c r="E65" s="1111"/>
      <c r="F65" s="1111"/>
      <c r="G65" s="1111"/>
      <c r="H65" s="1111"/>
      <c r="I65" s="7"/>
    </row>
    <row r="66" spans="1:9" x14ac:dyDescent="0.25">
      <c r="A66" s="13"/>
      <c r="B66" s="213" t="s">
        <v>150</v>
      </c>
      <c r="C66" s="183"/>
      <c r="D66" s="8"/>
      <c r="E66" s="8"/>
      <c r="F66" s="8"/>
      <c r="G66" s="8"/>
      <c r="H66" s="8"/>
      <c r="I66" s="2"/>
    </row>
    <row r="67" spans="1:9" x14ac:dyDescent="0.25">
      <c r="A67" s="13"/>
      <c r="B67" s="14" t="s">
        <v>151</v>
      </c>
      <c r="C67" s="9"/>
      <c r="D67" s="14"/>
      <c r="E67" s="177">
        <f>SUM(E4+E5+E6+E7+E8+E14+E15+E32)</f>
        <v>4981148.4000000004</v>
      </c>
      <c r="F67" s="76"/>
      <c r="G67" s="76"/>
      <c r="H67" s="59">
        <f>SUM(H4+H5+H6+H7+H8+H14+H15+H32)</f>
        <v>4868850</v>
      </c>
      <c r="I67" s="2"/>
    </row>
    <row r="68" spans="1:9" x14ac:dyDescent="0.25">
      <c r="A68" s="164"/>
      <c r="B68" s="165" t="s">
        <v>152</v>
      </c>
      <c r="C68" s="166"/>
      <c r="D68" s="166"/>
      <c r="E68" s="214">
        <v>1.4500000000000001E-2</v>
      </c>
      <c r="F68" s="215"/>
      <c r="G68" s="215"/>
      <c r="H68" s="214">
        <v>1.4500000000000001E-2</v>
      </c>
      <c r="I68" s="2"/>
    </row>
    <row r="69" spans="1:9" x14ac:dyDescent="0.25">
      <c r="A69" s="13"/>
      <c r="B69" s="35" t="s">
        <v>153</v>
      </c>
      <c r="C69" s="37"/>
      <c r="D69" s="8"/>
      <c r="E69" s="177">
        <f>(E67*E68)</f>
        <v>72226.651800000007</v>
      </c>
      <c r="F69" s="76"/>
      <c r="G69" s="76"/>
      <c r="H69" s="11">
        <f>H67*H68</f>
        <v>70598.324999999997</v>
      </c>
      <c r="I69" s="2"/>
    </row>
    <row r="70" spans="1:9" x14ac:dyDescent="0.25">
      <c r="A70" s="13"/>
      <c r="B70" s="213"/>
      <c r="C70" s="183"/>
      <c r="D70" s="8"/>
      <c r="E70" s="72"/>
      <c r="F70" s="72"/>
      <c r="G70" s="72"/>
      <c r="H70" s="72"/>
      <c r="I70" s="2"/>
    </row>
    <row r="71" spans="1:9" x14ac:dyDescent="0.25">
      <c r="A71" s="13"/>
      <c r="B71" s="213"/>
      <c r="C71" s="183"/>
      <c r="D71" s="8"/>
      <c r="E71" s="72"/>
      <c r="F71" s="72"/>
      <c r="G71" s="72"/>
      <c r="H71" s="72"/>
      <c r="I71" s="2"/>
    </row>
    <row r="72" spans="1:9" x14ac:dyDescent="0.25">
      <c r="A72" s="13"/>
      <c r="B72" s="213" t="s">
        <v>154</v>
      </c>
      <c r="C72" s="183"/>
      <c r="D72" s="8"/>
      <c r="E72" s="8"/>
      <c r="F72" s="8"/>
      <c r="G72" s="8"/>
      <c r="H72" s="8"/>
      <c r="I72" s="2"/>
    </row>
    <row r="73" spans="1:9" x14ac:dyDescent="0.25">
      <c r="A73" s="115" t="s">
        <v>155</v>
      </c>
      <c r="B73" s="14" t="s">
        <v>156</v>
      </c>
      <c r="C73" s="9"/>
      <c r="D73" s="14"/>
      <c r="E73" s="216">
        <v>5000</v>
      </c>
      <c r="F73" s="11"/>
      <c r="G73" s="11"/>
      <c r="H73" s="11">
        <v>5000</v>
      </c>
      <c r="I73" s="2"/>
    </row>
    <row r="74" spans="1:9" x14ac:dyDescent="0.25">
      <c r="A74" s="164"/>
      <c r="B74" s="165" t="s">
        <v>157</v>
      </c>
      <c r="C74" s="166"/>
      <c r="D74" s="165"/>
      <c r="E74" s="100">
        <v>6.2E-2</v>
      </c>
      <c r="F74" s="215"/>
      <c r="G74" s="215"/>
      <c r="H74" s="214">
        <v>6.2E-2</v>
      </c>
      <c r="I74" s="2"/>
    </row>
    <row r="75" spans="1:9" x14ac:dyDescent="0.25">
      <c r="A75" s="24"/>
      <c r="B75" s="35" t="s">
        <v>153</v>
      </c>
      <c r="C75" s="37"/>
      <c r="D75" s="8"/>
      <c r="E75" s="177">
        <f>E73*E74</f>
        <v>310</v>
      </c>
      <c r="F75" s="72"/>
      <c r="G75" s="72"/>
      <c r="H75" s="11">
        <f>H73*H74</f>
        <v>310</v>
      </c>
      <c r="I75" s="2"/>
    </row>
    <row r="76" spans="1:9" x14ac:dyDescent="0.25">
      <c r="A76" s="13"/>
      <c r="C76" s="393"/>
      <c r="E76" s="3"/>
      <c r="F76" s="3"/>
      <c r="G76" s="3"/>
      <c r="H76" s="3"/>
      <c r="I76" s="2"/>
    </row>
    <row r="77" spans="1:9" ht="15.75" thickBot="1" x14ac:dyDescent="0.3">
      <c r="A77" s="13"/>
      <c r="B77" s="18" t="s">
        <v>97</v>
      </c>
      <c r="C77" s="19"/>
      <c r="D77" s="98">
        <f>SUM(Summary!$D$8)</f>
        <v>2.2535211267605635E-2</v>
      </c>
      <c r="E77" s="96">
        <f>SUM(E69+E75)</f>
        <v>72536.651800000007</v>
      </c>
      <c r="F77" s="217"/>
      <c r="G77" s="217"/>
      <c r="H77" s="175">
        <f>SUM(H69+H75)</f>
        <v>70908.324999999997</v>
      </c>
      <c r="I77" s="2"/>
    </row>
    <row r="78" spans="1:9" ht="16.5" thickTop="1" thickBot="1" x14ac:dyDescent="0.3">
      <c r="A78" s="13"/>
      <c r="C78" s="393"/>
      <c r="H78" s="3"/>
      <c r="I78" s="2"/>
    </row>
    <row r="79" spans="1:9" ht="15.75" thickBot="1" x14ac:dyDescent="0.3">
      <c r="A79" s="13"/>
      <c r="B79" s="61" t="s">
        <v>158</v>
      </c>
      <c r="C79" s="317"/>
      <c r="D79" s="98">
        <f>(E79-H79)/H79</f>
        <v>1.7710637125213965E-2</v>
      </c>
      <c r="E79" s="101">
        <f>SUM(E10+E34+E43+E59+E63+E77)</f>
        <v>6669260.8637963999</v>
      </c>
      <c r="F79" s="79"/>
      <c r="G79" s="79"/>
      <c r="H79" s="80">
        <f>SUM(H10+H34+H43+H59+H63+H77)</f>
        <v>6553199.5250000004</v>
      </c>
      <c r="I79" s="2"/>
    </row>
    <row r="80" spans="1:9" ht="13.5" customHeight="1" x14ac:dyDescent="0.25">
      <c r="A80" s="13"/>
      <c r="B80" s="13"/>
      <c r="C80" s="50"/>
      <c r="D80" s="81"/>
      <c r="E80" s="13"/>
      <c r="F80" s="13"/>
      <c r="G80" s="13"/>
      <c r="H80" s="26"/>
      <c r="I80" s="2"/>
    </row>
    <row r="81" spans="3:9" x14ac:dyDescent="0.25">
      <c r="C81" s="393"/>
      <c r="I81" s="57"/>
    </row>
    <row r="82" spans="3:9" x14ac:dyDescent="0.25">
      <c r="C82" s="393"/>
      <c r="I82" s="57"/>
    </row>
    <row r="83" spans="3:9" x14ac:dyDescent="0.25">
      <c r="I83" s="57"/>
    </row>
    <row r="84" spans="3:9" x14ac:dyDescent="0.25">
      <c r="I84" s="57"/>
    </row>
    <row r="85" spans="3:9" x14ac:dyDescent="0.25">
      <c r="I85" s="57"/>
    </row>
    <row r="86" spans="3:9" x14ac:dyDescent="0.25">
      <c r="I86" s="57"/>
    </row>
    <row r="87" spans="3:9" x14ac:dyDescent="0.25">
      <c r="I87" s="57"/>
    </row>
    <row r="88" spans="3:9" x14ac:dyDescent="0.25">
      <c r="I88" s="57"/>
    </row>
    <row r="89" spans="3:9" x14ac:dyDescent="0.25">
      <c r="I89" s="57"/>
    </row>
    <row r="90" spans="3:9" x14ac:dyDescent="0.25">
      <c r="I90" s="57"/>
    </row>
    <row r="91" spans="3:9" x14ac:dyDescent="0.25">
      <c r="I91" s="57"/>
    </row>
    <row r="92" spans="3:9" x14ac:dyDescent="0.25">
      <c r="I92" s="57"/>
    </row>
    <row r="93" spans="3:9" x14ac:dyDescent="0.25">
      <c r="I93" s="57"/>
    </row>
    <row r="94" spans="3:9" x14ac:dyDescent="0.25">
      <c r="I94" s="57"/>
    </row>
    <row r="95" spans="3:9" x14ac:dyDescent="0.25">
      <c r="I95" s="57"/>
    </row>
    <row r="96" spans="3:9" x14ac:dyDescent="0.25">
      <c r="I96" s="57"/>
    </row>
    <row r="97" spans="9:9" x14ac:dyDescent="0.25">
      <c r="I97" s="57"/>
    </row>
    <row r="98" spans="9:9" x14ac:dyDescent="0.25">
      <c r="I98" s="57"/>
    </row>
    <row r="99" spans="9:9" x14ac:dyDescent="0.25">
      <c r="I99" s="57"/>
    </row>
    <row r="100" spans="9:9" x14ac:dyDescent="0.25">
      <c r="I100" s="57"/>
    </row>
    <row r="101" spans="9:9" x14ac:dyDescent="0.25">
      <c r="I101" s="57"/>
    </row>
    <row r="102" spans="9:9" x14ac:dyDescent="0.25">
      <c r="I102" s="57"/>
    </row>
    <row r="103" spans="9:9" x14ac:dyDescent="0.25">
      <c r="I103" s="57"/>
    </row>
    <row r="104" spans="9:9" x14ac:dyDescent="0.25">
      <c r="I104" s="57"/>
    </row>
    <row r="105" spans="9:9" x14ac:dyDescent="0.25">
      <c r="I105" s="57"/>
    </row>
    <row r="106" spans="9:9" x14ac:dyDescent="0.25">
      <c r="I106" s="57"/>
    </row>
    <row r="107" spans="9:9" x14ac:dyDescent="0.25">
      <c r="I107" s="57"/>
    </row>
    <row r="108" spans="9:9" x14ac:dyDescent="0.25">
      <c r="I108" s="57"/>
    </row>
    <row r="109" spans="9:9" x14ac:dyDescent="0.25">
      <c r="I109" s="57"/>
    </row>
    <row r="110" spans="9:9" x14ac:dyDescent="0.25">
      <c r="I110" s="57"/>
    </row>
    <row r="111" spans="9:9" x14ac:dyDescent="0.25">
      <c r="I111" s="57"/>
    </row>
    <row r="112" spans="9:9" x14ac:dyDescent="0.25">
      <c r="I112" s="57"/>
    </row>
    <row r="113" spans="9:9" x14ac:dyDescent="0.25">
      <c r="I113" s="57"/>
    </row>
    <row r="114" spans="9:9" x14ac:dyDescent="0.25">
      <c r="I114" s="57"/>
    </row>
    <row r="115" spans="9:9" x14ac:dyDescent="0.25">
      <c r="I115" s="57"/>
    </row>
    <row r="116" spans="9:9" x14ac:dyDescent="0.25">
      <c r="I116" s="57"/>
    </row>
    <row r="117" spans="9:9" x14ac:dyDescent="0.25">
      <c r="I117" s="57"/>
    </row>
    <row r="118" spans="9:9" x14ac:dyDescent="0.25">
      <c r="I118" s="57"/>
    </row>
    <row r="119" spans="9:9" x14ac:dyDescent="0.25">
      <c r="I119" s="57"/>
    </row>
    <row r="120" spans="9:9" x14ac:dyDescent="0.25">
      <c r="I120" s="57"/>
    </row>
    <row r="121" spans="9:9" x14ac:dyDescent="0.25">
      <c r="I121" s="57"/>
    </row>
    <row r="122" spans="9:9" x14ac:dyDescent="0.25">
      <c r="I122" s="57"/>
    </row>
    <row r="123" spans="9:9" x14ac:dyDescent="0.25">
      <c r="I123" s="57"/>
    </row>
    <row r="124" spans="9:9" x14ac:dyDescent="0.25">
      <c r="I124" s="57"/>
    </row>
    <row r="125" spans="9:9" x14ac:dyDescent="0.25">
      <c r="I125" s="57"/>
    </row>
    <row r="126" spans="9:9" x14ac:dyDescent="0.25">
      <c r="I126" s="57"/>
    </row>
    <row r="127" spans="9:9" x14ac:dyDescent="0.25">
      <c r="I127" s="57"/>
    </row>
    <row r="128" spans="9:9" x14ac:dyDescent="0.25">
      <c r="I128" s="57"/>
    </row>
    <row r="129" spans="9:9" x14ac:dyDescent="0.25">
      <c r="I129" s="57"/>
    </row>
    <row r="130" spans="9:9" x14ac:dyDescent="0.25">
      <c r="I130" s="57"/>
    </row>
    <row r="131" spans="9:9" x14ac:dyDescent="0.25">
      <c r="I131" s="57"/>
    </row>
    <row r="132" spans="9:9" x14ac:dyDescent="0.25">
      <c r="I132" s="57"/>
    </row>
    <row r="133" spans="9:9" x14ac:dyDescent="0.25">
      <c r="I133" s="57"/>
    </row>
    <row r="134" spans="9:9" x14ac:dyDescent="0.25">
      <c r="I134" s="57"/>
    </row>
    <row r="135" spans="9:9" x14ac:dyDescent="0.25">
      <c r="I135" s="57"/>
    </row>
    <row r="136" spans="9:9" x14ac:dyDescent="0.25">
      <c r="I136" s="57"/>
    </row>
    <row r="137" spans="9:9" x14ac:dyDescent="0.25">
      <c r="I137" s="57"/>
    </row>
    <row r="138" spans="9:9" x14ac:dyDescent="0.25">
      <c r="I138" s="57"/>
    </row>
    <row r="139" spans="9:9" x14ac:dyDescent="0.25">
      <c r="I139" s="57"/>
    </row>
    <row r="140" spans="9:9" x14ac:dyDescent="0.25">
      <c r="I140" s="57"/>
    </row>
    <row r="141" spans="9:9" x14ac:dyDescent="0.25">
      <c r="I141" s="57"/>
    </row>
    <row r="142" spans="9:9" x14ac:dyDescent="0.25">
      <c r="I142" s="57"/>
    </row>
    <row r="143" spans="9:9" x14ac:dyDescent="0.25">
      <c r="I143" s="57"/>
    </row>
    <row r="144" spans="9:9" x14ac:dyDescent="0.25">
      <c r="I144" s="57"/>
    </row>
    <row r="145" spans="9:9" x14ac:dyDescent="0.25">
      <c r="I145" s="57"/>
    </row>
    <row r="146" spans="9:9" x14ac:dyDescent="0.25">
      <c r="I146" s="57"/>
    </row>
    <row r="147" spans="9:9" x14ac:dyDescent="0.25">
      <c r="I147" s="57"/>
    </row>
    <row r="148" spans="9:9" x14ac:dyDescent="0.25">
      <c r="I148" s="57"/>
    </row>
    <row r="149" spans="9:9" x14ac:dyDescent="0.25">
      <c r="I149" s="57"/>
    </row>
    <row r="150" spans="9:9" x14ac:dyDescent="0.25">
      <c r="I150" s="57"/>
    </row>
    <row r="151" spans="9:9" x14ac:dyDescent="0.25">
      <c r="I151" s="57"/>
    </row>
    <row r="152" spans="9:9" x14ac:dyDescent="0.25">
      <c r="I152" s="57"/>
    </row>
    <row r="153" spans="9:9" x14ac:dyDescent="0.25">
      <c r="I153" s="57"/>
    </row>
    <row r="154" spans="9:9" x14ac:dyDescent="0.25">
      <c r="I154" s="57"/>
    </row>
    <row r="155" spans="9:9" x14ac:dyDescent="0.25">
      <c r="I155" s="57"/>
    </row>
    <row r="156" spans="9:9" x14ac:dyDescent="0.25">
      <c r="I156" s="57"/>
    </row>
    <row r="157" spans="9:9" x14ac:dyDescent="0.25">
      <c r="I157" s="57"/>
    </row>
    <row r="158" spans="9:9" x14ac:dyDescent="0.25">
      <c r="I158" s="57"/>
    </row>
    <row r="159" spans="9:9" x14ac:dyDescent="0.25">
      <c r="I159" s="57"/>
    </row>
    <row r="160" spans="9:9" x14ac:dyDescent="0.25">
      <c r="I160" s="57"/>
    </row>
    <row r="161" spans="9:9" x14ac:dyDescent="0.25">
      <c r="I161" s="57"/>
    </row>
    <row r="162" spans="9:9" x14ac:dyDescent="0.25">
      <c r="I162" s="57"/>
    </row>
    <row r="163" spans="9:9" x14ac:dyDescent="0.25">
      <c r="I163" s="57"/>
    </row>
    <row r="164" spans="9:9" x14ac:dyDescent="0.25">
      <c r="I164" s="57"/>
    </row>
    <row r="165" spans="9:9" x14ac:dyDescent="0.25">
      <c r="I165" s="57"/>
    </row>
    <row r="166" spans="9:9" x14ac:dyDescent="0.25">
      <c r="I166" s="57"/>
    </row>
    <row r="167" spans="9:9" x14ac:dyDescent="0.25">
      <c r="I167" s="57"/>
    </row>
    <row r="168" spans="9:9" x14ac:dyDescent="0.25">
      <c r="I168" s="57"/>
    </row>
    <row r="169" spans="9:9" x14ac:dyDescent="0.25">
      <c r="I169" s="57"/>
    </row>
    <row r="170" spans="9:9" x14ac:dyDescent="0.25">
      <c r="I170" s="57"/>
    </row>
    <row r="171" spans="9:9" x14ac:dyDescent="0.25">
      <c r="I171" s="57"/>
    </row>
    <row r="172" spans="9:9" x14ac:dyDescent="0.25">
      <c r="I172" s="57"/>
    </row>
    <row r="173" spans="9:9" x14ac:dyDescent="0.25">
      <c r="I173" s="57"/>
    </row>
    <row r="174" spans="9:9" x14ac:dyDescent="0.25">
      <c r="I174" s="57"/>
    </row>
    <row r="175" spans="9:9" x14ac:dyDescent="0.25">
      <c r="I175" s="57"/>
    </row>
    <row r="176" spans="9:9" x14ac:dyDescent="0.25">
      <c r="I176" s="57"/>
    </row>
    <row r="177" spans="9:9" x14ac:dyDescent="0.25">
      <c r="I177" s="57"/>
    </row>
    <row r="178" spans="9:9" x14ac:dyDescent="0.25">
      <c r="I178" s="57"/>
    </row>
    <row r="179" spans="9:9" x14ac:dyDescent="0.25">
      <c r="I179" s="57"/>
    </row>
    <row r="180" spans="9:9" x14ac:dyDescent="0.25">
      <c r="I180" s="57"/>
    </row>
    <row r="181" spans="9:9" x14ac:dyDescent="0.25">
      <c r="I181" s="57"/>
    </row>
    <row r="182" spans="9:9" x14ac:dyDescent="0.25">
      <c r="I182" s="57"/>
    </row>
    <row r="183" spans="9:9" x14ac:dyDescent="0.25">
      <c r="I183" s="57"/>
    </row>
    <row r="184" spans="9:9" x14ac:dyDescent="0.25">
      <c r="I184" s="57"/>
    </row>
    <row r="185" spans="9:9" x14ac:dyDescent="0.25">
      <c r="I185" s="57"/>
    </row>
    <row r="186" spans="9:9" x14ac:dyDescent="0.25">
      <c r="I186" s="57"/>
    </row>
    <row r="187" spans="9:9" x14ac:dyDescent="0.25">
      <c r="I187" s="57"/>
    </row>
    <row r="188" spans="9:9" x14ac:dyDescent="0.25">
      <c r="I188" s="57"/>
    </row>
    <row r="189" spans="9:9" x14ac:dyDescent="0.25">
      <c r="I189" s="57"/>
    </row>
    <row r="190" spans="9:9" x14ac:dyDescent="0.25">
      <c r="I190" s="57"/>
    </row>
    <row r="191" spans="9:9" x14ac:dyDescent="0.25">
      <c r="I191" s="57"/>
    </row>
    <row r="192" spans="9:9" x14ac:dyDescent="0.25">
      <c r="I192" s="57"/>
    </row>
    <row r="193" spans="9:9" x14ac:dyDescent="0.25">
      <c r="I193" s="57"/>
    </row>
    <row r="194" spans="9:9" x14ac:dyDescent="0.25">
      <c r="I194" s="57"/>
    </row>
    <row r="195" spans="9:9" x14ac:dyDescent="0.25">
      <c r="I195" s="57"/>
    </row>
    <row r="196" spans="9:9" x14ac:dyDescent="0.25">
      <c r="I196" s="57"/>
    </row>
    <row r="197" spans="9:9" x14ac:dyDescent="0.25">
      <c r="I197" s="57"/>
    </row>
    <row r="198" spans="9:9" x14ac:dyDescent="0.25">
      <c r="I198" s="57"/>
    </row>
    <row r="199" spans="9:9" x14ac:dyDescent="0.25">
      <c r="I199" s="57"/>
    </row>
    <row r="200" spans="9:9" x14ac:dyDescent="0.25">
      <c r="I200" s="57"/>
    </row>
    <row r="201" spans="9:9" x14ac:dyDescent="0.25">
      <c r="I201" s="57"/>
    </row>
    <row r="202" spans="9:9" x14ac:dyDescent="0.25">
      <c r="I202" s="57"/>
    </row>
    <row r="203" spans="9:9" x14ac:dyDescent="0.25">
      <c r="I203" s="57"/>
    </row>
    <row r="204" spans="9:9" x14ac:dyDescent="0.25">
      <c r="I204" s="57"/>
    </row>
    <row r="205" spans="9:9" x14ac:dyDescent="0.25">
      <c r="I205" s="57"/>
    </row>
    <row r="206" spans="9:9" x14ac:dyDescent="0.25">
      <c r="I206" s="57"/>
    </row>
    <row r="207" spans="9:9" x14ac:dyDescent="0.25">
      <c r="I207" s="57"/>
    </row>
    <row r="208" spans="9:9" x14ac:dyDescent="0.25">
      <c r="I208" s="57"/>
    </row>
    <row r="209" spans="9:9" x14ac:dyDescent="0.25">
      <c r="I209" s="57"/>
    </row>
    <row r="210" spans="9:9" x14ac:dyDescent="0.25">
      <c r="I210" s="57"/>
    </row>
    <row r="211" spans="9:9" x14ac:dyDescent="0.25">
      <c r="I211" s="57"/>
    </row>
    <row r="212" spans="9:9" x14ac:dyDescent="0.25">
      <c r="I212" s="57"/>
    </row>
    <row r="213" spans="9:9" x14ac:dyDescent="0.25">
      <c r="I213" s="57"/>
    </row>
    <row r="214" spans="9:9" x14ac:dyDescent="0.25">
      <c r="I214" s="57"/>
    </row>
    <row r="215" spans="9:9" x14ac:dyDescent="0.25">
      <c r="I215" s="57"/>
    </row>
    <row r="216" spans="9:9" x14ac:dyDescent="0.25">
      <c r="I216" s="57"/>
    </row>
    <row r="217" spans="9:9" x14ac:dyDescent="0.25">
      <c r="I217" s="57"/>
    </row>
    <row r="218" spans="9:9" x14ac:dyDescent="0.25">
      <c r="I218" s="57"/>
    </row>
    <row r="219" spans="9:9" x14ac:dyDescent="0.25">
      <c r="I219" s="57"/>
    </row>
    <row r="220" spans="9:9" x14ac:dyDescent="0.25">
      <c r="I220" s="57"/>
    </row>
    <row r="221" spans="9:9" x14ac:dyDescent="0.25">
      <c r="I221" s="57"/>
    </row>
    <row r="222" spans="9:9" x14ac:dyDescent="0.25">
      <c r="I222" s="57"/>
    </row>
    <row r="223" spans="9:9" x14ac:dyDescent="0.25">
      <c r="I223" s="57"/>
    </row>
    <row r="224" spans="9:9" x14ac:dyDescent="0.25">
      <c r="I224" s="57"/>
    </row>
    <row r="225" spans="9:9" x14ac:dyDescent="0.25">
      <c r="I225" s="57"/>
    </row>
    <row r="226" spans="9:9" x14ac:dyDescent="0.25">
      <c r="I226" s="57"/>
    </row>
    <row r="227" spans="9:9" x14ac:dyDescent="0.25">
      <c r="I227" s="57"/>
    </row>
    <row r="228" spans="9:9" x14ac:dyDescent="0.25">
      <c r="I228" s="57"/>
    </row>
    <row r="229" spans="9:9" x14ac:dyDescent="0.25">
      <c r="I229" s="57"/>
    </row>
    <row r="230" spans="9:9" x14ac:dyDescent="0.25">
      <c r="I230" s="57"/>
    </row>
    <row r="231" spans="9:9" x14ac:dyDescent="0.25">
      <c r="I231" s="57"/>
    </row>
    <row r="232" spans="9:9" x14ac:dyDescent="0.25">
      <c r="I232" s="57"/>
    </row>
    <row r="233" spans="9:9" x14ac:dyDescent="0.25">
      <c r="I233" s="57"/>
    </row>
    <row r="234" spans="9:9" x14ac:dyDescent="0.25">
      <c r="I234" s="57"/>
    </row>
    <row r="235" spans="9:9" x14ac:dyDescent="0.25">
      <c r="I235" s="57"/>
    </row>
    <row r="236" spans="9:9" x14ac:dyDescent="0.25">
      <c r="I236" s="57"/>
    </row>
    <row r="237" spans="9:9" x14ac:dyDescent="0.25">
      <c r="I237" s="57"/>
    </row>
    <row r="238" spans="9:9" x14ac:dyDescent="0.25">
      <c r="I238" s="57"/>
    </row>
    <row r="239" spans="9:9" x14ac:dyDescent="0.25">
      <c r="I239" s="57"/>
    </row>
    <row r="240" spans="9:9" x14ac:dyDescent="0.25">
      <c r="I240" s="57"/>
    </row>
    <row r="241" spans="9:9" x14ac:dyDescent="0.25">
      <c r="I241" s="57"/>
    </row>
    <row r="242" spans="9:9" x14ac:dyDescent="0.25">
      <c r="I242" s="57"/>
    </row>
    <row r="243" spans="9:9" x14ac:dyDescent="0.25">
      <c r="I243" s="57"/>
    </row>
    <row r="244" spans="9:9" x14ac:dyDescent="0.25">
      <c r="I244" s="57"/>
    </row>
    <row r="245" spans="9:9" x14ac:dyDescent="0.25">
      <c r="I245" s="57"/>
    </row>
    <row r="246" spans="9:9" x14ac:dyDescent="0.25">
      <c r="I246" s="57"/>
    </row>
    <row r="247" spans="9:9" x14ac:dyDescent="0.25">
      <c r="I247" s="57"/>
    </row>
    <row r="248" spans="9:9" x14ac:dyDescent="0.25">
      <c r="I248" s="57"/>
    </row>
    <row r="249" spans="9:9" x14ac:dyDescent="0.25">
      <c r="I249" s="57"/>
    </row>
    <row r="250" spans="9:9" x14ac:dyDescent="0.25">
      <c r="I250" s="57"/>
    </row>
    <row r="251" spans="9:9" x14ac:dyDescent="0.25">
      <c r="I251" s="57"/>
    </row>
    <row r="252" spans="9:9" x14ac:dyDescent="0.25">
      <c r="I252" s="57"/>
    </row>
    <row r="253" spans="9:9" x14ac:dyDescent="0.25">
      <c r="I253" s="57"/>
    </row>
    <row r="254" spans="9:9" x14ac:dyDescent="0.25">
      <c r="I254" s="57"/>
    </row>
    <row r="255" spans="9:9" x14ac:dyDescent="0.25">
      <c r="I255" s="57"/>
    </row>
    <row r="256" spans="9:9" x14ac:dyDescent="0.25">
      <c r="I256" s="57"/>
    </row>
    <row r="257" spans="9:9" x14ac:dyDescent="0.25">
      <c r="I257" s="57"/>
    </row>
    <row r="258" spans="9:9" x14ac:dyDescent="0.25">
      <c r="I258" s="57"/>
    </row>
    <row r="259" spans="9:9" x14ac:dyDescent="0.25">
      <c r="I259" s="57"/>
    </row>
    <row r="260" spans="9:9" x14ac:dyDescent="0.25">
      <c r="I260" s="57"/>
    </row>
    <row r="261" spans="9:9" x14ac:dyDescent="0.25">
      <c r="I261" s="57"/>
    </row>
    <row r="262" spans="9:9" x14ac:dyDescent="0.25">
      <c r="I262" s="57"/>
    </row>
    <row r="263" spans="9:9" x14ac:dyDescent="0.25">
      <c r="I263" s="57"/>
    </row>
    <row r="264" spans="9:9" x14ac:dyDescent="0.25">
      <c r="I264" s="57"/>
    </row>
    <row r="265" spans="9:9" x14ac:dyDescent="0.25">
      <c r="I265" s="57"/>
    </row>
    <row r="266" spans="9:9" x14ac:dyDescent="0.25">
      <c r="I266" s="57"/>
    </row>
    <row r="267" spans="9:9" x14ac:dyDescent="0.25">
      <c r="I267" s="57"/>
    </row>
    <row r="268" spans="9:9" x14ac:dyDescent="0.25">
      <c r="I268" s="57"/>
    </row>
    <row r="269" spans="9:9" x14ac:dyDescent="0.25">
      <c r="I269" s="57"/>
    </row>
    <row r="270" spans="9:9" x14ac:dyDescent="0.25">
      <c r="I270" s="57"/>
    </row>
    <row r="271" spans="9:9" x14ac:dyDescent="0.25">
      <c r="I271" s="57"/>
    </row>
    <row r="272" spans="9:9" x14ac:dyDescent="0.25">
      <c r="I272" s="57"/>
    </row>
    <row r="273" spans="9:9" x14ac:dyDescent="0.25">
      <c r="I273" s="57"/>
    </row>
    <row r="274" spans="9:9" x14ac:dyDescent="0.25">
      <c r="I274" s="57"/>
    </row>
    <row r="275" spans="9:9" x14ac:dyDescent="0.25">
      <c r="I275" s="57"/>
    </row>
    <row r="276" spans="9:9" x14ac:dyDescent="0.25">
      <c r="I276" s="57"/>
    </row>
    <row r="277" spans="9:9" x14ac:dyDescent="0.25">
      <c r="I277" s="57"/>
    </row>
    <row r="278" spans="9:9" x14ac:dyDescent="0.25">
      <c r="I278" s="57"/>
    </row>
    <row r="279" spans="9:9" x14ac:dyDescent="0.25">
      <c r="I279" s="57"/>
    </row>
    <row r="280" spans="9:9" x14ac:dyDescent="0.25">
      <c r="I280" s="57"/>
    </row>
    <row r="281" spans="9:9" x14ac:dyDescent="0.25">
      <c r="I281" s="57"/>
    </row>
    <row r="282" spans="9:9" x14ac:dyDescent="0.25">
      <c r="I282" s="57"/>
    </row>
    <row r="283" spans="9:9" x14ac:dyDescent="0.25">
      <c r="I283" s="57"/>
    </row>
    <row r="284" spans="9:9" x14ac:dyDescent="0.25">
      <c r="I284" s="57"/>
    </row>
    <row r="285" spans="9:9" x14ac:dyDescent="0.25">
      <c r="I285" s="57"/>
    </row>
    <row r="286" spans="9:9" x14ac:dyDescent="0.25">
      <c r="I286" s="57"/>
    </row>
    <row r="287" spans="9:9" x14ac:dyDescent="0.25">
      <c r="I287" s="57"/>
    </row>
    <row r="288" spans="9:9" x14ac:dyDescent="0.25">
      <c r="I288" s="57"/>
    </row>
    <row r="289" spans="9:9" x14ac:dyDescent="0.25">
      <c r="I289" s="57"/>
    </row>
    <row r="290" spans="9:9" x14ac:dyDescent="0.25">
      <c r="I290" s="57"/>
    </row>
    <row r="291" spans="9:9" x14ac:dyDescent="0.25">
      <c r="I291" s="57"/>
    </row>
    <row r="292" spans="9:9" x14ac:dyDescent="0.25">
      <c r="I292" s="57"/>
    </row>
    <row r="293" spans="9:9" x14ac:dyDescent="0.25">
      <c r="I293" s="57"/>
    </row>
    <row r="294" spans="9:9" x14ac:dyDescent="0.25">
      <c r="I294" s="57"/>
    </row>
    <row r="295" spans="9:9" x14ac:dyDescent="0.25">
      <c r="I295" s="57"/>
    </row>
    <row r="296" spans="9:9" x14ac:dyDescent="0.25">
      <c r="I296" s="57"/>
    </row>
    <row r="297" spans="9:9" x14ac:dyDescent="0.25">
      <c r="I297" s="57"/>
    </row>
    <row r="298" spans="9:9" x14ac:dyDescent="0.25">
      <c r="I298" s="57"/>
    </row>
    <row r="299" spans="9:9" x14ac:dyDescent="0.25">
      <c r="I299" s="57"/>
    </row>
    <row r="300" spans="9:9" x14ac:dyDescent="0.25">
      <c r="I300" s="57"/>
    </row>
    <row r="301" spans="9:9" x14ac:dyDescent="0.25">
      <c r="I301" s="57"/>
    </row>
    <row r="302" spans="9:9" x14ac:dyDescent="0.25">
      <c r="I302" s="57"/>
    </row>
    <row r="303" spans="9:9" x14ac:dyDescent="0.25">
      <c r="I303" s="57"/>
    </row>
    <row r="304" spans="9:9" x14ac:dyDescent="0.25">
      <c r="I304" s="57"/>
    </row>
    <row r="305" spans="9:9" x14ac:dyDescent="0.25">
      <c r="I305" s="57"/>
    </row>
    <row r="306" spans="9:9" x14ac:dyDescent="0.25">
      <c r="I306" s="57"/>
    </row>
    <row r="307" spans="9:9" x14ac:dyDescent="0.25">
      <c r="I307" s="57"/>
    </row>
    <row r="308" spans="9:9" x14ac:dyDescent="0.25">
      <c r="I308" s="57"/>
    </row>
    <row r="309" spans="9:9" x14ac:dyDescent="0.25">
      <c r="I309" s="57"/>
    </row>
    <row r="310" spans="9:9" x14ac:dyDescent="0.25">
      <c r="I310" s="57"/>
    </row>
    <row r="311" spans="9:9" x14ac:dyDescent="0.25">
      <c r="I311" s="57"/>
    </row>
    <row r="312" spans="9:9" x14ac:dyDescent="0.25">
      <c r="I312" s="57"/>
    </row>
    <row r="313" spans="9:9" x14ac:dyDescent="0.25">
      <c r="I313" s="57"/>
    </row>
    <row r="314" spans="9:9" x14ac:dyDescent="0.25">
      <c r="I314" s="57"/>
    </row>
    <row r="315" spans="9:9" x14ac:dyDescent="0.25">
      <c r="I315" s="57"/>
    </row>
    <row r="316" spans="9:9" x14ac:dyDescent="0.25">
      <c r="I316" s="57"/>
    </row>
    <row r="317" spans="9:9" x14ac:dyDescent="0.25">
      <c r="I317" s="57"/>
    </row>
    <row r="318" spans="9:9" x14ac:dyDescent="0.25">
      <c r="I318" s="57"/>
    </row>
    <row r="319" spans="9:9" x14ac:dyDescent="0.25">
      <c r="I319" s="57"/>
    </row>
    <row r="320" spans="9:9" x14ac:dyDescent="0.25">
      <c r="I320" s="57"/>
    </row>
    <row r="321" spans="9:9" x14ac:dyDescent="0.25">
      <c r="I321" s="57"/>
    </row>
    <row r="322" spans="9:9" x14ac:dyDescent="0.25">
      <c r="I322" s="57"/>
    </row>
    <row r="323" spans="9:9" x14ac:dyDescent="0.25">
      <c r="I323" s="57"/>
    </row>
    <row r="324" spans="9:9" x14ac:dyDescent="0.25">
      <c r="I324" s="57"/>
    </row>
    <row r="325" spans="9:9" x14ac:dyDescent="0.25">
      <c r="I325" s="57"/>
    </row>
    <row r="326" spans="9:9" x14ac:dyDescent="0.25">
      <c r="I326" s="57"/>
    </row>
    <row r="327" spans="9:9" x14ac:dyDescent="0.25">
      <c r="I327" s="57"/>
    </row>
    <row r="328" spans="9:9" x14ac:dyDescent="0.25">
      <c r="I328" s="57"/>
    </row>
    <row r="329" spans="9:9" x14ac:dyDescent="0.25">
      <c r="I329" s="57"/>
    </row>
    <row r="330" spans="9:9" x14ac:dyDescent="0.25">
      <c r="I330" s="57"/>
    </row>
    <row r="331" spans="9:9" x14ac:dyDescent="0.25">
      <c r="I331" s="57"/>
    </row>
    <row r="332" spans="9:9" x14ac:dyDescent="0.25">
      <c r="I332" s="57"/>
    </row>
    <row r="333" spans="9:9" x14ac:dyDescent="0.25">
      <c r="I333" s="57"/>
    </row>
    <row r="334" spans="9:9" x14ac:dyDescent="0.25">
      <c r="I334" s="57"/>
    </row>
    <row r="335" spans="9:9" x14ac:dyDescent="0.25">
      <c r="I335" s="57"/>
    </row>
    <row r="336" spans="9:9" x14ac:dyDescent="0.25">
      <c r="I336" s="57"/>
    </row>
    <row r="337" spans="9:9" x14ac:dyDescent="0.25">
      <c r="I337" s="57"/>
    </row>
    <row r="338" spans="9:9" x14ac:dyDescent="0.25">
      <c r="I338" s="57"/>
    </row>
    <row r="339" spans="9:9" x14ac:dyDescent="0.25">
      <c r="I339" s="57"/>
    </row>
    <row r="340" spans="9:9" x14ac:dyDescent="0.25">
      <c r="I340" s="57"/>
    </row>
    <row r="341" spans="9:9" x14ac:dyDescent="0.25">
      <c r="I341" s="57"/>
    </row>
    <row r="342" spans="9:9" x14ac:dyDescent="0.25">
      <c r="I342" s="57"/>
    </row>
    <row r="343" spans="9:9" x14ac:dyDescent="0.25">
      <c r="I343" s="57"/>
    </row>
    <row r="344" spans="9:9" x14ac:dyDescent="0.25">
      <c r="I344" s="57"/>
    </row>
    <row r="345" spans="9:9" x14ac:dyDescent="0.25">
      <c r="I345" s="57"/>
    </row>
    <row r="346" spans="9:9" x14ac:dyDescent="0.25">
      <c r="I346" s="57"/>
    </row>
    <row r="347" spans="9:9" x14ac:dyDescent="0.25">
      <c r="I347" s="57"/>
    </row>
    <row r="348" spans="9:9" x14ac:dyDescent="0.25">
      <c r="I348" s="57"/>
    </row>
    <row r="349" spans="9:9" x14ac:dyDescent="0.25">
      <c r="I349" s="57"/>
    </row>
    <row r="350" spans="9:9" x14ac:dyDescent="0.25">
      <c r="I350" s="57"/>
    </row>
    <row r="351" spans="9:9" x14ac:dyDescent="0.25">
      <c r="I351" s="57"/>
    </row>
    <row r="352" spans="9:9" x14ac:dyDescent="0.25">
      <c r="I352" s="57"/>
    </row>
    <row r="353" spans="9:9" x14ac:dyDescent="0.25">
      <c r="I353" s="57"/>
    </row>
    <row r="354" spans="9:9" x14ac:dyDescent="0.25">
      <c r="I354" s="57"/>
    </row>
    <row r="355" spans="9:9" x14ac:dyDescent="0.25">
      <c r="I355" s="57"/>
    </row>
    <row r="356" spans="9:9" x14ac:dyDescent="0.25">
      <c r="I356" s="57"/>
    </row>
    <row r="357" spans="9:9" x14ac:dyDescent="0.25">
      <c r="I357" s="57"/>
    </row>
    <row r="358" spans="9:9" x14ac:dyDescent="0.25">
      <c r="I358" s="57"/>
    </row>
    <row r="359" spans="9:9" x14ac:dyDescent="0.25">
      <c r="I359" s="57"/>
    </row>
    <row r="360" spans="9:9" x14ac:dyDescent="0.25">
      <c r="I360" s="57"/>
    </row>
    <row r="361" spans="9:9" x14ac:dyDescent="0.25">
      <c r="I361" s="57"/>
    </row>
    <row r="362" spans="9:9" x14ac:dyDescent="0.25">
      <c r="I362" s="57"/>
    </row>
    <row r="363" spans="9:9" x14ac:dyDescent="0.25">
      <c r="I363" s="57"/>
    </row>
    <row r="364" spans="9:9" x14ac:dyDescent="0.25">
      <c r="I364" s="57"/>
    </row>
    <row r="365" spans="9:9" x14ac:dyDescent="0.25">
      <c r="I365" s="57"/>
    </row>
    <row r="366" spans="9:9" x14ac:dyDescent="0.25">
      <c r="I366" s="57"/>
    </row>
    <row r="367" spans="9:9" x14ac:dyDescent="0.25">
      <c r="I367" s="57"/>
    </row>
    <row r="368" spans="9:9" x14ac:dyDescent="0.25">
      <c r="I368" s="57"/>
    </row>
    <row r="369" spans="9:9" x14ac:dyDescent="0.25">
      <c r="I369" s="57"/>
    </row>
    <row r="370" spans="9:9" x14ac:dyDescent="0.25">
      <c r="I370" s="57"/>
    </row>
    <row r="371" spans="9:9" x14ac:dyDescent="0.25">
      <c r="I371" s="57"/>
    </row>
    <row r="372" spans="9:9" x14ac:dyDescent="0.25">
      <c r="I372" s="57"/>
    </row>
    <row r="373" spans="9:9" x14ac:dyDescent="0.25">
      <c r="I373" s="57"/>
    </row>
    <row r="374" spans="9:9" x14ac:dyDescent="0.25">
      <c r="I374" s="57"/>
    </row>
    <row r="375" spans="9:9" x14ac:dyDescent="0.25">
      <c r="I375" s="57"/>
    </row>
    <row r="376" spans="9:9" x14ac:dyDescent="0.25">
      <c r="I376" s="57"/>
    </row>
    <row r="377" spans="9:9" x14ac:dyDescent="0.25">
      <c r="I377" s="57"/>
    </row>
    <row r="378" spans="9:9" x14ac:dyDescent="0.25">
      <c r="I378" s="57"/>
    </row>
    <row r="379" spans="9:9" x14ac:dyDescent="0.25">
      <c r="I379" s="57"/>
    </row>
    <row r="380" spans="9:9" x14ac:dyDescent="0.25">
      <c r="I380" s="57"/>
    </row>
    <row r="381" spans="9:9" x14ac:dyDescent="0.25">
      <c r="I381" s="57"/>
    </row>
    <row r="382" spans="9:9" x14ac:dyDescent="0.25">
      <c r="I382" s="57"/>
    </row>
    <row r="383" spans="9:9" x14ac:dyDescent="0.25">
      <c r="I383" s="57"/>
    </row>
    <row r="384" spans="9:9" x14ac:dyDescent="0.25">
      <c r="I384" s="57"/>
    </row>
    <row r="385" spans="9:9" x14ac:dyDescent="0.25">
      <c r="I385" s="57"/>
    </row>
    <row r="386" spans="9:9" x14ac:dyDescent="0.25">
      <c r="I386" s="57"/>
    </row>
    <row r="387" spans="9:9" x14ac:dyDescent="0.25">
      <c r="I387" s="57"/>
    </row>
    <row r="388" spans="9:9" x14ac:dyDescent="0.25">
      <c r="I388" s="57"/>
    </row>
    <row r="389" spans="9:9" x14ac:dyDescent="0.25">
      <c r="I389" s="57"/>
    </row>
    <row r="390" spans="9:9" x14ac:dyDescent="0.25">
      <c r="I390" s="57"/>
    </row>
    <row r="391" spans="9:9" x14ac:dyDescent="0.25">
      <c r="I391" s="57"/>
    </row>
    <row r="392" spans="9:9" x14ac:dyDescent="0.25">
      <c r="I392" s="57"/>
    </row>
    <row r="393" spans="9:9" x14ac:dyDescent="0.25">
      <c r="I393" s="57"/>
    </row>
    <row r="394" spans="9:9" x14ac:dyDescent="0.25">
      <c r="I394" s="57"/>
    </row>
    <row r="395" spans="9:9" x14ac:dyDescent="0.25">
      <c r="I395" s="57"/>
    </row>
    <row r="396" spans="9:9" x14ac:dyDescent="0.25">
      <c r="I396" s="57"/>
    </row>
    <row r="397" spans="9:9" x14ac:dyDescent="0.25">
      <c r="I397" s="57"/>
    </row>
    <row r="398" spans="9:9" x14ac:dyDescent="0.25">
      <c r="I398" s="57"/>
    </row>
    <row r="399" spans="9:9" x14ac:dyDescent="0.25">
      <c r="I399" s="57"/>
    </row>
    <row r="400" spans="9:9" x14ac:dyDescent="0.25">
      <c r="I400" s="57"/>
    </row>
    <row r="401" spans="9:9" x14ac:dyDescent="0.25">
      <c r="I401" s="57"/>
    </row>
    <row r="402" spans="9:9" x14ac:dyDescent="0.25">
      <c r="I402" s="57"/>
    </row>
    <row r="403" spans="9:9" x14ac:dyDescent="0.25">
      <c r="I403" s="57"/>
    </row>
    <row r="404" spans="9:9" x14ac:dyDescent="0.25">
      <c r="I404" s="57"/>
    </row>
    <row r="405" spans="9:9" x14ac:dyDescent="0.25">
      <c r="I405" s="57"/>
    </row>
    <row r="406" spans="9:9" x14ac:dyDescent="0.25">
      <c r="I406" s="57"/>
    </row>
    <row r="407" spans="9:9" x14ac:dyDescent="0.25">
      <c r="I407" s="57"/>
    </row>
    <row r="408" spans="9:9" x14ac:dyDescent="0.25">
      <c r="I408" s="57"/>
    </row>
    <row r="409" spans="9:9" x14ac:dyDescent="0.25">
      <c r="I409" s="57"/>
    </row>
    <row r="410" spans="9:9" x14ac:dyDescent="0.25">
      <c r="I410" s="57"/>
    </row>
    <row r="411" spans="9:9" x14ac:dyDescent="0.25">
      <c r="I411" s="57"/>
    </row>
    <row r="412" spans="9:9" x14ac:dyDescent="0.25">
      <c r="I412" s="57"/>
    </row>
    <row r="413" spans="9:9" x14ac:dyDescent="0.25">
      <c r="I413" s="57"/>
    </row>
    <row r="414" spans="9:9" x14ac:dyDescent="0.25">
      <c r="I414" s="57"/>
    </row>
    <row r="415" spans="9:9" x14ac:dyDescent="0.25">
      <c r="I415" s="57"/>
    </row>
    <row r="416" spans="9:9" x14ac:dyDescent="0.25">
      <c r="I416" s="57"/>
    </row>
    <row r="417" spans="9:9" x14ac:dyDescent="0.25">
      <c r="I417" s="57"/>
    </row>
    <row r="418" spans="9:9" x14ac:dyDescent="0.25">
      <c r="I418" s="57"/>
    </row>
    <row r="419" spans="9:9" x14ac:dyDescent="0.25">
      <c r="I419" s="57"/>
    </row>
    <row r="420" spans="9:9" x14ac:dyDescent="0.25">
      <c r="I420" s="57"/>
    </row>
    <row r="421" spans="9:9" x14ac:dyDescent="0.25">
      <c r="I421" s="57"/>
    </row>
    <row r="422" spans="9:9" x14ac:dyDescent="0.25">
      <c r="I422" s="57"/>
    </row>
    <row r="423" spans="9:9" x14ac:dyDescent="0.25">
      <c r="I423" s="57"/>
    </row>
    <row r="424" spans="9:9" x14ac:dyDescent="0.25">
      <c r="I424" s="57"/>
    </row>
    <row r="425" spans="9:9" x14ac:dyDescent="0.25">
      <c r="I425" s="57"/>
    </row>
    <row r="426" spans="9:9" x14ac:dyDescent="0.25">
      <c r="I426" s="57"/>
    </row>
    <row r="427" spans="9:9" x14ac:dyDescent="0.25">
      <c r="I427" s="57"/>
    </row>
    <row r="428" spans="9:9" x14ac:dyDescent="0.25">
      <c r="I428" s="57"/>
    </row>
    <row r="429" spans="9:9" x14ac:dyDescent="0.25">
      <c r="I429" s="57"/>
    </row>
    <row r="430" spans="9:9" x14ac:dyDescent="0.25">
      <c r="I430" s="57"/>
    </row>
    <row r="431" spans="9:9" x14ac:dyDescent="0.25">
      <c r="I431" s="57"/>
    </row>
    <row r="432" spans="9:9" x14ac:dyDescent="0.25">
      <c r="I432" s="57"/>
    </row>
    <row r="433" spans="9:9" x14ac:dyDescent="0.25">
      <c r="I433" s="57"/>
    </row>
    <row r="434" spans="9:9" x14ac:dyDescent="0.25">
      <c r="I434" s="57"/>
    </row>
    <row r="435" spans="9:9" x14ac:dyDescent="0.25">
      <c r="I435" s="57"/>
    </row>
    <row r="436" spans="9:9" x14ac:dyDescent="0.25">
      <c r="I436" s="57"/>
    </row>
    <row r="437" spans="9:9" x14ac:dyDescent="0.25">
      <c r="I437" s="57"/>
    </row>
    <row r="438" spans="9:9" x14ac:dyDescent="0.25">
      <c r="I438" s="57"/>
    </row>
    <row r="439" spans="9:9" x14ac:dyDescent="0.25">
      <c r="I439" s="57"/>
    </row>
    <row r="440" spans="9:9" x14ac:dyDescent="0.25">
      <c r="I440" s="57"/>
    </row>
    <row r="441" spans="9:9" x14ac:dyDescent="0.25">
      <c r="I441" s="57"/>
    </row>
    <row r="442" spans="9:9" x14ac:dyDescent="0.25">
      <c r="I442" s="57"/>
    </row>
    <row r="443" spans="9:9" x14ac:dyDescent="0.25">
      <c r="I443" s="57"/>
    </row>
    <row r="444" spans="9:9" x14ac:dyDescent="0.25">
      <c r="I444" s="57"/>
    </row>
    <row r="445" spans="9:9" x14ac:dyDescent="0.25">
      <c r="I445" s="57"/>
    </row>
    <row r="446" spans="9:9" x14ac:dyDescent="0.25">
      <c r="I446" s="57"/>
    </row>
    <row r="447" spans="9:9" x14ac:dyDescent="0.25">
      <c r="I447" s="57"/>
    </row>
    <row r="448" spans="9:9" x14ac:dyDescent="0.25">
      <c r="I448" s="57"/>
    </row>
    <row r="449" spans="9:9" x14ac:dyDescent="0.25">
      <c r="I449" s="57"/>
    </row>
    <row r="450" spans="9:9" x14ac:dyDescent="0.25">
      <c r="I450" s="57"/>
    </row>
    <row r="451" spans="9:9" x14ac:dyDescent="0.25">
      <c r="I451" s="57"/>
    </row>
    <row r="452" spans="9:9" x14ac:dyDescent="0.25">
      <c r="I452" s="57"/>
    </row>
    <row r="453" spans="9:9" x14ac:dyDescent="0.25">
      <c r="I453" s="57"/>
    </row>
    <row r="454" spans="9:9" x14ac:dyDescent="0.25">
      <c r="I454" s="57"/>
    </row>
    <row r="455" spans="9:9" x14ac:dyDescent="0.25">
      <c r="I455" s="57"/>
    </row>
    <row r="456" spans="9:9" x14ac:dyDescent="0.25">
      <c r="I456" s="57"/>
    </row>
    <row r="457" spans="9:9" x14ac:dyDescent="0.25">
      <c r="I457" s="57"/>
    </row>
    <row r="458" spans="9:9" x14ac:dyDescent="0.25">
      <c r="I458" s="57"/>
    </row>
    <row r="459" spans="9:9" x14ac:dyDescent="0.25">
      <c r="I459" s="57"/>
    </row>
    <row r="460" spans="9:9" x14ac:dyDescent="0.25">
      <c r="I460" s="57"/>
    </row>
    <row r="461" spans="9:9" x14ac:dyDescent="0.25">
      <c r="I461" s="57"/>
    </row>
    <row r="462" spans="9:9" x14ac:dyDescent="0.25">
      <c r="I462" s="57"/>
    </row>
    <row r="463" spans="9:9" x14ac:dyDescent="0.25">
      <c r="I463" s="57"/>
    </row>
    <row r="464" spans="9:9" x14ac:dyDescent="0.25">
      <c r="I464" s="57"/>
    </row>
    <row r="465" spans="9:9" x14ac:dyDescent="0.25">
      <c r="I465" s="57"/>
    </row>
    <row r="466" spans="9:9" x14ac:dyDescent="0.25">
      <c r="I466" s="57"/>
    </row>
    <row r="467" spans="9:9" x14ac:dyDescent="0.25">
      <c r="I467" s="57"/>
    </row>
    <row r="468" spans="9:9" x14ac:dyDescent="0.25">
      <c r="I468" s="57"/>
    </row>
    <row r="469" spans="9:9" x14ac:dyDescent="0.25">
      <c r="I469" s="57"/>
    </row>
    <row r="470" spans="9:9" x14ac:dyDescent="0.25">
      <c r="I470" s="57"/>
    </row>
    <row r="471" spans="9:9" x14ac:dyDescent="0.25">
      <c r="I471" s="57"/>
    </row>
    <row r="472" spans="9:9" x14ac:dyDescent="0.25">
      <c r="I472" s="57"/>
    </row>
    <row r="473" spans="9:9" x14ac:dyDescent="0.25">
      <c r="I473" s="57"/>
    </row>
    <row r="474" spans="9:9" x14ac:dyDescent="0.25">
      <c r="I474" s="57"/>
    </row>
    <row r="475" spans="9:9" x14ac:dyDescent="0.25">
      <c r="I475" s="57"/>
    </row>
    <row r="476" spans="9:9" x14ac:dyDescent="0.25">
      <c r="I476" s="57"/>
    </row>
    <row r="477" spans="9:9" x14ac:dyDescent="0.25">
      <c r="I477" s="57"/>
    </row>
    <row r="478" spans="9:9" x14ac:dyDescent="0.25">
      <c r="I478" s="57"/>
    </row>
    <row r="479" spans="9:9" x14ac:dyDescent="0.25">
      <c r="I479" s="57"/>
    </row>
    <row r="480" spans="9:9" x14ac:dyDescent="0.25">
      <c r="I480" s="57"/>
    </row>
    <row r="481" spans="9:9" x14ac:dyDescent="0.25">
      <c r="I481" s="57"/>
    </row>
    <row r="482" spans="9:9" x14ac:dyDescent="0.25">
      <c r="I482" s="57"/>
    </row>
    <row r="483" spans="9:9" x14ac:dyDescent="0.25">
      <c r="I483" s="57"/>
    </row>
    <row r="484" spans="9:9" x14ac:dyDescent="0.25">
      <c r="I484" s="57"/>
    </row>
    <row r="485" spans="9:9" x14ac:dyDescent="0.25">
      <c r="I485" s="57"/>
    </row>
    <row r="486" spans="9:9" x14ac:dyDescent="0.25">
      <c r="I486" s="57"/>
    </row>
    <row r="487" spans="9:9" x14ac:dyDescent="0.25">
      <c r="I487" s="57"/>
    </row>
    <row r="488" spans="9:9" x14ac:dyDescent="0.25">
      <c r="I488" s="57"/>
    </row>
    <row r="489" spans="9:9" x14ac:dyDescent="0.25">
      <c r="I489" s="57"/>
    </row>
    <row r="490" spans="9:9" x14ac:dyDescent="0.25">
      <c r="I490" s="57"/>
    </row>
    <row r="491" spans="9:9" x14ac:dyDescent="0.25">
      <c r="I491" s="57"/>
    </row>
    <row r="492" spans="9:9" x14ac:dyDescent="0.25">
      <c r="I492" s="57"/>
    </row>
    <row r="493" spans="9:9" x14ac:dyDescent="0.25">
      <c r="I493" s="57"/>
    </row>
    <row r="494" spans="9:9" x14ac:dyDescent="0.25">
      <c r="I494" s="57"/>
    </row>
    <row r="495" spans="9:9" x14ac:dyDescent="0.25">
      <c r="I495" s="57"/>
    </row>
    <row r="496" spans="9:9" x14ac:dyDescent="0.25">
      <c r="I496" s="57"/>
    </row>
    <row r="497" spans="9:9" x14ac:dyDescent="0.25">
      <c r="I497" s="57"/>
    </row>
    <row r="498" spans="9:9" x14ac:dyDescent="0.25">
      <c r="I498" s="57"/>
    </row>
    <row r="499" spans="9:9" x14ac:dyDescent="0.25">
      <c r="I499" s="57"/>
    </row>
    <row r="500" spans="9:9" x14ac:dyDescent="0.25">
      <c r="I500" s="57"/>
    </row>
    <row r="501" spans="9:9" x14ac:dyDescent="0.25">
      <c r="I501" s="57"/>
    </row>
    <row r="502" spans="9:9" x14ac:dyDescent="0.25">
      <c r="I502" s="57"/>
    </row>
    <row r="503" spans="9:9" x14ac:dyDescent="0.25">
      <c r="I503" s="57"/>
    </row>
    <row r="504" spans="9:9" x14ac:dyDescent="0.25">
      <c r="I504" s="57"/>
    </row>
    <row r="505" spans="9:9" x14ac:dyDescent="0.25">
      <c r="I505" s="57"/>
    </row>
    <row r="506" spans="9:9" x14ac:dyDescent="0.25">
      <c r="I506" s="57"/>
    </row>
    <row r="507" spans="9:9" x14ac:dyDescent="0.25">
      <c r="I507" s="57"/>
    </row>
    <row r="508" spans="9:9" x14ac:dyDescent="0.25">
      <c r="I508" s="57"/>
    </row>
    <row r="509" spans="9:9" x14ac:dyDescent="0.25">
      <c r="I509" s="57"/>
    </row>
    <row r="510" spans="9:9" x14ac:dyDescent="0.25">
      <c r="I510" s="57"/>
    </row>
    <row r="511" spans="9:9" x14ac:dyDescent="0.25">
      <c r="I511" s="57"/>
    </row>
    <row r="512" spans="9:9" x14ac:dyDescent="0.25">
      <c r="I512" s="57"/>
    </row>
    <row r="513" spans="9:9" x14ac:dyDescent="0.25">
      <c r="I513" s="57"/>
    </row>
    <row r="514" spans="9:9" x14ac:dyDescent="0.25">
      <c r="I514" s="57"/>
    </row>
    <row r="515" spans="9:9" x14ac:dyDescent="0.25">
      <c r="I515" s="57"/>
    </row>
    <row r="516" spans="9:9" x14ac:dyDescent="0.25">
      <c r="I516" s="57"/>
    </row>
    <row r="517" spans="9:9" x14ac:dyDescent="0.25">
      <c r="I517" s="57"/>
    </row>
    <row r="518" spans="9:9" x14ac:dyDescent="0.25">
      <c r="I518" s="57"/>
    </row>
    <row r="519" spans="9:9" x14ac:dyDescent="0.25">
      <c r="I519" s="57"/>
    </row>
    <row r="520" spans="9:9" x14ac:dyDescent="0.25">
      <c r="I520" s="57"/>
    </row>
    <row r="521" spans="9:9" x14ac:dyDescent="0.25">
      <c r="I521" s="57"/>
    </row>
    <row r="522" spans="9:9" x14ac:dyDescent="0.25">
      <c r="I522" s="57"/>
    </row>
    <row r="523" spans="9:9" x14ac:dyDescent="0.25">
      <c r="I523" s="57"/>
    </row>
    <row r="524" spans="9:9" x14ac:dyDescent="0.25">
      <c r="I524" s="57"/>
    </row>
    <row r="525" spans="9:9" x14ac:dyDescent="0.25">
      <c r="I525" s="57"/>
    </row>
    <row r="526" spans="9:9" x14ac:dyDescent="0.25">
      <c r="I526" s="57"/>
    </row>
    <row r="527" spans="9:9" x14ac:dyDescent="0.25">
      <c r="I527" s="57"/>
    </row>
    <row r="528" spans="9:9" x14ac:dyDescent="0.25">
      <c r="I528" s="57"/>
    </row>
    <row r="529" spans="9:9" x14ac:dyDescent="0.25">
      <c r="I529" s="57"/>
    </row>
    <row r="530" spans="9:9" x14ac:dyDescent="0.25">
      <c r="I530" s="57"/>
    </row>
    <row r="531" spans="9:9" x14ac:dyDescent="0.25">
      <c r="I531" s="57"/>
    </row>
    <row r="532" spans="9:9" x14ac:dyDescent="0.25">
      <c r="I532" s="57"/>
    </row>
    <row r="533" spans="9:9" x14ac:dyDescent="0.25">
      <c r="I533" s="57"/>
    </row>
    <row r="534" spans="9:9" x14ac:dyDescent="0.25">
      <c r="I534" s="57"/>
    </row>
    <row r="535" spans="9:9" x14ac:dyDescent="0.25">
      <c r="I535" s="57"/>
    </row>
    <row r="536" spans="9:9" x14ac:dyDescent="0.25">
      <c r="I536" s="57"/>
    </row>
    <row r="537" spans="9:9" x14ac:dyDescent="0.25">
      <c r="I537" s="57"/>
    </row>
    <row r="538" spans="9:9" x14ac:dyDescent="0.25">
      <c r="I538" s="57"/>
    </row>
    <row r="539" spans="9:9" x14ac:dyDescent="0.25">
      <c r="I539" s="57"/>
    </row>
    <row r="540" spans="9:9" x14ac:dyDescent="0.25">
      <c r="I540" s="57"/>
    </row>
    <row r="541" spans="9:9" x14ac:dyDescent="0.25">
      <c r="I541" s="57"/>
    </row>
    <row r="542" spans="9:9" x14ac:dyDescent="0.25">
      <c r="I542" s="57"/>
    </row>
    <row r="543" spans="9:9" x14ac:dyDescent="0.25">
      <c r="I543" s="57"/>
    </row>
    <row r="544" spans="9:9" x14ac:dyDescent="0.25">
      <c r="I544" s="57"/>
    </row>
    <row r="545" spans="9:9" x14ac:dyDescent="0.25">
      <c r="I545" s="57"/>
    </row>
    <row r="546" spans="9:9" x14ac:dyDescent="0.25">
      <c r="I546" s="57"/>
    </row>
    <row r="547" spans="9:9" x14ac:dyDescent="0.25">
      <c r="I547" s="57"/>
    </row>
    <row r="548" spans="9:9" x14ac:dyDescent="0.25">
      <c r="I548" s="57"/>
    </row>
    <row r="549" spans="9:9" x14ac:dyDescent="0.25">
      <c r="I549" s="57"/>
    </row>
    <row r="550" spans="9:9" x14ac:dyDescent="0.25">
      <c r="I550" s="57"/>
    </row>
    <row r="551" spans="9:9" x14ac:dyDescent="0.25">
      <c r="I551" s="57"/>
    </row>
    <row r="552" spans="9:9" x14ac:dyDescent="0.25">
      <c r="I552" s="57"/>
    </row>
    <row r="553" spans="9:9" x14ac:dyDescent="0.25">
      <c r="I553" s="57"/>
    </row>
    <row r="554" spans="9:9" x14ac:dyDescent="0.25">
      <c r="I554" s="57"/>
    </row>
    <row r="555" spans="9:9" x14ac:dyDescent="0.25">
      <c r="I555" s="57"/>
    </row>
    <row r="556" spans="9:9" x14ac:dyDescent="0.25">
      <c r="I556" s="57"/>
    </row>
    <row r="557" spans="9:9" x14ac:dyDescent="0.25">
      <c r="I557" s="57"/>
    </row>
    <row r="558" spans="9:9" x14ac:dyDescent="0.25">
      <c r="I558" s="57"/>
    </row>
    <row r="559" spans="9:9" x14ac:dyDescent="0.25">
      <c r="I559" s="57"/>
    </row>
    <row r="560" spans="9:9" x14ac:dyDescent="0.25">
      <c r="I560" s="57"/>
    </row>
    <row r="561" spans="9:9" x14ac:dyDescent="0.25">
      <c r="I561" s="57"/>
    </row>
    <row r="562" spans="9:9" x14ac:dyDescent="0.25">
      <c r="I562" s="57"/>
    </row>
    <row r="563" spans="9:9" x14ac:dyDescent="0.25">
      <c r="I563" s="57"/>
    </row>
    <row r="564" spans="9:9" x14ac:dyDescent="0.25">
      <c r="I564" s="57"/>
    </row>
    <row r="565" spans="9:9" x14ac:dyDescent="0.25">
      <c r="I565" s="57"/>
    </row>
    <row r="566" spans="9:9" x14ac:dyDescent="0.25">
      <c r="I566" s="57"/>
    </row>
    <row r="567" spans="9:9" x14ac:dyDescent="0.25">
      <c r="I567" s="57"/>
    </row>
    <row r="568" spans="9:9" x14ac:dyDescent="0.25">
      <c r="I568" s="57"/>
    </row>
    <row r="569" spans="9:9" x14ac:dyDescent="0.25">
      <c r="I569" s="57"/>
    </row>
    <row r="570" spans="9:9" x14ac:dyDescent="0.25">
      <c r="I570" s="57"/>
    </row>
    <row r="571" spans="9:9" x14ac:dyDescent="0.25">
      <c r="I571" s="57"/>
    </row>
    <row r="572" spans="9:9" x14ac:dyDescent="0.25">
      <c r="I572" s="57"/>
    </row>
    <row r="573" spans="9:9" x14ac:dyDescent="0.25">
      <c r="I573" s="57"/>
    </row>
    <row r="574" spans="9:9" x14ac:dyDescent="0.25">
      <c r="I574" s="57"/>
    </row>
    <row r="575" spans="9:9" x14ac:dyDescent="0.25">
      <c r="I575" s="57"/>
    </row>
    <row r="576" spans="9:9" x14ac:dyDescent="0.25">
      <c r="I576" s="57"/>
    </row>
    <row r="577" spans="9:9" x14ac:dyDescent="0.25">
      <c r="I577" s="57"/>
    </row>
    <row r="578" spans="9:9" x14ac:dyDescent="0.25">
      <c r="I578" s="57"/>
    </row>
    <row r="579" spans="9:9" x14ac:dyDescent="0.25">
      <c r="I579" s="57"/>
    </row>
    <row r="580" spans="9:9" x14ac:dyDescent="0.25">
      <c r="I580" s="57"/>
    </row>
    <row r="581" spans="9:9" x14ac:dyDescent="0.25">
      <c r="I581" s="57"/>
    </row>
    <row r="582" spans="9:9" x14ac:dyDescent="0.25">
      <c r="I582" s="57"/>
    </row>
    <row r="583" spans="9:9" x14ac:dyDescent="0.25">
      <c r="I583" s="57"/>
    </row>
    <row r="584" spans="9:9" x14ac:dyDescent="0.25">
      <c r="I584" s="57"/>
    </row>
    <row r="585" spans="9:9" x14ac:dyDescent="0.25">
      <c r="I585" s="57"/>
    </row>
    <row r="586" spans="9:9" x14ac:dyDescent="0.25">
      <c r="I586" s="57"/>
    </row>
    <row r="587" spans="9:9" x14ac:dyDescent="0.25">
      <c r="I587" s="57"/>
    </row>
    <row r="588" spans="9:9" x14ac:dyDescent="0.25">
      <c r="I588" s="57"/>
    </row>
    <row r="589" spans="9:9" x14ac:dyDescent="0.25">
      <c r="I589" s="57"/>
    </row>
    <row r="590" spans="9:9" x14ac:dyDescent="0.25">
      <c r="I590" s="57"/>
    </row>
    <row r="591" spans="9:9" x14ac:dyDescent="0.25">
      <c r="I591" s="57"/>
    </row>
    <row r="592" spans="9:9" x14ac:dyDescent="0.25">
      <c r="I592" s="57"/>
    </row>
    <row r="593" spans="9:9" x14ac:dyDescent="0.25">
      <c r="I593" s="57"/>
    </row>
    <row r="594" spans="9:9" x14ac:dyDescent="0.25">
      <c r="I594" s="57"/>
    </row>
    <row r="595" spans="9:9" x14ac:dyDescent="0.25">
      <c r="I595" s="57"/>
    </row>
    <row r="596" spans="9:9" x14ac:dyDescent="0.25">
      <c r="I596" s="57"/>
    </row>
    <row r="597" spans="9:9" x14ac:dyDescent="0.25">
      <c r="I597" s="57"/>
    </row>
    <row r="598" spans="9:9" x14ac:dyDescent="0.25">
      <c r="I598" s="57"/>
    </row>
    <row r="599" spans="9:9" x14ac:dyDescent="0.25">
      <c r="I599" s="57"/>
    </row>
    <row r="600" spans="9:9" x14ac:dyDescent="0.25">
      <c r="I600" s="57"/>
    </row>
    <row r="601" spans="9:9" x14ac:dyDescent="0.25">
      <c r="I601" s="57"/>
    </row>
    <row r="602" spans="9:9" x14ac:dyDescent="0.25">
      <c r="I602" s="57"/>
    </row>
    <row r="603" spans="9:9" x14ac:dyDescent="0.25">
      <c r="I603" s="57"/>
    </row>
    <row r="604" spans="9:9" x14ac:dyDescent="0.25">
      <c r="I604" s="57"/>
    </row>
    <row r="605" spans="9:9" x14ac:dyDescent="0.25">
      <c r="I605" s="57"/>
    </row>
    <row r="606" spans="9:9" x14ac:dyDescent="0.25">
      <c r="I606" s="57"/>
    </row>
    <row r="607" spans="9:9" x14ac:dyDescent="0.25">
      <c r="I607" s="57"/>
    </row>
    <row r="608" spans="9:9" x14ac:dyDescent="0.25">
      <c r="I608" s="57"/>
    </row>
    <row r="609" spans="9:9" x14ac:dyDescent="0.25">
      <c r="I609" s="57"/>
    </row>
    <row r="610" spans="9:9" x14ac:dyDescent="0.25">
      <c r="I610" s="57"/>
    </row>
    <row r="611" spans="9:9" x14ac:dyDescent="0.25">
      <c r="I611" s="57"/>
    </row>
    <row r="612" spans="9:9" x14ac:dyDescent="0.25">
      <c r="I612" s="57"/>
    </row>
    <row r="613" spans="9:9" x14ac:dyDescent="0.25">
      <c r="I613" s="57"/>
    </row>
    <row r="614" spans="9:9" x14ac:dyDescent="0.25">
      <c r="I614" s="57"/>
    </row>
    <row r="615" spans="9:9" x14ac:dyDescent="0.25">
      <c r="I615" s="57"/>
    </row>
    <row r="616" spans="9:9" x14ac:dyDescent="0.25">
      <c r="I616" s="57"/>
    </row>
    <row r="617" spans="9:9" x14ac:dyDescent="0.25">
      <c r="I617" s="57"/>
    </row>
    <row r="618" spans="9:9" x14ac:dyDescent="0.25">
      <c r="I618" s="57"/>
    </row>
    <row r="619" spans="9:9" x14ac:dyDescent="0.25">
      <c r="I619" s="57"/>
    </row>
    <row r="620" spans="9:9" x14ac:dyDescent="0.25">
      <c r="I620" s="57"/>
    </row>
    <row r="621" spans="9:9" x14ac:dyDescent="0.25">
      <c r="I621" s="57"/>
    </row>
    <row r="622" spans="9:9" x14ac:dyDescent="0.25">
      <c r="I622" s="57"/>
    </row>
    <row r="623" spans="9:9" x14ac:dyDescent="0.25">
      <c r="I623" s="57"/>
    </row>
    <row r="624" spans="9:9" x14ac:dyDescent="0.25">
      <c r="I624" s="57"/>
    </row>
    <row r="625" spans="9:9" x14ac:dyDescent="0.25">
      <c r="I625" s="57"/>
    </row>
    <row r="626" spans="9:9" x14ac:dyDescent="0.25">
      <c r="I626" s="57"/>
    </row>
    <row r="627" spans="9:9" x14ac:dyDescent="0.25">
      <c r="I627" s="57"/>
    </row>
    <row r="628" spans="9:9" x14ac:dyDescent="0.25">
      <c r="I628" s="57"/>
    </row>
    <row r="629" spans="9:9" x14ac:dyDescent="0.25">
      <c r="I629" s="57"/>
    </row>
    <row r="630" spans="9:9" x14ac:dyDescent="0.25">
      <c r="I630" s="57"/>
    </row>
    <row r="631" spans="9:9" x14ac:dyDescent="0.25">
      <c r="I631" s="57"/>
    </row>
    <row r="632" spans="9:9" x14ac:dyDescent="0.25">
      <c r="I632" s="57"/>
    </row>
    <row r="633" spans="9:9" x14ac:dyDescent="0.25">
      <c r="I633" s="57"/>
    </row>
    <row r="634" spans="9:9" x14ac:dyDescent="0.25">
      <c r="I634" s="57"/>
    </row>
    <row r="635" spans="9:9" x14ac:dyDescent="0.25">
      <c r="I635" s="57"/>
    </row>
    <row r="636" spans="9:9" x14ac:dyDescent="0.25">
      <c r="I636" s="57"/>
    </row>
    <row r="637" spans="9:9" x14ac:dyDescent="0.25">
      <c r="I637" s="57"/>
    </row>
    <row r="638" spans="9:9" x14ac:dyDescent="0.25">
      <c r="I638" s="57"/>
    </row>
    <row r="639" spans="9:9" x14ac:dyDescent="0.25">
      <c r="I639" s="57"/>
    </row>
    <row r="640" spans="9:9" x14ac:dyDescent="0.25">
      <c r="I640" s="57"/>
    </row>
    <row r="641" spans="9:9" x14ac:dyDescent="0.25">
      <c r="I641" s="57"/>
    </row>
    <row r="642" spans="9:9" x14ac:dyDescent="0.25">
      <c r="I642" s="57"/>
    </row>
    <row r="643" spans="9:9" x14ac:dyDescent="0.25">
      <c r="I643" s="57"/>
    </row>
    <row r="644" spans="9:9" x14ac:dyDescent="0.25">
      <c r="I644" s="57"/>
    </row>
    <row r="645" spans="9:9" x14ac:dyDescent="0.25">
      <c r="I645" s="57"/>
    </row>
    <row r="646" spans="9:9" x14ac:dyDescent="0.25">
      <c r="I646" s="57"/>
    </row>
    <row r="647" spans="9:9" x14ac:dyDescent="0.25">
      <c r="I647" s="57"/>
    </row>
    <row r="648" spans="9:9" x14ac:dyDescent="0.25">
      <c r="I648" s="57"/>
    </row>
    <row r="649" spans="9:9" x14ac:dyDescent="0.25">
      <c r="I649" s="57"/>
    </row>
    <row r="650" spans="9:9" x14ac:dyDescent="0.25">
      <c r="I650" s="57"/>
    </row>
    <row r="651" spans="9:9" x14ac:dyDescent="0.25">
      <c r="I651" s="57"/>
    </row>
    <row r="652" spans="9:9" x14ac:dyDescent="0.25">
      <c r="I652" s="57"/>
    </row>
    <row r="653" spans="9:9" x14ac:dyDescent="0.25">
      <c r="I653" s="57"/>
    </row>
    <row r="654" spans="9:9" x14ac:dyDescent="0.25">
      <c r="I654" s="57"/>
    </row>
    <row r="655" spans="9:9" x14ac:dyDescent="0.25">
      <c r="I655" s="57"/>
    </row>
    <row r="656" spans="9:9" x14ac:dyDescent="0.25">
      <c r="I656" s="57"/>
    </row>
    <row r="657" spans="9:9" x14ac:dyDescent="0.25">
      <c r="I657" s="57"/>
    </row>
    <row r="658" spans="9:9" x14ac:dyDescent="0.25">
      <c r="I658" s="57"/>
    </row>
    <row r="659" spans="9:9" x14ac:dyDescent="0.25">
      <c r="I659" s="57"/>
    </row>
    <row r="660" spans="9:9" x14ac:dyDescent="0.25">
      <c r="I660" s="57"/>
    </row>
    <row r="661" spans="9:9" x14ac:dyDescent="0.25">
      <c r="I661" s="57"/>
    </row>
    <row r="662" spans="9:9" x14ac:dyDescent="0.25">
      <c r="I662" s="57"/>
    </row>
    <row r="663" spans="9:9" x14ac:dyDescent="0.25">
      <c r="I663" s="57"/>
    </row>
    <row r="664" spans="9:9" x14ac:dyDescent="0.25">
      <c r="I664" s="57"/>
    </row>
    <row r="665" spans="9:9" x14ac:dyDescent="0.25">
      <c r="I665" s="57"/>
    </row>
    <row r="666" spans="9:9" x14ac:dyDescent="0.25">
      <c r="I666" s="57"/>
    </row>
    <row r="667" spans="9:9" x14ac:dyDescent="0.25">
      <c r="I667" s="57"/>
    </row>
    <row r="668" spans="9:9" x14ac:dyDescent="0.25">
      <c r="I668" s="57"/>
    </row>
    <row r="669" spans="9:9" x14ac:dyDescent="0.25">
      <c r="I669" s="57"/>
    </row>
    <row r="670" spans="9:9" x14ac:dyDescent="0.25">
      <c r="I670" s="57"/>
    </row>
    <row r="671" spans="9:9" x14ac:dyDescent="0.25">
      <c r="I671" s="57"/>
    </row>
    <row r="672" spans="9:9" x14ac:dyDescent="0.25">
      <c r="I672" s="57"/>
    </row>
    <row r="673" spans="9:9" x14ac:dyDescent="0.25">
      <c r="I673" s="57"/>
    </row>
    <row r="674" spans="9:9" x14ac:dyDescent="0.25">
      <c r="I674" s="57"/>
    </row>
    <row r="675" spans="9:9" x14ac:dyDescent="0.25">
      <c r="I675" s="57"/>
    </row>
    <row r="676" spans="9:9" x14ac:dyDescent="0.25">
      <c r="I676" s="57"/>
    </row>
    <row r="677" spans="9:9" x14ac:dyDescent="0.25">
      <c r="I677" s="57"/>
    </row>
    <row r="678" spans="9:9" x14ac:dyDescent="0.25">
      <c r="I678" s="57"/>
    </row>
    <row r="679" spans="9:9" x14ac:dyDescent="0.25">
      <c r="I679" s="57"/>
    </row>
    <row r="680" spans="9:9" x14ac:dyDescent="0.25">
      <c r="I680" s="57"/>
    </row>
    <row r="681" spans="9:9" x14ac:dyDescent="0.25">
      <c r="I681" s="57"/>
    </row>
    <row r="682" spans="9:9" x14ac:dyDescent="0.25">
      <c r="I682" s="57"/>
    </row>
    <row r="683" spans="9:9" x14ac:dyDescent="0.25">
      <c r="I683" s="57"/>
    </row>
    <row r="684" spans="9:9" x14ac:dyDescent="0.25">
      <c r="I684" s="57"/>
    </row>
    <row r="685" spans="9:9" x14ac:dyDescent="0.25">
      <c r="I685" s="57"/>
    </row>
    <row r="686" spans="9:9" x14ac:dyDescent="0.25">
      <c r="I686" s="57"/>
    </row>
    <row r="687" spans="9:9" x14ac:dyDescent="0.25">
      <c r="I687" s="57"/>
    </row>
    <row r="688" spans="9:9" x14ac:dyDescent="0.25">
      <c r="I688" s="57"/>
    </row>
    <row r="689" spans="9:9" x14ac:dyDescent="0.25">
      <c r="I689" s="57"/>
    </row>
    <row r="690" spans="9:9" x14ac:dyDescent="0.25">
      <c r="I690" s="57"/>
    </row>
    <row r="691" spans="9:9" x14ac:dyDescent="0.25">
      <c r="I691" s="57"/>
    </row>
    <row r="692" spans="9:9" x14ac:dyDescent="0.25">
      <c r="I692" s="57"/>
    </row>
    <row r="693" spans="9:9" x14ac:dyDescent="0.25">
      <c r="I693" s="57"/>
    </row>
    <row r="694" spans="9:9" x14ac:dyDescent="0.25">
      <c r="I694" s="57"/>
    </row>
    <row r="695" spans="9:9" x14ac:dyDescent="0.25">
      <c r="I695" s="57"/>
    </row>
    <row r="696" spans="9:9" x14ac:dyDescent="0.25">
      <c r="I696" s="57"/>
    </row>
    <row r="697" spans="9:9" x14ac:dyDescent="0.25">
      <c r="I697" s="57"/>
    </row>
    <row r="698" spans="9:9" x14ac:dyDescent="0.25">
      <c r="I698" s="57"/>
    </row>
    <row r="699" spans="9:9" x14ac:dyDescent="0.25">
      <c r="I699" s="57"/>
    </row>
    <row r="700" spans="9:9" x14ac:dyDescent="0.25">
      <c r="I700" s="57"/>
    </row>
    <row r="701" spans="9:9" x14ac:dyDescent="0.25">
      <c r="I701" s="57"/>
    </row>
    <row r="702" spans="9:9" x14ac:dyDescent="0.25">
      <c r="I702" s="57"/>
    </row>
    <row r="703" spans="9:9" x14ac:dyDescent="0.25">
      <c r="I703" s="57"/>
    </row>
    <row r="704" spans="9:9" x14ac:dyDescent="0.25">
      <c r="I704" s="57"/>
    </row>
    <row r="705" spans="9:9" x14ac:dyDescent="0.25">
      <c r="I705" s="57"/>
    </row>
    <row r="706" spans="9:9" x14ac:dyDescent="0.25">
      <c r="I706" s="57"/>
    </row>
    <row r="707" spans="9:9" x14ac:dyDescent="0.25">
      <c r="I707" s="57"/>
    </row>
    <row r="708" spans="9:9" x14ac:dyDescent="0.25">
      <c r="I708" s="57"/>
    </row>
    <row r="709" spans="9:9" x14ac:dyDescent="0.25">
      <c r="I709" s="57"/>
    </row>
    <row r="710" spans="9:9" x14ac:dyDescent="0.25">
      <c r="I710" s="57"/>
    </row>
    <row r="711" spans="9:9" x14ac:dyDescent="0.25">
      <c r="I711" s="57"/>
    </row>
    <row r="712" spans="9:9" x14ac:dyDescent="0.25">
      <c r="I712" s="57"/>
    </row>
    <row r="713" spans="9:9" x14ac:dyDescent="0.25">
      <c r="I713" s="57"/>
    </row>
    <row r="714" spans="9:9" x14ac:dyDescent="0.25">
      <c r="I714" s="57"/>
    </row>
    <row r="715" spans="9:9" x14ac:dyDescent="0.25">
      <c r="I715" s="57"/>
    </row>
    <row r="716" spans="9:9" x14ac:dyDescent="0.25">
      <c r="I716" s="57"/>
    </row>
    <row r="717" spans="9:9" x14ac:dyDescent="0.25">
      <c r="I717" s="57"/>
    </row>
    <row r="718" spans="9:9" x14ac:dyDescent="0.25">
      <c r="I718" s="57"/>
    </row>
    <row r="719" spans="9:9" x14ac:dyDescent="0.25">
      <c r="I719" s="57"/>
    </row>
    <row r="720" spans="9:9" x14ac:dyDescent="0.25">
      <c r="I720" s="57"/>
    </row>
    <row r="721" spans="9:9" x14ac:dyDescent="0.25">
      <c r="I721" s="57"/>
    </row>
    <row r="722" spans="9:9" x14ac:dyDescent="0.25">
      <c r="I722" s="57"/>
    </row>
    <row r="723" spans="9:9" x14ac:dyDescent="0.25">
      <c r="I723" s="57"/>
    </row>
    <row r="724" spans="9:9" x14ac:dyDescent="0.25">
      <c r="I724" s="57"/>
    </row>
    <row r="725" spans="9:9" x14ac:dyDescent="0.25">
      <c r="I725" s="57"/>
    </row>
    <row r="726" spans="9:9" x14ac:dyDescent="0.25">
      <c r="I726" s="57"/>
    </row>
    <row r="727" spans="9:9" x14ac:dyDescent="0.25">
      <c r="I727" s="57"/>
    </row>
    <row r="728" spans="9:9" x14ac:dyDescent="0.25">
      <c r="I728" s="57"/>
    </row>
    <row r="729" spans="9:9" x14ac:dyDescent="0.25">
      <c r="I729" s="57"/>
    </row>
    <row r="730" spans="9:9" x14ac:dyDescent="0.25">
      <c r="I730" s="57"/>
    </row>
    <row r="731" spans="9:9" x14ac:dyDescent="0.25">
      <c r="I731" s="57"/>
    </row>
    <row r="732" spans="9:9" x14ac:dyDescent="0.25">
      <c r="I732" s="57"/>
    </row>
    <row r="733" spans="9:9" x14ac:dyDescent="0.25">
      <c r="I733" s="57"/>
    </row>
    <row r="734" spans="9:9" x14ac:dyDescent="0.25">
      <c r="I734" s="57"/>
    </row>
    <row r="735" spans="9:9" x14ac:dyDescent="0.25">
      <c r="I735" s="57"/>
    </row>
    <row r="736" spans="9:9" x14ac:dyDescent="0.25">
      <c r="I736" s="57"/>
    </row>
    <row r="737" spans="9:9" x14ac:dyDescent="0.25">
      <c r="I737" s="57"/>
    </row>
    <row r="738" spans="9:9" x14ac:dyDescent="0.25">
      <c r="I738" s="57"/>
    </row>
    <row r="739" spans="9:9" x14ac:dyDescent="0.25">
      <c r="I739" s="57"/>
    </row>
    <row r="740" spans="9:9" x14ac:dyDescent="0.25">
      <c r="I740" s="57"/>
    </row>
    <row r="741" spans="9:9" x14ac:dyDescent="0.25">
      <c r="I741" s="57"/>
    </row>
    <row r="742" spans="9:9" x14ac:dyDescent="0.25">
      <c r="I742" s="57"/>
    </row>
    <row r="743" spans="9:9" x14ac:dyDescent="0.25">
      <c r="I743" s="57"/>
    </row>
    <row r="744" spans="9:9" x14ac:dyDescent="0.25">
      <c r="I744" s="57"/>
    </row>
    <row r="745" spans="9:9" x14ac:dyDescent="0.25">
      <c r="I745" s="57"/>
    </row>
    <row r="746" spans="9:9" x14ac:dyDescent="0.25">
      <c r="I746" s="57"/>
    </row>
    <row r="747" spans="9:9" x14ac:dyDescent="0.25">
      <c r="I747" s="57"/>
    </row>
    <row r="748" spans="9:9" x14ac:dyDescent="0.25">
      <c r="I748" s="57"/>
    </row>
    <row r="749" spans="9:9" x14ac:dyDescent="0.25">
      <c r="I749" s="57"/>
    </row>
    <row r="750" spans="9:9" x14ac:dyDescent="0.25">
      <c r="I750" s="57"/>
    </row>
    <row r="751" spans="9:9" x14ac:dyDescent="0.25">
      <c r="I751" s="57"/>
    </row>
    <row r="752" spans="9:9" x14ac:dyDescent="0.25">
      <c r="I752" s="57"/>
    </row>
    <row r="753" spans="9:9" x14ac:dyDescent="0.25">
      <c r="I753" s="57"/>
    </row>
    <row r="754" spans="9:9" x14ac:dyDescent="0.25">
      <c r="I754" s="57"/>
    </row>
    <row r="755" spans="9:9" x14ac:dyDescent="0.25">
      <c r="I755" s="57"/>
    </row>
    <row r="756" spans="9:9" x14ac:dyDescent="0.25">
      <c r="I756" s="57"/>
    </row>
    <row r="757" spans="9:9" x14ac:dyDescent="0.25">
      <c r="I757" s="57"/>
    </row>
    <row r="758" spans="9:9" x14ac:dyDescent="0.25">
      <c r="I758" s="57"/>
    </row>
    <row r="759" spans="9:9" x14ac:dyDescent="0.25">
      <c r="I759" s="57"/>
    </row>
    <row r="760" spans="9:9" x14ac:dyDescent="0.25">
      <c r="I760" s="57"/>
    </row>
    <row r="761" spans="9:9" x14ac:dyDescent="0.25">
      <c r="I761" s="57"/>
    </row>
    <row r="762" spans="9:9" x14ac:dyDescent="0.25">
      <c r="I762" s="57"/>
    </row>
    <row r="763" spans="9:9" x14ac:dyDescent="0.25">
      <c r="I763" s="57"/>
    </row>
    <row r="764" spans="9:9" x14ac:dyDescent="0.25">
      <c r="I764" s="57"/>
    </row>
    <row r="765" spans="9:9" x14ac:dyDescent="0.25">
      <c r="I765" s="57"/>
    </row>
    <row r="766" spans="9:9" x14ac:dyDescent="0.25">
      <c r="I766" s="57"/>
    </row>
    <row r="767" spans="9:9" x14ac:dyDescent="0.25">
      <c r="I767" s="57"/>
    </row>
    <row r="768" spans="9:9" x14ac:dyDescent="0.25">
      <c r="I768" s="57"/>
    </row>
    <row r="769" spans="9:9" x14ac:dyDescent="0.25">
      <c r="I769" s="57"/>
    </row>
    <row r="770" spans="9:9" x14ac:dyDescent="0.25">
      <c r="I770" s="57"/>
    </row>
    <row r="771" spans="9:9" x14ac:dyDescent="0.25">
      <c r="I771" s="57"/>
    </row>
    <row r="772" spans="9:9" x14ac:dyDescent="0.25">
      <c r="I772" s="57"/>
    </row>
    <row r="773" spans="9:9" x14ac:dyDescent="0.25">
      <c r="I773" s="57"/>
    </row>
    <row r="774" spans="9:9" x14ac:dyDescent="0.25">
      <c r="I774" s="57"/>
    </row>
    <row r="775" spans="9:9" x14ac:dyDescent="0.25">
      <c r="I775" s="57"/>
    </row>
    <row r="776" spans="9:9" x14ac:dyDescent="0.25">
      <c r="I776" s="57"/>
    </row>
    <row r="777" spans="9:9" x14ac:dyDescent="0.25">
      <c r="I777" s="57"/>
    </row>
    <row r="778" spans="9:9" x14ac:dyDescent="0.25">
      <c r="I778" s="57"/>
    </row>
    <row r="779" spans="9:9" x14ac:dyDescent="0.25">
      <c r="I779" s="57"/>
    </row>
    <row r="780" spans="9:9" x14ac:dyDescent="0.25">
      <c r="I780" s="57"/>
    </row>
    <row r="781" spans="9:9" x14ac:dyDescent="0.25">
      <c r="I781" s="57"/>
    </row>
    <row r="782" spans="9:9" x14ac:dyDescent="0.25">
      <c r="I782" s="57"/>
    </row>
    <row r="783" spans="9:9" x14ac:dyDescent="0.25">
      <c r="I783" s="57"/>
    </row>
    <row r="784" spans="9:9" x14ac:dyDescent="0.25">
      <c r="I784" s="57"/>
    </row>
    <row r="785" spans="9:9" x14ac:dyDescent="0.25">
      <c r="I785" s="57"/>
    </row>
    <row r="786" spans="9:9" x14ac:dyDescent="0.25">
      <c r="I786" s="57"/>
    </row>
    <row r="787" spans="9:9" x14ac:dyDescent="0.25">
      <c r="I787" s="57"/>
    </row>
    <row r="788" spans="9:9" x14ac:dyDescent="0.25">
      <c r="I788" s="57"/>
    </row>
    <row r="789" spans="9:9" x14ac:dyDescent="0.25">
      <c r="I789" s="57"/>
    </row>
    <row r="790" spans="9:9" x14ac:dyDescent="0.25">
      <c r="I790" s="57"/>
    </row>
    <row r="791" spans="9:9" x14ac:dyDescent="0.25">
      <c r="I791" s="57"/>
    </row>
    <row r="792" spans="9:9" x14ac:dyDescent="0.25">
      <c r="I792" s="57"/>
    </row>
    <row r="793" spans="9:9" x14ac:dyDescent="0.25">
      <c r="I793" s="57"/>
    </row>
    <row r="794" spans="9:9" x14ac:dyDescent="0.25">
      <c r="I794" s="57"/>
    </row>
    <row r="795" spans="9:9" x14ac:dyDescent="0.25">
      <c r="I795" s="57"/>
    </row>
    <row r="796" spans="9:9" x14ac:dyDescent="0.25">
      <c r="I796" s="57"/>
    </row>
    <row r="797" spans="9:9" x14ac:dyDescent="0.25">
      <c r="I797" s="57"/>
    </row>
    <row r="798" spans="9:9" x14ac:dyDescent="0.25">
      <c r="I798" s="57"/>
    </row>
    <row r="799" spans="9:9" x14ac:dyDescent="0.25">
      <c r="I799" s="57"/>
    </row>
    <row r="800" spans="9:9" x14ac:dyDescent="0.25">
      <c r="I800" s="57"/>
    </row>
    <row r="801" spans="9:9" x14ac:dyDescent="0.25">
      <c r="I801" s="57"/>
    </row>
    <row r="802" spans="9:9" x14ac:dyDescent="0.25">
      <c r="I802" s="57"/>
    </row>
    <row r="803" spans="9:9" x14ac:dyDescent="0.25">
      <c r="I803" s="57"/>
    </row>
    <row r="804" spans="9:9" x14ac:dyDescent="0.25">
      <c r="I804" s="57"/>
    </row>
    <row r="805" spans="9:9" x14ac:dyDescent="0.25">
      <c r="I805" s="57"/>
    </row>
    <row r="806" spans="9:9" x14ac:dyDescent="0.25">
      <c r="I806" s="57"/>
    </row>
    <row r="807" spans="9:9" x14ac:dyDescent="0.25">
      <c r="I807" s="57"/>
    </row>
    <row r="808" spans="9:9" x14ac:dyDescent="0.25">
      <c r="I808" s="57"/>
    </row>
    <row r="809" spans="9:9" x14ac:dyDescent="0.25">
      <c r="I809" s="57"/>
    </row>
    <row r="810" spans="9:9" x14ac:dyDescent="0.25">
      <c r="I810" s="57"/>
    </row>
    <row r="811" spans="9:9" x14ac:dyDescent="0.25">
      <c r="I811" s="57"/>
    </row>
    <row r="812" spans="9:9" x14ac:dyDescent="0.25">
      <c r="I812" s="57"/>
    </row>
    <row r="813" spans="9:9" x14ac:dyDescent="0.25">
      <c r="I813" s="57"/>
    </row>
    <row r="814" spans="9:9" x14ac:dyDescent="0.25">
      <c r="I814" s="57"/>
    </row>
    <row r="815" spans="9:9" x14ac:dyDescent="0.25">
      <c r="I815" s="57"/>
    </row>
    <row r="816" spans="9:9" x14ac:dyDescent="0.25">
      <c r="I816" s="57"/>
    </row>
    <row r="817" spans="9:9" x14ac:dyDescent="0.25">
      <c r="I817" s="57"/>
    </row>
    <row r="818" spans="9:9" x14ac:dyDescent="0.25">
      <c r="I818" s="57"/>
    </row>
    <row r="819" spans="9:9" x14ac:dyDescent="0.25">
      <c r="I819" s="57"/>
    </row>
    <row r="820" spans="9:9" x14ac:dyDescent="0.25">
      <c r="I820" s="57"/>
    </row>
    <row r="821" spans="9:9" x14ac:dyDescent="0.25">
      <c r="I821" s="57"/>
    </row>
    <row r="822" spans="9:9" x14ac:dyDescent="0.25">
      <c r="I822" s="57"/>
    </row>
    <row r="823" spans="9:9" x14ac:dyDescent="0.25">
      <c r="I823" s="57"/>
    </row>
    <row r="824" spans="9:9" x14ac:dyDescent="0.25">
      <c r="I824" s="57"/>
    </row>
    <row r="825" spans="9:9" x14ac:dyDescent="0.25">
      <c r="I825" s="57"/>
    </row>
    <row r="826" spans="9:9" x14ac:dyDescent="0.25">
      <c r="I826" s="57"/>
    </row>
    <row r="827" spans="9:9" x14ac:dyDescent="0.25">
      <c r="I827" s="57"/>
    </row>
    <row r="828" spans="9:9" x14ac:dyDescent="0.25">
      <c r="I828" s="57"/>
    </row>
    <row r="829" spans="9:9" x14ac:dyDescent="0.25">
      <c r="I829" s="57"/>
    </row>
    <row r="830" spans="9:9" x14ac:dyDescent="0.25">
      <c r="I830" s="57"/>
    </row>
    <row r="831" spans="9:9" x14ac:dyDescent="0.25">
      <c r="I831" s="57"/>
    </row>
    <row r="832" spans="9:9" x14ac:dyDescent="0.25">
      <c r="I832" s="57"/>
    </row>
    <row r="833" spans="9:9" x14ac:dyDescent="0.25">
      <c r="I833" s="57"/>
    </row>
    <row r="834" spans="9:9" x14ac:dyDescent="0.25">
      <c r="I834" s="57"/>
    </row>
    <row r="835" spans="9:9" x14ac:dyDescent="0.25">
      <c r="I835" s="57"/>
    </row>
    <row r="836" spans="9:9" x14ac:dyDescent="0.25">
      <c r="I836" s="57"/>
    </row>
    <row r="837" spans="9:9" x14ac:dyDescent="0.25">
      <c r="I837" s="57"/>
    </row>
    <row r="838" spans="9:9" x14ac:dyDescent="0.25">
      <c r="I838" s="57"/>
    </row>
    <row r="839" spans="9:9" x14ac:dyDescent="0.25">
      <c r="I839" s="57"/>
    </row>
    <row r="840" spans="9:9" x14ac:dyDescent="0.25">
      <c r="I840" s="57"/>
    </row>
    <row r="841" spans="9:9" x14ac:dyDescent="0.25">
      <c r="I841" s="57"/>
    </row>
    <row r="842" spans="9:9" x14ac:dyDescent="0.25">
      <c r="I842" s="57"/>
    </row>
    <row r="843" spans="9:9" x14ac:dyDescent="0.25">
      <c r="I843" s="57"/>
    </row>
    <row r="844" spans="9:9" x14ac:dyDescent="0.25">
      <c r="I844" s="57"/>
    </row>
    <row r="845" spans="9:9" x14ac:dyDescent="0.25">
      <c r="I845" s="57"/>
    </row>
    <row r="846" spans="9:9" x14ac:dyDescent="0.25">
      <c r="I846" s="57"/>
    </row>
    <row r="847" spans="9:9" x14ac:dyDescent="0.25">
      <c r="I847" s="57"/>
    </row>
    <row r="848" spans="9:9" x14ac:dyDescent="0.25">
      <c r="I848" s="57"/>
    </row>
    <row r="849" spans="9:9" x14ac:dyDescent="0.25">
      <c r="I849" s="57"/>
    </row>
    <row r="850" spans="9:9" x14ac:dyDescent="0.25">
      <c r="I850" s="57"/>
    </row>
    <row r="851" spans="9:9" x14ac:dyDescent="0.25">
      <c r="I851" s="57"/>
    </row>
    <row r="852" spans="9:9" x14ac:dyDescent="0.25">
      <c r="I852" s="57"/>
    </row>
    <row r="853" spans="9:9" x14ac:dyDescent="0.25">
      <c r="I853" s="57"/>
    </row>
    <row r="854" spans="9:9" x14ac:dyDescent="0.25">
      <c r="I854" s="57"/>
    </row>
    <row r="855" spans="9:9" x14ac:dyDescent="0.25">
      <c r="I855" s="57"/>
    </row>
    <row r="856" spans="9:9" x14ac:dyDescent="0.25">
      <c r="I856" s="57"/>
    </row>
    <row r="857" spans="9:9" x14ac:dyDescent="0.25">
      <c r="I857" s="57"/>
    </row>
    <row r="858" spans="9:9" x14ac:dyDescent="0.25">
      <c r="I858" s="57"/>
    </row>
    <row r="859" spans="9:9" x14ac:dyDescent="0.25">
      <c r="I859" s="57"/>
    </row>
    <row r="860" spans="9:9" x14ac:dyDescent="0.25">
      <c r="I860" s="57"/>
    </row>
    <row r="861" spans="9:9" x14ac:dyDescent="0.25">
      <c r="I861" s="57"/>
    </row>
    <row r="862" spans="9:9" x14ac:dyDescent="0.25">
      <c r="I862" s="57"/>
    </row>
    <row r="863" spans="9:9" x14ac:dyDescent="0.25">
      <c r="I863" s="57"/>
    </row>
    <row r="864" spans="9:9" x14ac:dyDescent="0.25">
      <c r="I864" s="57"/>
    </row>
    <row r="865" spans="9:9" x14ac:dyDescent="0.25">
      <c r="I865" s="57"/>
    </row>
    <row r="866" spans="9:9" x14ac:dyDescent="0.25">
      <c r="I866" s="57"/>
    </row>
    <row r="867" spans="9:9" x14ac:dyDescent="0.25">
      <c r="I867" s="57"/>
    </row>
    <row r="868" spans="9:9" x14ac:dyDescent="0.25">
      <c r="I868" s="57"/>
    </row>
    <row r="869" spans="9:9" x14ac:dyDescent="0.25">
      <c r="I869" s="57"/>
    </row>
    <row r="870" spans="9:9" x14ac:dyDescent="0.25">
      <c r="I870" s="57"/>
    </row>
    <row r="871" spans="9:9" x14ac:dyDescent="0.25">
      <c r="I871" s="57"/>
    </row>
    <row r="872" spans="9:9" x14ac:dyDescent="0.25">
      <c r="I872" s="57"/>
    </row>
    <row r="873" spans="9:9" x14ac:dyDescent="0.25">
      <c r="I873" s="57"/>
    </row>
    <row r="874" spans="9:9" x14ac:dyDescent="0.25">
      <c r="I874" s="57"/>
    </row>
    <row r="875" spans="9:9" x14ac:dyDescent="0.25">
      <c r="I875" s="57"/>
    </row>
    <row r="876" spans="9:9" x14ac:dyDescent="0.25">
      <c r="I876" s="57"/>
    </row>
    <row r="877" spans="9:9" x14ac:dyDescent="0.25">
      <c r="I877" s="57"/>
    </row>
    <row r="878" spans="9:9" x14ac:dyDescent="0.25">
      <c r="I878" s="57"/>
    </row>
    <row r="879" spans="9:9" x14ac:dyDescent="0.25">
      <c r="I879" s="57"/>
    </row>
    <row r="880" spans="9:9" x14ac:dyDescent="0.25">
      <c r="I880" s="57"/>
    </row>
    <row r="881" spans="9:9" x14ac:dyDescent="0.25">
      <c r="I881" s="57"/>
    </row>
    <row r="882" spans="9:9" x14ac:dyDescent="0.25">
      <c r="I882" s="57"/>
    </row>
    <row r="883" spans="9:9" x14ac:dyDescent="0.25">
      <c r="I883" s="57"/>
    </row>
    <row r="884" spans="9:9" x14ac:dyDescent="0.25">
      <c r="I884" s="57"/>
    </row>
    <row r="885" spans="9:9" x14ac:dyDescent="0.25">
      <c r="I885" s="57"/>
    </row>
    <row r="886" spans="9:9" x14ac:dyDescent="0.25">
      <c r="I886" s="57"/>
    </row>
    <row r="887" spans="9:9" x14ac:dyDescent="0.25">
      <c r="I887" s="57"/>
    </row>
    <row r="888" spans="9:9" x14ac:dyDescent="0.25">
      <c r="I888" s="57"/>
    </row>
    <row r="889" spans="9:9" x14ac:dyDescent="0.25">
      <c r="I889" s="57"/>
    </row>
    <row r="890" spans="9:9" x14ac:dyDescent="0.25">
      <c r="I890" s="57"/>
    </row>
    <row r="891" spans="9:9" x14ac:dyDescent="0.25">
      <c r="I891" s="57"/>
    </row>
    <row r="892" spans="9:9" x14ac:dyDescent="0.25">
      <c r="I892" s="57"/>
    </row>
    <row r="893" spans="9:9" x14ac:dyDescent="0.25">
      <c r="I893" s="57"/>
    </row>
    <row r="894" spans="9:9" x14ac:dyDescent="0.25">
      <c r="I894" s="57"/>
    </row>
    <row r="895" spans="9:9" x14ac:dyDescent="0.25">
      <c r="I895" s="57"/>
    </row>
    <row r="896" spans="9:9" x14ac:dyDescent="0.25">
      <c r="I896" s="57"/>
    </row>
    <row r="897" spans="9:9" x14ac:dyDescent="0.25">
      <c r="I897" s="57"/>
    </row>
    <row r="898" spans="9:9" x14ac:dyDescent="0.25">
      <c r="I898" s="57"/>
    </row>
    <row r="899" spans="9:9" x14ac:dyDescent="0.25">
      <c r="I899" s="57"/>
    </row>
    <row r="900" spans="9:9" x14ac:dyDescent="0.25">
      <c r="I900" s="57"/>
    </row>
    <row r="901" spans="9:9" x14ac:dyDescent="0.25">
      <c r="I901" s="57"/>
    </row>
    <row r="902" spans="9:9" x14ac:dyDescent="0.25">
      <c r="I902" s="57"/>
    </row>
    <row r="903" spans="9:9" x14ac:dyDescent="0.25">
      <c r="I903" s="57"/>
    </row>
    <row r="904" spans="9:9" x14ac:dyDescent="0.25">
      <c r="I904" s="57"/>
    </row>
    <row r="905" spans="9:9" x14ac:dyDescent="0.25">
      <c r="I905" s="57"/>
    </row>
    <row r="906" spans="9:9" x14ac:dyDescent="0.25">
      <c r="I906" s="57"/>
    </row>
    <row r="907" spans="9:9" x14ac:dyDescent="0.25">
      <c r="I907" s="57"/>
    </row>
    <row r="908" spans="9:9" x14ac:dyDescent="0.25">
      <c r="I908" s="57"/>
    </row>
    <row r="909" spans="9:9" x14ac:dyDescent="0.25">
      <c r="I909" s="57"/>
    </row>
    <row r="910" spans="9:9" x14ac:dyDescent="0.25">
      <c r="I910" s="57"/>
    </row>
    <row r="911" spans="9:9" x14ac:dyDescent="0.25">
      <c r="I911" s="57"/>
    </row>
    <row r="912" spans="9:9" x14ac:dyDescent="0.25">
      <c r="I912" s="57"/>
    </row>
    <row r="913" spans="9:9" x14ac:dyDescent="0.25">
      <c r="I913" s="57"/>
    </row>
    <row r="914" spans="9:9" x14ac:dyDescent="0.25">
      <c r="I914" s="57"/>
    </row>
    <row r="915" spans="9:9" x14ac:dyDescent="0.25">
      <c r="I915" s="57"/>
    </row>
    <row r="916" spans="9:9" x14ac:dyDescent="0.25">
      <c r="I916" s="57"/>
    </row>
    <row r="917" spans="9:9" x14ac:dyDescent="0.25">
      <c r="I917" s="57"/>
    </row>
    <row r="918" spans="9:9" x14ac:dyDescent="0.25">
      <c r="I918" s="57"/>
    </row>
    <row r="919" spans="9:9" x14ac:dyDescent="0.25">
      <c r="I919" s="57"/>
    </row>
    <row r="920" spans="9:9" x14ac:dyDescent="0.25">
      <c r="I920" s="57"/>
    </row>
    <row r="921" spans="9:9" x14ac:dyDescent="0.25">
      <c r="I921" s="57"/>
    </row>
    <row r="922" spans="9:9" x14ac:dyDescent="0.25">
      <c r="I922" s="57"/>
    </row>
    <row r="923" spans="9:9" x14ac:dyDescent="0.25">
      <c r="I923" s="57"/>
    </row>
    <row r="924" spans="9:9" x14ac:dyDescent="0.25">
      <c r="I924" s="57"/>
    </row>
    <row r="925" spans="9:9" x14ac:dyDescent="0.25">
      <c r="I925" s="57"/>
    </row>
    <row r="926" spans="9:9" x14ac:dyDescent="0.25">
      <c r="I926" s="57"/>
    </row>
    <row r="927" spans="9:9" x14ac:dyDescent="0.25">
      <c r="I927" s="57"/>
    </row>
    <row r="928" spans="9:9" x14ac:dyDescent="0.25">
      <c r="I928" s="57"/>
    </row>
    <row r="929" spans="9:9" x14ac:dyDescent="0.25">
      <c r="I929" s="57"/>
    </row>
    <row r="930" spans="9:9" x14ac:dyDescent="0.25">
      <c r="I930" s="57"/>
    </row>
    <row r="931" spans="9:9" x14ac:dyDescent="0.25">
      <c r="I931" s="57"/>
    </row>
    <row r="932" spans="9:9" x14ac:dyDescent="0.25">
      <c r="I932" s="57"/>
    </row>
    <row r="933" spans="9:9" x14ac:dyDescent="0.25">
      <c r="I933" s="57"/>
    </row>
    <row r="934" spans="9:9" x14ac:dyDescent="0.25">
      <c r="I934" s="57"/>
    </row>
    <row r="935" spans="9:9" x14ac:dyDescent="0.25">
      <c r="I935" s="57"/>
    </row>
    <row r="936" spans="9:9" x14ac:dyDescent="0.25">
      <c r="I936" s="57"/>
    </row>
    <row r="937" spans="9:9" x14ac:dyDescent="0.25">
      <c r="I937" s="57"/>
    </row>
    <row r="938" spans="9:9" x14ac:dyDescent="0.25">
      <c r="I938" s="57"/>
    </row>
    <row r="939" spans="9:9" x14ac:dyDescent="0.25">
      <c r="I939" s="57"/>
    </row>
    <row r="940" spans="9:9" x14ac:dyDescent="0.25">
      <c r="I940" s="57"/>
    </row>
    <row r="941" spans="9:9" x14ac:dyDescent="0.25">
      <c r="I941" s="57"/>
    </row>
    <row r="942" spans="9:9" x14ac:dyDescent="0.25">
      <c r="I942" s="57"/>
    </row>
    <row r="943" spans="9:9" x14ac:dyDescent="0.25">
      <c r="I943" s="57"/>
    </row>
    <row r="944" spans="9:9" x14ac:dyDescent="0.25">
      <c r="I944" s="57"/>
    </row>
    <row r="945" spans="9:9" x14ac:dyDescent="0.25">
      <c r="I945" s="57"/>
    </row>
    <row r="946" spans="9:9" x14ac:dyDescent="0.25">
      <c r="I946" s="57"/>
    </row>
    <row r="947" spans="9:9" x14ac:dyDescent="0.25">
      <c r="I947" s="57"/>
    </row>
    <row r="948" spans="9:9" x14ac:dyDescent="0.25">
      <c r="I948" s="57"/>
    </row>
    <row r="949" spans="9:9" x14ac:dyDescent="0.25">
      <c r="I949" s="57"/>
    </row>
    <row r="950" spans="9:9" x14ac:dyDescent="0.25">
      <c r="I950" s="57"/>
    </row>
    <row r="951" spans="9:9" x14ac:dyDescent="0.25">
      <c r="I951" s="57"/>
    </row>
    <row r="952" spans="9:9" x14ac:dyDescent="0.25">
      <c r="I952" s="57"/>
    </row>
    <row r="953" spans="9:9" x14ac:dyDescent="0.25">
      <c r="I953" s="57"/>
    </row>
    <row r="954" spans="9:9" x14ac:dyDescent="0.25">
      <c r="I954" s="57"/>
    </row>
    <row r="955" spans="9:9" x14ac:dyDescent="0.25">
      <c r="I955" s="57"/>
    </row>
    <row r="956" spans="9:9" x14ac:dyDescent="0.25">
      <c r="I956" s="57"/>
    </row>
    <row r="957" spans="9:9" x14ac:dyDescent="0.25">
      <c r="I957" s="57"/>
    </row>
    <row r="958" spans="9:9" x14ac:dyDescent="0.25">
      <c r="I958" s="57"/>
    </row>
    <row r="959" spans="9:9" x14ac:dyDescent="0.25">
      <c r="I959" s="57"/>
    </row>
    <row r="960" spans="9:9" x14ac:dyDescent="0.25">
      <c r="I960" s="57"/>
    </row>
    <row r="961" spans="9:9" x14ac:dyDescent="0.25">
      <c r="I961" s="57"/>
    </row>
    <row r="962" spans="9:9" x14ac:dyDescent="0.25">
      <c r="I962" s="57"/>
    </row>
    <row r="963" spans="9:9" x14ac:dyDescent="0.25">
      <c r="I963" s="57"/>
    </row>
    <row r="964" spans="9:9" x14ac:dyDescent="0.25">
      <c r="I964" s="57"/>
    </row>
    <row r="965" spans="9:9" x14ac:dyDescent="0.25">
      <c r="I965" s="57"/>
    </row>
    <row r="966" spans="9:9" x14ac:dyDescent="0.25">
      <c r="I966" s="57"/>
    </row>
    <row r="967" spans="9:9" x14ac:dyDescent="0.25">
      <c r="I967" s="57"/>
    </row>
    <row r="968" spans="9:9" x14ac:dyDescent="0.25">
      <c r="I968" s="57"/>
    </row>
    <row r="969" spans="9:9" x14ac:dyDescent="0.25">
      <c r="I969" s="57"/>
    </row>
    <row r="970" spans="9:9" x14ac:dyDescent="0.25">
      <c r="I970" s="57"/>
    </row>
    <row r="971" spans="9:9" x14ac:dyDescent="0.25">
      <c r="I971" s="57"/>
    </row>
    <row r="972" spans="9:9" x14ac:dyDescent="0.25">
      <c r="I972" s="57"/>
    </row>
    <row r="973" spans="9:9" x14ac:dyDescent="0.25">
      <c r="I973" s="57"/>
    </row>
    <row r="974" spans="9:9" x14ac:dyDescent="0.25">
      <c r="I974" s="57"/>
    </row>
    <row r="975" spans="9:9" x14ac:dyDescent="0.25">
      <c r="I975" s="57"/>
    </row>
    <row r="976" spans="9:9" x14ac:dyDescent="0.25">
      <c r="I976" s="57"/>
    </row>
    <row r="977" spans="9:9" x14ac:dyDescent="0.25">
      <c r="I977" s="57"/>
    </row>
    <row r="978" spans="9:9" x14ac:dyDescent="0.25">
      <c r="I978" s="57"/>
    </row>
    <row r="979" spans="9:9" x14ac:dyDescent="0.25">
      <c r="I979" s="57"/>
    </row>
    <row r="980" spans="9:9" x14ac:dyDescent="0.25">
      <c r="I980" s="57"/>
    </row>
    <row r="981" spans="9:9" x14ac:dyDescent="0.25">
      <c r="I981" s="57"/>
    </row>
    <row r="982" spans="9:9" x14ac:dyDescent="0.25">
      <c r="I982" s="57"/>
    </row>
    <row r="983" spans="9:9" x14ac:dyDescent="0.25">
      <c r="I983" s="57"/>
    </row>
    <row r="984" spans="9:9" x14ac:dyDescent="0.25">
      <c r="I984" s="57"/>
    </row>
    <row r="985" spans="9:9" x14ac:dyDescent="0.25">
      <c r="I985" s="57"/>
    </row>
    <row r="986" spans="9:9" x14ac:dyDescent="0.25">
      <c r="I986" s="57"/>
    </row>
    <row r="987" spans="9:9" x14ac:dyDescent="0.25">
      <c r="I987" s="57"/>
    </row>
    <row r="988" spans="9:9" x14ac:dyDescent="0.25">
      <c r="I988" s="57"/>
    </row>
    <row r="989" spans="9:9" x14ac:dyDescent="0.25">
      <c r="I989" s="57"/>
    </row>
    <row r="990" spans="9:9" x14ac:dyDescent="0.25">
      <c r="I990" s="57"/>
    </row>
    <row r="991" spans="9:9" x14ac:dyDescent="0.25">
      <c r="I991" s="57"/>
    </row>
    <row r="992" spans="9:9" x14ac:dyDescent="0.25">
      <c r="I992" s="57"/>
    </row>
    <row r="993" spans="9:9" x14ac:dyDescent="0.25">
      <c r="I993" s="57"/>
    </row>
    <row r="994" spans="9:9" x14ac:dyDescent="0.25">
      <c r="I994" s="57"/>
    </row>
    <row r="995" spans="9:9" x14ac:dyDescent="0.25">
      <c r="I995" s="57"/>
    </row>
    <row r="996" spans="9:9" x14ac:dyDescent="0.25">
      <c r="I996" s="57"/>
    </row>
    <row r="997" spans="9:9" x14ac:dyDescent="0.25">
      <c r="I997" s="57"/>
    </row>
    <row r="998" spans="9:9" x14ac:dyDescent="0.25">
      <c r="I998" s="57"/>
    </row>
    <row r="999" spans="9:9" x14ac:dyDescent="0.25">
      <c r="I999" s="57"/>
    </row>
    <row r="1000" spans="9:9" x14ac:dyDescent="0.25">
      <c r="I1000" s="57"/>
    </row>
    <row r="1001" spans="9:9" x14ac:dyDescent="0.25">
      <c r="I1001" s="57"/>
    </row>
    <row r="1002" spans="9:9" x14ac:dyDescent="0.25">
      <c r="I1002" s="57"/>
    </row>
  </sheetData>
  <mergeCells count="7">
    <mergeCell ref="A1:H1"/>
    <mergeCell ref="A65:H65"/>
    <mergeCell ref="A3:H3"/>
    <mergeCell ref="A12:H12"/>
    <mergeCell ref="A36:H36"/>
    <mergeCell ref="A45:H45"/>
    <mergeCell ref="A61:H61"/>
  </mergeCells>
  <conditionalFormatting sqref="D10">
    <cfRule type="cellIs" dxfId="159" priority="13" operator="lessThan">
      <formula>0</formula>
    </cfRule>
    <cfRule type="cellIs" dxfId="158" priority="14" operator="greaterThan">
      <formula>0</formula>
    </cfRule>
    <cfRule type="cellIs" dxfId="157" priority="15" operator="equal">
      <formula>0</formula>
    </cfRule>
  </conditionalFormatting>
  <conditionalFormatting sqref="D34">
    <cfRule type="cellIs" dxfId="156" priority="10" operator="lessThan">
      <formula>0</formula>
    </cfRule>
    <cfRule type="cellIs" dxfId="155" priority="11" operator="greaterThan">
      <formula>0</formula>
    </cfRule>
    <cfRule type="cellIs" dxfId="154" priority="12" operator="equal">
      <formula>0</formula>
    </cfRule>
  </conditionalFormatting>
  <conditionalFormatting sqref="D43 D55 D59 D63 D77 D79">
    <cfRule type="cellIs" dxfId="153" priority="7" operator="lessThan">
      <formula>0</formula>
    </cfRule>
    <cfRule type="cellIs" dxfId="152" priority="8" operator="greaterThan">
      <formula>0</formula>
    </cfRule>
    <cfRule type="cellIs" dxfId="151" priority="9" operator="equal">
      <formula>0</formula>
    </cfRule>
  </conditionalFormatting>
  <conditionalFormatting sqref="E4">
    <cfRule type="expression" dxfId="150" priority="1">
      <formula>"if(e3&lt;h3)"</formula>
    </cfRule>
    <cfRule type="expression" dxfId="149" priority="3" stopIfTrue="1">
      <formula>"if(E3&gt;H3)"</formula>
    </cfRule>
  </conditionalFormatting>
  <conditionalFormatting sqref="E4:E11 E13:E35 E37:E44 E46:E1048576">
    <cfRule type="expression" dxfId="148" priority="4">
      <formula>E4&lt;H4</formula>
    </cfRule>
    <cfRule type="expression" dxfId="147" priority="5">
      <formula>E4&gt;H4</formula>
    </cfRule>
    <cfRule type="expression" dxfId="146" priority="6">
      <formula>E4=H4</formula>
    </cfRule>
  </conditionalFormatting>
  <printOptions horizontalCentered="1"/>
  <pageMargins left="0.25" right="0.25" top="0.75" bottom="0.75" header="0.3" footer="0.3"/>
  <pageSetup scale="92" orientation="landscape" r:id="rId1"/>
  <rowBreaks count="2" manualBreakCount="2">
    <brk id="34" max="7" man="1"/>
    <brk id="64" max="7" man="1"/>
  </rowBreaks>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Z2"/>
  <sheetViews>
    <sheetView workbookViewId="0">
      <selection sqref="A1:XFD1048576"/>
    </sheetView>
  </sheetViews>
  <sheetFormatPr defaultColWidth="14.42578125" defaultRowHeight="15" customHeight="1" x14ac:dyDescent="0.25"/>
  <cols>
    <col min="1" max="26" width="8.7109375" style="195" customWidth="1"/>
    <col min="27" max="16384" width="14.42578125" style="195"/>
  </cols>
  <sheetData>
    <row r="1" spans="1:26" ht="15" customHeight="1" x14ac:dyDescent="0.45">
      <c r="A1" s="1126"/>
      <c r="B1" s="1127"/>
      <c r="C1" s="1127"/>
      <c r="D1" s="1127"/>
      <c r="E1" s="1127"/>
      <c r="F1" s="1127"/>
      <c r="G1" s="1127"/>
      <c r="H1" s="196"/>
      <c r="I1" s="196"/>
    </row>
    <row r="2" spans="1:26" x14ac:dyDescent="0.25">
      <c r="A2" s="840"/>
      <c r="B2" s="840"/>
      <c r="C2" s="840"/>
      <c r="D2" s="840"/>
      <c r="E2" s="841"/>
      <c r="F2" s="840"/>
      <c r="G2" s="840"/>
      <c r="H2" s="841"/>
      <c r="I2" s="840"/>
      <c r="J2" s="196"/>
      <c r="K2" s="196"/>
      <c r="L2" s="196"/>
      <c r="M2" s="196"/>
      <c r="N2" s="196"/>
      <c r="O2" s="196"/>
      <c r="P2" s="196"/>
      <c r="Q2" s="196"/>
      <c r="R2" s="196"/>
      <c r="S2" s="196"/>
      <c r="T2" s="196"/>
      <c r="U2" s="196"/>
      <c r="V2" s="196"/>
      <c r="W2" s="196"/>
      <c r="X2" s="196"/>
      <c r="Y2" s="196"/>
      <c r="Z2" s="196"/>
    </row>
  </sheetData>
  <mergeCells count="1">
    <mergeCell ref="A1:G1"/>
  </mergeCells>
  <pageMargins left="0.7" right="0.7" top="0.75" bottom="0.75" header="0" footer="0"/>
  <pageSetup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Z2"/>
  <sheetViews>
    <sheetView workbookViewId="0">
      <selection sqref="A1:XFD1048576"/>
    </sheetView>
  </sheetViews>
  <sheetFormatPr defaultColWidth="14.42578125" defaultRowHeight="15" customHeight="1" x14ac:dyDescent="0.25"/>
  <cols>
    <col min="1" max="26" width="8.7109375" style="195" customWidth="1"/>
    <col min="27" max="16384" width="14.42578125" style="195"/>
  </cols>
  <sheetData>
    <row r="1" spans="1:26" ht="15" customHeight="1" x14ac:dyDescent="0.45">
      <c r="A1" s="1126"/>
      <c r="B1" s="1127"/>
      <c r="C1" s="1127"/>
      <c r="D1" s="1127"/>
      <c r="E1" s="1127"/>
      <c r="F1" s="1127"/>
      <c r="G1" s="1127"/>
      <c r="H1" s="196"/>
      <c r="I1" s="196"/>
    </row>
    <row r="2" spans="1:26" x14ac:dyDescent="0.25">
      <c r="A2" s="840"/>
      <c r="B2" s="840"/>
      <c r="C2" s="840"/>
      <c r="D2" s="840"/>
      <c r="E2" s="841"/>
      <c r="F2" s="840"/>
      <c r="G2" s="840"/>
      <c r="H2" s="841"/>
      <c r="I2" s="840"/>
      <c r="J2" s="196"/>
      <c r="K2" s="196"/>
      <c r="L2" s="196"/>
      <c r="M2" s="196"/>
      <c r="N2" s="196"/>
      <c r="O2" s="196"/>
      <c r="P2" s="196"/>
      <c r="Q2" s="196"/>
      <c r="R2" s="196"/>
      <c r="S2" s="196"/>
      <c r="T2" s="196"/>
      <c r="U2" s="196"/>
      <c r="V2" s="196"/>
      <c r="W2" s="196"/>
      <c r="X2" s="196"/>
      <c r="Y2" s="196"/>
      <c r="Z2" s="196"/>
    </row>
  </sheetData>
  <mergeCells count="1">
    <mergeCell ref="A1:G1"/>
  </mergeCells>
  <pageMargins left="0.7" right="0.7" top="0.75" bottom="0.75" header="0" footer="0"/>
  <pageSetup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Z2"/>
  <sheetViews>
    <sheetView workbookViewId="0">
      <selection sqref="A1:XFD1048576"/>
    </sheetView>
  </sheetViews>
  <sheetFormatPr defaultColWidth="14.42578125" defaultRowHeight="15" customHeight="1" x14ac:dyDescent="0.25"/>
  <cols>
    <col min="1" max="26" width="8.7109375" style="195" customWidth="1"/>
    <col min="27" max="16384" width="14.42578125" style="195"/>
  </cols>
  <sheetData>
    <row r="1" spans="1:26" ht="15" customHeight="1" x14ac:dyDescent="0.45">
      <c r="A1" s="1126"/>
      <c r="B1" s="1127"/>
      <c r="C1" s="1127"/>
      <c r="D1" s="1127"/>
      <c r="E1" s="1127"/>
      <c r="F1" s="1127"/>
      <c r="G1" s="1127"/>
      <c r="H1" s="196"/>
      <c r="I1" s="196"/>
    </row>
    <row r="2" spans="1:26" x14ac:dyDescent="0.25">
      <c r="A2" s="840"/>
      <c r="B2" s="840"/>
      <c r="C2" s="840"/>
      <c r="D2" s="840"/>
      <c r="E2" s="841"/>
      <c r="F2" s="840"/>
      <c r="G2" s="840"/>
      <c r="H2" s="841"/>
      <c r="I2" s="840"/>
      <c r="J2" s="196"/>
      <c r="K2" s="196"/>
      <c r="L2" s="196"/>
      <c r="M2" s="196"/>
      <c r="N2" s="196"/>
      <c r="O2" s="196"/>
      <c r="P2" s="196"/>
      <c r="Q2" s="196"/>
      <c r="R2" s="196"/>
      <c r="S2" s="196"/>
      <c r="T2" s="196"/>
      <c r="U2" s="196"/>
      <c r="V2" s="196"/>
      <c r="W2" s="196"/>
      <c r="X2" s="196"/>
      <c r="Y2" s="196"/>
      <c r="Z2" s="196"/>
    </row>
  </sheetData>
  <mergeCells count="1">
    <mergeCell ref="A1:G1"/>
  </mergeCells>
  <pageMargins left="0.7" right="0.7" top="0.75" bottom="0.75" header="0" footer="0"/>
  <pageSetup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Z2"/>
  <sheetViews>
    <sheetView workbookViewId="0">
      <selection sqref="A1:XFD1048576"/>
    </sheetView>
  </sheetViews>
  <sheetFormatPr defaultColWidth="14.42578125" defaultRowHeight="15" customHeight="1" x14ac:dyDescent="0.25"/>
  <cols>
    <col min="1" max="26" width="8.7109375" style="195" customWidth="1"/>
    <col min="27" max="16384" width="14.42578125" style="195"/>
  </cols>
  <sheetData>
    <row r="1" spans="1:26" ht="15" customHeight="1" x14ac:dyDescent="0.45">
      <c r="A1" s="1126"/>
      <c r="B1" s="1127"/>
      <c r="C1" s="1127"/>
      <c r="D1" s="1127"/>
      <c r="E1" s="1127"/>
      <c r="F1" s="1127"/>
      <c r="G1" s="1127"/>
      <c r="H1" s="196"/>
      <c r="I1" s="196"/>
    </row>
    <row r="2" spans="1:26" x14ac:dyDescent="0.25">
      <c r="A2" s="840"/>
      <c r="B2" s="840"/>
      <c r="C2" s="840"/>
      <c r="D2" s="840"/>
      <c r="E2" s="841"/>
      <c r="F2" s="840"/>
      <c r="G2" s="840"/>
      <c r="H2" s="841"/>
      <c r="I2" s="840"/>
      <c r="J2" s="196"/>
      <c r="K2" s="196"/>
      <c r="L2" s="196"/>
      <c r="M2" s="196"/>
      <c r="N2" s="196"/>
      <c r="O2" s="196"/>
      <c r="P2" s="196"/>
      <c r="Q2" s="196"/>
      <c r="R2" s="196"/>
      <c r="S2" s="196"/>
      <c r="T2" s="196"/>
      <c r="U2" s="196"/>
      <c r="V2" s="196"/>
      <c r="W2" s="196"/>
      <c r="X2" s="196"/>
      <c r="Y2" s="196"/>
      <c r="Z2" s="196"/>
    </row>
  </sheetData>
  <mergeCells count="1">
    <mergeCell ref="A1:G1"/>
  </mergeCells>
  <pageMargins left="0.7" right="0.7" top="0.75" bottom="0.75" header="0" footer="0"/>
  <pageSetup orientation="landscape"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3"/>
  <dimension ref="A1:K7"/>
  <sheetViews>
    <sheetView workbookViewId="0">
      <pane xSplit="3" ySplit="1" topLeftCell="D2" activePane="bottomRight" state="frozenSplit"/>
      <selection pane="topRight" activeCell="D1" sqref="D1"/>
      <selection pane="bottomLeft" activeCell="A2" sqref="A2"/>
      <selection pane="bottomRight" sqref="A1:XFD1048576"/>
    </sheetView>
  </sheetViews>
  <sheetFormatPr defaultColWidth="14.42578125" defaultRowHeight="15" customHeight="1" x14ac:dyDescent="0.25"/>
  <cols>
    <col min="1" max="2" width="3" style="195" customWidth="1"/>
    <col min="3" max="3" width="24" style="195" customWidth="1"/>
    <col min="4" max="4" width="2.28515625" style="195" customWidth="1"/>
    <col min="5" max="5" width="5.28515625" style="195" bestFit="1" customWidth="1"/>
    <col min="6" max="6" width="10.7109375" style="195" bestFit="1" customWidth="1"/>
    <col min="7" max="7" width="5.28515625" style="195" bestFit="1" customWidth="1"/>
    <col min="8" max="8" width="22.28515625" style="195" bestFit="1" customWidth="1"/>
    <col min="9" max="9" width="30.7109375" style="195" customWidth="1"/>
    <col min="10" max="10" width="22.28515625" style="195" bestFit="1" customWidth="1"/>
    <col min="11" max="11" width="8.140625" style="195" bestFit="1" customWidth="1"/>
    <col min="12" max="16384" width="14.42578125" style="195"/>
  </cols>
  <sheetData>
    <row r="1" spans="1:11" s="196" customFormat="1" ht="15" customHeight="1" x14ac:dyDescent="0.25">
      <c r="A1" s="837"/>
      <c r="B1" s="837"/>
      <c r="C1" s="837"/>
      <c r="D1" s="837"/>
      <c r="E1" s="837"/>
      <c r="F1" s="837"/>
      <c r="G1" s="837"/>
      <c r="H1" s="837"/>
      <c r="I1" s="837"/>
      <c r="J1" s="837"/>
      <c r="K1" s="837"/>
    </row>
    <row r="2" spans="1:11" ht="15" customHeight="1" x14ac:dyDescent="0.25">
      <c r="A2" s="838"/>
      <c r="B2" s="838"/>
      <c r="C2" s="838"/>
      <c r="D2" s="838"/>
      <c r="E2" s="838"/>
      <c r="F2" s="839"/>
      <c r="G2" s="838"/>
      <c r="H2" s="838"/>
      <c r="I2" s="838"/>
      <c r="J2" s="838"/>
      <c r="K2" s="394"/>
    </row>
    <row r="3" spans="1:11" ht="15" customHeight="1" x14ac:dyDescent="0.25">
      <c r="A3" s="838"/>
      <c r="B3" s="838"/>
      <c r="C3" s="838"/>
      <c r="D3" s="838"/>
      <c r="E3" s="838"/>
      <c r="F3" s="839"/>
      <c r="G3" s="838"/>
      <c r="H3" s="838"/>
      <c r="I3" s="838"/>
      <c r="J3" s="838"/>
      <c r="K3" s="394"/>
    </row>
    <row r="4" spans="1:11" ht="15" customHeight="1" x14ac:dyDescent="0.25">
      <c r="A4" s="838"/>
      <c r="B4" s="838"/>
      <c r="C4" s="838"/>
      <c r="D4" s="838"/>
      <c r="E4" s="838"/>
      <c r="F4" s="839"/>
      <c r="G4" s="838"/>
      <c r="H4" s="838"/>
      <c r="I4" s="838"/>
      <c r="J4" s="838"/>
      <c r="K4" s="394"/>
    </row>
    <row r="5" spans="1:11" ht="15" customHeight="1" x14ac:dyDescent="0.25">
      <c r="A5" s="838"/>
      <c r="B5" s="838"/>
      <c r="C5" s="838"/>
      <c r="D5" s="838"/>
      <c r="E5" s="838"/>
      <c r="F5" s="839"/>
      <c r="G5" s="838"/>
      <c r="H5" s="838"/>
      <c r="I5" s="838"/>
      <c r="J5" s="838"/>
      <c r="K5" s="394"/>
    </row>
    <row r="6" spans="1:11" ht="15" customHeight="1" x14ac:dyDescent="0.25">
      <c r="A6" s="838"/>
      <c r="B6" s="838"/>
      <c r="C6" s="838"/>
      <c r="D6" s="838"/>
      <c r="E6" s="838"/>
      <c r="F6" s="839"/>
      <c r="G6" s="838"/>
      <c r="H6" s="838"/>
      <c r="I6" s="838"/>
      <c r="J6" s="838"/>
      <c r="K6" s="394"/>
    </row>
    <row r="7" spans="1:11" ht="15" customHeight="1" x14ac:dyDescent="0.25">
      <c r="A7" s="838"/>
      <c r="B7" s="838"/>
      <c r="C7" s="838"/>
      <c r="D7" s="838"/>
      <c r="E7" s="838"/>
      <c r="F7" s="839"/>
      <c r="G7" s="838"/>
      <c r="H7" s="838"/>
      <c r="I7" s="838"/>
      <c r="J7" s="838"/>
      <c r="K7" s="394"/>
    </row>
  </sheetData>
  <pageMargins left="0.7" right="0.7" top="0.75" bottom="0.75" header="0.1" footer="0"/>
  <pageSetup orientation="portrait" r:id="rId1"/>
  <headerFooter>
    <oddHeader>&amp;L&amp;"Arial,Bold"&amp;8 4:18 PM
&amp;"Arial,Bold"&amp;8 02/13/23
&amp;"Arial,Bold"&amp;8 Accrual Basis&amp;C&amp;"Arial,Bold"&amp;12 Williamson Central Appraisal District
&amp;"Arial,Bold"&amp;14 Account QuickReport
&amp;"Arial,Bold"&amp;10 January 1 through February 13, 2023</oddHeader>
    <oddFooter>&amp;R&amp;"Arial,Bold"&amp;8 Page &amp;P of &amp;N</oddFooter>
  </headerFooter>
  <drawing r:id="rId2"/>
  <legacyDrawing r:id="rId3"/>
  <controls>
    <mc:AlternateContent xmlns:mc="http://schemas.openxmlformats.org/markup-compatibility/2006">
      <mc:Choice Requires="x14">
        <control shapeId="117762" r:id="rId4" name="HEADER">
          <controlPr defaultSize="0" autoLine="0" r:id="rId5">
            <anchor moveWithCells="1">
              <from>
                <xdr:col>0</xdr:col>
                <xdr:colOff>0</xdr:colOff>
                <xdr:row>0</xdr:row>
                <xdr:rowOff>0</xdr:rowOff>
              </from>
              <to>
                <xdr:col>2</xdr:col>
                <xdr:colOff>514350</xdr:colOff>
                <xdr:row>1</xdr:row>
                <xdr:rowOff>38100</xdr:rowOff>
              </to>
            </anchor>
          </controlPr>
        </control>
      </mc:Choice>
      <mc:Fallback>
        <control shapeId="117762" r:id="rId4" name="HEADER"/>
      </mc:Fallback>
    </mc:AlternateContent>
    <mc:AlternateContent xmlns:mc="http://schemas.openxmlformats.org/markup-compatibility/2006">
      <mc:Choice Requires="x14">
        <control shapeId="117761" r:id="rId6" name="FILTER">
          <controlPr defaultSize="0" autoLine="0" r:id="rId7">
            <anchor moveWithCells="1">
              <from>
                <xdr:col>0</xdr:col>
                <xdr:colOff>0</xdr:colOff>
                <xdr:row>0</xdr:row>
                <xdr:rowOff>0</xdr:rowOff>
              </from>
              <to>
                <xdr:col>2</xdr:col>
                <xdr:colOff>514350</xdr:colOff>
                <xdr:row>1</xdr:row>
                <xdr:rowOff>38100</xdr:rowOff>
              </to>
            </anchor>
          </controlPr>
        </control>
      </mc:Choice>
      <mc:Fallback>
        <control shapeId="117761" r:id="rId6" name="FILTER"/>
      </mc:Fallback>
    </mc:AlternateContent>
  </control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4"/>
  <dimension ref="A1:K7"/>
  <sheetViews>
    <sheetView workbookViewId="0">
      <pane xSplit="3" ySplit="1" topLeftCell="D2" activePane="bottomRight" state="frozenSplit"/>
      <selection pane="topRight" activeCell="D1" sqref="D1"/>
      <selection pane="bottomLeft" activeCell="A2" sqref="A2"/>
      <selection pane="bottomRight" sqref="A1:XFD1048576"/>
    </sheetView>
  </sheetViews>
  <sheetFormatPr defaultColWidth="9.140625" defaultRowHeight="15" x14ac:dyDescent="0.25"/>
  <cols>
    <col min="1" max="2" width="2.85546875" style="195" customWidth="1"/>
    <col min="3" max="3" width="27.42578125" style="195" customWidth="1"/>
    <col min="4" max="4" width="2.140625" style="195" customWidth="1"/>
    <col min="5" max="5" width="9.42578125" style="195" bestFit="1" customWidth="1"/>
    <col min="6" max="6" width="10.42578125" style="195" bestFit="1" customWidth="1"/>
    <col min="7" max="7" width="9.42578125" style="195" bestFit="1" customWidth="1"/>
    <col min="8" max="8" width="21.140625" style="195" bestFit="1" customWidth="1"/>
    <col min="9" max="9" width="16.42578125" style="195" bestFit="1" customWidth="1"/>
    <col min="10" max="10" width="20.85546875" style="195" bestFit="1" customWidth="1"/>
    <col min="11" max="11" width="12.140625" style="195" bestFit="1" customWidth="1"/>
    <col min="12" max="16384" width="9.140625" style="195"/>
  </cols>
  <sheetData>
    <row r="1" spans="1:11" s="196" customFormat="1" x14ac:dyDescent="0.25">
      <c r="A1" s="837"/>
      <c r="B1" s="837"/>
      <c r="C1" s="837"/>
      <c r="D1" s="837"/>
      <c r="E1" s="837"/>
      <c r="F1" s="837"/>
      <c r="G1" s="837"/>
      <c r="H1" s="837"/>
      <c r="I1" s="837"/>
      <c r="J1" s="837"/>
      <c r="K1" s="837"/>
    </row>
    <row r="2" spans="1:11" x14ac:dyDescent="0.25">
      <c r="A2" s="838"/>
      <c r="B2" s="838"/>
      <c r="C2" s="838"/>
      <c r="D2" s="838"/>
      <c r="E2" s="838"/>
      <c r="F2" s="839"/>
      <c r="G2" s="838"/>
      <c r="H2" s="838"/>
      <c r="I2" s="838"/>
      <c r="J2" s="838"/>
      <c r="K2" s="394"/>
    </row>
    <row r="3" spans="1:11" x14ac:dyDescent="0.25">
      <c r="A3" s="838"/>
      <c r="B3" s="838"/>
      <c r="C3" s="838"/>
      <c r="D3" s="838"/>
      <c r="E3" s="838"/>
      <c r="F3" s="839"/>
      <c r="G3" s="838"/>
      <c r="H3" s="838"/>
      <c r="I3" s="838"/>
      <c r="J3" s="838"/>
      <c r="K3" s="394"/>
    </row>
    <row r="4" spans="1:11" x14ac:dyDescent="0.25">
      <c r="A4" s="838"/>
      <c r="B4" s="838"/>
      <c r="C4" s="838"/>
      <c r="D4" s="838"/>
      <c r="E4" s="838"/>
      <c r="F4" s="839"/>
      <c r="G4" s="838"/>
      <c r="H4" s="838"/>
      <c r="I4" s="838"/>
      <c r="J4" s="838"/>
      <c r="K4" s="394"/>
    </row>
    <row r="5" spans="1:11" x14ac:dyDescent="0.25">
      <c r="A5" s="838"/>
      <c r="B5" s="838"/>
      <c r="C5" s="838"/>
      <c r="D5" s="838"/>
      <c r="E5" s="838"/>
      <c r="F5" s="839"/>
      <c r="G5" s="838"/>
      <c r="H5" s="838"/>
      <c r="I5" s="838"/>
      <c r="J5" s="838"/>
      <c r="K5" s="394"/>
    </row>
    <row r="6" spans="1:11" x14ac:dyDescent="0.25">
      <c r="A6" s="838"/>
      <c r="B6" s="838"/>
      <c r="C6" s="838"/>
      <c r="D6" s="838"/>
      <c r="E6" s="838"/>
      <c r="F6" s="839"/>
      <c r="G6" s="838"/>
      <c r="H6" s="838"/>
      <c r="I6" s="838"/>
      <c r="J6" s="838"/>
      <c r="K6" s="394"/>
    </row>
    <row r="7" spans="1:11" x14ac:dyDescent="0.25">
      <c r="A7" s="838"/>
      <c r="B7" s="838"/>
      <c r="C7" s="838"/>
      <c r="D7" s="838"/>
      <c r="E7" s="838"/>
      <c r="F7" s="839"/>
      <c r="G7" s="838"/>
      <c r="H7" s="838"/>
      <c r="I7" s="838"/>
      <c r="J7" s="838"/>
      <c r="K7" s="394"/>
    </row>
  </sheetData>
  <pageMargins left="0.7" right="0.7" top="0.75" bottom="0.75" header="0.1" footer="0.3"/>
  <pageSetup orientation="portrait" r:id="rId1"/>
  <headerFooter>
    <oddHeader>&amp;L&amp;"Arial,Bold"&amp;8 4:03 PM
&amp;"Arial,Bold"&amp;8 01/25/21
&amp;"Arial,Bold"&amp;8 Accrual Basis&amp;C&amp;"Arial,Bold"&amp;12 Williamson Central Appraisal District
&amp;"Arial,Bold"&amp;14 Account QuickReport
&amp;"Arial,Bold"&amp;10 January 1 - 25, 2021</oddHeader>
    <oddFooter>&amp;R&amp;"Arial,Bold"&amp;8 Page &amp;P of &amp;N</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Z4"/>
  <sheetViews>
    <sheetView workbookViewId="0">
      <selection sqref="A1:XFD1048576"/>
    </sheetView>
  </sheetViews>
  <sheetFormatPr defaultColWidth="14.42578125" defaultRowHeight="15" customHeight="1" x14ac:dyDescent="0.25"/>
  <cols>
    <col min="1" max="1" width="8.7109375" style="195" customWidth="1"/>
    <col min="2" max="2" width="10.7109375" style="195" customWidth="1"/>
    <col min="3" max="3" width="8.7109375" style="195" customWidth="1"/>
    <col min="4" max="4" width="17.85546875" style="195" customWidth="1"/>
    <col min="5" max="5" width="19.85546875" style="195" customWidth="1"/>
    <col min="6" max="26" width="8.7109375" style="195" customWidth="1"/>
    <col min="27" max="16384" width="14.42578125" style="195"/>
  </cols>
  <sheetData>
    <row r="1" spans="1:26" ht="15" customHeight="1" x14ac:dyDescent="0.45">
      <c r="A1" s="1126"/>
      <c r="B1" s="1127"/>
      <c r="C1" s="1127"/>
      <c r="D1" s="1127"/>
      <c r="E1" s="1127"/>
      <c r="F1" s="1127"/>
      <c r="G1" s="1127"/>
      <c r="H1" s="196"/>
      <c r="I1" s="196"/>
    </row>
    <row r="2" spans="1:26" x14ac:dyDescent="0.25">
      <c r="A2" s="840"/>
      <c r="B2" s="840"/>
      <c r="C2" s="840"/>
      <c r="D2" s="840"/>
      <c r="E2" s="841"/>
      <c r="F2" s="840"/>
      <c r="G2" s="840"/>
      <c r="H2" s="841"/>
      <c r="I2" s="840"/>
      <c r="J2" s="196"/>
      <c r="K2" s="196"/>
      <c r="L2" s="196"/>
      <c r="M2" s="196"/>
      <c r="N2" s="196"/>
      <c r="O2" s="196"/>
      <c r="P2" s="196"/>
      <c r="Q2" s="196"/>
      <c r="R2" s="196"/>
      <c r="S2" s="196"/>
      <c r="T2" s="196"/>
      <c r="U2" s="196"/>
      <c r="V2" s="196"/>
      <c r="W2" s="196"/>
      <c r="X2" s="196"/>
      <c r="Y2" s="196"/>
      <c r="Z2" s="196"/>
    </row>
    <row r="3" spans="1:26" x14ac:dyDescent="0.25">
      <c r="A3" s="838"/>
      <c r="B3" s="839"/>
      <c r="C3" s="838"/>
      <c r="D3" s="838"/>
      <c r="E3" s="838"/>
      <c r="F3" s="394"/>
    </row>
    <row r="4" spans="1:26" x14ac:dyDescent="0.25">
      <c r="A4" s="842"/>
      <c r="B4" s="843"/>
      <c r="C4" s="843"/>
      <c r="D4" s="843"/>
      <c r="E4" s="843"/>
      <c r="F4" s="844"/>
      <c r="G4" s="843"/>
      <c r="H4" s="843"/>
      <c r="I4" s="843"/>
      <c r="J4" s="843"/>
      <c r="K4" s="843"/>
      <c r="L4" s="843"/>
      <c r="M4" s="843"/>
      <c r="N4" s="843"/>
      <c r="O4" s="843"/>
      <c r="P4" s="843"/>
      <c r="Q4" s="843"/>
      <c r="R4" s="843"/>
      <c r="S4" s="843"/>
      <c r="T4" s="843"/>
      <c r="U4" s="843"/>
      <c r="V4" s="843"/>
      <c r="W4" s="843"/>
      <c r="X4" s="843"/>
      <c r="Y4" s="843"/>
      <c r="Z4" s="843"/>
    </row>
  </sheetData>
  <mergeCells count="1">
    <mergeCell ref="A1:G1"/>
  </mergeCells>
  <pageMargins left="0.7" right="0.7" top="0.75" bottom="0.75"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115A5-E10B-436A-8BEE-BDB078C2C13A}">
  <sheetPr>
    <pageSetUpPr fitToPage="1"/>
  </sheetPr>
  <dimension ref="A1:T92"/>
  <sheetViews>
    <sheetView zoomScale="90" zoomScaleNormal="90" workbookViewId="0">
      <selection activeCell="A5" sqref="A5:K5"/>
    </sheetView>
  </sheetViews>
  <sheetFormatPr defaultColWidth="14.42578125" defaultRowHeight="15" x14ac:dyDescent="0.25"/>
  <cols>
    <col min="1" max="1" width="48" bestFit="1" customWidth="1"/>
    <col min="2" max="4" width="12.140625" bestFit="1" customWidth="1"/>
    <col min="5" max="5" width="12.140625" customWidth="1"/>
    <col min="6" max="9" width="12.5703125" customWidth="1"/>
    <col min="10" max="10" width="12.42578125" customWidth="1"/>
    <col min="11" max="11" width="9.7109375" bestFit="1" customWidth="1"/>
    <col min="12" max="12" width="7" customWidth="1"/>
    <col min="13" max="13" width="12.5703125" bestFit="1" customWidth="1"/>
    <col min="14" max="14" width="15" bestFit="1" customWidth="1"/>
    <col min="15" max="17" width="13.28515625" customWidth="1"/>
    <col min="18" max="18" width="13.5703125" bestFit="1" customWidth="1"/>
    <col min="19" max="19" width="15" bestFit="1" customWidth="1"/>
    <col min="20" max="24" width="13.28515625" customWidth="1"/>
    <col min="25" max="27" width="15.140625" customWidth="1"/>
  </cols>
  <sheetData>
    <row r="1" spans="1:20" ht="26.25" x14ac:dyDescent="0.4">
      <c r="A1" s="1108" t="s">
        <v>159</v>
      </c>
      <c r="B1" s="1108"/>
      <c r="C1" s="1108"/>
      <c r="D1" s="1108"/>
      <c r="E1" s="1108"/>
      <c r="F1" s="1108"/>
      <c r="G1" s="1108"/>
      <c r="H1" s="1108"/>
      <c r="I1" s="1108"/>
      <c r="J1" s="1108"/>
      <c r="K1" s="1108"/>
    </row>
    <row r="2" spans="1:20" ht="45" customHeight="1" x14ac:dyDescent="0.25">
      <c r="A2" s="295" t="s">
        <v>1</v>
      </c>
      <c r="B2" s="296" t="s">
        <v>54</v>
      </c>
      <c r="C2" s="296" t="s">
        <v>55</v>
      </c>
      <c r="D2" s="296" t="s">
        <v>56</v>
      </c>
      <c r="E2" s="296" t="s">
        <v>57</v>
      </c>
      <c r="F2" s="296" t="s">
        <v>58</v>
      </c>
      <c r="G2" s="296" t="s">
        <v>59</v>
      </c>
      <c r="H2" s="296" t="s">
        <v>60</v>
      </c>
      <c r="I2" s="296" t="s">
        <v>2</v>
      </c>
      <c r="J2" s="296" t="s">
        <v>61</v>
      </c>
      <c r="K2" s="297" t="s">
        <v>62</v>
      </c>
      <c r="L2" s="1"/>
      <c r="M2" s="1"/>
      <c r="N2" t="s">
        <v>63</v>
      </c>
    </row>
    <row r="3" spans="1:20" x14ac:dyDescent="0.25">
      <c r="A3" s="147" t="s">
        <v>9</v>
      </c>
      <c r="B3" s="139">
        <v>3942800</v>
      </c>
      <c r="C3" s="139">
        <v>3852722</v>
      </c>
      <c r="D3" s="139">
        <v>4225900</v>
      </c>
      <c r="E3" s="139">
        <v>4114339</v>
      </c>
      <c r="F3" s="139">
        <v>4348900</v>
      </c>
      <c r="G3" s="139">
        <v>4237072</v>
      </c>
      <c r="H3" s="139">
        <v>4350500</v>
      </c>
      <c r="I3" s="139">
        <v>4650100</v>
      </c>
      <c r="J3" s="148">
        <f>SUM(ROUNDUP('2% Personnel'!E10,-2))</f>
        <v>4781600</v>
      </c>
      <c r="K3" s="149">
        <f>(J3-I3)/I3</f>
        <v>2.8278961742758221E-2</v>
      </c>
      <c r="L3" s="1"/>
      <c r="M3" s="3">
        <v>2020</v>
      </c>
      <c r="N3">
        <v>2021</v>
      </c>
    </row>
    <row r="4" spans="1:20" x14ac:dyDescent="0.25">
      <c r="A4" s="3" t="s">
        <v>10</v>
      </c>
      <c r="B4" s="5">
        <v>229700</v>
      </c>
      <c r="C4" s="5">
        <v>215369</v>
      </c>
      <c r="D4" s="4">
        <v>257800</v>
      </c>
      <c r="E4" s="4">
        <v>231208</v>
      </c>
      <c r="F4" s="4">
        <v>255600</v>
      </c>
      <c r="G4" s="4">
        <v>236554</v>
      </c>
      <c r="H4" s="4">
        <v>253000</v>
      </c>
      <c r="I4" s="4">
        <v>265800</v>
      </c>
      <c r="J4" s="4">
        <f>SUM(ROUNDUP('2% Personnel'!E34,-2))</f>
        <v>269300</v>
      </c>
      <c r="K4" s="150">
        <f t="shared" ref="K4:K31" si="0">(J4-I4)/I4</f>
        <v>1.3167795334838224E-2</v>
      </c>
      <c r="L4" s="1"/>
      <c r="M4" s="1109" t="s">
        <v>64</v>
      </c>
      <c r="N4" s="1107"/>
    </row>
    <row r="5" spans="1:20" x14ac:dyDescent="0.25">
      <c r="A5" s="147" t="s">
        <v>11</v>
      </c>
      <c r="B5" s="139">
        <v>551200</v>
      </c>
      <c r="C5" s="139">
        <v>523428</v>
      </c>
      <c r="D5" s="139">
        <v>568800</v>
      </c>
      <c r="E5" s="139">
        <v>541872</v>
      </c>
      <c r="F5" s="139">
        <v>603100</v>
      </c>
      <c r="G5" s="139">
        <v>557116</v>
      </c>
      <c r="H5" s="139">
        <v>626700</v>
      </c>
      <c r="I5" s="139">
        <v>675600</v>
      </c>
      <c r="J5" s="148">
        <f>SUM(ROUNDUP('2% Personnel'!E43,-2))</f>
        <v>656400</v>
      </c>
      <c r="K5" s="149">
        <f t="shared" si="0"/>
        <v>-2.8419182948490232E-2</v>
      </c>
      <c r="L5" s="1"/>
      <c r="M5" s="4">
        <f>SUM(I3:I8)</f>
        <v>6553600</v>
      </c>
      <c r="N5" s="5">
        <f>SUM(J3:J8)</f>
        <v>6696900</v>
      </c>
      <c r="O5" s="127">
        <f>N5/N35</f>
        <v>0.60366150462420454</v>
      </c>
    </row>
    <row r="6" spans="1:20" x14ac:dyDescent="0.25">
      <c r="A6" s="3" t="s">
        <v>12</v>
      </c>
      <c r="B6" s="5">
        <v>674900</v>
      </c>
      <c r="C6" s="5">
        <v>715849</v>
      </c>
      <c r="D6" s="5">
        <v>751300</v>
      </c>
      <c r="E6" s="5">
        <v>678833</v>
      </c>
      <c r="F6" s="5">
        <v>752100</v>
      </c>
      <c r="G6" s="5">
        <v>697225</v>
      </c>
      <c r="H6" s="5">
        <v>717700</v>
      </c>
      <c r="I6" s="5">
        <v>882200</v>
      </c>
      <c r="J6" s="4">
        <f>SUM(ROUNDUP('2% Personnel'!E57,-2))</f>
        <v>907800</v>
      </c>
      <c r="K6" s="150">
        <f t="shared" si="0"/>
        <v>2.9018363182951711E-2</v>
      </c>
      <c r="L6" s="1"/>
      <c r="M6" s="1"/>
      <c r="O6" s="128"/>
      <c r="R6" s="281" t="s">
        <v>65</v>
      </c>
      <c r="S6" s="282" t="s">
        <v>66</v>
      </c>
      <c r="T6" s="283" t="s">
        <v>67</v>
      </c>
    </row>
    <row r="7" spans="1:20" x14ac:dyDescent="0.25">
      <c r="A7" s="151" t="s">
        <v>13</v>
      </c>
      <c r="B7" s="140">
        <v>8800</v>
      </c>
      <c r="C7" s="140">
        <v>8159</v>
      </c>
      <c r="D7" s="140">
        <v>8900</v>
      </c>
      <c r="E7" s="140">
        <v>8492</v>
      </c>
      <c r="F7" s="140">
        <v>8900</v>
      </c>
      <c r="G7" s="140">
        <v>8302</v>
      </c>
      <c r="H7" s="140">
        <v>8900</v>
      </c>
      <c r="I7" s="140">
        <v>8900</v>
      </c>
      <c r="J7" s="152">
        <f>SUM(ROUNDUP('2% Personnel'!E63,-2))</f>
        <v>8900</v>
      </c>
      <c r="K7" s="149">
        <f t="shared" si="0"/>
        <v>0</v>
      </c>
      <c r="L7" s="1"/>
      <c r="M7" s="1"/>
      <c r="O7" s="128"/>
      <c r="R7" s="269" t="s">
        <v>64</v>
      </c>
      <c r="S7" s="270">
        <f>SUM(N5)</f>
        <v>6696900</v>
      </c>
      <c r="T7" s="271">
        <f t="shared" ref="T7:T12" si="1">S7/$S$13</f>
        <v>0.60366150462420454</v>
      </c>
    </row>
    <row r="8" spans="1:20" x14ac:dyDescent="0.25">
      <c r="A8" s="3" t="s">
        <v>14</v>
      </c>
      <c r="B8" s="5">
        <v>62900</v>
      </c>
      <c r="C8" s="5">
        <v>54592</v>
      </c>
      <c r="D8" s="5">
        <v>67400</v>
      </c>
      <c r="E8" s="5">
        <v>58060</v>
      </c>
      <c r="F8" s="5">
        <v>67900</v>
      </c>
      <c r="G8" s="5">
        <v>60053</v>
      </c>
      <c r="H8" s="5">
        <v>67400</v>
      </c>
      <c r="I8" s="5">
        <v>71000</v>
      </c>
      <c r="J8" s="4">
        <f>SUM(ROUNDUP('2% Personnel'!E77,-2))</f>
        <v>72900</v>
      </c>
      <c r="K8" s="150">
        <f t="shared" si="0"/>
        <v>2.6760563380281689E-2</v>
      </c>
      <c r="L8" s="1"/>
      <c r="M8" s="1"/>
      <c r="O8" s="128"/>
      <c r="R8" s="272" t="s">
        <v>68</v>
      </c>
      <c r="S8" s="273">
        <f>SUM(N11)</f>
        <v>516500</v>
      </c>
      <c r="T8" s="274">
        <f t="shared" si="1"/>
        <v>4.6557536642088372E-2</v>
      </c>
    </row>
    <row r="9" spans="1:20" x14ac:dyDescent="0.25">
      <c r="A9" s="151" t="s">
        <v>16</v>
      </c>
      <c r="B9" s="140">
        <v>12600</v>
      </c>
      <c r="C9" s="140">
        <v>10891</v>
      </c>
      <c r="D9" s="140">
        <v>12070</v>
      </c>
      <c r="E9" s="140">
        <v>9363</v>
      </c>
      <c r="F9" s="140">
        <v>15100</v>
      </c>
      <c r="G9" s="140">
        <v>11279</v>
      </c>
      <c r="H9" s="140">
        <v>14100</v>
      </c>
      <c r="I9" s="140">
        <v>13600</v>
      </c>
      <c r="J9" s="152">
        <f>SUM(ROUNDUP('Budget-Services'!I15,-2))</f>
        <v>18000</v>
      </c>
      <c r="K9" s="149">
        <f t="shared" si="0"/>
        <v>0.3235294117647059</v>
      </c>
      <c r="L9" s="1"/>
      <c r="M9" s="1"/>
      <c r="O9" s="128"/>
      <c r="R9" s="269" t="s">
        <v>69</v>
      </c>
      <c r="S9" s="270">
        <f>SUM(N17)</f>
        <v>3132800</v>
      </c>
      <c r="T9" s="271">
        <f t="shared" si="1"/>
        <v>0.28239196668409383</v>
      </c>
    </row>
    <row r="10" spans="1:20" x14ac:dyDescent="0.25">
      <c r="A10" s="3" t="s">
        <v>18</v>
      </c>
      <c r="B10" s="5">
        <v>93900</v>
      </c>
      <c r="C10" s="5">
        <v>93900</v>
      </c>
      <c r="D10" s="5">
        <v>109400</v>
      </c>
      <c r="E10" s="5">
        <v>108514</v>
      </c>
      <c r="F10" s="5">
        <v>116900</v>
      </c>
      <c r="G10" s="5">
        <v>108342</v>
      </c>
      <c r="H10" s="5">
        <v>129900</v>
      </c>
      <c r="I10" s="5">
        <v>210900</v>
      </c>
      <c r="J10" s="4">
        <f>SUM(ROUNDUP('Budget-Services'!I39,-2))</f>
        <v>273900</v>
      </c>
      <c r="K10" s="150">
        <f t="shared" si="0"/>
        <v>0.29871977240398295</v>
      </c>
      <c r="L10" s="1"/>
      <c r="M10" s="1109" t="s">
        <v>70</v>
      </c>
      <c r="N10" s="1107"/>
      <c r="O10" s="128"/>
      <c r="R10" s="272" t="s">
        <v>71</v>
      </c>
      <c r="S10" s="273">
        <f>SUM(N28)</f>
        <v>0</v>
      </c>
      <c r="T10" s="274">
        <f t="shared" si="1"/>
        <v>0</v>
      </c>
    </row>
    <row r="11" spans="1:20" x14ac:dyDescent="0.25">
      <c r="A11" s="250" t="s">
        <v>20</v>
      </c>
      <c r="B11" s="251">
        <v>44200</v>
      </c>
      <c r="C11" s="251">
        <v>44200</v>
      </c>
      <c r="D11" s="251">
        <v>48400</v>
      </c>
      <c r="E11" s="251">
        <v>53093</v>
      </c>
      <c r="F11" s="251">
        <v>53400</v>
      </c>
      <c r="G11" s="251">
        <v>50379</v>
      </c>
      <c r="H11" s="251">
        <v>58800</v>
      </c>
      <c r="I11" s="251">
        <v>85000</v>
      </c>
      <c r="J11" s="252">
        <f>SUM(ROUNDUP('Budget-Services'!I61,-2))</f>
        <v>101500</v>
      </c>
      <c r="K11" s="149">
        <f t="shared" si="0"/>
        <v>0.19411764705882353</v>
      </c>
      <c r="L11" s="1"/>
      <c r="M11" s="4">
        <f>SUM(I9:I14)</f>
        <v>411000</v>
      </c>
      <c r="N11" s="5">
        <f>SUM(J9:J14)</f>
        <v>516500</v>
      </c>
      <c r="O11" s="127">
        <f>N11/N35</f>
        <v>4.6557536642088372E-2</v>
      </c>
      <c r="R11" s="269" t="s">
        <v>72</v>
      </c>
      <c r="S11" s="270">
        <f>SUM(N31)</f>
        <v>70000</v>
      </c>
      <c r="T11" s="271">
        <f t="shared" si="1"/>
        <v>6.3098307162559267E-3</v>
      </c>
    </row>
    <row r="12" spans="1:20" ht="15.75" thickBot="1" x14ac:dyDescent="0.3">
      <c r="A12" s="3" t="s">
        <v>22</v>
      </c>
      <c r="B12" s="5">
        <v>4800</v>
      </c>
      <c r="C12" s="5">
        <v>4800</v>
      </c>
      <c r="D12" s="5">
        <v>5830</v>
      </c>
      <c r="E12" s="5">
        <v>5827</v>
      </c>
      <c r="F12" s="5">
        <v>6000</v>
      </c>
      <c r="G12" s="5">
        <v>6243</v>
      </c>
      <c r="H12" s="5">
        <v>7200</v>
      </c>
      <c r="I12" s="5">
        <v>7200</v>
      </c>
      <c r="J12" s="4">
        <f>SUM(ROUNDUP('Budget-Services'!I65,-2))</f>
        <v>8500</v>
      </c>
      <c r="K12" s="150">
        <f t="shared" si="0"/>
        <v>0.18055555555555555</v>
      </c>
      <c r="L12" s="1"/>
      <c r="M12" s="1"/>
      <c r="O12" s="128"/>
      <c r="R12" s="275" t="s">
        <v>73</v>
      </c>
      <c r="S12" s="276">
        <f>SUM(N34)</f>
        <v>677600</v>
      </c>
      <c r="T12" s="277">
        <f t="shared" si="1"/>
        <v>6.1079161333357369E-2</v>
      </c>
    </row>
    <row r="13" spans="1:20" ht="15.75" thickBot="1" x14ac:dyDescent="0.3">
      <c r="A13" s="147" t="s">
        <v>24</v>
      </c>
      <c r="B13" s="139">
        <v>61000</v>
      </c>
      <c r="C13" s="139">
        <v>109071</v>
      </c>
      <c r="D13" s="139">
        <v>72300</v>
      </c>
      <c r="E13" s="139">
        <v>68848</v>
      </c>
      <c r="F13" s="139">
        <v>72800</v>
      </c>
      <c r="G13" s="139">
        <v>76288</v>
      </c>
      <c r="H13" s="139">
        <v>78900</v>
      </c>
      <c r="I13" s="139">
        <v>80800</v>
      </c>
      <c r="J13" s="148">
        <f>SUM(ROUNDUP('Budget-Services'!I79,-2))</f>
        <v>96900</v>
      </c>
      <c r="K13" s="149">
        <f t="shared" si="0"/>
        <v>0.19925742574257427</v>
      </c>
      <c r="L13" s="1"/>
      <c r="M13" s="1"/>
      <c r="O13" s="128"/>
      <c r="R13" s="280" t="s">
        <v>74</v>
      </c>
      <c r="S13" s="278">
        <f>SUM(S7:S12)</f>
        <v>11093800</v>
      </c>
      <c r="T13" s="279">
        <f>SUM(T7:T12)</f>
        <v>1</v>
      </c>
    </row>
    <row r="14" spans="1:20" x14ac:dyDescent="0.25">
      <c r="A14" s="3" t="s">
        <v>26</v>
      </c>
      <c r="B14" s="5">
        <v>30600</v>
      </c>
      <c r="C14" s="5">
        <v>17822</v>
      </c>
      <c r="D14" s="5">
        <v>15210</v>
      </c>
      <c r="E14" s="5">
        <v>12829</v>
      </c>
      <c r="F14" s="5">
        <v>18500</v>
      </c>
      <c r="G14" s="5">
        <v>6455</v>
      </c>
      <c r="H14" s="5">
        <v>14300</v>
      </c>
      <c r="I14" s="5">
        <v>13500</v>
      </c>
      <c r="J14" s="4">
        <f>SUM(ROUNDUP('Budget-Services'!I91,-2))</f>
        <v>17700</v>
      </c>
      <c r="K14" s="150">
        <f t="shared" si="0"/>
        <v>0.31111111111111112</v>
      </c>
      <c r="L14" s="1"/>
      <c r="M14" s="1"/>
      <c r="O14" s="128"/>
    </row>
    <row r="15" spans="1:20" x14ac:dyDescent="0.25">
      <c r="A15" s="250" t="s">
        <v>28</v>
      </c>
      <c r="B15" s="251">
        <v>89800</v>
      </c>
      <c r="C15" s="251">
        <v>72828</v>
      </c>
      <c r="D15" s="251">
        <v>102500</v>
      </c>
      <c r="E15" s="251">
        <v>99861</v>
      </c>
      <c r="F15" s="251">
        <v>90100</v>
      </c>
      <c r="G15" s="251">
        <v>97252</v>
      </c>
      <c r="H15" s="251">
        <v>106900</v>
      </c>
      <c r="I15" s="251">
        <v>111700</v>
      </c>
      <c r="J15" s="252">
        <f>SUM(ROUNDUP('Budget-Services'!I131,-2))</f>
        <v>159100</v>
      </c>
      <c r="K15" s="149">
        <f t="shared" si="0"/>
        <v>0.42435094001790508</v>
      </c>
      <c r="L15" s="1"/>
      <c r="M15" s="1"/>
      <c r="O15" s="128"/>
    </row>
    <row r="16" spans="1:20" x14ac:dyDescent="0.25">
      <c r="A16" s="153" t="s">
        <v>29</v>
      </c>
      <c r="B16" s="141">
        <v>53400</v>
      </c>
      <c r="C16" s="141">
        <v>42720</v>
      </c>
      <c r="D16" s="141">
        <v>47990</v>
      </c>
      <c r="E16" s="141">
        <v>47989</v>
      </c>
      <c r="F16" s="141">
        <v>41400</v>
      </c>
      <c r="G16" s="141">
        <v>25290</v>
      </c>
      <c r="H16" s="141">
        <v>40000</v>
      </c>
      <c r="I16" s="141">
        <v>40000</v>
      </c>
      <c r="J16" s="154">
        <f>SUM(ROUNDUP('Budget-Services'!I141,-2))</f>
        <v>42000</v>
      </c>
      <c r="K16" s="150">
        <f t="shared" si="0"/>
        <v>0.05</v>
      </c>
      <c r="L16" s="1"/>
      <c r="M16" s="1109" t="s">
        <v>69</v>
      </c>
      <c r="N16" s="1107"/>
      <c r="O16" s="128"/>
    </row>
    <row r="17" spans="1:16" x14ac:dyDescent="0.25">
      <c r="A17" s="250" t="s">
        <v>30</v>
      </c>
      <c r="B17" s="251">
        <v>156400</v>
      </c>
      <c r="C17" s="251">
        <v>145935</v>
      </c>
      <c r="D17" s="251">
        <v>157990</v>
      </c>
      <c r="E17" s="251">
        <v>157984</v>
      </c>
      <c r="F17" s="251">
        <v>155000</v>
      </c>
      <c r="G17" s="251">
        <v>156639</v>
      </c>
      <c r="H17" s="251">
        <v>158400</v>
      </c>
      <c r="I17" s="251">
        <v>167300</v>
      </c>
      <c r="J17" s="252">
        <f>SUM(ROUNDUP('Budget-Services'!I151,-2))</f>
        <v>230700</v>
      </c>
      <c r="K17" s="149">
        <f t="shared" si="0"/>
        <v>0.37895995218170953</v>
      </c>
      <c r="L17" s="1"/>
      <c r="M17" s="4">
        <f>SUM(I15:I27)</f>
        <v>1827300</v>
      </c>
      <c r="N17" s="5">
        <f>SUM(J15:J27)</f>
        <v>3132800</v>
      </c>
      <c r="O17" s="127">
        <f>N17/N35</f>
        <v>0.28239196668409383</v>
      </c>
    </row>
    <row r="18" spans="1:16" x14ac:dyDescent="0.25">
      <c r="A18" s="153" t="s">
        <v>31</v>
      </c>
      <c r="B18" s="141">
        <v>84800</v>
      </c>
      <c r="C18" s="141">
        <v>114375</v>
      </c>
      <c r="D18" s="141">
        <v>98710</v>
      </c>
      <c r="E18" s="141">
        <v>158880</v>
      </c>
      <c r="F18" s="5">
        <v>106500</v>
      </c>
      <c r="G18" s="5">
        <v>111418</v>
      </c>
      <c r="H18" s="5">
        <v>128000</v>
      </c>
      <c r="I18" s="5">
        <v>129300</v>
      </c>
      <c r="J18" s="4">
        <f>SUM(ROUNDUP('Budget-Services'!I180,-2))</f>
        <v>189600</v>
      </c>
      <c r="K18" s="150">
        <f t="shared" si="0"/>
        <v>0.46635730858468677</v>
      </c>
      <c r="L18" s="1"/>
      <c r="M18" s="1"/>
      <c r="O18" s="128"/>
    </row>
    <row r="19" spans="1:16" x14ac:dyDescent="0.25">
      <c r="A19" s="250" t="s">
        <v>32</v>
      </c>
      <c r="B19" s="251">
        <v>7800</v>
      </c>
      <c r="C19" s="251">
        <v>7800</v>
      </c>
      <c r="D19" s="251">
        <v>8250</v>
      </c>
      <c r="E19" s="251">
        <v>8250</v>
      </c>
      <c r="F19" s="251">
        <v>8400</v>
      </c>
      <c r="G19" s="251">
        <v>9300</v>
      </c>
      <c r="H19" s="251">
        <v>10100</v>
      </c>
      <c r="I19" s="251">
        <v>10200</v>
      </c>
      <c r="J19" s="252">
        <f>SUM(ROUNDUP('Budget-Services'!I185,-2))</f>
        <v>19000</v>
      </c>
      <c r="K19" s="149">
        <f t="shared" si="0"/>
        <v>0.86274509803921573</v>
      </c>
      <c r="L19" s="1"/>
      <c r="M19" s="6"/>
      <c r="N19" s="5"/>
      <c r="O19" s="128"/>
    </row>
    <row r="20" spans="1:16" x14ac:dyDescent="0.25">
      <c r="A20" s="3" t="s">
        <v>33</v>
      </c>
      <c r="B20" s="5">
        <v>4500</v>
      </c>
      <c r="C20" s="5">
        <v>4500</v>
      </c>
      <c r="D20" s="5">
        <v>6000</v>
      </c>
      <c r="E20" s="5">
        <v>4703</v>
      </c>
      <c r="F20" s="5">
        <v>6000</v>
      </c>
      <c r="G20" s="5">
        <v>5833</v>
      </c>
      <c r="H20" s="5">
        <v>6000</v>
      </c>
      <c r="I20" s="5">
        <v>6000</v>
      </c>
      <c r="J20" s="4">
        <f>SUM(ROUNDUP('Budget-Services'!I190,-2))</f>
        <v>184000</v>
      </c>
      <c r="K20" s="150">
        <f t="shared" si="0"/>
        <v>29.666666666666668</v>
      </c>
      <c r="L20" s="1"/>
      <c r="M20" s="1"/>
      <c r="O20" s="128"/>
    </row>
    <row r="21" spans="1:16" x14ac:dyDescent="0.25">
      <c r="A21" s="151" t="s">
        <v>34</v>
      </c>
      <c r="B21" s="140">
        <v>44600</v>
      </c>
      <c r="C21" s="140">
        <v>40997</v>
      </c>
      <c r="D21" s="140">
        <v>47100</v>
      </c>
      <c r="E21" s="140">
        <v>43537</v>
      </c>
      <c r="F21" s="140">
        <v>45700</v>
      </c>
      <c r="G21" s="140">
        <v>75711</v>
      </c>
      <c r="H21" s="140">
        <v>47200</v>
      </c>
      <c r="I21" s="140">
        <v>85300</v>
      </c>
      <c r="J21" s="152">
        <f>SUM(ROUNDUP('Budget-Services'!I228,-2))</f>
        <v>180800</v>
      </c>
      <c r="K21" s="149">
        <f t="shared" si="0"/>
        <v>1.1195779601406799</v>
      </c>
      <c r="L21" s="1"/>
      <c r="M21" s="1"/>
      <c r="O21" s="128"/>
    </row>
    <row r="22" spans="1:16" x14ac:dyDescent="0.25">
      <c r="A22" s="153" t="s">
        <v>35</v>
      </c>
      <c r="B22" s="141">
        <v>500</v>
      </c>
      <c r="C22" s="141">
        <v>0</v>
      </c>
      <c r="D22" s="141">
        <v>500</v>
      </c>
      <c r="E22" s="141">
        <v>0</v>
      </c>
      <c r="F22" s="141">
        <v>500</v>
      </c>
      <c r="G22" s="141">
        <v>0</v>
      </c>
      <c r="H22" s="141">
        <v>500</v>
      </c>
      <c r="I22" s="141">
        <v>500</v>
      </c>
      <c r="J22" s="154">
        <f>SUM(ROUNDUP('Budget-Services'!I232,-2))</f>
        <v>500</v>
      </c>
      <c r="K22" s="150">
        <f t="shared" si="0"/>
        <v>0</v>
      </c>
      <c r="L22" s="1"/>
      <c r="M22" s="1"/>
      <c r="O22" s="128"/>
    </row>
    <row r="23" spans="1:16" x14ac:dyDescent="0.25">
      <c r="A23" s="147" t="s">
        <v>36</v>
      </c>
      <c r="B23" s="139">
        <v>446500</v>
      </c>
      <c r="C23" s="139">
        <v>399678</v>
      </c>
      <c r="D23" s="139">
        <v>783300</v>
      </c>
      <c r="E23" s="139">
        <v>630893</v>
      </c>
      <c r="F23" s="139">
        <v>822700</v>
      </c>
      <c r="G23" s="139">
        <v>802957</v>
      </c>
      <c r="H23" s="139">
        <v>840700</v>
      </c>
      <c r="I23" s="139">
        <v>857700</v>
      </c>
      <c r="J23" s="148">
        <f>SUM(ROUNDUP('Budget-Services'!I257,-2))</f>
        <v>1369900</v>
      </c>
      <c r="K23" s="149">
        <f t="shared" si="0"/>
        <v>0.59717850064124989</v>
      </c>
      <c r="L23" s="1"/>
      <c r="M23" s="1"/>
      <c r="O23" s="128"/>
    </row>
    <row r="24" spans="1:16" x14ac:dyDescent="0.25">
      <c r="A24" s="153" t="s">
        <v>37</v>
      </c>
      <c r="B24" s="141">
        <v>237900</v>
      </c>
      <c r="C24" s="141">
        <v>189905</v>
      </c>
      <c r="D24" s="141">
        <v>0</v>
      </c>
      <c r="E24" s="141">
        <v>0</v>
      </c>
      <c r="F24" s="141">
        <v>0</v>
      </c>
      <c r="G24" s="141">
        <v>0</v>
      </c>
      <c r="H24" s="141">
        <v>0</v>
      </c>
      <c r="I24" s="141">
        <v>0</v>
      </c>
      <c r="J24" s="154">
        <v>0</v>
      </c>
      <c r="K24" s="150"/>
      <c r="L24" s="1"/>
      <c r="M24" s="1"/>
      <c r="O24" s="128"/>
    </row>
    <row r="25" spans="1:16" x14ac:dyDescent="0.25">
      <c r="A25" s="324" t="s">
        <v>38</v>
      </c>
      <c r="B25" s="327">
        <v>310000</v>
      </c>
      <c r="C25" s="327">
        <v>319353</v>
      </c>
      <c r="D25" s="327">
        <v>262350</v>
      </c>
      <c r="E25" s="327">
        <v>241812</v>
      </c>
      <c r="F25" s="327">
        <v>274000</v>
      </c>
      <c r="G25" s="327">
        <v>223432</v>
      </c>
      <c r="H25" s="327">
        <v>270800</v>
      </c>
      <c r="I25" s="327">
        <v>277600</v>
      </c>
      <c r="J25" s="328">
        <f>SUM(ROUNDUP('Budget-Services'!I299,-2))</f>
        <v>475400</v>
      </c>
      <c r="K25" s="326">
        <f t="shared" si="0"/>
        <v>0.71253602305475505</v>
      </c>
      <c r="L25" s="1"/>
      <c r="M25" s="1"/>
      <c r="O25" s="128"/>
    </row>
    <row r="26" spans="1:16" x14ac:dyDescent="0.25">
      <c r="A26" s="3" t="s">
        <v>39</v>
      </c>
      <c r="B26" s="5">
        <v>31300</v>
      </c>
      <c r="C26" s="5">
        <v>4110</v>
      </c>
      <c r="D26" s="5">
        <v>65700</v>
      </c>
      <c r="E26" s="5">
        <v>24540</v>
      </c>
      <c r="F26" s="5">
        <f>63700-1900</f>
        <v>61800</v>
      </c>
      <c r="G26" s="5">
        <v>81161</v>
      </c>
      <c r="H26" s="5">
        <v>96400</v>
      </c>
      <c r="I26" s="5">
        <v>123900</v>
      </c>
      <c r="J26" s="4">
        <f>SUM(ROUNDUP('Budget-Services'!I322,-2))</f>
        <v>252600</v>
      </c>
      <c r="K26" s="150">
        <f t="shared" si="0"/>
        <v>1.0387409200968523</v>
      </c>
      <c r="L26" s="1"/>
      <c r="M26" s="1"/>
      <c r="O26" s="128"/>
    </row>
    <row r="27" spans="1:16" x14ac:dyDescent="0.25">
      <c r="A27" s="151" t="s">
        <v>40</v>
      </c>
      <c r="B27" s="140">
        <v>17400</v>
      </c>
      <c r="C27" s="140">
        <v>13820</v>
      </c>
      <c r="D27" s="140">
        <v>16300</v>
      </c>
      <c r="E27" s="140">
        <v>16298</v>
      </c>
      <c r="F27" s="140">
        <v>15200</v>
      </c>
      <c r="G27" s="140">
        <v>16586</v>
      </c>
      <c r="H27" s="140">
        <v>17500</v>
      </c>
      <c r="I27" s="140">
        <v>17800</v>
      </c>
      <c r="J27" s="152">
        <f>SUM(ROUNDUP('Budget-Services'!I331,-2))</f>
        <v>29200</v>
      </c>
      <c r="K27" s="149">
        <f t="shared" si="0"/>
        <v>0.6404494382022472</v>
      </c>
      <c r="L27" s="1"/>
      <c r="M27" s="1109" t="s">
        <v>71</v>
      </c>
      <c r="N27" s="1107"/>
      <c r="O27" s="128"/>
    </row>
    <row r="28" spans="1:16" x14ac:dyDescent="0.25">
      <c r="A28" s="3" t="s">
        <v>41</v>
      </c>
      <c r="B28" s="5">
        <v>425600</v>
      </c>
      <c r="C28" s="5">
        <v>425517</v>
      </c>
      <c r="D28" s="5">
        <v>425600</v>
      </c>
      <c r="E28" s="5">
        <f>356665+68852</f>
        <v>425517</v>
      </c>
      <c r="F28" s="5">
        <v>425600</v>
      </c>
      <c r="G28" s="5">
        <f>369169+56348</f>
        <v>425517</v>
      </c>
      <c r="H28" s="5">
        <v>425600</v>
      </c>
      <c r="I28" s="5">
        <v>425600</v>
      </c>
      <c r="J28" s="4">
        <f>SUM(ROUNDUP('Budget-Services'!I335,-2))</f>
        <v>0</v>
      </c>
      <c r="K28" s="150">
        <f t="shared" si="0"/>
        <v>-1</v>
      </c>
      <c r="L28" s="1"/>
      <c r="M28" s="4">
        <f>SUM(I28)</f>
        <v>425600</v>
      </c>
      <c r="N28" s="5">
        <f>SUM(J28)</f>
        <v>0</v>
      </c>
      <c r="O28" s="127">
        <f>N28/N35</f>
        <v>0</v>
      </c>
    </row>
    <row r="29" spans="1:16" x14ac:dyDescent="0.25">
      <c r="A29" s="151" t="s">
        <v>42</v>
      </c>
      <c r="B29" s="140">
        <v>50000</v>
      </c>
      <c r="C29" s="140">
        <v>110591</v>
      </c>
      <c r="D29" s="140">
        <v>66500</v>
      </c>
      <c r="E29" s="140">
        <v>41191</v>
      </c>
      <c r="F29" s="140">
        <v>55000</v>
      </c>
      <c r="G29" s="140">
        <v>105866</v>
      </c>
      <c r="H29" s="140">
        <v>80000</v>
      </c>
      <c r="I29" s="140">
        <v>61200</v>
      </c>
      <c r="J29" s="152">
        <f>SUM(ROUNDUP('Budget-Services'!I341,-2))</f>
        <v>65000</v>
      </c>
      <c r="K29" s="149">
        <f t="shared" si="0"/>
        <v>6.2091503267973858E-2</v>
      </c>
      <c r="L29" s="1"/>
      <c r="M29" s="1"/>
      <c r="O29" s="128"/>
    </row>
    <row r="30" spans="1:16" x14ac:dyDescent="0.25">
      <c r="A30" s="3" t="s">
        <v>43</v>
      </c>
      <c r="B30" s="5">
        <v>0</v>
      </c>
      <c r="C30" s="5">
        <v>0</v>
      </c>
      <c r="D30" s="5">
        <v>0</v>
      </c>
      <c r="E30" s="5">
        <v>0</v>
      </c>
      <c r="F30" s="5">
        <v>0</v>
      </c>
      <c r="G30" s="5">
        <v>0</v>
      </c>
      <c r="H30" s="5">
        <v>0</v>
      </c>
      <c r="I30" s="5">
        <v>0</v>
      </c>
      <c r="J30" s="4">
        <f>SUM(ROUNDUP('Budget-Services'!I345,-2))</f>
        <v>0</v>
      </c>
      <c r="K30" s="150"/>
      <c r="L30" s="1"/>
      <c r="M30" s="1106" t="s">
        <v>72</v>
      </c>
      <c r="N30" s="1107"/>
      <c r="O30" s="128"/>
    </row>
    <row r="31" spans="1:16" x14ac:dyDescent="0.25">
      <c r="A31" s="151" t="s">
        <v>44</v>
      </c>
      <c r="B31" s="142">
        <v>5000</v>
      </c>
      <c r="C31" s="142">
        <v>0</v>
      </c>
      <c r="D31" s="142">
        <v>5000</v>
      </c>
      <c r="E31" s="142">
        <v>0</v>
      </c>
      <c r="F31" s="142">
        <v>5000</v>
      </c>
      <c r="G31" s="142">
        <v>0</v>
      </c>
      <c r="H31" s="142">
        <v>5000</v>
      </c>
      <c r="I31" s="142">
        <v>5000</v>
      </c>
      <c r="J31" s="155">
        <v>5000</v>
      </c>
      <c r="K31" s="149">
        <f t="shared" si="0"/>
        <v>0</v>
      </c>
      <c r="L31" s="1"/>
      <c r="M31" s="4">
        <f>SUM(I29:I31)</f>
        <v>66200</v>
      </c>
      <c r="N31" s="5">
        <f>SUM(J29:J31)</f>
        <v>70000</v>
      </c>
      <c r="O31" s="127">
        <f>N31/N35</f>
        <v>6.3098307162559267E-3</v>
      </c>
    </row>
    <row r="32" spans="1:16" ht="15.75" thickBot="1" x14ac:dyDescent="0.3">
      <c r="A32" s="21" t="s">
        <v>45</v>
      </c>
      <c r="B32" s="23">
        <f t="shared" ref="B32:F32" si="2">SUM(B3:B31)</f>
        <v>7682900</v>
      </c>
      <c r="C32" s="23">
        <f t="shared" si="2"/>
        <v>7542932</v>
      </c>
      <c r="D32" s="23">
        <f t="shared" si="2"/>
        <v>8237100</v>
      </c>
      <c r="E32" s="23">
        <f>SUM(E3:E31)</f>
        <v>7792733</v>
      </c>
      <c r="F32" s="23">
        <f t="shared" si="2"/>
        <v>8432100</v>
      </c>
      <c r="G32" s="23">
        <f>SUM(G3:G31)</f>
        <v>8192270</v>
      </c>
      <c r="H32" s="23">
        <f>SUM(H3:H31)</f>
        <v>8560500</v>
      </c>
      <c r="I32" s="23">
        <f>SUM(I3:I31)</f>
        <v>9283700</v>
      </c>
      <c r="J32" s="22">
        <f>SUM(J3:J31)</f>
        <v>10416200</v>
      </c>
      <c r="K32" s="156">
        <f>(J32-I32)/I32</f>
        <v>0.12198800047394896</v>
      </c>
      <c r="L32" s="1"/>
      <c r="M32" s="146">
        <f>SUM(M31+M28+M17+M11+M5)</f>
        <v>9283700</v>
      </c>
      <c r="N32" s="110">
        <f>SUM(N31+N28+N17+N11+N5)</f>
        <v>10416200</v>
      </c>
      <c r="O32" s="128"/>
      <c r="P32" s="316">
        <f>N32-M32</f>
        <v>1132500</v>
      </c>
    </row>
    <row r="33" spans="1:16" ht="15.75" thickTop="1" x14ac:dyDescent="0.25">
      <c r="A33" s="151"/>
      <c r="B33" s="143"/>
      <c r="C33" s="143"/>
      <c r="D33" s="143"/>
      <c r="E33" s="143"/>
      <c r="F33" s="143"/>
      <c r="G33" s="143"/>
      <c r="H33" s="143"/>
      <c r="I33" s="143"/>
      <c r="J33" s="143"/>
      <c r="K33" s="157"/>
      <c r="L33" s="1"/>
      <c r="M33" s="3"/>
      <c r="O33" s="128"/>
    </row>
    <row r="34" spans="1:16" x14ac:dyDescent="0.25">
      <c r="A34" s="3" t="s">
        <v>46</v>
      </c>
      <c r="B34" s="246">
        <v>166300</v>
      </c>
      <c r="C34" s="246">
        <v>172982</v>
      </c>
      <c r="D34" s="246">
        <v>185900</v>
      </c>
      <c r="E34" s="246">
        <v>152449</v>
      </c>
      <c r="F34" s="246">
        <v>187100</v>
      </c>
      <c r="G34" s="246">
        <v>127911</v>
      </c>
      <c r="H34" s="246">
        <v>195300</v>
      </c>
      <c r="I34" s="246">
        <v>227800</v>
      </c>
      <c r="J34" s="247">
        <f>SUM(ROUNDUP('ARB Budget'!F39,-2))</f>
        <v>677600</v>
      </c>
      <c r="K34" s="150">
        <f>(J34-I34)/I34</f>
        <v>1.974539069359087</v>
      </c>
      <c r="L34" s="1"/>
      <c r="M34" s="4">
        <f>SUM(I34)</f>
        <v>227800</v>
      </c>
      <c r="N34" s="248">
        <f>SUM(J34)</f>
        <v>677600</v>
      </c>
      <c r="O34" s="249">
        <f>N34/N35</f>
        <v>6.1079161333357369E-2</v>
      </c>
    </row>
    <row r="35" spans="1:16" ht="15.75" thickBot="1" x14ac:dyDescent="0.3">
      <c r="A35" s="158" t="s">
        <v>47</v>
      </c>
      <c r="B35" s="144">
        <f t="shared" ref="B35:J35" si="3">SUM(B32:B34)</f>
        <v>7849200</v>
      </c>
      <c r="C35" s="144">
        <f t="shared" si="3"/>
        <v>7715914</v>
      </c>
      <c r="D35" s="144">
        <f t="shared" si="3"/>
        <v>8423000</v>
      </c>
      <c r="E35" s="144">
        <f>SUM(E32:E34)</f>
        <v>7945182</v>
      </c>
      <c r="F35" s="144">
        <f t="shared" si="3"/>
        <v>8619200</v>
      </c>
      <c r="G35" s="144">
        <f>SUM(G32:G34)</f>
        <v>8320181</v>
      </c>
      <c r="H35" s="144">
        <f>SUM(H32:H34)</f>
        <v>8755800</v>
      </c>
      <c r="I35" s="144">
        <f>SUM(I32:I34)</f>
        <v>9511500</v>
      </c>
      <c r="J35" s="159">
        <f t="shared" si="3"/>
        <v>11093800</v>
      </c>
      <c r="K35" s="160">
        <f>(J35-I35)/I35</f>
        <v>0.16635651579666719</v>
      </c>
      <c r="L35" s="1"/>
      <c r="M35" s="110">
        <f>SUM(M32:M34)</f>
        <v>9511500</v>
      </c>
      <c r="N35" s="125">
        <f>SUM(N32:N34)</f>
        <v>11093800</v>
      </c>
      <c r="O35" s="128">
        <f>SUM(O5:O34)</f>
        <v>1</v>
      </c>
      <c r="P35" s="5">
        <f>N35-M35</f>
        <v>1582300</v>
      </c>
    </row>
    <row r="36" spans="1:16" ht="15.75" thickTop="1" x14ac:dyDescent="0.25">
      <c r="A36" s="161" t="s">
        <v>48</v>
      </c>
      <c r="B36" s="145"/>
      <c r="C36" s="145"/>
      <c r="D36" s="145"/>
      <c r="E36" s="145"/>
      <c r="F36" s="145"/>
      <c r="G36" s="145"/>
      <c r="H36" s="145"/>
      <c r="I36" s="145"/>
      <c r="J36" s="154"/>
      <c r="K36" s="150"/>
    </row>
    <row r="37" spans="1:16" ht="15.75" thickBot="1" x14ac:dyDescent="0.3">
      <c r="A37" s="250" t="s">
        <v>49</v>
      </c>
      <c r="B37" s="262"/>
      <c r="C37" s="262"/>
      <c r="D37" s="347">
        <v>-247604</v>
      </c>
      <c r="E37" s="347"/>
      <c r="F37" s="347">
        <v>-200000</v>
      </c>
      <c r="G37" s="347"/>
      <c r="H37" s="347"/>
      <c r="I37" s="347">
        <v>-158000</v>
      </c>
      <c r="J37" s="348">
        <f>-(322053+50000)</f>
        <v>-372053</v>
      </c>
      <c r="K37" s="349"/>
      <c r="L37" s="1"/>
      <c r="M37" s="1"/>
    </row>
    <row r="38" spans="1:16" ht="16.5" thickTop="1" thickBot="1" x14ac:dyDescent="0.3">
      <c r="A38" s="29" t="s">
        <v>50</v>
      </c>
      <c r="B38" s="30">
        <f>SUM(B35)</f>
        <v>7849200</v>
      </c>
      <c r="C38" s="30"/>
      <c r="D38" s="30">
        <f t="shared" ref="D38:J38" si="4">SUM(D35:D37)</f>
        <v>8175396</v>
      </c>
      <c r="E38" s="30"/>
      <c r="F38" s="30">
        <f t="shared" si="4"/>
        <v>8419200</v>
      </c>
      <c r="G38" s="30"/>
      <c r="H38" s="30">
        <f>SUM(H35:H37)</f>
        <v>8755800</v>
      </c>
      <c r="I38" s="30">
        <f>SUM(I35:I37)</f>
        <v>9353500</v>
      </c>
      <c r="J38" s="31">
        <f t="shared" si="4"/>
        <v>10721747</v>
      </c>
      <c r="K38" s="163">
        <f>(J38-I38)/I38</f>
        <v>0.14628181963970707</v>
      </c>
      <c r="O38" s="5"/>
    </row>
    <row r="39" spans="1:16" ht="15.75" thickTop="1" x14ac:dyDescent="0.25">
      <c r="A39" s="26"/>
      <c r="B39" s="26"/>
      <c r="C39" s="26"/>
      <c r="D39" s="26"/>
      <c r="E39" s="26"/>
      <c r="F39" s="26"/>
      <c r="G39" s="26"/>
      <c r="H39" s="26"/>
      <c r="I39" s="26"/>
      <c r="J39" s="26"/>
      <c r="K39" s="26"/>
      <c r="L39" s="1"/>
      <c r="M39" s="1"/>
    </row>
    <row r="40" spans="1:16" x14ac:dyDescent="0.25">
      <c r="A40" s="26"/>
      <c r="B40" s="26"/>
      <c r="C40" s="26"/>
      <c r="D40" s="26"/>
      <c r="E40" s="26"/>
      <c r="F40" s="26"/>
      <c r="G40" s="26"/>
      <c r="H40" s="26"/>
      <c r="I40" s="26"/>
      <c r="J40" s="26"/>
      <c r="K40" s="26"/>
      <c r="L40" s="1"/>
      <c r="M40" s="1"/>
    </row>
    <row r="41" spans="1:16" x14ac:dyDescent="0.25">
      <c r="A41" s="26"/>
      <c r="B41" s="32"/>
      <c r="C41" s="32"/>
      <c r="D41" s="32"/>
      <c r="E41" s="32"/>
      <c r="F41" s="32"/>
      <c r="G41" s="32"/>
      <c r="H41" s="32"/>
      <c r="I41" s="32"/>
      <c r="J41" s="32"/>
      <c r="K41" s="26"/>
      <c r="L41" s="1"/>
      <c r="M41" s="1"/>
    </row>
    <row r="42" spans="1:16" x14ac:dyDescent="0.25">
      <c r="J42" s="3"/>
      <c r="K42" s="3"/>
      <c r="L42" s="1"/>
      <c r="M42" s="1"/>
    </row>
    <row r="43" spans="1:16" x14ac:dyDescent="0.25">
      <c r="J43" s="3"/>
      <c r="K43" s="3"/>
      <c r="L43" s="1"/>
      <c r="M43" s="1"/>
    </row>
    <row r="44" spans="1:16" x14ac:dyDescent="0.25">
      <c r="J44" s="3"/>
      <c r="K44" s="3"/>
      <c r="L44" s="1"/>
      <c r="M44" s="1"/>
    </row>
    <row r="45" spans="1:16" x14ac:dyDescent="0.25">
      <c r="L45" s="1"/>
      <c r="M45" s="1"/>
    </row>
    <row r="46" spans="1:16" x14ac:dyDescent="0.25">
      <c r="L46" s="1"/>
      <c r="M46" s="1"/>
    </row>
    <row r="47" spans="1:16" x14ac:dyDescent="0.25">
      <c r="L47" s="1"/>
      <c r="M47" s="1"/>
    </row>
    <row r="48" spans="1:16" x14ac:dyDescent="0.25">
      <c r="L48" s="1"/>
      <c r="M48" s="1"/>
    </row>
    <row r="49" spans="12:13" x14ac:dyDescent="0.25">
      <c r="L49" s="1"/>
      <c r="M49" s="1"/>
    </row>
    <row r="50" spans="12:13" x14ac:dyDescent="0.25">
      <c r="L50" s="1"/>
      <c r="M50" s="1"/>
    </row>
    <row r="51" spans="12:13" x14ac:dyDescent="0.25">
      <c r="L51" s="1"/>
      <c r="M51" s="1"/>
    </row>
    <row r="52" spans="12:13" x14ac:dyDescent="0.25">
      <c r="L52" s="1"/>
      <c r="M52" s="1"/>
    </row>
    <row r="53" spans="12:13" x14ac:dyDescent="0.25">
      <c r="L53" s="1"/>
      <c r="M53" s="1"/>
    </row>
    <row r="54" spans="12:13" x14ac:dyDescent="0.25">
      <c r="L54" s="1"/>
      <c r="M54" s="1"/>
    </row>
    <row r="55" spans="12:13" x14ac:dyDescent="0.25">
      <c r="L55" s="1"/>
      <c r="M55" s="1"/>
    </row>
    <row r="56" spans="12:13" x14ac:dyDescent="0.25">
      <c r="L56" s="1"/>
      <c r="M56" s="1"/>
    </row>
    <row r="57" spans="12:13" x14ac:dyDescent="0.25">
      <c r="L57" s="1"/>
      <c r="M57" s="1"/>
    </row>
    <row r="58" spans="12:13" x14ac:dyDescent="0.25">
      <c r="L58" s="1"/>
      <c r="M58" s="1"/>
    </row>
    <row r="59" spans="12:13" x14ac:dyDescent="0.25">
      <c r="L59" s="1"/>
      <c r="M59" s="1"/>
    </row>
    <row r="60" spans="12:13" x14ac:dyDescent="0.25">
      <c r="L60" s="1"/>
      <c r="M60" s="1"/>
    </row>
    <row r="61" spans="12:13" x14ac:dyDescent="0.25">
      <c r="L61" s="1"/>
      <c r="M61" s="1"/>
    </row>
    <row r="62" spans="12:13" x14ac:dyDescent="0.25">
      <c r="L62" s="1"/>
      <c r="M62" s="1"/>
    </row>
    <row r="63" spans="12:13" x14ac:dyDescent="0.25">
      <c r="L63" s="1"/>
      <c r="M63" s="1"/>
    </row>
    <row r="64" spans="12:13" x14ac:dyDescent="0.25">
      <c r="L64" s="1"/>
      <c r="M64" s="1"/>
    </row>
    <row r="65" spans="12:13" x14ac:dyDescent="0.25">
      <c r="L65" s="1"/>
      <c r="M65" s="1"/>
    </row>
    <row r="66" spans="12:13" x14ac:dyDescent="0.25">
      <c r="L66" s="1"/>
      <c r="M66" s="1"/>
    </row>
    <row r="67" spans="12:13" x14ac:dyDescent="0.25">
      <c r="L67" s="1"/>
      <c r="M67" s="1"/>
    </row>
    <row r="68" spans="12:13" x14ac:dyDescent="0.25">
      <c r="L68" s="1"/>
      <c r="M68" s="1"/>
    </row>
    <row r="69" spans="12:13" x14ac:dyDescent="0.25">
      <c r="L69" s="1"/>
      <c r="M69" s="1"/>
    </row>
    <row r="70" spans="12:13" x14ac:dyDescent="0.25">
      <c r="L70" s="1"/>
      <c r="M70" s="1"/>
    </row>
    <row r="71" spans="12:13" x14ac:dyDescent="0.25">
      <c r="L71" s="1"/>
      <c r="M71" s="1"/>
    </row>
    <row r="72" spans="12:13" x14ac:dyDescent="0.25">
      <c r="L72" s="1"/>
      <c r="M72" s="1"/>
    </row>
    <row r="73" spans="12:13" x14ac:dyDescent="0.25">
      <c r="L73" s="1"/>
      <c r="M73" s="1"/>
    </row>
    <row r="74" spans="12:13" x14ac:dyDescent="0.25">
      <c r="L74" s="1"/>
      <c r="M74" s="1"/>
    </row>
    <row r="75" spans="12:13" x14ac:dyDescent="0.25">
      <c r="L75" s="1"/>
      <c r="M75" s="1"/>
    </row>
    <row r="76" spans="12:13" x14ac:dyDescent="0.25">
      <c r="L76" s="1"/>
      <c r="M76" s="1"/>
    </row>
    <row r="77" spans="12:13" x14ac:dyDescent="0.25">
      <c r="L77" s="1"/>
      <c r="M77" s="1"/>
    </row>
    <row r="78" spans="12:13" x14ac:dyDescent="0.25">
      <c r="L78" s="1"/>
      <c r="M78" s="1"/>
    </row>
    <row r="79" spans="12:13" x14ac:dyDescent="0.25">
      <c r="L79" s="1"/>
      <c r="M79" s="1"/>
    </row>
    <row r="80" spans="12:13" x14ac:dyDescent="0.25">
      <c r="L80" s="1"/>
      <c r="M80" s="1"/>
    </row>
    <row r="81" spans="1:13" x14ac:dyDescent="0.25">
      <c r="L81" s="1"/>
      <c r="M81" s="1"/>
    </row>
    <row r="82" spans="1:13" x14ac:dyDescent="0.25">
      <c r="L82" s="1"/>
      <c r="M82" s="1"/>
    </row>
    <row r="83" spans="1:13" x14ac:dyDescent="0.25">
      <c r="L83" s="1"/>
      <c r="M83" s="1"/>
    </row>
    <row r="84" spans="1:13" x14ac:dyDescent="0.25">
      <c r="L84" s="1"/>
      <c r="M84" s="1"/>
    </row>
    <row r="85" spans="1:13" x14ac:dyDescent="0.25">
      <c r="L85" s="1"/>
      <c r="M85" s="1"/>
    </row>
    <row r="86" spans="1:13" x14ac:dyDescent="0.25">
      <c r="L86" s="1"/>
      <c r="M86" s="1"/>
    </row>
    <row r="87" spans="1:13" x14ac:dyDescent="0.25">
      <c r="L87" s="1"/>
      <c r="M87" s="1"/>
    </row>
    <row r="88" spans="1:13" x14ac:dyDescent="0.25">
      <c r="L88" s="1"/>
      <c r="M88" s="1"/>
    </row>
    <row r="89" spans="1:13" x14ac:dyDescent="0.25">
      <c r="L89" s="1"/>
      <c r="M89" s="1"/>
    </row>
    <row r="90" spans="1:13" x14ac:dyDescent="0.25">
      <c r="L90" s="1"/>
      <c r="M90" s="1"/>
    </row>
    <row r="91" spans="1:13" x14ac:dyDescent="0.25">
      <c r="L91" s="1"/>
      <c r="M91" s="1"/>
    </row>
    <row r="92" spans="1:13" x14ac:dyDescent="0.25">
      <c r="A92" s="26"/>
      <c r="B92" s="33"/>
      <c r="C92" s="33"/>
      <c r="D92" s="33"/>
      <c r="E92" s="33"/>
      <c r="F92" s="33"/>
      <c r="G92" s="33"/>
      <c r="H92" s="33"/>
      <c r="I92" s="33"/>
      <c r="J92" s="33"/>
      <c r="K92" s="33"/>
      <c r="L92" s="1"/>
      <c r="M92" s="1"/>
    </row>
  </sheetData>
  <mergeCells count="6">
    <mergeCell ref="M30:N30"/>
    <mergeCell ref="A1:K1"/>
    <mergeCell ref="M4:N4"/>
    <mergeCell ref="M10:N10"/>
    <mergeCell ref="M16:N16"/>
    <mergeCell ref="M27:N27"/>
  </mergeCells>
  <conditionalFormatting sqref="K3:K38">
    <cfRule type="cellIs" dxfId="145" priority="1" stopIfTrue="1" operator="lessThan">
      <formula>0</formula>
    </cfRule>
    <cfRule type="cellIs" dxfId="144" priority="2" stopIfTrue="1" operator="greaterThan">
      <formula>0</formula>
    </cfRule>
    <cfRule type="cellIs" dxfId="143" priority="3" stopIfTrue="1" operator="equal">
      <formula>0</formula>
    </cfRule>
  </conditionalFormatting>
  <printOptions horizontalCentered="1"/>
  <pageMargins left="0.25" right="0.25" top="0.75" bottom="0.75" header="0.3" footer="0.3"/>
  <pageSetup scale="79"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72BEA-CB5D-4DCF-8EF0-E91196F0054C}">
  <dimension ref="A1:N1002"/>
  <sheetViews>
    <sheetView topLeftCell="A16" zoomScaleNormal="100" workbookViewId="0">
      <selection activeCell="B25" sqref="B25"/>
    </sheetView>
  </sheetViews>
  <sheetFormatPr defaultColWidth="14.42578125" defaultRowHeight="15" x14ac:dyDescent="0.25"/>
  <cols>
    <col min="1" max="1" width="25.140625" customWidth="1"/>
    <col min="2" max="2" width="66.140625" customWidth="1"/>
    <col min="3" max="3" width="2.42578125" customWidth="1"/>
    <col min="4" max="4" width="13.42578125" customWidth="1"/>
    <col min="5" max="5" width="13.140625" customWidth="1"/>
    <col min="6" max="6" width="7.42578125" hidden="1" customWidth="1"/>
    <col min="7" max="7" width="11.42578125" hidden="1" customWidth="1"/>
    <col min="8" max="8" width="11.5703125" customWidth="1"/>
    <col min="9" max="9" width="78.7109375" customWidth="1"/>
    <col min="10" max="19" width="13.28515625" customWidth="1"/>
    <col min="20" max="26" width="15.140625" customWidth="1"/>
  </cols>
  <sheetData>
    <row r="1" spans="1:14" ht="26.25" x14ac:dyDescent="0.4">
      <c r="A1" s="1104" t="s">
        <v>160</v>
      </c>
      <c r="B1" s="1104"/>
      <c r="C1" s="1104"/>
      <c r="D1" s="1104"/>
      <c r="E1" s="1104"/>
      <c r="F1" s="1104"/>
      <c r="G1" s="1104"/>
      <c r="H1" s="1104"/>
    </row>
    <row r="2" spans="1:14" ht="45" customHeight="1" x14ac:dyDescent="0.25">
      <c r="A2" s="286" t="s">
        <v>76</v>
      </c>
      <c r="B2" s="286" t="s">
        <v>77</v>
      </c>
      <c r="C2" s="286"/>
      <c r="D2" s="288"/>
      <c r="E2" s="287" t="s">
        <v>78</v>
      </c>
      <c r="F2" s="287" t="s">
        <v>79</v>
      </c>
      <c r="G2" s="287" t="s">
        <v>80</v>
      </c>
      <c r="H2" s="287" t="s">
        <v>81</v>
      </c>
      <c r="I2" s="2"/>
    </row>
    <row r="3" spans="1:14" ht="19.5" customHeight="1" x14ac:dyDescent="0.3">
      <c r="A3" s="1110" t="s">
        <v>9</v>
      </c>
      <c r="B3" s="1110"/>
      <c r="C3" s="1110"/>
      <c r="D3" s="1110"/>
      <c r="E3" s="1110"/>
      <c r="F3" s="1110"/>
      <c r="G3" s="1110"/>
      <c r="H3" s="1110"/>
      <c r="I3" s="7"/>
    </row>
    <row r="4" spans="1:14" x14ac:dyDescent="0.25">
      <c r="A4" s="253"/>
      <c r="B4" s="8" t="s">
        <v>82</v>
      </c>
      <c r="C4" s="9"/>
      <c r="D4" s="8"/>
      <c r="E4" s="10">
        <f>(H5*2)+(H4)</f>
        <v>4541680</v>
      </c>
      <c r="F4" s="254"/>
      <c r="G4" s="254"/>
      <c r="H4" s="11">
        <v>4367000</v>
      </c>
      <c r="I4" s="12" t="s">
        <v>83</v>
      </c>
      <c r="J4" s="59"/>
    </row>
    <row r="5" spans="1:14" x14ac:dyDescent="0.25">
      <c r="A5" s="255" t="s">
        <v>84</v>
      </c>
      <c r="B5" s="256" t="s">
        <v>161</v>
      </c>
      <c r="C5" s="257"/>
      <c r="D5" s="258"/>
      <c r="E5" s="95">
        <f>(E4*2%)*50%</f>
        <v>45416.800000000003</v>
      </c>
      <c r="F5" s="259"/>
      <c r="G5" s="259"/>
      <c r="H5" s="260">
        <v>87340</v>
      </c>
      <c r="I5" s="2"/>
      <c r="M5" s="111">
        <v>3797336</v>
      </c>
      <c r="N5" t="s">
        <v>86</v>
      </c>
    </row>
    <row r="6" spans="1:14" x14ac:dyDescent="0.25">
      <c r="A6" s="13"/>
      <c r="B6" s="14" t="s">
        <v>87</v>
      </c>
      <c r="C6" s="9"/>
      <c r="D6" s="14"/>
      <c r="E6" s="10">
        <v>17000</v>
      </c>
      <c r="F6" s="15"/>
      <c r="G6" s="15"/>
      <c r="H6" s="16">
        <v>17000</v>
      </c>
      <c r="I6" s="2"/>
      <c r="M6" s="112">
        <v>0.03</v>
      </c>
      <c r="N6" t="s">
        <v>88</v>
      </c>
    </row>
    <row r="7" spans="1:14" x14ac:dyDescent="0.25">
      <c r="A7" s="167"/>
      <c r="B7" s="168" t="s">
        <v>89</v>
      </c>
      <c r="C7" s="166"/>
      <c r="D7" s="168"/>
      <c r="E7" s="95">
        <v>27500</v>
      </c>
      <c r="F7" s="169"/>
      <c r="G7" s="169"/>
      <c r="H7" s="170">
        <v>28750</v>
      </c>
      <c r="I7" s="12"/>
      <c r="M7" s="111">
        <f>M5*M6</f>
        <v>113920.08</v>
      </c>
      <c r="N7" t="s">
        <v>90</v>
      </c>
    </row>
    <row r="8" spans="1:14" x14ac:dyDescent="0.25">
      <c r="A8" s="130" t="s">
        <v>91</v>
      </c>
      <c r="B8" s="8" t="s">
        <v>92</v>
      </c>
      <c r="C8" s="9"/>
      <c r="D8" s="8"/>
      <c r="E8" s="10">
        <v>120000</v>
      </c>
      <c r="F8" s="11"/>
      <c r="G8" s="11"/>
      <c r="H8" s="11">
        <v>120000</v>
      </c>
      <c r="I8" s="2"/>
      <c r="M8" s="111">
        <f>M7*0.25</f>
        <v>28480.02</v>
      </c>
      <c r="N8" t="s">
        <v>93</v>
      </c>
    </row>
    <row r="9" spans="1:14" x14ac:dyDescent="0.25">
      <c r="A9" s="171" t="s">
        <v>94</v>
      </c>
      <c r="B9" s="172" t="s">
        <v>95</v>
      </c>
      <c r="C9" s="173"/>
      <c r="D9" s="172"/>
      <c r="E9" s="95">
        <v>30000</v>
      </c>
      <c r="F9" s="169"/>
      <c r="G9" s="169"/>
      <c r="H9" s="170">
        <v>30000</v>
      </c>
      <c r="I9" s="2"/>
      <c r="M9" s="111">
        <f>M5+M7</f>
        <v>3911256.08</v>
      </c>
      <c r="N9" t="s">
        <v>96</v>
      </c>
    </row>
    <row r="10" spans="1:14" ht="15.75" thickBot="1" x14ac:dyDescent="0.3">
      <c r="A10" s="17"/>
      <c r="B10" s="18" t="s">
        <v>97</v>
      </c>
      <c r="C10" s="19"/>
      <c r="D10" s="98">
        <f>SUM(Summary!F3)</f>
        <v>2.8278961742758221E-2</v>
      </c>
      <c r="E10" s="96">
        <f>(SUM(E4:E9))</f>
        <v>4781596.8</v>
      </c>
      <c r="F10" s="174"/>
      <c r="G10" s="174"/>
      <c r="H10" s="175">
        <f>SUM(H4:H9)</f>
        <v>4650090</v>
      </c>
      <c r="I10" s="320" t="s">
        <v>162</v>
      </c>
      <c r="M10" s="111"/>
    </row>
    <row r="11" spans="1:14" ht="13.5" customHeight="1" thickTop="1" x14ac:dyDescent="0.25">
      <c r="A11" s="24"/>
      <c r="B11" s="24"/>
      <c r="C11" s="25"/>
      <c r="D11" s="26"/>
      <c r="E11" s="27"/>
      <c r="F11" s="27"/>
      <c r="G11" s="27"/>
      <c r="H11" s="27"/>
      <c r="I11" s="2"/>
      <c r="M11" s="111">
        <v>4239580</v>
      </c>
      <c r="N11" t="s">
        <v>98</v>
      </c>
    </row>
    <row r="12" spans="1:14" ht="19.5" customHeight="1" x14ac:dyDescent="0.3">
      <c r="A12" s="1112" t="s">
        <v>10</v>
      </c>
      <c r="B12" s="1112"/>
      <c r="C12" s="1112"/>
      <c r="D12" s="1112"/>
      <c r="E12" s="1112"/>
      <c r="F12" s="1112"/>
      <c r="G12" s="1112"/>
      <c r="H12" s="1112"/>
      <c r="I12" s="7"/>
      <c r="M12" s="111">
        <f>M11-M9</f>
        <v>328323.91999999993</v>
      </c>
      <c r="N12" t="s">
        <v>99</v>
      </c>
    </row>
    <row r="13" spans="1:14" x14ac:dyDescent="0.25">
      <c r="A13" s="13"/>
      <c r="B13" s="28" t="s">
        <v>100</v>
      </c>
      <c r="C13" s="176"/>
      <c r="D13" s="3"/>
      <c r="E13" s="3"/>
      <c r="F13" s="3"/>
      <c r="G13" s="3"/>
      <c r="H13" s="3"/>
      <c r="I13" s="2"/>
      <c r="M13" s="111">
        <v>140000</v>
      </c>
      <c r="N13" t="s">
        <v>101</v>
      </c>
    </row>
    <row r="14" spans="1:14" x14ac:dyDescent="0.25">
      <c r="A14" s="261"/>
      <c r="B14" s="256" t="s">
        <v>102</v>
      </c>
      <c r="C14" s="257"/>
      <c r="D14" s="258"/>
      <c r="E14" s="262">
        <f>((600*12)*34)*0.95</f>
        <v>232560</v>
      </c>
      <c r="F14" s="263"/>
      <c r="G14" s="263"/>
      <c r="H14" s="263">
        <v>232560</v>
      </c>
      <c r="I14" s="2"/>
      <c r="M14" s="111">
        <f>M11-M13</f>
        <v>4099580</v>
      </c>
      <c r="N14" t="s">
        <v>103</v>
      </c>
    </row>
    <row r="15" spans="1:14" x14ac:dyDescent="0.25">
      <c r="A15" s="13"/>
      <c r="B15" s="14" t="s">
        <v>104</v>
      </c>
      <c r="C15" s="9"/>
      <c r="D15" s="8"/>
      <c r="E15" s="177">
        <f>600*12</f>
        <v>7200</v>
      </c>
      <c r="F15" s="11"/>
      <c r="G15" s="11"/>
      <c r="H15" s="11">
        <v>7200</v>
      </c>
      <c r="I15" s="2"/>
      <c r="M15" s="111"/>
    </row>
    <row r="16" spans="1:14" x14ac:dyDescent="0.25">
      <c r="A16" s="164"/>
      <c r="B16" s="178" t="s">
        <v>105</v>
      </c>
      <c r="C16" s="166"/>
      <c r="D16" s="166"/>
      <c r="E16" s="97">
        <v>1000</v>
      </c>
      <c r="F16" s="179"/>
      <c r="G16" s="179"/>
      <c r="H16" s="180">
        <v>1000</v>
      </c>
      <c r="I16" s="2"/>
    </row>
    <row r="17" spans="1:14" x14ac:dyDescent="0.25">
      <c r="A17" s="24"/>
      <c r="B17" s="35" t="s">
        <v>106</v>
      </c>
      <c r="C17" s="37"/>
      <c r="E17" s="181">
        <f>SUM(E14:E16)</f>
        <v>240760</v>
      </c>
      <c r="F17" s="38"/>
      <c r="G17" s="38"/>
      <c r="H17" s="40">
        <f>SUM(H14:H16)</f>
        <v>240760</v>
      </c>
      <c r="I17" s="2"/>
    </row>
    <row r="18" spans="1:14" x14ac:dyDescent="0.25">
      <c r="A18" s="13"/>
      <c r="C18" s="393"/>
      <c r="E18" s="3"/>
      <c r="H18" s="3"/>
      <c r="I18" s="2"/>
      <c r="N18" s="51">
        <f>H4*1.03</f>
        <v>4498010</v>
      </c>
    </row>
    <row r="19" spans="1:14" x14ac:dyDescent="0.25">
      <c r="A19" s="13"/>
      <c r="B19" s="182" t="s">
        <v>107</v>
      </c>
      <c r="C19" s="183"/>
      <c r="D19" s="8"/>
      <c r="H19" s="3"/>
      <c r="I19" s="2"/>
    </row>
    <row r="20" spans="1:14" x14ac:dyDescent="0.25">
      <c r="A20" s="164"/>
      <c r="B20" s="168" t="s">
        <v>108</v>
      </c>
      <c r="C20" s="166"/>
      <c r="D20" s="184"/>
      <c r="E20" s="162">
        <f>(1*110)*12</f>
        <v>1320</v>
      </c>
      <c r="F20" s="185"/>
      <c r="G20" s="185"/>
      <c r="H20" s="185">
        <v>1320</v>
      </c>
      <c r="I20" s="2" t="s">
        <v>109</v>
      </c>
    </row>
    <row r="21" spans="1:14" x14ac:dyDescent="0.25">
      <c r="A21" s="42"/>
      <c r="B21" s="8" t="s">
        <v>110</v>
      </c>
      <c r="C21" s="9"/>
      <c r="E21" s="177">
        <f>(90*5)*12</f>
        <v>5400</v>
      </c>
      <c r="F21" s="11"/>
      <c r="G21" s="11"/>
      <c r="H21" s="11">
        <v>5400</v>
      </c>
      <c r="I21" s="2" t="s">
        <v>111</v>
      </c>
    </row>
    <row r="22" spans="1:14" x14ac:dyDescent="0.25">
      <c r="A22" s="186"/>
      <c r="B22" s="168" t="s">
        <v>112</v>
      </c>
      <c r="C22" s="166"/>
      <c r="D22" s="184"/>
      <c r="E22" s="97">
        <f>(70*11)*12</f>
        <v>9240</v>
      </c>
      <c r="F22" s="187"/>
      <c r="G22" s="187"/>
      <c r="H22" s="187">
        <v>9240</v>
      </c>
      <c r="I22" s="2" t="s">
        <v>113</v>
      </c>
    </row>
    <row r="23" spans="1:14" x14ac:dyDescent="0.25">
      <c r="A23" s="24"/>
      <c r="B23" s="35" t="s">
        <v>106</v>
      </c>
      <c r="C23" s="37"/>
      <c r="E23" s="181">
        <f>SUM(E20:E22)</f>
        <v>15960</v>
      </c>
      <c r="F23" s="40"/>
      <c r="G23" s="40"/>
      <c r="H23" s="40">
        <f>SUM(H20:H22)</f>
        <v>15960</v>
      </c>
      <c r="I23" s="2"/>
    </row>
    <row r="24" spans="1:14" x14ac:dyDescent="0.25">
      <c r="A24" s="24"/>
      <c r="B24" s="35"/>
      <c r="C24" s="37"/>
      <c r="E24" s="40"/>
      <c r="F24" s="40"/>
      <c r="G24" s="40"/>
      <c r="H24" s="40"/>
      <c r="I24" s="2"/>
    </row>
    <row r="25" spans="1:14" x14ac:dyDescent="0.25">
      <c r="A25" s="24"/>
      <c r="B25" s="43" t="s">
        <v>114</v>
      </c>
      <c r="C25" s="44"/>
      <c r="E25" s="40"/>
      <c r="F25" s="40"/>
      <c r="G25" s="40"/>
      <c r="H25" s="40"/>
      <c r="I25" s="2"/>
    </row>
    <row r="26" spans="1:14" x14ac:dyDescent="0.25">
      <c r="A26" s="188"/>
      <c r="B26" s="189" t="s">
        <v>115</v>
      </c>
      <c r="C26" s="190"/>
      <c r="D26" s="140">
        <v>1000</v>
      </c>
      <c r="E26" s="162">
        <f t="shared" ref="E26:E31" si="0">C26*D26</f>
        <v>0</v>
      </c>
      <c r="F26" s="191"/>
      <c r="G26" s="191"/>
      <c r="H26" s="185">
        <v>0</v>
      </c>
      <c r="I26" s="2"/>
    </row>
    <row r="27" spans="1:14" x14ac:dyDescent="0.25">
      <c r="A27" s="45"/>
      <c r="B27" s="14" t="s">
        <v>116</v>
      </c>
      <c r="C27" s="46">
        <v>1</v>
      </c>
      <c r="D27" s="5">
        <v>1000</v>
      </c>
      <c r="E27" s="177">
        <f t="shared" si="0"/>
        <v>1000</v>
      </c>
      <c r="F27" s="40"/>
      <c r="G27" s="40"/>
      <c r="H27" s="11">
        <v>1000</v>
      </c>
      <c r="I27" s="2" t="s">
        <v>117</v>
      </c>
    </row>
    <row r="28" spans="1:14" x14ac:dyDescent="0.25">
      <c r="A28" s="188"/>
      <c r="B28" s="189" t="s">
        <v>118</v>
      </c>
      <c r="C28" s="190"/>
      <c r="D28" s="140">
        <v>1000</v>
      </c>
      <c r="E28" s="162">
        <f t="shared" si="0"/>
        <v>0</v>
      </c>
      <c r="F28" s="191"/>
      <c r="G28" s="191"/>
      <c r="H28" s="185">
        <v>0</v>
      </c>
      <c r="I28" s="2"/>
    </row>
    <row r="29" spans="1:14" x14ac:dyDescent="0.25">
      <c r="A29" s="45"/>
      <c r="B29" s="14" t="s">
        <v>119</v>
      </c>
      <c r="C29" s="46">
        <v>1</v>
      </c>
      <c r="D29" s="5">
        <v>1500</v>
      </c>
      <c r="E29" s="177">
        <f t="shared" si="0"/>
        <v>1500</v>
      </c>
      <c r="F29" s="40"/>
      <c r="G29" s="40"/>
      <c r="H29" s="11">
        <v>0</v>
      </c>
      <c r="I29" s="2" t="s">
        <v>120</v>
      </c>
    </row>
    <row r="30" spans="1:14" x14ac:dyDescent="0.25">
      <c r="A30" s="188"/>
      <c r="B30" s="189" t="s">
        <v>121</v>
      </c>
      <c r="C30" s="190">
        <v>4</v>
      </c>
      <c r="D30" s="140">
        <v>2000</v>
      </c>
      <c r="E30" s="162">
        <f t="shared" si="0"/>
        <v>8000</v>
      </c>
      <c r="F30" s="191"/>
      <c r="G30" s="191"/>
      <c r="H30" s="185">
        <v>8000</v>
      </c>
      <c r="I30" s="2" t="s">
        <v>122</v>
      </c>
    </row>
    <row r="31" spans="1:14" x14ac:dyDescent="0.25">
      <c r="A31" s="289"/>
      <c r="B31" s="290" t="s">
        <v>123</v>
      </c>
      <c r="C31" s="291">
        <v>1</v>
      </c>
      <c r="D31" s="141">
        <v>2000</v>
      </c>
      <c r="E31" s="292">
        <f t="shared" si="0"/>
        <v>2000</v>
      </c>
      <c r="F31" s="293"/>
      <c r="G31" s="293"/>
      <c r="H31" s="294">
        <v>0</v>
      </c>
      <c r="I31" s="2" t="s">
        <v>163</v>
      </c>
    </row>
    <row r="32" spans="1:14" x14ac:dyDescent="0.25">
      <c r="A32" s="24"/>
      <c r="B32" s="14"/>
      <c r="C32" s="9"/>
      <c r="E32" s="181">
        <f>SUM(E26:E31)</f>
        <v>12500</v>
      </c>
      <c r="F32" s="40"/>
      <c r="G32" s="40"/>
      <c r="H32" s="40">
        <f>SUM(H26:H31)</f>
        <v>9000</v>
      </c>
      <c r="I32" s="2"/>
    </row>
    <row r="33" spans="1:9" x14ac:dyDescent="0.25">
      <c r="A33" s="24"/>
      <c r="B33" s="14"/>
      <c r="C33" s="9"/>
      <c r="E33" s="11"/>
      <c r="F33" s="40"/>
      <c r="G33" s="40"/>
      <c r="H33" s="11"/>
      <c r="I33" s="2"/>
    </row>
    <row r="34" spans="1:9" ht="15.75" thickBot="1" x14ac:dyDescent="0.3">
      <c r="A34" s="24"/>
      <c r="B34" s="18" t="s">
        <v>97</v>
      </c>
      <c r="C34" s="19"/>
      <c r="D34" s="98">
        <f>SUM(Summary!F4)</f>
        <v>1.3167795334838224E-2</v>
      </c>
      <c r="E34" s="96">
        <f>SUM(E17+E23+E32)</f>
        <v>269220</v>
      </c>
      <c r="F34" s="174"/>
      <c r="G34" s="174"/>
      <c r="H34" s="175">
        <f>SUM(H17+H23+H32)</f>
        <v>265720</v>
      </c>
      <c r="I34" s="2"/>
    </row>
    <row r="35" spans="1:9" ht="15.75" thickTop="1" x14ac:dyDescent="0.25">
      <c r="A35" s="13"/>
      <c r="B35" s="13"/>
      <c r="C35" s="50"/>
      <c r="D35" s="13"/>
      <c r="E35" s="13"/>
      <c r="F35" s="13"/>
      <c r="G35" s="13"/>
      <c r="H35" s="26"/>
      <c r="I35" s="2"/>
    </row>
    <row r="36" spans="1:9" ht="19.5" customHeight="1" x14ac:dyDescent="0.3">
      <c r="A36" s="1112" t="s">
        <v>125</v>
      </c>
      <c r="B36" s="1112"/>
      <c r="C36" s="1112"/>
      <c r="D36" s="1112"/>
      <c r="E36" s="1112"/>
      <c r="F36" s="1112"/>
      <c r="G36" s="1112"/>
      <c r="H36" s="1112"/>
      <c r="I36" s="7"/>
    </row>
    <row r="37" spans="1:9" x14ac:dyDescent="0.25">
      <c r="A37" s="130" t="s">
        <v>127</v>
      </c>
      <c r="B37" s="14" t="s">
        <v>128</v>
      </c>
      <c r="C37" s="9"/>
      <c r="D37" s="284"/>
      <c r="E37" s="177">
        <f>ROUND((36.51*73*8)+((36.51*105%)*73*4),0)</f>
        <v>32516</v>
      </c>
      <c r="F37" s="353"/>
      <c r="G37" s="353"/>
      <c r="H37" s="4">
        <v>29224</v>
      </c>
      <c r="I37" s="2"/>
    </row>
    <row r="38" spans="1:9" x14ac:dyDescent="0.25">
      <c r="A38" s="354" t="s">
        <v>127</v>
      </c>
      <c r="B38" s="355" t="s">
        <v>129</v>
      </c>
      <c r="C38" s="356"/>
      <c r="D38" s="357"/>
      <c r="E38" s="358">
        <f>((621.8-10)*73*8)+(((621.8-10)*115%)*73*4)</f>
        <v>562733.6399999999</v>
      </c>
      <c r="F38" s="359"/>
      <c r="G38" s="359"/>
      <c r="H38" s="360">
        <v>588602</v>
      </c>
      <c r="I38" s="2"/>
    </row>
    <row r="39" spans="1:9" x14ac:dyDescent="0.25">
      <c r="A39" s="130"/>
      <c r="B39" s="14" t="s">
        <v>130</v>
      </c>
      <c r="C39" s="9"/>
      <c r="D39" s="284"/>
      <c r="E39" s="177">
        <f>(140*20*12)</f>
        <v>33600</v>
      </c>
      <c r="F39" s="11"/>
      <c r="G39" s="11"/>
      <c r="H39" s="11">
        <v>32232</v>
      </c>
      <c r="I39" s="2"/>
    </row>
    <row r="40" spans="1:9" x14ac:dyDescent="0.25">
      <c r="A40" s="354" t="s">
        <v>127</v>
      </c>
      <c r="B40" s="355" t="s">
        <v>131</v>
      </c>
      <c r="C40" s="356"/>
      <c r="D40" s="357"/>
      <c r="E40" s="358">
        <f>((7.28*73)*8)+((7.28*105%)*73*4)</f>
        <v>6483.5680000000011</v>
      </c>
      <c r="F40" s="360"/>
      <c r="G40" s="360"/>
      <c r="H40" s="360">
        <v>5590</v>
      </c>
      <c r="I40" s="2"/>
    </row>
    <row r="41" spans="1:9" x14ac:dyDescent="0.25">
      <c r="A41" s="130" t="s">
        <v>132</v>
      </c>
      <c r="B41" s="14" t="s">
        <v>133</v>
      </c>
      <c r="C41" s="9"/>
      <c r="D41" s="284"/>
      <c r="E41" s="177">
        <f>((((4*73)*12)+2370))</f>
        <v>5874</v>
      </c>
      <c r="F41" s="11"/>
      <c r="G41" s="11"/>
      <c r="H41" s="11">
        <v>5821</v>
      </c>
    </row>
    <row r="42" spans="1:9" x14ac:dyDescent="0.25">
      <c r="A42" s="354" t="s">
        <v>132</v>
      </c>
      <c r="B42" s="361" t="s">
        <v>134</v>
      </c>
      <c r="C42" s="362"/>
      <c r="D42" s="363"/>
      <c r="E42" s="358">
        <f>(((E4+E5)*0.331%))</f>
        <v>15183.290407999999</v>
      </c>
      <c r="F42" s="360"/>
      <c r="G42" s="360"/>
      <c r="H42" s="360">
        <v>14031</v>
      </c>
      <c r="I42" s="2"/>
    </row>
    <row r="43" spans="1:9" ht="15.75" thickBot="1" x14ac:dyDescent="0.3">
      <c r="A43" s="192"/>
      <c r="B43" s="18" t="s">
        <v>97</v>
      </c>
      <c r="C43" s="19"/>
      <c r="D43" s="98">
        <f>SUM(Summary!F5)</f>
        <v>-2.8419182948490232E-2</v>
      </c>
      <c r="E43" s="96">
        <f>SUM(E37:E42)</f>
        <v>656390.49840799987</v>
      </c>
      <c r="F43" s="174"/>
      <c r="G43" s="174"/>
      <c r="H43" s="193">
        <f>SUM(H37:H42)</f>
        <v>675500</v>
      </c>
      <c r="I43" s="57"/>
    </row>
    <row r="44" spans="1:9" ht="20.25" thickTop="1" x14ac:dyDescent="0.3">
      <c r="A44" s="194"/>
      <c r="B44" s="195"/>
      <c r="C44" s="196"/>
      <c r="D44" s="285"/>
      <c r="E44" s="195"/>
      <c r="F44" s="195"/>
      <c r="G44" s="195"/>
      <c r="H44" s="195"/>
      <c r="I44" s="2"/>
    </row>
    <row r="45" spans="1:9" ht="20.25" customHeight="1" x14ac:dyDescent="0.3">
      <c r="A45" s="1112" t="s">
        <v>12</v>
      </c>
      <c r="B45" s="1112"/>
      <c r="C45" s="1112"/>
      <c r="D45" s="1112"/>
      <c r="E45" s="1112"/>
      <c r="F45" s="1112"/>
      <c r="G45" s="1112"/>
      <c r="H45" s="1112"/>
      <c r="I45" s="197"/>
    </row>
    <row r="46" spans="1:9" x14ac:dyDescent="0.25">
      <c r="A46" s="115" t="s">
        <v>135</v>
      </c>
      <c r="B46" s="14" t="s">
        <v>136</v>
      </c>
      <c r="C46" s="9"/>
      <c r="D46" s="9"/>
      <c r="E46" s="177">
        <f>SUM(E4:E7)*0.97</f>
        <v>4492648.8959999997</v>
      </c>
      <c r="F46" s="254"/>
      <c r="G46" s="254"/>
      <c r="H46" s="59">
        <v>4365087</v>
      </c>
      <c r="I46" s="7"/>
    </row>
    <row r="47" spans="1:9" x14ac:dyDescent="0.25">
      <c r="A47" s="264"/>
      <c r="B47" s="258" t="s">
        <v>137</v>
      </c>
      <c r="C47" s="257"/>
      <c r="D47" s="265"/>
      <c r="E47" s="266">
        <f>SUM(E14+E15+E32)</f>
        <v>252260</v>
      </c>
      <c r="F47" s="267"/>
      <c r="G47" s="267"/>
      <c r="H47" s="267">
        <v>248760</v>
      </c>
      <c r="I47" s="2"/>
    </row>
    <row r="48" spans="1:9" x14ac:dyDescent="0.25">
      <c r="A48" s="114"/>
      <c r="B48" s="14"/>
      <c r="C48" s="9"/>
      <c r="D48" s="3"/>
      <c r="E48" s="177">
        <f>SUM(E46:E47)</f>
        <v>4744908.8959999997</v>
      </c>
      <c r="F48" s="38"/>
      <c r="G48" s="38"/>
      <c r="H48" s="40">
        <f>SUM(H46:H47)</f>
        <v>4613847</v>
      </c>
      <c r="I48" s="2"/>
    </row>
    <row r="49" spans="1:9" x14ac:dyDescent="0.25">
      <c r="A49" s="115"/>
      <c r="B49" s="8"/>
      <c r="C49" s="9"/>
      <c r="D49" s="9"/>
      <c r="E49" s="11"/>
      <c r="F49" s="11"/>
      <c r="G49" s="11"/>
      <c r="H49" s="11"/>
      <c r="I49" s="2"/>
    </row>
    <row r="50" spans="1:9" x14ac:dyDescent="0.25">
      <c r="A50" s="198" t="s">
        <v>138</v>
      </c>
      <c r="B50" s="199" t="s">
        <v>139</v>
      </c>
      <c r="C50" s="200"/>
      <c r="D50" s="201"/>
      <c r="E50" s="97">
        <f>E48*0.12%</f>
        <v>5693.8906751999994</v>
      </c>
      <c r="F50" s="202"/>
      <c r="G50" s="202"/>
      <c r="H50" s="203">
        <v>5537</v>
      </c>
      <c r="I50" s="2"/>
    </row>
    <row r="51" spans="1:9" ht="15.75" thickBot="1" x14ac:dyDescent="0.3">
      <c r="A51" s="115"/>
      <c r="B51" s="18"/>
      <c r="C51" s="19"/>
      <c r="E51" s="177">
        <f>SUM(E50)</f>
        <v>5693.8906751999994</v>
      </c>
      <c r="F51" s="204"/>
      <c r="G51" s="204"/>
      <c r="H51" s="103">
        <f>SUM(H50)</f>
        <v>5537</v>
      </c>
      <c r="I51" s="2"/>
    </row>
    <row r="52" spans="1:9" ht="15.75" thickTop="1" x14ac:dyDescent="0.25">
      <c r="A52" s="115"/>
      <c r="B52" s="13"/>
      <c r="C52" s="50"/>
      <c r="D52" s="13"/>
      <c r="E52" s="13"/>
      <c r="F52" s="13"/>
      <c r="G52" s="13"/>
      <c r="H52" s="27"/>
      <c r="I52" s="2"/>
    </row>
    <row r="53" spans="1:9" x14ac:dyDescent="0.25">
      <c r="A53" s="115" t="s">
        <v>140</v>
      </c>
      <c r="B53" s="205" t="s">
        <v>141</v>
      </c>
      <c r="C53" s="60"/>
      <c r="D53" s="13"/>
      <c r="E53" s="177">
        <f>E48*16.75%</f>
        <v>794772.24008000002</v>
      </c>
      <c r="F53" s="62"/>
      <c r="G53" s="62"/>
      <c r="H53" s="27">
        <v>825417</v>
      </c>
      <c r="I53" s="7"/>
    </row>
    <row r="54" spans="1:9" x14ac:dyDescent="0.25">
      <c r="A54" s="268" t="s">
        <v>138</v>
      </c>
      <c r="B54" s="199" t="s">
        <v>142</v>
      </c>
      <c r="C54" s="200"/>
      <c r="D54" s="164"/>
      <c r="E54" s="97">
        <f>E48*0.13%</f>
        <v>6168.3815647999991</v>
      </c>
      <c r="F54" s="206"/>
      <c r="G54" s="206"/>
      <c r="H54" s="207">
        <v>5537</v>
      </c>
      <c r="I54" s="321" t="s">
        <v>164</v>
      </c>
    </row>
    <row r="55" spans="1:9" x14ac:dyDescent="0.25">
      <c r="A55" s="116"/>
      <c r="B55" s="18"/>
      <c r="C55" s="67"/>
      <c r="D55" s="98">
        <f>(E55-H55)/H55</f>
        <v>-3.611918151329669E-2</v>
      </c>
      <c r="E55" s="177">
        <f>SUM(E53:E54)</f>
        <v>800940.62164480006</v>
      </c>
      <c r="F55" s="62"/>
      <c r="G55" s="62"/>
      <c r="H55" s="104">
        <f>SUM(H53:H54)</f>
        <v>830954</v>
      </c>
      <c r="I55" s="7"/>
    </row>
    <row r="56" spans="1:9" x14ac:dyDescent="0.25">
      <c r="A56" s="114"/>
      <c r="B56" s="62"/>
      <c r="C56" s="67"/>
      <c r="D56" s="20"/>
      <c r="E56" s="71"/>
      <c r="F56" s="62"/>
      <c r="G56" s="62"/>
      <c r="H56" s="27"/>
      <c r="I56" s="7"/>
    </row>
    <row r="57" spans="1:9" x14ac:dyDescent="0.25">
      <c r="A57" s="198" t="s">
        <v>143</v>
      </c>
      <c r="B57" s="318" t="s">
        <v>144</v>
      </c>
      <c r="C57" s="208"/>
      <c r="D57" s="201"/>
      <c r="E57" s="162">
        <f>E48*19.13%</f>
        <v>907701.07180479995</v>
      </c>
      <c r="F57" s="206"/>
      <c r="G57" s="206"/>
      <c r="H57" s="207">
        <v>882168</v>
      </c>
      <c r="I57" s="7"/>
    </row>
    <row r="58" spans="1:9" x14ac:dyDescent="0.25">
      <c r="A58" s="115" t="s">
        <v>145</v>
      </c>
      <c r="B58" s="319" t="s">
        <v>146</v>
      </c>
      <c r="C58" s="67"/>
      <c r="D58" s="20"/>
      <c r="E58" s="71"/>
      <c r="F58" s="62"/>
      <c r="G58" s="62"/>
      <c r="H58" s="27"/>
      <c r="I58" s="7"/>
    </row>
    <row r="59" spans="1:9" ht="15.75" thickBot="1" x14ac:dyDescent="0.3">
      <c r="A59" s="114"/>
      <c r="B59" s="18" t="s">
        <v>97</v>
      </c>
      <c r="C59" s="67"/>
      <c r="D59" s="98">
        <f>SUM(Summary!$F$6)</f>
        <v>2.9018363182951711E-2</v>
      </c>
      <c r="E59" s="96">
        <f>SUM(E57:E58)</f>
        <v>907701.07180479995</v>
      </c>
      <c r="F59" s="73"/>
      <c r="G59" s="73"/>
      <c r="H59" s="209">
        <f>SUM(H57:H58)</f>
        <v>882168</v>
      </c>
      <c r="I59" s="7"/>
    </row>
    <row r="60" spans="1:9" ht="15.75" thickTop="1" x14ac:dyDescent="0.25">
      <c r="A60" s="13"/>
      <c r="B60" s="62"/>
      <c r="C60" s="67"/>
      <c r="D60" s="13"/>
      <c r="E60" s="62"/>
      <c r="F60" s="62"/>
      <c r="G60" s="62"/>
      <c r="H60" s="26"/>
      <c r="I60" s="7"/>
    </row>
    <row r="61" spans="1:9" ht="19.5" customHeight="1" x14ac:dyDescent="0.3">
      <c r="A61" s="1110" t="s">
        <v>147</v>
      </c>
      <c r="B61" s="1111"/>
      <c r="C61" s="1111"/>
      <c r="D61" s="1111"/>
      <c r="E61" s="1111"/>
      <c r="F61" s="1111"/>
      <c r="G61" s="1111"/>
      <c r="H61" s="1111"/>
      <c r="I61" s="7"/>
    </row>
    <row r="62" spans="1:9" x14ac:dyDescent="0.25">
      <c r="A62" s="13"/>
      <c r="B62" t="s">
        <v>148</v>
      </c>
      <c r="C62" s="393"/>
      <c r="E62" s="177">
        <f>(2003*4)*110%</f>
        <v>8813.2000000000007</v>
      </c>
      <c r="F62" s="74"/>
      <c r="G62" s="74"/>
      <c r="H62" s="59">
        <v>8813.2000000000007</v>
      </c>
      <c r="I62" s="2"/>
    </row>
    <row r="63" spans="1:9" ht="15.75" thickBot="1" x14ac:dyDescent="0.3">
      <c r="A63" s="210"/>
      <c r="B63" s="211" t="s">
        <v>97</v>
      </c>
      <c r="C63" s="212"/>
      <c r="D63" s="99" t="e">
        <f>SUM(Summary!$H$7)</f>
        <v>#REF!</v>
      </c>
      <c r="E63" s="102">
        <f>SUM(E62)</f>
        <v>8813.2000000000007</v>
      </c>
      <c r="F63" s="75"/>
      <c r="G63" s="75"/>
      <c r="H63" s="105">
        <f>SUM(H62)</f>
        <v>8813.2000000000007</v>
      </c>
      <c r="I63" s="2"/>
    </row>
    <row r="64" spans="1:9" ht="15.75" thickTop="1" x14ac:dyDescent="0.25">
      <c r="A64" s="13"/>
      <c r="B64" s="13"/>
      <c r="C64" s="50"/>
      <c r="D64" s="13"/>
      <c r="E64" s="13"/>
      <c r="F64" s="13"/>
      <c r="G64" s="13"/>
      <c r="H64" s="26"/>
      <c r="I64" s="2"/>
    </row>
    <row r="65" spans="1:9" ht="19.5" customHeight="1" x14ac:dyDescent="0.3">
      <c r="A65" s="1110" t="s">
        <v>149</v>
      </c>
      <c r="B65" s="1111"/>
      <c r="C65" s="1111"/>
      <c r="D65" s="1111"/>
      <c r="E65" s="1111"/>
      <c r="F65" s="1111"/>
      <c r="G65" s="1111"/>
      <c r="H65" s="1111"/>
      <c r="I65" s="7"/>
    </row>
    <row r="66" spans="1:9" x14ac:dyDescent="0.25">
      <c r="A66" s="13"/>
      <c r="B66" s="213" t="s">
        <v>150</v>
      </c>
      <c r="C66" s="183"/>
      <c r="D66" s="8"/>
      <c r="E66" s="8"/>
      <c r="F66" s="8"/>
      <c r="G66" s="8"/>
      <c r="H66" s="8"/>
      <c r="I66" s="2"/>
    </row>
    <row r="67" spans="1:9" x14ac:dyDescent="0.25">
      <c r="A67" s="13"/>
      <c r="B67" s="14" t="s">
        <v>151</v>
      </c>
      <c r="C67" s="9"/>
      <c r="D67" s="14"/>
      <c r="E67" s="177">
        <f>SUM(E4+E5+E6+E7+E8+E14+E15+E32)</f>
        <v>5003856.8</v>
      </c>
      <c r="F67" s="76"/>
      <c r="G67" s="76"/>
      <c r="H67" s="59">
        <f>SUM(H4+H5+H6+H7+H8+H14+H15+H32)</f>
        <v>4868850</v>
      </c>
      <c r="I67" s="2"/>
    </row>
    <row r="68" spans="1:9" x14ac:dyDescent="0.25">
      <c r="A68" s="164"/>
      <c r="B68" s="165" t="s">
        <v>152</v>
      </c>
      <c r="C68" s="166"/>
      <c r="D68" s="166"/>
      <c r="E68" s="214">
        <v>1.4500000000000001E-2</v>
      </c>
      <c r="F68" s="215"/>
      <c r="G68" s="215"/>
      <c r="H68" s="214">
        <v>1.4500000000000001E-2</v>
      </c>
      <c r="I68" s="2"/>
    </row>
    <row r="69" spans="1:9" x14ac:dyDescent="0.25">
      <c r="A69" s="13"/>
      <c r="B69" s="35" t="s">
        <v>153</v>
      </c>
      <c r="C69" s="37"/>
      <c r="D69" s="8"/>
      <c r="E69" s="177">
        <f>(E67*E68)</f>
        <v>72555.923599999995</v>
      </c>
      <c r="F69" s="76"/>
      <c r="G69" s="76"/>
      <c r="H69" s="11">
        <f>H67*H68</f>
        <v>70598.324999999997</v>
      </c>
      <c r="I69" s="2"/>
    </row>
    <row r="70" spans="1:9" x14ac:dyDescent="0.25">
      <c r="A70" s="13"/>
      <c r="B70" s="213"/>
      <c r="C70" s="183"/>
      <c r="D70" s="8"/>
      <c r="E70" s="72"/>
      <c r="F70" s="72"/>
      <c r="G70" s="72"/>
      <c r="H70" s="72"/>
      <c r="I70" s="2"/>
    </row>
    <row r="71" spans="1:9" x14ac:dyDescent="0.25">
      <c r="A71" s="13"/>
      <c r="B71" s="213"/>
      <c r="C71" s="183"/>
      <c r="D71" s="8"/>
      <c r="E71" s="72"/>
      <c r="F71" s="72"/>
      <c r="G71" s="72"/>
      <c r="H71" s="72"/>
      <c r="I71" s="2"/>
    </row>
    <row r="72" spans="1:9" x14ac:dyDescent="0.25">
      <c r="A72" s="13"/>
      <c r="B72" s="213" t="s">
        <v>154</v>
      </c>
      <c r="C72" s="183"/>
      <c r="D72" s="8"/>
      <c r="E72" s="8"/>
      <c r="F72" s="8"/>
      <c r="G72" s="8"/>
      <c r="H72" s="8"/>
      <c r="I72" s="2"/>
    </row>
    <row r="73" spans="1:9" x14ac:dyDescent="0.25">
      <c r="A73" s="115" t="s">
        <v>155</v>
      </c>
      <c r="B73" s="14" t="s">
        <v>156</v>
      </c>
      <c r="C73" s="9"/>
      <c r="D73" s="14"/>
      <c r="E73" s="216">
        <v>5000</v>
      </c>
      <c r="F73" s="11"/>
      <c r="G73" s="11"/>
      <c r="H73" s="11">
        <v>5000</v>
      </c>
      <c r="I73" s="2"/>
    </row>
    <row r="74" spans="1:9" x14ac:dyDescent="0.25">
      <c r="A74" s="164"/>
      <c r="B74" s="165" t="s">
        <v>157</v>
      </c>
      <c r="C74" s="166"/>
      <c r="D74" s="165"/>
      <c r="E74" s="100">
        <v>6.2E-2</v>
      </c>
      <c r="F74" s="215"/>
      <c r="G74" s="215"/>
      <c r="H74" s="214">
        <v>6.2E-2</v>
      </c>
      <c r="I74" s="2"/>
    </row>
    <row r="75" spans="1:9" x14ac:dyDescent="0.25">
      <c r="A75" s="24"/>
      <c r="B75" s="35" t="s">
        <v>153</v>
      </c>
      <c r="C75" s="37"/>
      <c r="D75" s="8"/>
      <c r="E75" s="177">
        <f>E73*E74</f>
        <v>310</v>
      </c>
      <c r="F75" s="72"/>
      <c r="G75" s="72"/>
      <c r="H75" s="11">
        <f>H73*H74</f>
        <v>310</v>
      </c>
      <c r="I75" s="2"/>
    </row>
    <row r="76" spans="1:9" x14ac:dyDescent="0.25">
      <c r="A76" s="13"/>
      <c r="C76" s="393"/>
      <c r="E76" s="3"/>
      <c r="F76" s="3"/>
      <c r="G76" s="3"/>
      <c r="H76" s="3"/>
      <c r="I76" s="2"/>
    </row>
    <row r="77" spans="1:9" ht="15.75" thickBot="1" x14ac:dyDescent="0.3">
      <c r="A77" s="13"/>
      <c r="B77" s="18" t="s">
        <v>97</v>
      </c>
      <c r="C77" s="19"/>
      <c r="D77" s="98">
        <f>SUM(Summary!$F$8)</f>
        <v>2.6760563380281689E-2</v>
      </c>
      <c r="E77" s="96">
        <f>SUM(E69+E75)</f>
        <v>72865.923599999995</v>
      </c>
      <c r="F77" s="217"/>
      <c r="G77" s="217"/>
      <c r="H77" s="175">
        <f>SUM(H69+H75)</f>
        <v>70908.324999999997</v>
      </c>
      <c r="I77" s="2"/>
    </row>
    <row r="78" spans="1:9" ht="16.5" thickTop="1" thickBot="1" x14ac:dyDescent="0.3">
      <c r="A78" s="13"/>
      <c r="C78" s="393"/>
      <c r="H78" s="3"/>
      <c r="I78" s="2"/>
    </row>
    <row r="79" spans="1:9" ht="15.75" thickBot="1" x14ac:dyDescent="0.3">
      <c r="A79" s="13"/>
      <c r="B79" s="61" t="s">
        <v>158</v>
      </c>
      <c r="C79" s="317"/>
      <c r="D79" s="98">
        <f>(E79-H79)/H79</f>
        <v>2.1880604774169456E-2</v>
      </c>
      <c r="E79" s="101">
        <f>SUM(E10+E34+E43+E59+E63+E77)</f>
        <v>6696587.4938128004</v>
      </c>
      <c r="F79" s="79"/>
      <c r="G79" s="79"/>
      <c r="H79" s="80">
        <f>SUM(H10+H34+H43+H59+H63+H77)</f>
        <v>6553199.5250000004</v>
      </c>
      <c r="I79" s="2"/>
    </row>
    <row r="80" spans="1:9" ht="13.5" customHeight="1" x14ac:dyDescent="0.25">
      <c r="A80" s="13"/>
      <c r="B80" s="13"/>
      <c r="C80" s="50"/>
      <c r="D80" s="81"/>
      <c r="E80" s="13"/>
      <c r="F80" s="13"/>
      <c r="G80" s="13"/>
      <c r="H80" s="26"/>
      <c r="I80" s="2"/>
    </row>
    <row r="81" spans="3:9" x14ac:dyDescent="0.25">
      <c r="C81" s="393"/>
      <c r="I81" s="322" t="s">
        <v>165</v>
      </c>
    </row>
    <row r="82" spans="3:9" x14ac:dyDescent="0.25">
      <c r="C82" s="393"/>
      <c r="I82" s="57"/>
    </row>
    <row r="83" spans="3:9" x14ac:dyDescent="0.25">
      <c r="I83" s="57"/>
    </row>
    <row r="84" spans="3:9" x14ac:dyDescent="0.25">
      <c r="I84" s="57"/>
    </row>
    <row r="85" spans="3:9" x14ac:dyDescent="0.25">
      <c r="I85" s="57"/>
    </row>
    <row r="86" spans="3:9" x14ac:dyDescent="0.25">
      <c r="I86" s="57"/>
    </row>
    <row r="87" spans="3:9" x14ac:dyDescent="0.25">
      <c r="I87" s="57"/>
    </row>
    <row r="88" spans="3:9" x14ac:dyDescent="0.25">
      <c r="I88" s="57"/>
    </row>
    <row r="89" spans="3:9" x14ac:dyDescent="0.25">
      <c r="I89" s="57"/>
    </row>
    <row r="90" spans="3:9" x14ac:dyDescent="0.25">
      <c r="I90" s="57"/>
    </row>
    <row r="91" spans="3:9" x14ac:dyDescent="0.25">
      <c r="I91" s="57"/>
    </row>
    <row r="92" spans="3:9" x14ac:dyDescent="0.25">
      <c r="I92" s="57"/>
    </row>
    <row r="93" spans="3:9" x14ac:dyDescent="0.25">
      <c r="I93" s="57"/>
    </row>
    <row r="94" spans="3:9" x14ac:dyDescent="0.25">
      <c r="I94" s="57"/>
    </row>
    <row r="95" spans="3:9" x14ac:dyDescent="0.25">
      <c r="I95" s="57"/>
    </row>
    <row r="96" spans="3:9" x14ac:dyDescent="0.25">
      <c r="I96" s="57"/>
    </row>
    <row r="97" spans="9:9" x14ac:dyDescent="0.25">
      <c r="I97" s="57"/>
    </row>
    <row r="98" spans="9:9" x14ac:dyDescent="0.25">
      <c r="I98" s="57"/>
    </row>
    <row r="99" spans="9:9" x14ac:dyDescent="0.25">
      <c r="I99" s="57"/>
    </row>
    <row r="100" spans="9:9" x14ac:dyDescent="0.25">
      <c r="I100" s="57"/>
    </row>
    <row r="101" spans="9:9" x14ac:dyDescent="0.25">
      <c r="I101" s="57"/>
    </row>
    <row r="102" spans="9:9" x14ac:dyDescent="0.25">
      <c r="I102" s="57"/>
    </row>
    <row r="103" spans="9:9" x14ac:dyDescent="0.25">
      <c r="I103" s="57"/>
    </row>
    <row r="104" spans="9:9" x14ac:dyDescent="0.25">
      <c r="I104" s="57"/>
    </row>
    <row r="105" spans="9:9" x14ac:dyDescent="0.25">
      <c r="I105" s="57"/>
    </row>
    <row r="106" spans="9:9" x14ac:dyDescent="0.25">
      <c r="I106" s="57"/>
    </row>
    <row r="107" spans="9:9" x14ac:dyDescent="0.25">
      <c r="I107" s="57"/>
    </row>
    <row r="108" spans="9:9" x14ac:dyDescent="0.25">
      <c r="I108" s="57"/>
    </row>
    <row r="109" spans="9:9" x14ac:dyDescent="0.25">
      <c r="I109" s="57"/>
    </row>
    <row r="110" spans="9:9" x14ac:dyDescent="0.25">
      <c r="I110" s="57"/>
    </row>
    <row r="111" spans="9:9" x14ac:dyDescent="0.25">
      <c r="I111" s="57"/>
    </row>
    <row r="112" spans="9:9" x14ac:dyDescent="0.25">
      <c r="I112" s="57"/>
    </row>
    <row r="113" spans="9:9" x14ac:dyDescent="0.25">
      <c r="I113" s="57"/>
    </row>
    <row r="114" spans="9:9" x14ac:dyDescent="0.25">
      <c r="I114" s="57"/>
    </row>
    <row r="115" spans="9:9" x14ac:dyDescent="0.25">
      <c r="I115" s="57"/>
    </row>
    <row r="116" spans="9:9" x14ac:dyDescent="0.25">
      <c r="I116" s="57"/>
    </row>
    <row r="117" spans="9:9" x14ac:dyDescent="0.25">
      <c r="I117" s="57"/>
    </row>
    <row r="118" spans="9:9" x14ac:dyDescent="0.25">
      <c r="I118" s="57"/>
    </row>
    <row r="119" spans="9:9" x14ac:dyDescent="0.25">
      <c r="I119" s="57"/>
    </row>
    <row r="120" spans="9:9" x14ac:dyDescent="0.25">
      <c r="I120" s="57"/>
    </row>
    <row r="121" spans="9:9" x14ac:dyDescent="0.25">
      <c r="I121" s="57"/>
    </row>
    <row r="122" spans="9:9" x14ac:dyDescent="0.25">
      <c r="I122" s="57"/>
    </row>
    <row r="123" spans="9:9" x14ac:dyDescent="0.25">
      <c r="I123" s="57"/>
    </row>
    <row r="124" spans="9:9" x14ac:dyDescent="0.25">
      <c r="I124" s="57"/>
    </row>
    <row r="125" spans="9:9" x14ac:dyDescent="0.25">
      <c r="I125" s="57"/>
    </row>
    <row r="126" spans="9:9" x14ac:dyDescent="0.25">
      <c r="I126" s="57"/>
    </row>
    <row r="127" spans="9:9" x14ac:dyDescent="0.25">
      <c r="I127" s="57"/>
    </row>
    <row r="128" spans="9:9" x14ac:dyDescent="0.25">
      <c r="I128" s="57"/>
    </row>
    <row r="129" spans="9:9" x14ac:dyDescent="0.25">
      <c r="I129" s="57"/>
    </row>
    <row r="130" spans="9:9" x14ac:dyDescent="0.25">
      <c r="I130" s="57"/>
    </row>
    <row r="131" spans="9:9" x14ac:dyDescent="0.25">
      <c r="I131" s="57"/>
    </row>
    <row r="132" spans="9:9" x14ac:dyDescent="0.25">
      <c r="I132" s="57"/>
    </row>
    <row r="133" spans="9:9" x14ac:dyDescent="0.25">
      <c r="I133" s="57"/>
    </row>
    <row r="134" spans="9:9" x14ac:dyDescent="0.25">
      <c r="I134" s="57"/>
    </row>
    <row r="135" spans="9:9" x14ac:dyDescent="0.25">
      <c r="I135" s="57"/>
    </row>
    <row r="136" spans="9:9" x14ac:dyDescent="0.25">
      <c r="I136" s="57"/>
    </row>
    <row r="137" spans="9:9" x14ac:dyDescent="0.25">
      <c r="I137" s="57"/>
    </row>
    <row r="138" spans="9:9" x14ac:dyDescent="0.25">
      <c r="I138" s="57"/>
    </row>
    <row r="139" spans="9:9" x14ac:dyDescent="0.25">
      <c r="I139" s="57"/>
    </row>
    <row r="140" spans="9:9" x14ac:dyDescent="0.25">
      <c r="I140" s="57"/>
    </row>
    <row r="141" spans="9:9" x14ac:dyDescent="0.25">
      <c r="I141" s="57"/>
    </row>
    <row r="142" spans="9:9" x14ac:dyDescent="0.25">
      <c r="I142" s="57"/>
    </row>
    <row r="143" spans="9:9" x14ac:dyDescent="0.25">
      <c r="I143" s="57"/>
    </row>
    <row r="144" spans="9:9" x14ac:dyDescent="0.25">
      <c r="I144" s="57"/>
    </row>
    <row r="145" spans="9:9" x14ac:dyDescent="0.25">
      <c r="I145" s="57"/>
    </row>
    <row r="146" spans="9:9" x14ac:dyDescent="0.25">
      <c r="I146" s="57"/>
    </row>
    <row r="147" spans="9:9" x14ac:dyDescent="0.25">
      <c r="I147" s="57"/>
    </row>
    <row r="148" spans="9:9" x14ac:dyDescent="0.25">
      <c r="I148" s="57"/>
    </row>
    <row r="149" spans="9:9" x14ac:dyDescent="0.25">
      <c r="I149" s="57"/>
    </row>
    <row r="150" spans="9:9" x14ac:dyDescent="0.25">
      <c r="I150" s="57"/>
    </row>
    <row r="151" spans="9:9" x14ac:dyDescent="0.25">
      <c r="I151" s="57"/>
    </row>
    <row r="152" spans="9:9" x14ac:dyDescent="0.25">
      <c r="I152" s="57"/>
    </row>
    <row r="153" spans="9:9" x14ac:dyDescent="0.25">
      <c r="I153" s="57"/>
    </row>
    <row r="154" spans="9:9" x14ac:dyDescent="0.25">
      <c r="I154" s="57"/>
    </row>
    <row r="155" spans="9:9" x14ac:dyDescent="0.25">
      <c r="I155" s="57"/>
    </row>
    <row r="156" spans="9:9" x14ac:dyDescent="0.25">
      <c r="I156" s="57"/>
    </row>
    <row r="157" spans="9:9" x14ac:dyDescent="0.25">
      <c r="I157" s="57"/>
    </row>
    <row r="158" spans="9:9" x14ac:dyDescent="0.25">
      <c r="I158" s="57"/>
    </row>
    <row r="159" spans="9:9" x14ac:dyDescent="0.25">
      <c r="I159" s="57"/>
    </row>
    <row r="160" spans="9:9" x14ac:dyDescent="0.25">
      <c r="I160" s="57"/>
    </row>
    <row r="161" spans="9:9" x14ac:dyDescent="0.25">
      <c r="I161" s="57"/>
    </row>
    <row r="162" spans="9:9" x14ac:dyDescent="0.25">
      <c r="I162" s="57"/>
    </row>
    <row r="163" spans="9:9" x14ac:dyDescent="0.25">
      <c r="I163" s="57"/>
    </row>
    <row r="164" spans="9:9" x14ac:dyDescent="0.25">
      <c r="I164" s="57"/>
    </row>
    <row r="165" spans="9:9" x14ac:dyDescent="0.25">
      <c r="I165" s="57"/>
    </row>
    <row r="166" spans="9:9" x14ac:dyDescent="0.25">
      <c r="I166" s="57"/>
    </row>
    <row r="167" spans="9:9" x14ac:dyDescent="0.25">
      <c r="I167" s="57"/>
    </row>
    <row r="168" spans="9:9" x14ac:dyDescent="0.25">
      <c r="I168" s="57"/>
    </row>
    <row r="169" spans="9:9" x14ac:dyDescent="0.25">
      <c r="I169" s="57"/>
    </row>
    <row r="170" spans="9:9" x14ac:dyDescent="0.25">
      <c r="I170" s="57"/>
    </row>
    <row r="171" spans="9:9" x14ac:dyDescent="0.25">
      <c r="I171" s="57"/>
    </row>
    <row r="172" spans="9:9" x14ac:dyDescent="0.25">
      <c r="I172" s="57"/>
    </row>
    <row r="173" spans="9:9" x14ac:dyDescent="0.25">
      <c r="I173" s="57"/>
    </row>
    <row r="174" spans="9:9" x14ac:dyDescent="0.25">
      <c r="I174" s="57"/>
    </row>
    <row r="175" spans="9:9" x14ac:dyDescent="0.25">
      <c r="I175" s="57"/>
    </row>
    <row r="176" spans="9:9" x14ac:dyDescent="0.25">
      <c r="I176" s="57"/>
    </row>
    <row r="177" spans="9:9" x14ac:dyDescent="0.25">
      <c r="I177" s="57"/>
    </row>
    <row r="178" spans="9:9" x14ac:dyDescent="0.25">
      <c r="I178" s="57"/>
    </row>
    <row r="179" spans="9:9" x14ac:dyDescent="0.25">
      <c r="I179" s="57"/>
    </row>
    <row r="180" spans="9:9" x14ac:dyDescent="0.25">
      <c r="I180" s="57"/>
    </row>
    <row r="181" spans="9:9" x14ac:dyDescent="0.25">
      <c r="I181" s="57"/>
    </row>
    <row r="182" spans="9:9" x14ac:dyDescent="0.25">
      <c r="I182" s="57"/>
    </row>
    <row r="183" spans="9:9" x14ac:dyDescent="0.25">
      <c r="I183" s="57"/>
    </row>
    <row r="184" spans="9:9" x14ac:dyDescent="0.25">
      <c r="I184" s="57"/>
    </row>
    <row r="185" spans="9:9" x14ac:dyDescent="0.25">
      <c r="I185" s="57"/>
    </row>
    <row r="186" spans="9:9" x14ac:dyDescent="0.25">
      <c r="I186" s="57"/>
    </row>
    <row r="187" spans="9:9" x14ac:dyDescent="0.25">
      <c r="I187" s="57"/>
    </row>
    <row r="188" spans="9:9" x14ac:dyDescent="0.25">
      <c r="I188" s="57"/>
    </row>
    <row r="189" spans="9:9" x14ac:dyDescent="0.25">
      <c r="I189" s="57"/>
    </row>
    <row r="190" spans="9:9" x14ac:dyDescent="0.25">
      <c r="I190" s="57"/>
    </row>
    <row r="191" spans="9:9" x14ac:dyDescent="0.25">
      <c r="I191" s="57"/>
    </row>
    <row r="192" spans="9:9" x14ac:dyDescent="0.25">
      <c r="I192" s="57"/>
    </row>
    <row r="193" spans="9:9" x14ac:dyDescent="0.25">
      <c r="I193" s="57"/>
    </row>
    <row r="194" spans="9:9" x14ac:dyDescent="0.25">
      <c r="I194" s="57"/>
    </row>
    <row r="195" spans="9:9" x14ac:dyDescent="0.25">
      <c r="I195" s="57"/>
    </row>
    <row r="196" spans="9:9" x14ac:dyDescent="0.25">
      <c r="I196" s="57"/>
    </row>
    <row r="197" spans="9:9" x14ac:dyDescent="0.25">
      <c r="I197" s="57"/>
    </row>
    <row r="198" spans="9:9" x14ac:dyDescent="0.25">
      <c r="I198" s="57"/>
    </row>
    <row r="199" spans="9:9" x14ac:dyDescent="0.25">
      <c r="I199" s="57"/>
    </row>
    <row r="200" spans="9:9" x14ac:dyDescent="0.25">
      <c r="I200" s="57"/>
    </row>
    <row r="201" spans="9:9" x14ac:dyDescent="0.25">
      <c r="I201" s="57"/>
    </row>
    <row r="202" spans="9:9" x14ac:dyDescent="0.25">
      <c r="I202" s="57"/>
    </row>
    <row r="203" spans="9:9" x14ac:dyDescent="0.25">
      <c r="I203" s="57"/>
    </row>
    <row r="204" spans="9:9" x14ac:dyDescent="0.25">
      <c r="I204" s="57"/>
    </row>
    <row r="205" spans="9:9" x14ac:dyDescent="0.25">
      <c r="I205" s="57"/>
    </row>
    <row r="206" spans="9:9" x14ac:dyDescent="0.25">
      <c r="I206" s="57"/>
    </row>
    <row r="207" spans="9:9" x14ac:dyDescent="0.25">
      <c r="I207" s="57"/>
    </row>
    <row r="208" spans="9:9" x14ac:dyDescent="0.25">
      <c r="I208" s="57"/>
    </row>
    <row r="209" spans="9:9" x14ac:dyDescent="0.25">
      <c r="I209" s="57"/>
    </row>
    <row r="210" spans="9:9" x14ac:dyDescent="0.25">
      <c r="I210" s="57"/>
    </row>
    <row r="211" spans="9:9" x14ac:dyDescent="0.25">
      <c r="I211" s="57"/>
    </row>
    <row r="212" spans="9:9" x14ac:dyDescent="0.25">
      <c r="I212" s="57"/>
    </row>
    <row r="213" spans="9:9" x14ac:dyDescent="0.25">
      <c r="I213" s="57"/>
    </row>
    <row r="214" spans="9:9" x14ac:dyDescent="0.25">
      <c r="I214" s="57"/>
    </row>
    <row r="215" spans="9:9" x14ac:dyDescent="0.25">
      <c r="I215" s="57"/>
    </row>
    <row r="216" spans="9:9" x14ac:dyDescent="0.25">
      <c r="I216" s="57"/>
    </row>
    <row r="217" spans="9:9" x14ac:dyDescent="0.25">
      <c r="I217" s="57"/>
    </row>
    <row r="218" spans="9:9" x14ac:dyDescent="0.25">
      <c r="I218" s="57"/>
    </row>
    <row r="219" spans="9:9" x14ac:dyDescent="0.25">
      <c r="I219" s="57"/>
    </row>
    <row r="220" spans="9:9" x14ac:dyDescent="0.25">
      <c r="I220" s="57"/>
    </row>
    <row r="221" spans="9:9" x14ac:dyDescent="0.25">
      <c r="I221" s="57"/>
    </row>
    <row r="222" spans="9:9" x14ac:dyDescent="0.25">
      <c r="I222" s="57"/>
    </row>
    <row r="223" spans="9:9" x14ac:dyDescent="0.25">
      <c r="I223" s="57"/>
    </row>
    <row r="224" spans="9:9" x14ac:dyDescent="0.25">
      <c r="I224" s="57"/>
    </row>
    <row r="225" spans="9:9" x14ac:dyDescent="0.25">
      <c r="I225" s="57"/>
    </row>
    <row r="226" spans="9:9" x14ac:dyDescent="0.25">
      <c r="I226" s="57"/>
    </row>
    <row r="227" spans="9:9" x14ac:dyDescent="0.25">
      <c r="I227" s="57"/>
    </row>
    <row r="228" spans="9:9" x14ac:dyDescent="0.25">
      <c r="I228" s="57"/>
    </row>
    <row r="229" spans="9:9" x14ac:dyDescent="0.25">
      <c r="I229" s="57"/>
    </row>
    <row r="230" spans="9:9" x14ac:dyDescent="0.25">
      <c r="I230" s="57"/>
    </row>
    <row r="231" spans="9:9" x14ac:dyDescent="0.25">
      <c r="I231" s="57"/>
    </row>
    <row r="232" spans="9:9" x14ac:dyDescent="0.25">
      <c r="I232" s="57"/>
    </row>
    <row r="233" spans="9:9" x14ac:dyDescent="0.25">
      <c r="I233" s="57"/>
    </row>
    <row r="234" spans="9:9" x14ac:dyDescent="0.25">
      <c r="I234" s="57"/>
    </row>
    <row r="235" spans="9:9" x14ac:dyDescent="0.25">
      <c r="I235" s="57"/>
    </row>
    <row r="236" spans="9:9" x14ac:dyDescent="0.25">
      <c r="I236" s="57"/>
    </row>
    <row r="237" spans="9:9" x14ac:dyDescent="0.25">
      <c r="I237" s="57"/>
    </row>
    <row r="238" spans="9:9" x14ac:dyDescent="0.25">
      <c r="I238" s="57"/>
    </row>
    <row r="239" spans="9:9" x14ac:dyDescent="0.25">
      <c r="I239" s="57"/>
    </row>
    <row r="240" spans="9:9" x14ac:dyDescent="0.25">
      <c r="I240" s="57"/>
    </row>
    <row r="241" spans="9:9" x14ac:dyDescent="0.25">
      <c r="I241" s="57"/>
    </row>
    <row r="242" spans="9:9" x14ac:dyDescent="0.25">
      <c r="I242" s="57"/>
    </row>
    <row r="243" spans="9:9" x14ac:dyDescent="0.25">
      <c r="I243" s="57"/>
    </row>
    <row r="244" spans="9:9" x14ac:dyDescent="0.25">
      <c r="I244" s="57"/>
    </row>
    <row r="245" spans="9:9" x14ac:dyDescent="0.25">
      <c r="I245" s="57"/>
    </row>
    <row r="246" spans="9:9" x14ac:dyDescent="0.25">
      <c r="I246" s="57"/>
    </row>
    <row r="247" spans="9:9" x14ac:dyDescent="0.25">
      <c r="I247" s="57"/>
    </row>
    <row r="248" spans="9:9" x14ac:dyDescent="0.25">
      <c r="I248" s="57"/>
    </row>
    <row r="249" spans="9:9" x14ac:dyDescent="0.25">
      <c r="I249" s="57"/>
    </row>
    <row r="250" spans="9:9" x14ac:dyDescent="0.25">
      <c r="I250" s="57"/>
    </row>
    <row r="251" spans="9:9" x14ac:dyDescent="0.25">
      <c r="I251" s="57"/>
    </row>
    <row r="252" spans="9:9" x14ac:dyDescent="0.25">
      <c r="I252" s="57"/>
    </row>
    <row r="253" spans="9:9" x14ac:dyDescent="0.25">
      <c r="I253" s="57"/>
    </row>
    <row r="254" spans="9:9" x14ac:dyDescent="0.25">
      <c r="I254" s="57"/>
    </row>
    <row r="255" spans="9:9" x14ac:dyDescent="0.25">
      <c r="I255" s="57"/>
    </row>
    <row r="256" spans="9:9" x14ac:dyDescent="0.25">
      <c r="I256" s="57"/>
    </row>
    <row r="257" spans="9:9" x14ac:dyDescent="0.25">
      <c r="I257" s="57"/>
    </row>
    <row r="258" spans="9:9" x14ac:dyDescent="0.25">
      <c r="I258" s="57"/>
    </row>
    <row r="259" spans="9:9" x14ac:dyDescent="0.25">
      <c r="I259" s="57"/>
    </row>
    <row r="260" spans="9:9" x14ac:dyDescent="0.25">
      <c r="I260" s="57"/>
    </row>
    <row r="261" spans="9:9" x14ac:dyDescent="0.25">
      <c r="I261" s="57"/>
    </row>
    <row r="262" spans="9:9" x14ac:dyDescent="0.25">
      <c r="I262" s="57"/>
    </row>
    <row r="263" spans="9:9" x14ac:dyDescent="0.25">
      <c r="I263" s="57"/>
    </row>
    <row r="264" spans="9:9" x14ac:dyDescent="0.25">
      <c r="I264" s="57"/>
    </row>
    <row r="265" spans="9:9" x14ac:dyDescent="0.25">
      <c r="I265" s="57"/>
    </row>
    <row r="266" spans="9:9" x14ac:dyDescent="0.25">
      <c r="I266" s="57"/>
    </row>
    <row r="267" spans="9:9" x14ac:dyDescent="0.25">
      <c r="I267" s="57"/>
    </row>
    <row r="268" spans="9:9" x14ac:dyDescent="0.25">
      <c r="I268" s="57"/>
    </row>
    <row r="269" spans="9:9" x14ac:dyDescent="0.25">
      <c r="I269" s="57"/>
    </row>
    <row r="270" spans="9:9" x14ac:dyDescent="0.25">
      <c r="I270" s="57"/>
    </row>
    <row r="271" spans="9:9" x14ac:dyDescent="0.25">
      <c r="I271" s="57"/>
    </row>
    <row r="272" spans="9:9" x14ac:dyDescent="0.25">
      <c r="I272" s="57"/>
    </row>
    <row r="273" spans="9:9" x14ac:dyDescent="0.25">
      <c r="I273" s="57"/>
    </row>
    <row r="274" spans="9:9" x14ac:dyDescent="0.25">
      <c r="I274" s="57"/>
    </row>
    <row r="275" spans="9:9" x14ac:dyDescent="0.25">
      <c r="I275" s="57"/>
    </row>
    <row r="276" spans="9:9" x14ac:dyDescent="0.25">
      <c r="I276" s="57"/>
    </row>
    <row r="277" spans="9:9" x14ac:dyDescent="0.25">
      <c r="I277" s="57"/>
    </row>
    <row r="278" spans="9:9" x14ac:dyDescent="0.25">
      <c r="I278" s="57"/>
    </row>
    <row r="279" spans="9:9" x14ac:dyDescent="0.25">
      <c r="I279" s="57"/>
    </row>
    <row r="280" spans="9:9" x14ac:dyDescent="0.25">
      <c r="I280" s="57"/>
    </row>
    <row r="281" spans="9:9" x14ac:dyDescent="0.25">
      <c r="I281" s="57"/>
    </row>
    <row r="282" spans="9:9" x14ac:dyDescent="0.25">
      <c r="I282" s="57"/>
    </row>
    <row r="283" spans="9:9" x14ac:dyDescent="0.25">
      <c r="I283" s="57"/>
    </row>
    <row r="284" spans="9:9" x14ac:dyDescent="0.25">
      <c r="I284" s="57"/>
    </row>
    <row r="285" spans="9:9" x14ac:dyDescent="0.25">
      <c r="I285" s="57"/>
    </row>
    <row r="286" spans="9:9" x14ac:dyDescent="0.25">
      <c r="I286" s="57"/>
    </row>
    <row r="287" spans="9:9" x14ac:dyDescent="0.25">
      <c r="I287" s="57"/>
    </row>
    <row r="288" spans="9:9" x14ac:dyDescent="0.25">
      <c r="I288" s="57"/>
    </row>
    <row r="289" spans="9:9" x14ac:dyDescent="0.25">
      <c r="I289" s="57"/>
    </row>
    <row r="290" spans="9:9" x14ac:dyDescent="0.25">
      <c r="I290" s="57"/>
    </row>
    <row r="291" spans="9:9" x14ac:dyDescent="0.25">
      <c r="I291" s="57"/>
    </row>
    <row r="292" spans="9:9" x14ac:dyDescent="0.25">
      <c r="I292" s="57"/>
    </row>
    <row r="293" spans="9:9" x14ac:dyDescent="0.25">
      <c r="I293" s="57"/>
    </row>
    <row r="294" spans="9:9" x14ac:dyDescent="0.25">
      <c r="I294" s="57"/>
    </row>
    <row r="295" spans="9:9" x14ac:dyDescent="0.25">
      <c r="I295" s="57"/>
    </row>
    <row r="296" spans="9:9" x14ac:dyDescent="0.25">
      <c r="I296" s="57"/>
    </row>
    <row r="297" spans="9:9" x14ac:dyDescent="0.25">
      <c r="I297" s="57"/>
    </row>
    <row r="298" spans="9:9" x14ac:dyDescent="0.25">
      <c r="I298" s="57"/>
    </row>
    <row r="299" spans="9:9" x14ac:dyDescent="0.25">
      <c r="I299" s="57"/>
    </row>
    <row r="300" spans="9:9" x14ac:dyDescent="0.25">
      <c r="I300" s="57"/>
    </row>
    <row r="301" spans="9:9" x14ac:dyDescent="0.25">
      <c r="I301" s="57"/>
    </row>
    <row r="302" spans="9:9" x14ac:dyDescent="0.25">
      <c r="I302" s="57"/>
    </row>
    <row r="303" spans="9:9" x14ac:dyDescent="0.25">
      <c r="I303" s="57"/>
    </row>
    <row r="304" spans="9:9" x14ac:dyDescent="0.25">
      <c r="I304" s="57"/>
    </row>
    <row r="305" spans="9:9" x14ac:dyDescent="0.25">
      <c r="I305" s="57"/>
    </row>
    <row r="306" spans="9:9" x14ac:dyDescent="0.25">
      <c r="I306" s="57"/>
    </row>
    <row r="307" spans="9:9" x14ac:dyDescent="0.25">
      <c r="I307" s="57"/>
    </row>
    <row r="308" spans="9:9" x14ac:dyDescent="0.25">
      <c r="I308" s="57"/>
    </row>
    <row r="309" spans="9:9" x14ac:dyDescent="0.25">
      <c r="I309" s="57"/>
    </row>
    <row r="310" spans="9:9" x14ac:dyDescent="0.25">
      <c r="I310" s="57"/>
    </row>
    <row r="311" spans="9:9" x14ac:dyDescent="0.25">
      <c r="I311" s="57"/>
    </row>
    <row r="312" spans="9:9" x14ac:dyDescent="0.25">
      <c r="I312" s="57"/>
    </row>
    <row r="313" spans="9:9" x14ac:dyDescent="0.25">
      <c r="I313" s="57"/>
    </row>
    <row r="314" spans="9:9" x14ac:dyDescent="0.25">
      <c r="I314" s="57"/>
    </row>
    <row r="315" spans="9:9" x14ac:dyDescent="0.25">
      <c r="I315" s="57"/>
    </row>
    <row r="316" spans="9:9" x14ac:dyDescent="0.25">
      <c r="I316" s="57"/>
    </row>
    <row r="317" spans="9:9" x14ac:dyDescent="0.25">
      <c r="I317" s="57"/>
    </row>
    <row r="318" spans="9:9" x14ac:dyDescent="0.25">
      <c r="I318" s="57"/>
    </row>
    <row r="319" spans="9:9" x14ac:dyDescent="0.25">
      <c r="I319" s="57"/>
    </row>
    <row r="320" spans="9:9" x14ac:dyDescent="0.25">
      <c r="I320" s="57"/>
    </row>
    <row r="321" spans="9:9" x14ac:dyDescent="0.25">
      <c r="I321" s="57"/>
    </row>
    <row r="322" spans="9:9" x14ac:dyDescent="0.25">
      <c r="I322" s="57"/>
    </row>
    <row r="323" spans="9:9" x14ac:dyDescent="0.25">
      <c r="I323" s="57"/>
    </row>
    <row r="324" spans="9:9" x14ac:dyDescent="0.25">
      <c r="I324" s="57"/>
    </row>
    <row r="325" spans="9:9" x14ac:dyDescent="0.25">
      <c r="I325" s="57"/>
    </row>
    <row r="326" spans="9:9" x14ac:dyDescent="0.25">
      <c r="I326" s="57"/>
    </row>
    <row r="327" spans="9:9" x14ac:dyDescent="0.25">
      <c r="I327" s="57"/>
    </row>
    <row r="328" spans="9:9" x14ac:dyDescent="0.25">
      <c r="I328" s="57"/>
    </row>
    <row r="329" spans="9:9" x14ac:dyDescent="0.25">
      <c r="I329" s="57"/>
    </row>
    <row r="330" spans="9:9" x14ac:dyDescent="0.25">
      <c r="I330" s="57"/>
    </row>
    <row r="331" spans="9:9" x14ac:dyDescent="0.25">
      <c r="I331" s="57"/>
    </row>
    <row r="332" spans="9:9" x14ac:dyDescent="0.25">
      <c r="I332" s="57"/>
    </row>
    <row r="333" spans="9:9" x14ac:dyDescent="0.25">
      <c r="I333" s="57"/>
    </row>
    <row r="334" spans="9:9" x14ac:dyDescent="0.25">
      <c r="I334" s="57"/>
    </row>
    <row r="335" spans="9:9" x14ac:dyDescent="0.25">
      <c r="I335" s="57"/>
    </row>
    <row r="336" spans="9:9" x14ac:dyDescent="0.25">
      <c r="I336" s="57"/>
    </row>
    <row r="337" spans="9:9" x14ac:dyDescent="0.25">
      <c r="I337" s="57"/>
    </row>
    <row r="338" spans="9:9" x14ac:dyDescent="0.25">
      <c r="I338" s="57"/>
    </row>
    <row r="339" spans="9:9" x14ac:dyDescent="0.25">
      <c r="I339" s="57"/>
    </row>
    <row r="340" spans="9:9" x14ac:dyDescent="0.25">
      <c r="I340" s="57"/>
    </row>
    <row r="341" spans="9:9" x14ac:dyDescent="0.25">
      <c r="I341" s="57"/>
    </row>
    <row r="342" spans="9:9" x14ac:dyDescent="0.25">
      <c r="I342" s="57"/>
    </row>
    <row r="343" spans="9:9" x14ac:dyDescent="0.25">
      <c r="I343" s="57"/>
    </row>
    <row r="344" spans="9:9" x14ac:dyDescent="0.25">
      <c r="I344" s="57"/>
    </row>
    <row r="345" spans="9:9" x14ac:dyDescent="0.25">
      <c r="I345" s="57"/>
    </row>
    <row r="346" spans="9:9" x14ac:dyDescent="0.25">
      <c r="I346" s="57"/>
    </row>
    <row r="347" spans="9:9" x14ac:dyDescent="0.25">
      <c r="I347" s="57"/>
    </row>
    <row r="348" spans="9:9" x14ac:dyDescent="0.25">
      <c r="I348" s="57"/>
    </row>
    <row r="349" spans="9:9" x14ac:dyDescent="0.25">
      <c r="I349" s="57"/>
    </row>
    <row r="350" spans="9:9" x14ac:dyDescent="0.25">
      <c r="I350" s="57"/>
    </row>
    <row r="351" spans="9:9" x14ac:dyDescent="0.25">
      <c r="I351" s="57"/>
    </row>
    <row r="352" spans="9:9" x14ac:dyDescent="0.25">
      <c r="I352" s="57"/>
    </row>
    <row r="353" spans="9:9" x14ac:dyDescent="0.25">
      <c r="I353" s="57"/>
    </row>
    <row r="354" spans="9:9" x14ac:dyDescent="0.25">
      <c r="I354" s="57"/>
    </row>
    <row r="355" spans="9:9" x14ac:dyDescent="0.25">
      <c r="I355" s="57"/>
    </row>
    <row r="356" spans="9:9" x14ac:dyDescent="0.25">
      <c r="I356" s="57"/>
    </row>
    <row r="357" spans="9:9" x14ac:dyDescent="0.25">
      <c r="I357" s="57"/>
    </row>
    <row r="358" spans="9:9" x14ac:dyDescent="0.25">
      <c r="I358" s="57"/>
    </row>
    <row r="359" spans="9:9" x14ac:dyDescent="0.25">
      <c r="I359" s="57"/>
    </row>
    <row r="360" spans="9:9" x14ac:dyDescent="0.25">
      <c r="I360" s="57"/>
    </row>
    <row r="361" spans="9:9" x14ac:dyDescent="0.25">
      <c r="I361" s="57"/>
    </row>
    <row r="362" spans="9:9" x14ac:dyDescent="0.25">
      <c r="I362" s="57"/>
    </row>
    <row r="363" spans="9:9" x14ac:dyDescent="0.25">
      <c r="I363" s="57"/>
    </row>
    <row r="364" spans="9:9" x14ac:dyDescent="0.25">
      <c r="I364" s="57"/>
    </row>
    <row r="365" spans="9:9" x14ac:dyDescent="0.25">
      <c r="I365" s="57"/>
    </row>
    <row r="366" spans="9:9" x14ac:dyDescent="0.25">
      <c r="I366" s="57"/>
    </row>
    <row r="367" spans="9:9" x14ac:dyDescent="0.25">
      <c r="I367" s="57"/>
    </row>
    <row r="368" spans="9:9" x14ac:dyDescent="0.25">
      <c r="I368" s="57"/>
    </row>
    <row r="369" spans="9:9" x14ac:dyDescent="0.25">
      <c r="I369" s="57"/>
    </row>
    <row r="370" spans="9:9" x14ac:dyDescent="0.25">
      <c r="I370" s="57"/>
    </row>
    <row r="371" spans="9:9" x14ac:dyDescent="0.25">
      <c r="I371" s="57"/>
    </row>
    <row r="372" spans="9:9" x14ac:dyDescent="0.25">
      <c r="I372" s="57"/>
    </row>
    <row r="373" spans="9:9" x14ac:dyDescent="0.25">
      <c r="I373" s="57"/>
    </row>
    <row r="374" spans="9:9" x14ac:dyDescent="0.25">
      <c r="I374" s="57"/>
    </row>
    <row r="375" spans="9:9" x14ac:dyDescent="0.25">
      <c r="I375" s="57"/>
    </row>
    <row r="376" spans="9:9" x14ac:dyDescent="0.25">
      <c r="I376" s="57"/>
    </row>
    <row r="377" spans="9:9" x14ac:dyDescent="0.25">
      <c r="I377" s="57"/>
    </row>
    <row r="378" spans="9:9" x14ac:dyDescent="0.25">
      <c r="I378" s="57"/>
    </row>
    <row r="379" spans="9:9" x14ac:dyDescent="0.25">
      <c r="I379" s="57"/>
    </row>
    <row r="380" spans="9:9" x14ac:dyDescent="0.25">
      <c r="I380" s="57"/>
    </row>
    <row r="381" spans="9:9" x14ac:dyDescent="0.25">
      <c r="I381" s="57"/>
    </row>
    <row r="382" spans="9:9" x14ac:dyDescent="0.25">
      <c r="I382" s="57"/>
    </row>
    <row r="383" spans="9:9" x14ac:dyDescent="0.25">
      <c r="I383" s="57"/>
    </row>
    <row r="384" spans="9:9" x14ac:dyDescent="0.25">
      <c r="I384" s="57"/>
    </row>
    <row r="385" spans="9:9" x14ac:dyDescent="0.25">
      <c r="I385" s="57"/>
    </row>
    <row r="386" spans="9:9" x14ac:dyDescent="0.25">
      <c r="I386" s="57"/>
    </row>
    <row r="387" spans="9:9" x14ac:dyDescent="0.25">
      <c r="I387" s="57"/>
    </row>
    <row r="388" spans="9:9" x14ac:dyDescent="0.25">
      <c r="I388" s="57"/>
    </row>
    <row r="389" spans="9:9" x14ac:dyDescent="0.25">
      <c r="I389" s="57"/>
    </row>
    <row r="390" spans="9:9" x14ac:dyDescent="0.25">
      <c r="I390" s="57"/>
    </row>
    <row r="391" spans="9:9" x14ac:dyDescent="0.25">
      <c r="I391" s="57"/>
    </row>
    <row r="392" spans="9:9" x14ac:dyDescent="0.25">
      <c r="I392" s="57"/>
    </row>
    <row r="393" spans="9:9" x14ac:dyDescent="0.25">
      <c r="I393" s="57"/>
    </row>
    <row r="394" spans="9:9" x14ac:dyDescent="0.25">
      <c r="I394" s="57"/>
    </row>
    <row r="395" spans="9:9" x14ac:dyDescent="0.25">
      <c r="I395" s="57"/>
    </row>
    <row r="396" spans="9:9" x14ac:dyDescent="0.25">
      <c r="I396" s="57"/>
    </row>
    <row r="397" spans="9:9" x14ac:dyDescent="0.25">
      <c r="I397" s="57"/>
    </row>
    <row r="398" spans="9:9" x14ac:dyDescent="0.25">
      <c r="I398" s="57"/>
    </row>
    <row r="399" spans="9:9" x14ac:dyDescent="0.25">
      <c r="I399" s="57"/>
    </row>
    <row r="400" spans="9:9" x14ac:dyDescent="0.25">
      <c r="I400" s="57"/>
    </row>
    <row r="401" spans="9:9" x14ac:dyDescent="0.25">
      <c r="I401" s="57"/>
    </row>
    <row r="402" spans="9:9" x14ac:dyDescent="0.25">
      <c r="I402" s="57"/>
    </row>
    <row r="403" spans="9:9" x14ac:dyDescent="0.25">
      <c r="I403" s="57"/>
    </row>
    <row r="404" spans="9:9" x14ac:dyDescent="0.25">
      <c r="I404" s="57"/>
    </row>
    <row r="405" spans="9:9" x14ac:dyDescent="0.25">
      <c r="I405" s="57"/>
    </row>
    <row r="406" spans="9:9" x14ac:dyDescent="0.25">
      <c r="I406" s="57"/>
    </row>
    <row r="407" spans="9:9" x14ac:dyDescent="0.25">
      <c r="I407" s="57"/>
    </row>
    <row r="408" spans="9:9" x14ac:dyDescent="0.25">
      <c r="I408" s="57"/>
    </row>
    <row r="409" spans="9:9" x14ac:dyDescent="0.25">
      <c r="I409" s="57"/>
    </row>
    <row r="410" spans="9:9" x14ac:dyDescent="0.25">
      <c r="I410" s="57"/>
    </row>
    <row r="411" spans="9:9" x14ac:dyDescent="0.25">
      <c r="I411" s="57"/>
    </row>
    <row r="412" spans="9:9" x14ac:dyDescent="0.25">
      <c r="I412" s="57"/>
    </row>
    <row r="413" spans="9:9" x14ac:dyDescent="0.25">
      <c r="I413" s="57"/>
    </row>
    <row r="414" spans="9:9" x14ac:dyDescent="0.25">
      <c r="I414" s="57"/>
    </row>
    <row r="415" spans="9:9" x14ac:dyDescent="0.25">
      <c r="I415" s="57"/>
    </row>
    <row r="416" spans="9:9" x14ac:dyDescent="0.25">
      <c r="I416" s="57"/>
    </row>
    <row r="417" spans="9:9" x14ac:dyDescent="0.25">
      <c r="I417" s="57"/>
    </row>
    <row r="418" spans="9:9" x14ac:dyDescent="0.25">
      <c r="I418" s="57"/>
    </row>
    <row r="419" spans="9:9" x14ac:dyDescent="0.25">
      <c r="I419" s="57"/>
    </row>
    <row r="420" spans="9:9" x14ac:dyDescent="0.25">
      <c r="I420" s="57"/>
    </row>
    <row r="421" spans="9:9" x14ac:dyDescent="0.25">
      <c r="I421" s="57"/>
    </row>
    <row r="422" spans="9:9" x14ac:dyDescent="0.25">
      <c r="I422" s="57"/>
    </row>
    <row r="423" spans="9:9" x14ac:dyDescent="0.25">
      <c r="I423" s="57"/>
    </row>
    <row r="424" spans="9:9" x14ac:dyDescent="0.25">
      <c r="I424" s="57"/>
    </row>
    <row r="425" spans="9:9" x14ac:dyDescent="0.25">
      <c r="I425" s="57"/>
    </row>
    <row r="426" spans="9:9" x14ac:dyDescent="0.25">
      <c r="I426" s="57"/>
    </row>
    <row r="427" spans="9:9" x14ac:dyDescent="0.25">
      <c r="I427" s="57"/>
    </row>
    <row r="428" spans="9:9" x14ac:dyDescent="0.25">
      <c r="I428" s="57"/>
    </row>
    <row r="429" spans="9:9" x14ac:dyDescent="0.25">
      <c r="I429" s="57"/>
    </row>
    <row r="430" spans="9:9" x14ac:dyDescent="0.25">
      <c r="I430" s="57"/>
    </row>
    <row r="431" spans="9:9" x14ac:dyDescent="0.25">
      <c r="I431" s="57"/>
    </row>
    <row r="432" spans="9:9" x14ac:dyDescent="0.25">
      <c r="I432" s="57"/>
    </row>
    <row r="433" spans="9:9" x14ac:dyDescent="0.25">
      <c r="I433" s="57"/>
    </row>
    <row r="434" spans="9:9" x14ac:dyDescent="0.25">
      <c r="I434" s="57"/>
    </row>
    <row r="435" spans="9:9" x14ac:dyDescent="0.25">
      <c r="I435" s="57"/>
    </row>
    <row r="436" spans="9:9" x14ac:dyDescent="0.25">
      <c r="I436" s="57"/>
    </row>
    <row r="437" spans="9:9" x14ac:dyDescent="0.25">
      <c r="I437" s="57"/>
    </row>
    <row r="438" spans="9:9" x14ac:dyDescent="0.25">
      <c r="I438" s="57"/>
    </row>
    <row r="439" spans="9:9" x14ac:dyDescent="0.25">
      <c r="I439" s="57"/>
    </row>
    <row r="440" spans="9:9" x14ac:dyDescent="0.25">
      <c r="I440" s="57"/>
    </row>
    <row r="441" spans="9:9" x14ac:dyDescent="0.25">
      <c r="I441" s="57"/>
    </row>
    <row r="442" spans="9:9" x14ac:dyDescent="0.25">
      <c r="I442" s="57"/>
    </row>
    <row r="443" spans="9:9" x14ac:dyDescent="0.25">
      <c r="I443" s="57"/>
    </row>
    <row r="444" spans="9:9" x14ac:dyDescent="0.25">
      <c r="I444" s="57"/>
    </row>
    <row r="445" spans="9:9" x14ac:dyDescent="0.25">
      <c r="I445" s="57"/>
    </row>
    <row r="446" spans="9:9" x14ac:dyDescent="0.25">
      <c r="I446" s="57"/>
    </row>
    <row r="447" spans="9:9" x14ac:dyDescent="0.25">
      <c r="I447" s="57"/>
    </row>
    <row r="448" spans="9:9" x14ac:dyDescent="0.25">
      <c r="I448" s="57"/>
    </row>
    <row r="449" spans="9:9" x14ac:dyDescent="0.25">
      <c r="I449" s="57"/>
    </row>
    <row r="450" spans="9:9" x14ac:dyDescent="0.25">
      <c r="I450" s="57"/>
    </row>
    <row r="451" spans="9:9" x14ac:dyDescent="0.25">
      <c r="I451" s="57"/>
    </row>
    <row r="452" spans="9:9" x14ac:dyDescent="0.25">
      <c r="I452" s="57"/>
    </row>
    <row r="453" spans="9:9" x14ac:dyDescent="0.25">
      <c r="I453" s="57"/>
    </row>
    <row r="454" spans="9:9" x14ac:dyDescent="0.25">
      <c r="I454" s="57"/>
    </row>
    <row r="455" spans="9:9" x14ac:dyDescent="0.25">
      <c r="I455" s="57"/>
    </row>
    <row r="456" spans="9:9" x14ac:dyDescent="0.25">
      <c r="I456" s="57"/>
    </row>
    <row r="457" spans="9:9" x14ac:dyDescent="0.25">
      <c r="I457" s="57"/>
    </row>
    <row r="458" spans="9:9" x14ac:dyDescent="0.25">
      <c r="I458" s="57"/>
    </row>
    <row r="459" spans="9:9" x14ac:dyDescent="0.25">
      <c r="I459" s="57"/>
    </row>
    <row r="460" spans="9:9" x14ac:dyDescent="0.25">
      <c r="I460" s="57"/>
    </row>
    <row r="461" spans="9:9" x14ac:dyDescent="0.25">
      <c r="I461" s="57"/>
    </row>
    <row r="462" spans="9:9" x14ac:dyDescent="0.25">
      <c r="I462" s="57"/>
    </row>
    <row r="463" spans="9:9" x14ac:dyDescent="0.25">
      <c r="I463" s="57"/>
    </row>
    <row r="464" spans="9:9" x14ac:dyDescent="0.25">
      <c r="I464" s="57"/>
    </row>
    <row r="465" spans="9:9" x14ac:dyDescent="0.25">
      <c r="I465" s="57"/>
    </row>
    <row r="466" spans="9:9" x14ac:dyDescent="0.25">
      <c r="I466" s="57"/>
    </row>
    <row r="467" spans="9:9" x14ac:dyDescent="0.25">
      <c r="I467" s="57"/>
    </row>
    <row r="468" spans="9:9" x14ac:dyDescent="0.25">
      <c r="I468" s="57"/>
    </row>
    <row r="469" spans="9:9" x14ac:dyDescent="0.25">
      <c r="I469" s="57"/>
    </row>
    <row r="470" spans="9:9" x14ac:dyDescent="0.25">
      <c r="I470" s="57"/>
    </row>
    <row r="471" spans="9:9" x14ac:dyDescent="0.25">
      <c r="I471" s="57"/>
    </row>
    <row r="472" spans="9:9" x14ac:dyDescent="0.25">
      <c r="I472" s="57"/>
    </row>
    <row r="473" spans="9:9" x14ac:dyDescent="0.25">
      <c r="I473" s="57"/>
    </row>
    <row r="474" spans="9:9" x14ac:dyDescent="0.25">
      <c r="I474" s="57"/>
    </row>
    <row r="475" spans="9:9" x14ac:dyDescent="0.25">
      <c r="I475" s="57"/>
    </row>
    <row r="476" spans="9:9" x14ac:dyDescent="0.25">
      <c r="I476" s="57"/>
    </row>
    <row r="477" spans="9:9" x14ac:dyDescent="0.25">
      <c r="I477" s="57"/>
    </row>
    <row r="478" spans="9:9" x14ac:dyDescent="0.25">
      <c r="I478" s="57"/>
    </row>
    <row r="479" spans="9:9" x14ac:dyDescent="0.25">
      <c r="I479" s="57"/>
    </row>
    <row r="480" spans="9:9" x14ac:dyDescent="0.25">
      <c r="I480" s="57"/>
    </row>
    <row r="481" spans="9:9" x14ac:dyDescent="0.25">
      <c r="I481" s="57"/>
    </row>
    <row r="482" spans="9:9" x14ac:dyDescent="0.25">
      <c r="I482" s="57"/>
    </row>
    <row r="483" spans="9:9" x14ac:dyDescent="0.25">
      <c r="I483" s="57"/>
    </row>
    <row r="484" spans="9:9" x14ac:dyDescent="0.25">
      <c r="I484" s="57"/>
    </row>
    <row r="485" spans="9:9" x14ac:dyDescent="0.25">
      <c r="I485" s="57"/>
    </row>
    <row r="486" spans="9:9" x14ac:dyDescent="0.25">
      <c r="I486" s="57"/>
    </row>
    <row r="487" spans="9:9" x14ac:dyDescent="0.25">
      <c r="I487" s="57"/>
    </row>
    <row r="488" spans="9:9" x14ac:dyDescent="0.25">
      <c r="I488" s="57"/>
    </row>
    <row r="489" spans="9:9" x14ac:dyDescent="0.25">
      <c r="I489" s="57"/>
    </row>
    <row r="490" spans="9:9" x14ac:dyDescent="0.25">
      <c r="I490" s="57"/>
    </row>
    <row r="491" spans="9:9" x14ac:dyDescent="0.25">
      <c r="I491" s="57"/>
    </row>
    <row r="492" spans="9:9" x14ac:dyDescent="0.25">
      <c r="I492" s="57"/>
    </row>
    <row r="493" spans="9:9" x14ac:dyDescent="0.25">
      <c r="I493" s="57"/>
    </row>
    <row r="494" spans="9:9" x14ac:dyDescent="0.25">
      <c r="I494" s="57"/>
    </row>
    <row r="495" spans="9:9" x14ac:dyDescent="0.25">
      <c r="I495" s="57"/>
    </row>
    <row r="496" spans="9:9" x14ac:dyDescent="0.25">
      <c r="I496" s="57"/>
    </row>
    <row r="497" spans="9:9" x14ac:dyDescent="0.25">
      <c r="I497" s="57"/>
    </row>
    <row r="498" spans="9:9" x14ac:dyDescent="0.25">
      <c r="I498" s="57"/>
    </row>
    <row r="499" spans="9:9" x14ac:dyDescent="0.25">
      <c r="I499" s="57"/>
    </row>
    <row r="500" spans="9:9" x14ac:dyDescent="0.25">
      <c r="I500" s="57"/>
    </row>
    <row r="501" spans="9:9" x14ac:dyDescent="0.25">
      <c r="I501" s="57"/>
    </row>
    <row r="502" spans="9:9" x14ac:dyDescent="0.25">
      <c r="I502" s="57"/>
    </row>
    <row r="503" spans="9:9" x14ac:dyDescent="0.25">
      <c r="I503" s="57"/>
    </row>
    <row r="504" spans="9:9" x14ac:dyDescent="0.25">
      <c r="I504" s="57"/>
    </row>
    <row r="505" spans="9:9" x14ac:dyDescent="0.25">
      <c r="I505" s="57"/>
    </row>
    <row r="506" spans="9:9" x14ac:dyDescent="0.25">
      <c r="I506" s="57"/>
    </row>
    <row r="507" spans="9:9" x14ac:dyDescent="0.25">
      <c r="I507" s="57"/>
    </row>
    <row r="508" spans="9:9" x14ac:dyDescent="0.25">
      <c r="I508" s="57"/>
    </row>
    <row r="509" spans="9:9" x14ac:dyDescent="0.25">
      <c r="I509" s="57"/>
    </row>
    <row r="510" spans="9:9" x14ac:dyDescent="0.25">
      <c r="I510" s="57"/>
    </row>
    <row r="511" spans="9:9" x14ac:dyDescent="0.25">
      <c r="I511" s="57"/>
    </row>
    <row r="512" spans="9:9" x14ac:dyDescent="0.25">
      <c r="I512" s="57"/>
    </row>
    <row r="513" spans="9:9" x14ac:dyDescent="0.25">
      <c r="I513" s="57"/>
    </row>
    <row r="514" spans="9:9" x14ac:dyDescent="0.25">
      <c r="I514" s="57"/>
    </row>
    <row r="515" spans="9:9" x14ac:dyDescent="0.25">
      <c r="I515" s="57"/>
    </row>
    <row r="516" spans="9:9" x14ac:dyDescent="0.25">
      <c r="I516" s="57"/>
    </row>
    <row r="517" spans="9:9" x14ac:dyDescent="0.25">
      <c r="I517" s="57"/>
    </row>
    <row r="518" spans="9:9" x14ac:dyDescent="0.25">
      <c r="I518" s="57"/>
    </row>
    <row r="519" spans="9:9" x14ac:dyDescent="0.25">
      <c r="I519" s="57"/>
    </row>
    <row r="520" spans="9:9" x14ac:dyDescent="0.25">
      <c r="I520" s="57"/>
    </row>
    <row r="521" spans="9:9" x14ac:dyDescent="0.25">
      <c r="I521" s="57"/>
    </row>
    <row r="522" spans="9:9" x14ac:dyDescent="0.25">
      <c r="I522" s="57"/>
    </row>
    <row r="523" spans="9:9" x14ac:dyDescent="0.25">
      <c r="I523" s="57"/>
    </row>
    <row r="524" spans="9:9" x14ac:dyDescent="0.25">
      <c r="I524" s="57"/>
    </row>
    <row r="525" spans="9:9" x14ac:dyDescent="0.25">
      <c r="I525" s="57"/>
    </row>
    <row r="526" spans="9:9" x14ac:dyDescent="0.25">
      <c r="I526" s="57"/>
    </row>
    <row r="527" spans="9:9" x14ac:dyDescent="0.25">
      <c r="I527" s="57"/>
    </row>
    <row r="528" spans="9:9" x14ac:dyDescent="0.25">
      <c r="I528" s="57"/>
    </row>
    <row r="529" spans="9:9" x14ac:dyDescent="0.25">
      <c r="I529" s="57"/>
    </row>
    <row r="530" spans="9:9" x14ac:dyDescent="0.25">
      <c r="I530" s="57"/>
    </row>
    <row r="531" spans="9:9" x14ac:dyDescent="0.25">
      <c r="I531" s="57"/>
    </row>
    <row r="532" spans="9:9" x14ac:dyDescent="0.25">
      <c r="I532" s="57"/>
    </row>
    <row r="533" spans="9:9" x14ac:dyDescent="0.25">
      <c r="I533" s="57"/>
    </row>
    <row r="534" spans="9:9" x14ac:dyDescent="0.25">
      <c r="I534" s="57"/>
    </row>
    <row r="535" spans="9:9" x14ac:dyDescent="0.25">
      <c r="I535" s="57"/>
    </row>
    <row r="536" spans="9:9" x14ac:dyDescent="0.25">
      <c r="I536" s="57"/>
    </row>
    <row r="537" spans="9:9" x14ac:dyDescent="0.25">
      <c r="I537" s="57"/>
    </row>
    <row r="538" spans="9:9" x14ac:dyDescent="0.25">
      <c r="I538" s="57"/>
    </row>
    <row r="539" spans="9:9" x14ac:dyDescent="0.25">
      <c r="I539" s="57"/>
    </row>
    <row r="540" spans="9:9" x14ac:dyDescent="0.25">
      <c r="I540" s="57"/>
    </row>
    <row r="541" spans="9:9" x14ac:dyDescent="0.25">
      <c r="I541" s="57"/>
    </row>
    <row r="542" spans="9:9" x14ac:dyDescent="0.25">
      <c r="I542" s="57"/>
    </row>
    <row r="543" spans="9:9" x14ac:dyDescent="0.25">
      <c r="I543" s="57"/>
    </row>
    <row r="544" spans="9:9" x14ac:dyDescent="0.25">
      <c r="I544" s="57"/>
    </row>
    <row r="545" spans="9:9" x14ac:dyDescent="0.25">
      <c r="I545" s="57"/>
    </row>
    <row r="546" spans="9:9" x14ac:dyDescent="0.25">
      <c r="I546" s="57"/>
    </row>
    <row r="547" spans="9:9" x14ac:dyDescent="0.25">
      <c r="I547" s="57"/>
    </row>
    <row r="548" spans="9:9" x14ac:dyDescent="0.25">
      <c r="I548" s="57"/>
    </row>
    <row r="549" spans="9:9" x14ac:dyDescent="0.25">
      <c r="I549" s="57"/>
    </row>
    <row r="550" spans="9:9" x14ac:dyDescent="0.25">
      <c r="I550" s="57"/>
    </row>
    <row r="551" spans="9:9" x14ac:dyDescent="0.25">
      <c r="I551" s="57"/>
    </row>
    <row r="552" spans="9:9" x14ac:dyDescent="0.25">
      <c r="I552" s="57"/>
    </row>
    <row r="553" spans="9:9" x14ac:dyDescent="0.25">
      <c r="I553" s="57"/>
    </row>
    <row r="554" spans="9:9" x14ac:dyDescent="0.25">
      <c r="I554" s="57"/>
    </row>
    <row r="555" spans="9:9" x14ac:dyDescent="0.25">
      <c r="I555" s="57"/>
    </row>
    <row r="556" spans="9:9" x14ac:dyDescent="0.25">
      <c r="I556" s="57"/>
    </row>
    <row r="557" spans="9:9" x14ac:dyDescent="0.25">
      <c r="I557" s="57"/>
    </row>
    <row r="558" spans="9:9" x14ac:dyDescent="0.25">
      <c r="I558" s="57"/>
    </row>
    <row r="559" spans="9:9" x14ac:dyDescent="0.25">
      <c r="I559" s="57"/>
    </row>
    <row r="560" spans="9:9" x14ac:dyDescent="0.25">
      <c r="I560" s="57"/>
    </row>
    <row r="561" spans="9:9" x14ac:dyDescent="0.25">
      <c r="I561" s="57"/>
    </row>
    <row r="562" spans="9:9" x14ac:dyDescent="0.25">
      <c r="I562" s="57"/>
    </row>
    <row r="563" spans="9:9" x14ac:dyDescent="0.25">
      <c r="I563" s="57"/>
    </row>
    <row r="564" spans="9:9" x14ac:dyDescent="0.25">
      <c r="I564" s="57"/>
    </row>
    <row r="565" spans="9:9" x14ac:dyDescent="0.25">
      <c r="I565" s="57"/>
    </row>
    <row r="566" spans="9:9" x14ac:dyDescent="0.25">
      <c r="I566" s="57"/>
    </row>
    <row r="567" spans="9:9" x14ac:dyDescent="0.25">
      <c r="I567" s="57"/>
    </row>
    <row r="568" spans="9:9" x14ac:dyDescent="0.25">
      <c r="I568" s="57"/>
    </row>
    <row r="569" spans="9:9" x14ac:dyDescent="0.25">
      <c r="I569" s="57"/>
    </row>
    <row r="570" spans="9:9" x14ac:dyDescent="0.25">
      <c r="I570" s="57"/>
    </row>
    <row r="571" spans="9:9" x14ac:dyDescent="0.25">
      <c r="I571" s="57"/>
    </row>
    <row r="572" spans="9:9" x14ac:dyDescent="0.25">
      <c r="I572" s="57"/>
    </row>
    <row r="573" spans="9:9" x14ac:dyDescent="0.25">
      <c r="I573" s="57"/>
    </row>
    <row r="574" spans="9:9" x14ac:dyDescent="0.25">
      <c r="I574" s="57"/>
    </row>
    <row r="575" spans="9:9" x14ac:dyDescent="0.25">
      <c r="I575" s="57"/>
    </row>
    <row r="576" spans="9:9" x14ac:dyDescent="0.25">
      <c r="I576" s="57"/>
    </row>
    <row r="577" spans="9:9" x14ac:dyDescent="0.25">
      <c r="I577" s="57"/>
    </row>
    <row r="578" spans="9:9" x14ac:dyDescent="0.25">
      <c r="I578" s="57"/>
    </row>
    <row r="579" spans="9:9" x14ac:dyDescent="0.25">
      <c r="I579" s="57"/>
    </row>
    <row r="580" spans="9:9" x14ac:dyDescent="0.25">
      <c r="I580" s="57"/>
    </row>
    <row r="581" spans="9:9" x14ac:dyDescent="0.25">
      <c r="I581" s="57"/>
    </row>
    <row r="582" spans="9:9" x14ac:dyDescent="0.25">
      <c r="I582" s="57"/>
    </row>
    <row r="583" spans="9:9" x14ac:dyDescent="0.25">
      <c r="I583" s="57"/>
    </row>
    <row r="584" spans="9:9" x14ac:dyDescent="0.25">
      <c r="I584" s="57"/>
    </row>
    <row r="585" spans="9:9" x14ac:dyDescent="0.25">
      <c r="I585" s="57"/>
    </row>
    <row r="586" spans="9:9" x14ac:dyDescent="0.25">
      <c r="I586" s="57"/>
    </row>
    <row r="587" spans="9:9" x14ac:dyDescent="0.25">
      <c r="I587" s="57"/>
    </row>
    <row r="588" spans="9:9" x14ac:dyDescent="0.25">
      <c r="I588" s="57"/>
    </row>
    <row r="589" spans="9:9" x14ac:dyDescent="0.25">
      <c r="I589" s="57"/>
    </row>
    <row r="590" spans="9:9" x14ac:dyDescent="0.25">
      <c r="I590" s="57"/>
    </row>
    <row r="591" spans="9:9" x14ac:dyDescent="0.25">
      <c r="I591" s="57"/>
    </row>
    <row r="592" spans="9:9" x14ac:dyDescent="0.25">
      <c r="I592" s="57"/>
    </row>
    <row r="593" spans="9:9" x14ac:dyDescent="0.25">
      <c r="I593" s="57"/>
    </row>
    <row r="594" spans="9:9" x14ac:dyDescent="0.25">
      <c r="I594" s="57"/>
    </row>
    <row r="595" spans="9:9" x14ac:dyDescent="0.25">
      <c r="I595" s="57"/>
    </row>
    <row r="596" spans="9:9" x14ac:dyDescent="0.25">
      <c r="I596" s="57"/>
    </row>
    <row r="597" spans="9:9" x14ac:dyDescent="0.25">
      <c r="I597" s="57"/>
    </row>
    <row r="598" spans="9:9" x14ac:dyDescent="0.25">
      <c r="I598" s="57"/>
    </row>
    <row r="599" spans="9:9" x14ac:dyDescent="0.25">
      <c r="I599" s="57"/>
    </row>
    <row r="600" spans="9:9" x14ac:dyDescent="0.25">
      <c r="I600" s="57"/>
    </row>
    <row r="601" spans="9:9" x14ac:dyDescent="0.25">
      <c r="I601" s="57"/>
    </row>
    <row r="602" spans="9:9" x14ac:dyDescent="0.25">
      <c r="I602" s="57"/>
    </row>
    <row r="603" spans="9:9" x14ac:dyDescent="0.25">
      <c r="I603" s="57"/>
    </row>
    <row r="604" spans="9:9" x14ac:dyDescent="0.25">
      <c r="I604" s="57"/>
    </row>
    <row r="605" spans="9:9" x14ac:dyDescent="0.25">
      <c r="I605" s="57"/>
    </row>
    <row r="606" spans="9:9" x14ac:dyDescent="0.25">
      <c r="I606" s="57"/>
    </row>
    <row r="607" spans="9:9" x14ac:dyDescent="0.25">
      <c r="I607" s="57"/>
    </row>
    <row r="608" spans="9:9" x14ac:dyDescent="0.25">
      <c r="I608" s="57"/>
    </row>
    <row r="609" spans="9:9" x14ac:dyDescent="0.25">
      <c r="I609" s="57"/>
    </row>
    <row r="610" spans="9:9" x14ac:dyDescent="0.25">
      <c r="I610" s="57"/>
    </row>
    <row r="611" spans="9:9" x14ac:dyDescent="0.25">
      <c r="I611" s="57"/>
    </row>
    <row r="612" spans="9:9" x14ac:dyDescent="0.25">
      <c r="I612" s="57"/>
    </row>
    <row r="613" spans="9:9" x14ac:dyDescent="0.25">
      <c r="I613" s="57"/>
    </row>
    <row r="614" spans="9:9" x14ac:dyDescent="0.25">
      <c r="I614" s="57"/>
    </row>
    <row r="615" spans="9:9" x14ac:dyDescent="0.25">
      <c r="I615" s="57"/>
    </row>
    <row r="616" spans="9:9" x14ac:dyDescent="0.25">
      <c r="I616" s="57"/>
    </row>
    <row r="617" spans="9:9" x14ac:dyDescent="0.25">
      <c r="I617" s="57"/>
    </row>
    <row r="618" spans="9:9" x14ac:dyDescent="0.25">
      <c r="I618" s="57"/>
    </row>
    <row r="619" spans="9:9" x14ac:dyDescent="0.25">
      <c r="I619" s="57"/>
    </row>
    <row r="620" spans="9:9" x14ac:dyDescent="0.25">
      <c r="I620" s="57"/>
    </row>
    <row r="621" spans="9:9" x14ac:dyDescent="0.25">
      <c r="I621" s="57"/>
    </row>
    <row r="622" spans="9:9" x14ac:dyDescent="0.25">
      <c r="I622" s="57"/>
    </row>
    <row r="623" spans="9:9" x14ac:dyDescent="0.25">
      <c r="I623" s="57"/>
    </row>
    <row r="624" spans="9:9" x14ac:dyDescent="0.25">
      <c r="I624" s="57"/>
    </row>
    <row r="625" spans="9:9" x14ac:dyDescent="0.25">
      <c r="I625" s="57"/>
    </row>
    <row r="626" spans="9:9" x14ac:dyDescent="0.25">
      <c r="I626" s="57"/>
    </row>
    <row r="627" spans="9:9" x14ac:dyDescent="0.25">
      <c r="I627" s="57"/>
    </row>
    <row r="628" spans="9:9" x14ac:dyDescent="0.25">
      <c r="I628" s="57"/>
    </row>
    <row r="629" spans="9:9" x14ac:dyDescent="0.25">
      <c r="I629" s="57"/>
    </row>
    <row r="630" spans="9:9" x14ac:dyDescent="0.25">
      <c r="I630" s="57"/>
    </row>
    <row r="631" spans="9:9" x14ac:dyDescent="0.25">
      <c r="I631" s="57"/>
    </row>
    <row r="632" spans="9:9" x14ac:dyDescent="0.25">
      <c r="I632" s="57"/>
    </row>
    <row r="633" spans="9:9" x14ac:dyDescent="0.25">
      <c r="I633" s="57"/>
    </row>
    <row r="634" spans="9:9" x14ac:dyDescent="0.25">
      <c r="I634" s="57"/>
    </row>
    <row r="635" spans="9:9" x14ac:dyDescent="0.25">
      <c r="I635" s="57"/>
    </row>
    <row r="636" spans="9:9" x14ac:dyDescent="0.25">
      <c r="I636" s="57"/>
    </row>
    <row r="637" spans="9:9" x14ac:dyDescent="0.25">
      <c r="I637" s="57"/>
    </row>
    <row r="638" spans="9:9" x14ac:dyDescent="0.25">
      <c r="I638" s="57"/>
    </row>
    <row r="639" spans="9:9" x14ac:dyDescent="0.25">
      <c r="I639" s="57"/>
    </row>
    <row r="640" spans="9:9" x14ac:dyDescent="0.25">
      <c r="I640" s="57"/>
    </row>
    <row r="641" spans="9:9" x14ac:dyDescent="0.25">
      <c r="I641" s="57"/>
    </row>
    <row r="642" spans="9:9" x14ac:dyDescent="0.25">
      <c r="I642" s="57"/>
    </row>
    <row r="643" spans="9:9" x14ac:dyDescent="0.25">
      <c r="I643" s="57"/>
    </row>
    <row r="644" spans="9:9" x14ac:dyDescent="0.25">
      <c r="I644" s="57"/>
    </row>
    <row r="645" spans="9:9" x14ac:dyDescent="0.25">
      <c r="I645" s="57"/>
    </row>
    <row r="646" spans="9:9" x14ac:dyDescent="0.25">
      <c r="I646" s="57"/>
    </row>
    <row r="647" spans="9:9" x14ac:dyDescent="0.25">
      <c r="I647" s="57"/>
    </row>
    <row r="648" spans="9:9" x14ac:dyDescent="0.25">
      <c r="I648" s="57"/>
    </row>
    <row r="649" spans="9:9" x14ac:dyDescent="0.25">
      <c r="I649" s="57"/>
    </row>
    <row r="650" spans="9:9" x14ac:dyDescent="0.25">
      <c r="I650" s="57"/>
    </row>
    <row r="651" spans="9:9" x14ac:dyDescent="0.25">
      <c r="I651" s="57"/>
    </row>
    <row r="652" spans="9:9" x14ac:dyDescent="0.25">
      <c r="I652" s="57"/>
    </row>
    <row r="653" spans="9:9" x14ac:dyDescent="0.25">
      <c r="I653" s="57"/>
    </row>
    <row r="654" spans="9:9" x14ac:dyDescent="0.25">
      <c r="I654" s="57"/>
    </row>
    <row r="655" spans="9:9" x14ac:dyDescent="0.25">
      <c r="I655" s="57"/>
    </row>
    <row r="656" spans="9:9" x14ac:dyDescent="0.25">
      <c r="I656" s="57"/>
    </row>
    <row r="657" spans="9:9" x14ac:dyDescent="0.25">
      <c r="I657" s="57"/>
    </row>
    <row r="658" spans="9:9" x14ac:dyDescent="0.25">
      <c r="I658" s="57"/>
    </row>
    <row r="659" spans="9:9" x14ac:dyDescent="0.25">
      <c r="I659" s="57"/>
    </row>
    <row r="660" spans="9:9" x14ac:dyDescent="0.25">
      <c r="I660" s="57"/>
    </row>
    <row r="661" spans="9:9" x14ac:dyDescent="0.25">
      <c r="I661" s="57"/>
    </row>
    <row r="662" spans="9:9" x14ac:dyDescent="0.25">
      <c r="I662" s="57"/>
    </row>
    <row r="663" spans="9:9" x14ac:dyDescent="0.25">
      <c r="I663" s="57"/>
    </row>
    <row r="664" spans="9:9" x14ac:dyDescent="0.25">
      <c r="I664" s="57"/>
    </row>
    <row r="665" spans="9:9" x14ac:dyDescent="0.25">
      <c r="I665" s="57"/>
    </row>
    <row r="666" spans="9:9" x14ac:dyDescent="0.25">
      <c r="I666" s="57"/>
    </row>
    <row r="667" spans="9:9" x14ac:dyDescent="0.25">
      <c r="I667" s="57"/>
    </row>
    <row r="668" spans="9:9" x14ac:dyDescent="0.25">
      <c r="I668" s="57"/>
    </row>
    <row r="669" spans="9:9" x14ac:dyDescent="0.25">
      <c r="I669" s="57"/>
    </row>
    <row r="670" spans="9:9" x14ac:dyDescent="0.25">
      <c r="I670" s="57"/>
    </row>
    <row r="671" spans="9:9" x14ac:dyDescent="0.25">
      <c r="I671" s="57"/>
    </row>
    <row r="672" spans="9:9" x14ac:dyDescent="0.25">
      <c r="I672" s="57"/>
    </row>
    <row r="673" spans="9:9" x14ac:dyDescent="0.25">
      <c r="I673" s="57"/>
    </row>
    <row r="674" spans="9:9" x14ac:dyDescent="0.25">
      <c r="I674" s="57"/>
    </row>
    <row r="675" spans="9:9" x14ac:dyDescent="0.25">
      <c r="I675" s="57"/>
    </row>
    <row r="676" spans="9:9" x14ac:dyDescent="0.25">
      <c r="I676" s="57"/>
    </row>
    <row r="677" spans="9:9" x14ac:dyDescent="0.25">
      <c r="I677" s="57"/>
    </row>
    <row r="678" spans="9:9" x14ac:dyDescent="0.25">
      <c r="I678" s="57"/>
    </row>
    <row r="679" spans="9:9" x14ac:dyDescent="0.25">
      <c r="I679" s="57"/>
    </row>
    <row r="680" spans="9:9" x14ac:dyDescent="0.25">
      <c r="I680" s="57"/>
    </row>
    <row r="681" spans="9:9" x14ac:dyDescent="0.25">
      <c r="I681" s="57"/>
    </row>
    <row r="682" spans="9:9" x14ac:dyDescent="0.25">
      <c r="I682" s="57"/>
    </row>
    <row r="683" spans="9:9" x14ac:dyDescent="0.25">
      <c r="I683" s="57"/>
    </row>
    <row r="684" spans="9:9" x14ac:dyDescent="0.25">
      <c r="I684" s="57"/>
    </row>
    <row r="685" spans="9:9" x14ac:dyDescent="0.25">
      <c r="I685" s="57"/>
    </row>
    <row r="686" spans="9:9" x14ac:dyDescent="0.25">
      <c r="I686" s="57"/>
    </row>
    <row r="687" spans="9:9" x14ac:dyDescent="0.25">
      <c r="I687" s="57"/>
    </row>
    <row r="688" spans="9:9" x14ac:dyDescent="0.25">
      <c r="I688" s="57"/>
    </row>
    <row r="689" spans="9:9" x14ac:dyDescent="0.25">
      <c r="I689" s="57"/>
    </row>
    <row r="690" spans="9:9" x14ac:dyDescent="0.25">
      <c r="I690" s="57"/>
    </row>
    <row r="691" spans="9:9" x14ac:dyDescent="0.25">
      <c r="I691" s="57"/>
    </row>
    <row r="692" spans="9:9" x14ac:dyDescent="0.25">
      <c r="I692" s="57"/>
    </row>
    <row r="693" spans="9:9" x14ac:dyDescent="0.25">
      <c r="I693" s="57"/>
    </row>
    <row r="694" spans="9:9" x14ac:dyDescent="0.25">
      <c r="I694" s="57"/>
    </row>
    <row r="695" spans="9:9" x14ac:dyDescent="0.25">
      <c r="I695" s="57"/>
    </row>
    <row r="696" spans="9:9" x14ac:dyDescent="0.25">
      <c r="I696" s="57"/>
    </row>
    <row r="697" spans="9:9" x14ac:dyDescent="0.25">
      <c r="I697" s="57"/>
    </row>
    <row r="698" spans="9:9" x14ac:dyDescent="0.25">
      <c r="I698" s="57"/>
    </row>
    <row r="699" spans="9:9" x14ac:dyDescent="0.25">
      <c r="I699" s="57"/>
    </row>
    <row r="700" spans="9:9" x14ac:dyDescent="0.25">
      <c r="I700" s="57"/>
    </row>
    <row r="701" spans="9:9" x14ac:dyDescent="0.25">
      <c r="I701" s="57"/>
    </row>
    <row r="702" spans="9:9" x14ac:dyDescent="0.25">
      <c r="I702" s="57"/>
    </row>
    <row r="703" spans="9:9" x14ac:dyDescent="0.25">
      <c r="I703" s="57"/>
    </row>
    <row r="704" spans="9:9" x14ac:dyDescent="0.25">
      <c r="I704" s="57"/>
    </row>
    <row r="705" spans="9:9" x14ac:dyDescent="0.25">
      <c r="I705" s="57"/>
    </row>
    <row r="706" spans="9:9" x14ac:dyDescent="0.25">
      <c r="I706" s="57"/>
    </row>
    <row r="707" spans="9:9" x14ac:dyDescent="0.25">
      <c r="I707" s="57"/>
    </row>
    <row r="708" spans="9:9" x14ac:dyDescent="0.25">
      <c r="I708" s="57"/>
    </row>
    <row r="709" spans="9:9" x14ac:dyDescent="0.25">
      <c r="I709" s="57"/>
    </row>
    <row r="710" spans="9:9" x14ac:dyDescent="0.25">
      <c r="I710" s="57"/>
    </row>
    <row r="711" spans="9:9" x14ac:dyDescent="0.25">
      <c r="I711" s="57"/>
    </row>
    <row r="712" spans="9:9" x14ac:dyDescent="0.25">
      <c r="I712" s="57"/>
    </row>
    <row r="713" spans="9:9" x14ac:dyDescent="0.25">
      <c r="I713" s="57"/>
    </row>
    <row r="714" spans="9:9" x14ac:dyDescent="0.25">
      <c r="I714" s="57"/>
    </row>
    <row r="715" spans="9:9" x14ac:dyDescent="0.25">
      <c r="I715" s="57"/>
    </row>
    <row r="716" spans="9:9" x14ac:dyDescent="0.25">
      <c r="I716" s="57"/>
    </row>
    <row r="717" spans="9:9" x14ac:dyDescent="0.25">
      <c r="I717" s="57"/>
    </row>
    <row r="718" spans="9:9" x14ac:dyDescent="0.25">
      <c r="I718" s="57"/>
    </row>
    <row r="719" spans="9:9" x14ac:dyDescent="0.25">
      <c r="I719" s="57"/>
    </row>
    <row r="720" spans="9:9" x14ac:dyDescent="0.25">
      <c r="I720" s="57"/>
    </row>
    <row r="721" spans="9:9" x14ac:dyDescent="0.25">
      <c r="I721" s="57"/>
    </row>
    <row r="722" spans="9:9" x14ac:dyDescent="0.25">
      <c r="I722" s="57"/>
    </row>
    <row r="723" spans="9:9" x14ac:dyDescent="0.25">
      <c r="I723" s="57"/>
    </row>
    <row r="724" spans="9:9" x14ac:dyDescent="0.25">
      <c r="I724" s="57"/>
    </row>
    <row r="725" spans="9:9" x14ac:dyDescent="0.25">
      <c r="I725" s="57"/>
    </row>
    <row r="726" spans="9:9" x14ac:dyDescent="0.25">
      <c r="I726" s="57"/>
    </row>
    <row r="727" spans="9:9" x14ac:dyDescent="0.25">
      <c r="I727" s="57"/>
    </row>
    <row r="728" spans="9:9" x14ac:dyDescent="0.25">
      <c r="I728" s="57"/>
    </row>
    <row r="729" spans="9:9" x14ac:dyDescent="0.25">
      <c r="I729" s="57"/>
    </row>
    <row r="730" spans="9:9" x14ac:dyDescent="0.25">
      <c r="I730" s="57"/>
    </row>
    <row r="731" spans="9:9" x14ac:dyDescent="0.25">
      <c r="I731" s="57"/>
    </row>
    <row r="732" spans="9:9" x14ac:dyDescent="0.25">
      <c r="I732" s="57"/>
    </row>
    <row r="733" spans="9:9" x14ac:dyDescent="0.25">
      <c r="I733" s="57"/>
    </row>
    <row r="734" spans="9:9" x14ac:dyDescent="0.25">
      <c r="I734" s="57"/>
    </row>
    <row r="735" spans="9:9" x14ac:dyDescent="0.25">
      <c r="I735" s="57"/>
    </row>
    <row r="736" spans="9:9" x14ac:dyDescent="0.25">
      <c r="I736" s="57"/>
    </row>
    <row r="737" spans="9:9" x14ac:dyDescent="0.25">
      <c r="I737" s="57"/>
    </row>
    <row r="738" spans="9:9" x14ac:dyDescent="0.25">
      <c r="I738" s="57"/>
    </row>
    <row r="739" spans="9:9" x14ac:dyDescent="0.25">
      <c r="I739" s="57"/>
    </row>
    <row r="740" spans="9:9" x14ac:dyDescent="0.25">
      <c r="I740" s="57"/>
    </row>
    <row r="741" spans="9:9" x14ac:dyDescent="0.25">
      <c r="I741" s="57"/>
    </row>
    <row r="742" spans="9:9" x14ac:dyDescent="0.25">
      <c r="I742" s="57"/>
    </row>
    <row r="743" spans="9:9" x14ac:dyDescent="0.25">
      <c r="I743" s="57"/>
    </row>
    <row r="744" spans="9:9" x14ac:dyDescent="0.25">
      <c r="I744" s="57"/>
    </row>
    <row r="745" spans="9:9" x14ac:dyDescent="0.25">
      <c r="I745" s="57"/>
    </row>
    <row r="746" spans="9:9" x14ac:dyDescent="0.25">
      <c r="I746" s="57"/>
    </row>
    <row r="747" spans="9:9" x14ac:dyDescent="0.25">
      <c r="I747" s="57"/>
    </row>
    <row r="748" spans="9:9" x14ac:dyDescent="0.25">
      <c r="I748" s="57"/>
    </row>
    <row r="749" spans="9:9" x14ac:dyDescent="0.25">
      <c r="I749" s="57"/>
    </row>
    <row r="750" spans="9:9" x14ac:dyDescent="0.25">
      <c r="I750" s="57"/>
    </row>
    <row r="751" spans="9:9" x14ac:dyDescent="0.25">
      <c r="I751" s="57"/>
    </row>
    <row r="752" spans="9:9" x14ac:dyDescent="0.25">
      <c r="I752" s="57"/>
    </row>
    <row r="753" spans="9:9" x14ac:dyDescent="0.25">
      <c r="I753" s="57"/>
    </row>
    <row r="754" spans="9:9" x14ac:dyDescent="0.25">
      <c r="I754" s="57"/>
    </row>
    <row r="755" spans="9:9" x14ac:dyDescent="0.25">
      <c r="I755" s="57"/>
    </row>
    <row r="756" spans="9:9" x14ac:dyDescent="0.25">
      <c r="I756" s="57"/>
    </row>
    <row r="757" spans="9:9" x14ac:dyDescent="0.25">
      <c r="I757" s="57"/>
    </row>
    <row r="758" spans="9:9" x14ac:dyDescent="0.25">
      <c r="I758" s="57"/>
    </row>
    <row r="759" spans="9:9" x14ac:dyDescent="0.25">
      <c r="I759" s="57"/>
    </row>
    <row r="760" spans="9:9" x14ac:dyDescent="0.25">
      <c r="I760" s="57"/>
    </row>
    <row r="761" spans="9:9" x14ac:dyDescent="0.25">
      <c r="I761" s="57"/>
    </row>
    <row r="762" spans="9:9" x14ac:dyDescent="0.25">
      <c r="I762" s="57"/>
    </row>
    <row r="763" spans="9:9" x14ac:dyDescent="0.25">
      <c r="I763" s="57"/>
    </row>
    <row r="764" spans="9:9" x14ac:dyDescent="0.25">
      <c r="I764" s="57"/>
    </row>
    <row r="765" spans="9:9" x14ac:dyDescent="0.25">
      <c r="I765" s="57"/>
    </row>
    <row r="766" spans="9:9" x14ac:dyDescent="0.25">
      <c r="I766" s="57"/>
    </row>
    <row r="767" spans="9:9" x14ac:dyDescent="0.25">
      <c r="I767" s="57"/>
    </row>
    <row r="768" spans="9:9" x14ac:dyDescent="0.25">
      <c r="I768" s="57"/>
    </row>
    <row r="769" spans="9:9" x14ac:dyDescent="0.25">
      <c r="I769" s="57"/>
    </row>
    <row r="770" spans="9:9" x14ac:dyDescent="0.25">
      <c r="I770" s="57"/>
    </row>
    <row r="771" spans="9:9" x14ac:dyDescent="0.25">
      <c r="I771" s="57"/>
    </row>
    <row r="772" spans="9:9" x14ac:dyDescent="0.25">
      <c r="I772" s="57"/>
    </row>
    <row r="773" spans="9:9" x14ac:dyDescent="0.25">
      <c r="I773" s="57"/>
    </row>
    <row r="774" spans="9:9" x14ac:dyDescent="0.25">
      <c r="I774" s="57"/>
    </row>
    <row r="775" spans="9:9" x14ac:dyDescent="0.25">
      <c r="I775" s="57"/>
    </row>
    <row r="776" spans="9:9" x14ac:dyDescent="0.25">
      <c r="I776" s="57"/>
    </row>
    <row r="777" spans="9:9" x14ac:dyDescent="0.25">
      <c r="I777" s="57"/>
    </row>
    <row r="778" spans="9:9" x14ac:dyDescent="0.25">
      <c r="I778" s="57"/>
    </row>
    <row r="779" spans="9:9" x14ac:dyDescent="0.25">
      <c r="I779" s="57"/>
    </row>
    <row r="780" spans="9:9" x14ac:dyDescent="0.25">
      <c r="I780" s="57"/>
    </row>
    <row r="781" spans="9:9" x14ac:dyDescent="0.25">
      <c r="I781" s="57"/>
    </row>
    <row r="782" spans="9:9" x14ac:dyDescent="0.25">
      <c r="I782" s="57"/>
    </row>
    <row r="783" spans="9:9" x14ac:dyDescent="0.25">
      <c r="I783" s="57"/>
    </row>
    <row r="784" spans="9:9" x14ac:dyDescent="0.25">
      <c r="I784" s="57"/>
    </row>
    <row r="785" spans="9:9" x14ac:dyDescent="0.25">
      <c r="I785" s="57"/>
    </row>
    <row r="786" spans="9:9" x14ac:dyDescent="0.25">
      <c r="I786" s="57"/>
    </row>
    <row r="787" spans="9:9" x14ac:dyDescent="0.25">
      <c r="I787" s="57"/>
    </row>
    <row r="788" spans="9:9" x14ac:dyDescent="0.25">
      <c r="I788" s="57"/>
    </row>
    <row r="789" spans="9:9" x14ac:dyDescent="0.25">
      <c r="I789" s="57"/>
    </row>
    <row r="790" spans="9:9" x14ac:dyDescent="0.25">
      <c r="I790" s="57"/>
    </row>
    <row r="791" spans="9:9" x14ac:dyDescent="0.25">
      <c r="I791" s="57"/>
    </row>
    <row r="792" spans="9:9" x14ac:dyDescent="0.25">
      <c r="I792" s="57"/>
    </row>
    <row r="793" spans="9:9" x14ac:dyDescent="0.25">
      <c r="I793" s="57"/>
    </row>
    <row r="794" spans="9:9" x14ac:dyDescent="0.25">
      <c r="I794" s="57"/>
    </row>
    <row r="795" spans="9:9" x14ac:dyDescent="0.25">
      <c r="I795" s="57"/>
    </row>
    <row r="796" spans="9:9" x14ac:dyDescent="0.25">
      <c r="I796" s="57"/>
    </row>
    <row r="797" spans="9:9" x14ac:dyDescent="0.25">
      <c r="I797" s="57"/>
    </row>
    <row r="798" spans="9:9" x14ac:dyDescent="0.25">
      <c r="I798" s="57"/>
    </row>
    <row r="799" spans="9:9" x14ac:dyDescent="0.25">
      <c r="I799" s="57"/>
    </row>
    <row r="800" spans="9:9" x14ac:dyDescent="0.25">
      <c r="I800" s="57"/>
    </row>
    <row r="801" spans="9:9" x14ac:dyDescent="0.25">
      <c r="I801" s="57"/>
    </row>
    <row r="802" spans="9:9" x14ac:dyDescent="0.25">
      <c r="I802" s="57"/>
    </row>
    <row r="803" spans="9:9" x14ac:dyDescent="0.25">
      <c r="I803" s="57"/>
    </row>
    <row r="804" spans="9:9" x14ac:dyDescent="0.25">
      <c r="I804" s="57"/>
    </row>
    <row r="805" spans="9:9" x14ac:dyDescent="0.25">
      <c r="I805" s="57"/>
    </row>
    <row r="806" spans="9:9" x14ac:dyDescent="0.25">
      <c r="I806" s="57"/>
    </row>
    <row r="807" spans="9:9" x14ac:dyDescent="0.25">
      <c r="I807" s="57"/>
    </row>
    <row r="808" spans="9:9" x14ac:dyDescent="0.25">
      <c r="I808" s="57"/>
    </row>
    <row r="809" spans="9:9" x14ac:dyDescent="0.25">
      <c r="I809" s="57"/>
    </row>
    <row r="810" spans="9:9" x14ac:dyDescent="0.25">
      <c r="I810" s="57"/>
    </row>
    <row r="811" spans="9:9" x14ac:dyDescent="0.25">
      <c r="I811" s="57"/>
    </row>
    <row r="812" spans="9:9" x14ac:dyDescent="0.25">
      <c r="I812" s="57"/>
    </row>
    <row r="813" spans="9:9" x14ac:dyDescent="0.25">
      <c r="I813" s="57"/>
    </row>
    <row r="814" spans="9:9" x14ac:dyDescent="0.25">
      <c r="I814" s="57"/>
    </row>
    <row r="815" spans="9:9" x14ac:dyDescent="0.25">
      <c r="I815" s="57"/>
    </row>
    <row r="816" spans="9:9" x14ac:dyDescent="0.25">
      <c r="I816" s="57"/>
    </row>
    <row r="817" spans="9:9" x14ac:dyDescent="0.25">
      <c r="I817" s="57"/>
    </row>
    <row r="818" spans="9:9" x14ac:dyDescent="0.25">
      <c r="I818" s="57"/>
    </row>
    <row r="819" spans="9:9" x14ac:dyDescent="0.25">
      <c r="I819" s="57"/>
    </row>
    <row r="820" spans="9:9" x14ac:dyDescent="0.25">
      <c r="I820" s="57"/>
    </row>
    <row r="821" spans="9:9" x14ac:dyDescent="0.25">
      <c r="I821" s="57"/>
    </row>
    <row r="822" spans="9:9" x14ac:dyDescent="0.25">
      <c r="I822" s="57"/>
    </row>
    <row r="823" spans="9:9" x14ac:dyDescent="0.25">
      <c r="I823" s="57"/>
    </row>
    <row r="824" spans="9:9" x14ac:dyDescent="0.25">
      <c r="I824" s="57"/>
    </row>
    <row r="825" spans="9:9" x14ac:dyDescent="0.25">
      <c r="I825" s="57"/>
    </row>
    <row r="826" spans="9:9" x14ac:dyDescent="0.25">
      <c r="I826" s="57"/>
    </row>
    <row r="827" spans="9:9" x14ac:dyDescent="0.25">
      <c r="I827" s="57"/>
    </row>
    <row r="828" spans="9:9" x14ac:dyDescent="0.25">
      <c r="I828" s="57"/>
    </row>
    <row r="829" spans="9:9" x14ac:dyDescent="0.25">
      <c r="I829" s="57"/>
    </row>
    <row r="830" spans="9:9" x14ac:dyDescent="0.25">
      <c r="I830" s="57"/>
    </row>
    <row r="831" spans="9:9" x14ac:dyDescent="0.25">
      <c r="I831" s="57"/>
    </row>
    <row r="832" spans="9:9" x14ac:dyDescent="0.25">
      <c r="I832" s="57"/>
    </row>
    <row r="833" spans="9:9" x14ac:dyDescent="0.25">
      <c r="I833" s="57"/>
    </row>
    <row r="834" spans="9:9" x14ac:dyDescent="0.25">
      <c r="I834" s="57"/>
    </row>
    <row r="835" spans="9:9" x14ac:dyDescent="0.25">
      <c r="I835" s="57"/>
    </row>
    <row r="836" spans="9:9" x14ac:dyDescent="0.25">
      <c r="I836" s="57"/>
    </row>
    <row r="837" spans="9:9" x14ac:dyDescent="0.25">
      <c r="I837" s="57"/>
    </row>
    <row r="838" spans="9:9" x14ac:dyDescent="0.25">
      <c r="I838" s="57"/>
    </row>
    <row r="839" spans="9:9" x14ac:dyDescent="0.25">
      <c r="I839" s="57"/>
    </row>
    <row r="840" spans="9:9" x14ac:dyDescent="0.25">
      <c r="I840" s="57"/>
    </row>
    <row r="841" spans="9:9" x14ac:dyDescent="0.25">
      <c r="I841" s="57"/>
    </row>
    <row r="842" spans="9:9" x14ac:dyDescent="0.25">
      <c r="I842" s="57"/>
    </row>
    <row r="843" spans="9:9" x14ac:dyDescent="0.25">
      <c r="I843" s="57"/>
    </row>
    <row r="844" spans="9:9" x14ac:dyDescent="0.25">
      <c r="I844" s="57"/>
    </row>
    <row r="845" spans="9:9" x14ac:dyDescent="0.25">
      <c r="I845" s="57"/>
    </row>
    <row r="846" spans="9:9" x14ac:dyDescent="0.25">
      <c r="I846" s="57"/>
    </row>
    <row r="847" spans="9:9" x14ac:dyDescent="0.25">
      <c r="I847" s="57"/>
    </row>
    <row r="848" spans="9:9" x14ac:dyDescent="0.25">
      <c r="I848" s="57"/>
    </row>
    <row r="849" spans="9:9" x14ac:dyDescent="0.25">
      <c r="I849" s="57"/>
    </row>
    <row r="850" spans="9:9" x14ac:dyDescent="0.25">
      <c r="I850" s="57"/>
    </row>
    <row r="851" spans="9:9" x14ac:dyDescent="0.25">
      <c r="I851" s="57"/>
    </row>
    <row r="852" spans="9:9" x14ac:dyDescent="0.25">
      <c r="I852" s="57"/>
    </row>
    <row r="853" spans="9:9" x14ac:dyDescent="0.25">
      <c r="I853" s="57"/>
    </row>
    <row r="854" spans="9:9" x14ac:dyDescent="0.25">
      <c r="I854" s="57"/>
    </row>
    <row r="855" spans="9:9" x14ac:dyDescent="0.25">
      <c r="I855" s="57"/>
    </row>
    <row r="856" spans="9:9" x14ac:dyDescent="0.25">
      <c r="I856" s="57"/>
    </row>
    <row r="857" spans="9:9" x14ac:dyDescent="0.25">
      <c r="I857" s="57"/>
    </row>
    <row r="858" spans="9:9" x14ac:dyDescent="0.25">
      <c r="I858" s="57"/>
    </row>
    <row r="859" spans="9:9" x14ac:dyDescent="0.25">
      <c r="I859" s="57"/>
    </row>
    <row r="860" spans="9:9" x14ac:dyDescent="0.25">
      <c r="I860" s="57"/>
    </row>
    <row r="861" spans="9:9" x14ac:dyDescent="0.25">
      <c r="I861" s="57"/>
    </row>
    <row r="862" spans="9:9" x14ac:dyDescent="0.25">
      <c r="I862" s="57"/>
    </row>
    <row r="863" spans="9:9" x14ac:dyDescent="0.25">
      <c r="I863" s="57"/>
    </row>
    <row r="864" spans="9:9" x14ac:dyDescent="0.25">
      <c r="I864" s="57"/>
    </row>
    <row r="865" spans="9:9" x14ac:dyDescent="0.25">
      <c r="I865" s="57"/>
    </row>
    <row r="866" spans="9:9" x14ac:dyDescent="0.25">
      <c r="I866" s="57"/>
    </row>
    <row r="867" spans="9:9" x14ac:dyDescent="0.25">
      <c r="I867" s="57"/>
    </row>
    <row r="868" spans="9:9" x14ac:dyDescent="0.25">
      <c r="I868" s="57"/>
    </row>
    <row r="869" spans="9:9" x14ac:dyDescent="0.25">
      <c r="I869" s="57"/>
    </row>
    <row r="870" spans="9:9" x14ac:dyDescent="0.25">
      <c r="I870" s="57"/>
    </row>
    <row r="871" spans="9:9" x14ac:dyDescent="0.25">
      <c r="I871" s="57"/>
    </row>
    <row r="872" spans="9:9" x14ac:dyDescent="0.25">
      <c r="I872" s="57"/>
    </row>
    <row r="873" spans="9:9" x14ac:dyDescent="0.25">
      <c r="I873" s="57"/>
    </row>
    <row r="874" spans="9:9" x14ac:dyDescent="0.25">
      <c r="I874" s="57"/>
    </row>
    <row r="875" spans="9:9" x14ac:dyDescent="0.25">
      <c r="I875" s="57"/>
    </row>
    <row r="876" spans="9:9" x14ac:dyDescent="0.25">
      <c r="I876" s="57"/>
    </row>
    <row r="877" spans="9:9" x14ac:dyDescent="0.25">
      <c r="I877" s="57"/>
    </row>
    <row r="878" spans="9:9" x14ac:dyDescent="0.25">
      <c r="I878" s="57"/>
    </row>
    <row r="879" spans="9:9" x14ac:dyDescent="0.25">
      <c r="I879" s="57"/>
    </row>
    <row r="880" spans="9:9" x14ac:dyDescent="0.25">
      <c r="I880" s="57"/>
    </row>
    <row r="881" spans="9:9" x14ac:dyDescent="0.25">
      <c r="I881" s="57"/>
    </row>
    <row r="882" spans="9:9" x14ac:dyDescent="0.25">
      <c r="I882" s="57"/>
    </row>
    <row r="883" spans="9:9" x14ac:dyDescent="0.25">
      <c r="I883" s="57"/>
    </row>
    <row r="884" spans="9:9" x14ac:dyDescent="0.25">
      <c r="I884" s="57"/>
    </row>
    <row r="885" spans="9:9" x14ac:dyDescent="0.25">
      <c r="I885" s="57"/>
    </row>
    <row r="886" spans="9:9" x14ac:dyDescent="0.25">
      <c r="I886" s="57"/>
    </row>
    <row r="887" spans="9:9" x14ac:dyDescent="0.25">
      <c r="I887" s="57"/>
    </row>
    <row r="888" spans="9:9" x14ac:dyDescent="0.25">
      <c r="I888" s="57"/>
    </row>
    <row r="889" spans="9:9" x14ac:dyDescent="0.25">
      <c r="I889" s="57"/>
    </row>
    <row r="890" spans="9:9" x14ac:dyDescent="0.25">
      <c r="I890" s="57"/>
    </row>
    <row r="891" spans="9:9" x14ac:dyDescent="0.25">
      <c r="I891" s="57"/>
    </row>
    <row r="892" spans="9:9" x14ac:dyDescent="0.25">
      <c r="I892" s="57"/>
    </row>
    <row r="893" spans="9:9" x14ac:dyDescent="0.25">
      <c r="I893" s="57"/>
    </row>
    <row r="894" spans="9:9" x14ac:dyDescent="0.25">
      <c r="I894" s="57"/>
    </row>
    <row r="895" spans="9:9" x14ac:dyDescent="0.25">
      <c r="I895" s="57"/>
    </row>
    <row r="896" spans="9:9" x14ac:dyDescent="0.25">
      <c r="I896" s="57"/>
    </row>
    <row r="897" spans="9:9" x14ac:dyDescent="0.25">
      <c r="I897" s="57"/>
    </row>
    <row r="898" spans="9:9" x14ac:dyDescent="0.25">
      <c r="I898" s="57"/>
    </row>
    <row r="899" spans="9:9" x14ac:dyDescent="0.25">
      <c r="I899" s="57"/>
    </row>
    <row r="900" spans="9:9" x14ac:dyDescent="0.25">
      <c r="I900" s="57"/>
    </row>
    <row r="901" spans="9:9" x14ac:dyDescent="0.25">
      <c r="I901" s="57"/>
    </row>
    <row r="902" spans="9:9" x14ac:dyDescent="0.25">
      <c r="I902" s="57"/>
    </row>
    <row r="903" spans="9:9" x14ac:dyDescent="0.25">
      <c r="I903" s="57"/>
    </row>
    <row r="904" spans="9:9" x14ac:dyDescent="0.25">
      <c r="I904" s="57"/>
    </row>
    <row r="905" spans="9:9" x14ac:dyDescent="0.25">
      <c r="I905" s="57"/>
    </row>
    <row r="906" spans="9:9" x14ac:dyDescent="0.25">
      <c r="I906" s="57"/>
    </row>
    <row r="907" spans="9:9" x14ac:dyDescent="0.25">
      <c r="I907" s="57"/>
    </row>
    <row r="908" spans="9:9" x14ac:dyDescent="0.25">
      <c r="I908" s="57"/>
    </row>
    <row r="909" spans="9:9" x14ac:dyDescent="0.25">
      <c r="I909" s="57"/>
    </row>
    <row r="910" spans="9:9" x14ac:dyDescent="0.25">
      <c r="I910" s="57"/>
    </row>
    <row r="911" spans="9:9" x14ac:dyDescent="0.25">
      <c r="I911" s="57"/>
    </row>
    <row r="912" spans="9:9" x14ac:dyDescent="0.25">
      <c r="I912" s="57"/>
    </row>
    <row r="913" spans="9:9" x14ac:dyDescent="0.25">
      <c r="I913" s="57"/>
    </row>
    <row r="914" spans="9:9" x14ac:dyDescent="0.25">
      <c r="I914" s="57"/>
    </row>
    <row r="915" spans="9:9" x14ac:dyDescent="0.25">
      <c r="I915" s="57"/>
    </row>
    <row r="916" spans="9:9" x14ac:dyDescent="0.25">
      <c r="I916" s="57"/>
    </row>
    <row r="917" spans="9:9" x14ac:dyDescent="0.25">
      <c r="I917" s="57"/>
    </row>
    <row r="918" spans="9:9" x14ac:dyDescent="0.25">
      <c r="I918" s="57"/>
    </row>
    <row r="919" spans="9:9" x14ac:dyDescent="0.25">
      <c r="I919" s="57"/>
    </row>
    <row r="920" spans="9:9" x14ac:dyDescent="0.25">
      <c r="I920" s="57"/>
    </row>
    <row r="921" spans="9:9" x14ac:dyDescent="0.25">
      <c r="I921" s="57"/>
    </row>
    <row r="922" spans="9:9" x14ac:dyDescent="0.25">
      <c r="I922" s="57"/>
    </row>
    <row r="923" spans="9:9" x14ac:dyDescent="0.25">
      <c r="I923" s="57"/>
    </row>
    <row r="924" spans="9:9" x14ac:dyDescent="0.25">
      <c r="I924" s="57"/>
    </row>
    <row r="925" spans="9:9" x14ac:dyDescent="0.25">
      <c r="I925" s="57"/>
    </row>
    <row r="926" spans="9:9" x14ac:dyDescent="0.25">
      <c r="I926" s="57"/>
    </row>
    <row r="927" spans="9:9" x14ac:dyDescent="0.25">
      <c r="I927" s="57"/>
    </row>
    <row r="928" spans="9:9" x14ac:dyDescent="0.25">
      <c r="I928" s="57"/>
    </row>
    <row r="929" spans="9:9" x14ac:dyDescent="0.25">
      <c r="I929" s="57"/>
    </row>
    <row r="930" spans="9:9" x14ac:dyDescent="0.25">
      <c r="I930" s="57"/>
    </row>
    <row r="931" spans="9:9" x14ac:dyDescent="0.25">
      <c r="I931" s="57"/>
    </row>
    <row r="932" spans="9:9" x14ac:dyDescent="0.25">
      <c r="I932" s="57"/>
    </row>
    <row r="933" spans="9:9" x14ac:dyDescent="0.25">
      <c r="I933" s="57"/>
    </row>
    <row r="934" spans="9:9" x14ac:dyDescent="0.25">
      <c r="I934" s="57"/>
    </row>
    <row r="935" spans="9:9" x14ac:dyDescent="0.25">
      <c r="I935" s="57"/>
    </row>
    <row r="936" spans="9:9" x14ac:dyDescent="0.25">
      <c r="I936" s="57"/>
    </row>
    <row r="937" spans="9:9" x14ac:dyDescent="0.25">
      <c r="I937" s="57"/>
    </row>
    <row r="938" spans="9:9" x14ac:dyDescent="0.25">
      <c r="I938" s="57"/>
    </row>
    <row r="939" spans="9:9" x14ac:dyDescent="0.25">
      <c r="I939" s="57"/>
    </row>
    <row r="940" spans="9:9" x14ac:dyDescent="0.25">
      <c r="I940" s="57"/>
    </row>
    <row r="941" spans="9:9" x14ac:dyDescent="0.25">
      <c r="I941" s="57"/>
    </row>
    <row r="942" spans="9:9" x14ac:dyDescent="0.25">
      <c r="I942" s="57"/>
    </row>
    <row r="943" spans="9:9" x14ac:dyDescent="0.25">
      <c r="I943" s="57"/>
    </row>
    <row r="944" spans="9:9" x14ac:dyDescent="0.25">
      <c r="I944" s="57"/>
    </row>
    <row r="945" spans="9:9" x14ac:dyDescent="0.25">
      <c r="I945" s="57"/>
    </row>
    <row r="946" spans="9:9" x14ac:dyDescent="0.25">
      <c r="I946" s="57"/>
    </row>
    <row r="947" spans="9:9" x14ac:dyDescent="0.25">
      <c r="I947" s="57"/>
    </row>
    <row r="948" spans="9:9" x14ac:dyDescent="0.25">
      <c r="I948" s="57"/>
    </row>
    <row r="949" spans="9:9" x14ac:dyDescent="0.25">
      <c r="I949" s="57"/>
    </row>
    <row r="950" spans="9:9" x14ac:dyDescent="0.25">
      <c r="I950" s="57"/>
    </row>
    <row r="951" spans="9:9" x14ac:dyDescent="0.25">
      <c r="I951" s="57"/>
    </row>
    <row r="952" spans="9:9" x14ac:dyDescent="0.25">
      <c r="I952" s="57"/>
    </row>
    <row r="953" spans="9:9" x14ac:dyDescent="0.25">
      <c r="I953" s="57"/>
    </row>
    <row r="954" spans="9:9" x14ac:dyDescent="0.25">
      <c r="I954" s="57"/>
    </row>
    <row r="955" spans="9:9" x14ac:dyDescent="0.25">
      <c r="I955" s="57"/>
    </row>
    <row r="956" spans="9:9" x14ac:dyDescent="0.25">
      <c r="I956" s="57"/>
    </row>
    <row r="957" spans="9:9" x14ac:dyDescent="0.25">
      <c r="I957" s="57"/>
    </row>
    <row r="958" spans="9:9" x14ac:dyDescent="0.25">
      <c r="I958" s="57"/>
    </row>
    <row r="959" spans="9:9" x14ac:dyDescent="0.25">
      <c r="I959" s="57"/>
    </row>
    <row r="960" spans="9:9" x14ac:dyDescent="0.25">
      <c r="I960" s="57"/>
    </row>
    <row r="961" spans="9:9" x14ac:dyDescent="0.25">
      <c r="I961" s="57"/>
    </row>
    <row r="962" spans="9:9" x14ac:dyDescent="0.25">
      <c r="I962" s="57"/>
    </row>
    <row r="963" spans="9:9" x14ac:dyDescent="0.25">
      <c r="I963" s="57"/>
    </row>
    <row r="964" spans="9:9" x14ac:dyDescent="0.25">
      <c r="I964" s="57"/>
    </row>
    <row r="965" spans="9:9" x14ac:dyDescent="0.25">
      <c r="I965" s="57"/>
    </row>
    <row r="966" spans="9:9" x14ac:dyDescent="0.25">
      <c r="I966" s="57"/>
    </row>
    <row r="967" spans="9:9" x14ac:dyDescent="0.25">
      <c r="I967" s="57"/>
    </row>
    <row r="968" spans="9:9" x14ac:dyDescent="0.25">
      <c r="I968" s="57"/>
    </row>
    <row r="969" spans="9:9" x14ac:dyDescent="0.25">
      <c r="I969" s="57"/>
    </row>
    <row r="970" spans="9:9" x14ac:dyDescent="0.25">
      <c r="I970" s="57"/>
    </row>
    <row r="971" spans="9:9" x14ac:dyDescent="0.25">
      <c r="I971" s="57"/>
    </row>
    <row r="972" spans="9:9" x14ac:dyDescent="0.25">
      <c r="I972" s="57"/>
    </row>
    <row r="973" spans="9:9" x14ac:dyDescent="0.25">
      <c r="I973" s="57"/>
    </row>
    <row r="974" spans="9:9" x14ac:dyDescent="0.25">
      <c r="I974" s="57"/>
    </row>
    <row r="975" spans="9:9" x14ac:dyDescent="0.25">
      <c r="I975" s="57"/>
    </row>
    <row r="976" spans="9:9" x14ac:dyDescent="0.25">
      <c r="I976" s="57"/>
    </row>
    <row r="977" spans="9:9" x14ac:dyDescent="0.25">
      <c r="I977" s="57"/>
    </row>
    <row r="978" spans="9:9" x14ac:dyDescent="0.25">
      <c r="I978" s="57"/>
    </row>
    <row r="979" spans="9:9" x14ac:dyDescent="0.25">
      <c r="I979" s="57"/>
    </row>
    <row r="980" spans="9:9" x14ac:dyDescent="0.25">
      <c r="I980" s="57"/>
    </row>
    <row r="981" spans="9:9" x14ac:dyDescent="0.25">
      <c r="I981" s="57"/>
    </row>
    <row r="982" spans="9:9" x14ac:dyDescent="0.25">
      <c r="I982" s="57"/>
    </row>
    <row r="983" spans="9:9" x14ac:dyDescent="0.25">
      <c r="I983" s="57"/>
    </row>
    <row r="984" spans="9:9" x14ac:dyDescent="0.25">
      <c r="I984" s="57"/>
    </row>
    <row r="985" spans="9:9" x14ac:dyDescent="0.25">
      <c r="I985" s="57"/>
    </row>
    <row r="986" spans="9:9" x14ac:dyDescent="0.25">
      <c r="I986" s="57"/>
    </row>
    <row r="987" spans="9:9" x14ac:dyDescent="0.25">
      <c r="I987" s="57"/>
    </row>
    <row r="988" spans="9:9" x14ac:dyDescent="0.25">
      <c r="I988" s="57"/>
    </row>
    <row r="989" spans="9:9" x14ac:dyDescent="0.25">
      <c r="I989" s="57"/>
    </row>
    <row r="990" spans="9:9" x14ac:dyDescent="0.25">
      <c r="I990" s="57"/>
    </row>
    <row r="991" spans="9:9" x14ac:dyDescent="0.25">
      <c r="I991" s="57"/>
    </row>
    <row r="992" spans="9:9" x14ac:dyDescent="0.25">
      <c r="I992" s="57"/>
    </row>
    <row r="993" spans="9:9" x14ac:dyDescent="0.25">
      <c r="I993" s="57"/>
    </row>
    <row r="994" spans="9:9" x14ac:dyDescent="0.25">
      <c r="I994" s="57"/>
    </row>
    <row r="995" spans="9:9" x14ac:dyDescent="0.25">
      <c r="I995" s="57"/>
    </row>
    <row r="996" spans="9:9" x14ac:dyDescent="0.25">
      <c r="I996" s="57"/>
    </row>
    <row r="997" spans="9:9" x14ac:dyDescent="0.25">
      <c r="I997" s="57"/>
    </row>
    <row r="998" spans="9:9" x14ac:dyDescent="0.25">
      <c r="I998" s="57"/>
    </row>
    <row r="999" spans="9:9" x14ac:dyDescent="0.25">
      <c r="I999" s="57"/>
    </row>
    <row r="1000" spans="9:9" x14ac:dyDescent="0.25">
      <c r="I1000" s="57"/>
    </row>
    <row r="1001" spans="9:9" x14ac:dyDescent="0.25">
      <c r="I1001" s="57"/>
    </row>
    <row r="1002" spans="9:9" x14ac:dyDescent="0.25">
      <c r="I1002" s="57"/>
    </row>
  </sheetData>
  <mergeCells count="7">
    <mergeCell ref="A1:H1"/>
    <mergeCell ref="A65:H65"/>
    <mergeCell ref="A3:H3"/>
    <mergeCell ref="A12:H12"/>
    <mergeCell ref="A36:H36"/>
    <mergeCell ref="A45:H45"/>
    <mergeCell ref="A61:H61"/>
  </mergeCells>
  <conditionalFormatting sqref="D10">
    <cfRule type="cellIs" dxfId="142" priority="10" operator="lessThan">
      <formula>0</formula>
    </cfRule>
    <cfRule type="cellIs" dxfId="141" priority="11" operator="greaterThan">
      <formula>0</formula>
    </cfRule>
    <cfRule type="cellIs" dxfId="140" priority="12" operator="equal">
      <formula>0</formula>
    </cfRule>
  </conditionalFormatting>
  <conditionalFormatting sqref="D34">
    <cfRule type="cellIs" dxfId="139" priority="7" operator="lessThan">
      <formula>0</formula>
    </cfRule>
    <cfRule type="cellIs" dxfId="138" priority="8" operator="greaterThan">
      <formula>0</formula>
    </cfRule>
    <cfRule type="cellIs" dxfId="137" priority="9" operator="equal">
      <formula>0</formula>
    </cfRule>
  </conditionalFormatting>
  <conditionalFormatting sqref="D43 D55 D59 D63 D77 D79">
    <cfRule type="cellIs" dxfId="136" priority="4" operator="lessThan">
      <formula>0</formula>
    </cfRule>
    <cfRule type="cellIs" dxfId="135" priority="5" operator="greaterThan">
      <formula>0</formula>
    </cfRule>
    <cfRule type="cellIs" dxfId="134" priority="6" operator="equal">
      <formula>0</formula>
    </cfRule>
  </conditionalFormatting>
  <conditionalFormatting sqref="E4:E11 E13:E35 E37:E44 E46:E1048576">
    <cfRule type="expression" dxfId="133" priority="1">
      <formula>E4&lt;H4</formula>
    </cfRule>
    <cfRule type="expression" dxfId="132" priority="2">
      <formula>E4&gt;H4</formula>
    </cfRule>
    <cfRule type="expression" dxfId="131" priority="3">
      <formula>E4=H4</formula>
    </cfRule>
  </conditionalFormatting>
  <printOptions horizontalCentered="1"/>
  <pageMargins left="0.25" right="0.25" top="0.75" bottom="0.75" header="0.3" footer="0.3"/>
  <pageSetup scale="92" orientation="landscape" r:id="rId1"/>
  <rowBreaks count="2" manualBreakCount="2">
    <brk id="34" max="7" man="1"/>
    <brk id="64" max="7"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6C808-E9FE-4C4B-9DE6-B39F1EB72494}">
  <sheetPr>
    <pageSetUpPr fitToPage="1"/>
  </sheetPr>
  <dimension ref="A1:V91"/>
  <sheetViews>
    <sheetView tabSelected="1" zoomScaleNormal="100" workbookViewId="0">
      <selection activeCell="C12" sqref="C12"/>
    </sheetView>
  </sheetViews>
  <sheetFormatPr defaultColWidth="14.42578125" defaultRowHeight="15" x14ac:dyDescent="0.25"/>
  <cols>
    <col min="1" max="1" width="48" bestFit="1" customWidth="1"/>
    <col min="2" max="2" width="12.42578125" bestFit="1" customWidth="1"/>
    <col min="3" max="3" width="11.85546875" bestFit="1" customWidth="1"/>
    <col min="4" max="5" width="12.5703125" customWidth="1"/>
    <col min="6" max="6" width="13" bestFit="1" customWidth="1"/>
    <col min="7" max="9" width="13" customWidth="1"/>
    <col min="10" max="10" width="13" style="983" customWidth="1"/>
    <col min="11" max="11" width="13" customWidth="1"/>
    <col min="12" max="12" width="13" bestFit="1" customWidth="1"/>
    <col min="13" max="13" width="9.7109375" bestFit="1" customWidth="1"/>
    <col min="14" max="14" width="12.140625" bestFit="1" customWidth="1"/>
    <col min="15" max="15" width="13.28515625" bestFit="1" customWidth="1"/>
    <col min="16" max="16" width="15" bestFit="1" customWidth="1"/>
    <col min="17" max="18" width="13.28515625" customWidth="1"/>
    <col min="19" max="19" width="4.42578125" customWidth="1"/>
    <col min="20" max="20" width="13.5703125" bestFit="1" customWidth="1"/>
    <col min="21" max="21" width="15" bestFit="1" customWidth="1"/>
    <col min="22" max="26" width="13.28515625" customWidth="1"/>
    <col min="27" max="29" width="15.140625" customWidth="1"/>
  </cols>
  <sheetData>
    <row r="1" spans="1:22" ht="48" customHeight="1" x14ac:dyDescent="0.4">
      <c r="A1" s="195"/>
      <c r="B1" s="1113" t="s">
        <v>726</v>
      </c>
      <c r="C1" s="1113"/>
      <c r="D1" s="1113"/>
      <c r="E1" s="1113"/>
      <c r="F1" s="1113"/>
      <c r="G1" s="1113"/>
      <c r="H1" s="1113"/>
      <c r="I1" s="1113"/>
      <c r="J1" s="1113"/>
      <c r="K1" s="1113"/>
      <c r="L1" s="1113"/>
      <c r="M1" s="1113"/>
    </row>
    <row r="2" spans="1:22" ht="45" customHeight="1" x14ac:dyDescent="0.25">
      <c r="A2" s="906" t="s">
        <v>1</v>
      </c>
      <c r="B2" s="907" t="s">
        <v>2</v>
      </c>
      <c r="C2" s="907" t="s">
        <v>167</v>
      </c>
      <c r="D2" s="907" t="s">
        <v>168</v>
      </c>
      <c r="E2" s="907" t="s">
        <v>169</v>
      </c>
      <c r="F2" s="907" t="s">
        <v>170</v>
      </c>
      <c r="G2" s="907" t="s">
        <v>650</v>
      </c>
      <c r="H2" s="907" t="s">
        <v>171</v>
      </c>
      <c r="I2" s="907" t="s">
        <v>659</v>
      </c>
      <c r="J2" s="1044" t="s">
        <v>172</v>
      </c>
      <c r="K2" s="907" t="s">
        <v>166</v>
      </c>
      <c r="L2" s="907" t="s">
        <v>725</v>
      </c>
      <c r="M2" s="908" t="s">
        <v>62</v>
      </c>
      <c r="N2" s="1"/>
      <c r="O2" s="1"/>
      <c r="P2" t="s">
        <v>63</v>
      </c>
    </row>
    <row r="3" spans="1:22" s="983" customFormat="1" x14ac:dyDescent="0.25">
      <c r="A3" s="748" t="s">
        <v>9</v>
      </c>
      <c r="B3" s="749">
        <v>4650100</v>
      </c>
      <c r="C3" s="749">
        <v>4558805</v>
      </c>
      <c r="D3" s="749">
        <v>4804400</v>
      </c>
      <c r="E3" s="749">
        <v>4768301</v>
      </c>
      <c r="F3" s="749">
        <v>5200600</v>
      </c>
      <c r="G3" s="749">
        <v>5073201</v>
      </c>
      <c r="H3" s="749">
        <v>6180500</v>
      </c>
      <c r="I3" s="749">
        <v>6053171</v>
      </c>
      <c r="J3" s="749">
        <v>6814700</v>
      </c>
      <c r="K3" s="749">
        <v>7373300</v>
      </c>
      <c r="L3" s="750">
        <f>SUM(ROUNDUP('3% Personnel'!E12,-2))</f>
        <v>7988000</v>
      </c>
      <c r="M3" s="751">
        <f t="shared" ref="M3:M26" si="0">(L3-K3)/K3</f>
        <v>8.3368369658090677E-2</v>
      </c>
      <c r="N3" s="1047"/>
      <c r="O3" s="1026">
        <v>2025</v>
      </c>
      <c r="P3" s="983">
        <v>2026</v>
      </c>
    </row>
    <row r="4" spans="1:22" s="983" customFormat="1" x14ac:dyDescent="0.25">
      <c r="A4" s="1046" t="s">
        <v>10</v>
      </c>
      <c r="B4" s="1045">
        <v>265800</v>
      </c>
      <c r="C4" s="1045">
        <v>277637</v>
      </c>
      <c r="D4" s="1045">
        <v>269300</v>
      </c>
      <c r="E4" s="1045">
        <v>268270</v>
      </c>
      <c r="F4" s="1045">
        <v>319100</v>
      </c>
      <c r="G4" s="1045">
        <v>316081</v>
      </c>
      <c r="H4" s="1045">
        <v>320000</v>
      </c>
      <c r="I4" s="1045">
        <v>340362</v>
      </c>
      <c r="J4" s="1045">
        <v>344700</v>
      </c>
      <c r="K4" s="1045">
        <v>359700</v>
      </c>
      <c r="L4" s="1045">
        <f>SUM(ROUNDUP('3% Personnel'!E37,-2))</f>
        <v>406600</v>
      </c>
      <c r="M4" s="1020">
        <f t="shared" si="0"/>
        <v>0.13038643313872672</v>
      </c>
      <c r="N4" s="1048"/>
      <c r="O4" s="1114" t="s">
        <v>64</v>
      </c>
      <c r="P4" s="1115"/>
    </row>
    <row r="5" spans="1:22" s="983" customFormat="1" x14ac:dyDescent="0.25">
      <c r="A5" s="748" t="s">
        <v>11</v>
      </c>
      <c r="B5" s="749">
        <v>675600</v>
      </c>
      <c r="C5" s="749">
        <v>571411</v>
      </c>
      <c r="D5" s="749">
        <v>656500</v>
      </c>
      <c r="E5" s="749">
        <v>565670</v>
      </c>
      <c r="F5" s="749">
        <v>729800</v>
      </c>
      <c r="G5" s="749">
        <v>661168</v>
      </c>
      <c r="H5" s="749">
        <v>836600</v>
      </c>
      <c r="I5" s="749">
        <v>669485</v>
      </c>
      <c r="J5" s="749">
        <v>974200</v>
      </c>
      <c r="K5" s="749">
        <v>1024600</v>
      </c>
      <c r="L5" s="750">
        <f>SUM(ROUNDUP('3% Personnel'!E47,-2))</f>
        <v>944200</v>
      </c>
      <c r="M5" s="751">
        <f t="shared" si="0"/>
        <v>-7.8469646691391767E-2</v>
      </c>
      <c r="N5" s="1047"/>
      <c r="O5" s="1049">
        <f>SUM(K3:K8)</f>
        <v>10285600</v>
      </c>
      <c r="P5" s="1050">
        <f>SUM(L3:L8)</f>
        <v>10999300</v>
      </c>
      <c r="Q5" s="249">
        <f>P5/P34</f>
        <v>0.71441654434211044</v>
      </c>
    </row>
    <row r="6" spans="1:22" x14ac:dyDescent="0.25">
      <c r="A6" s="746" t="s">
        <v>12</v>
      </c>
      <c r="B6" s="752">
        <v>882200</v>
      </c>
      <c r="C6" s="752">
        <v>926287</v>
      </c>
      <c r="D6" s="752">
        <v>912000</v>
      </c>
      <c r="E6" s="752">
        <v>1065546</v>
      </c>
      <c r="F6" s="752">
        <v>1000600</v>
      </c>
      <c r="G6" s="752">
        <v>991037</v>
      </c>
      <c r="H6" s="752">
        <v>1181100</v>
      </c>
      <c r="I6" s="752">
        <v>1155727</v>
      </c>
      <c r="J6" s="1034">
        <v>1303200</v>
      </c>
      <c r="K6" s="752">
        <v>1405800</v>
      </c>
      <c r="L6" s="747">
        <f>SUM(ROUNDUP('3% Personnel'!E63,-2))</f>
        <v>1528700</v>
      </c>
      <c r="M6" s="1020">
        <f t="shared" si="0"/>
        <v>8.7423531085502923E-2</v>
      </c>
      <c r="N6" s="6">
        <f>SUM(J3:J8)</f>
        <v>9551000</v>
      </c>
      <c r="O6" s="1"/>
      <c r="Q6" s="128"/>
      <c r="T6" s="1031" t="s">
        <v>65</v>
      </c>
      <c r="U6" s="1032" t="s">
        <v>66</v>
      </c>
      <c r="V6" s="1033" t="s">
        <v>67</v>
      </c>
    </row>
    <row r="7" spans="1:22" x14ac:dyDescent="0.25">
      <c r="A7" s="754" t="s">
        <v>13</v>
      </c>
      <c r="B7" s="753">
        <v>8900</v>
      </c>
      <c r="C7" s="753">
        <v>8214</v>
      </c>
      <c r="D7" s="753">
        <v>8900</v>
      </c>
      <c r="E7" s="753">
        <v>9354</v>
      </c>
      <c r="F7" s="753">
        <v>8900</v>
      </c>
      <c r="G7" s="753">
        <v>7315</v>
      </c>
      <c r="H7" s="753">
        <v>7900</v>
      </c>
      <c r="I7" s="753">
        <v>8277</v>
      </c>
      <c r="J7" s="749">
        <v>9200</v>
      </c>
      <c r="K7" s="753">
        <v>9200</v>
      </c>
      <c r="L7" s="755">
        <f>SUM(ROUNDUP('3% Personnel'!E67,-2))</f>
        <v>9200</v>
      </c>
      <c r="M7" s="751">
        <f t="shared" si="0"/>
        <v>0</v>
      </c>
      <c r="N7" s="1"/>
      <c r="O7" s="1"/>
      <c r="Q7" s="128"/>
      <c r="T7" s="269" t="s">
        <v>64</v>
      </c>
      <c r="U7" s="270">
        <f>SUM(P5)</f>
        <v>10999300</v>
      </c>
      <c r="V7" s="809">
        <f t="shared" ref="V7:V12" si="1">U7/$U$13</f>
        <v>0.71441654434211044</v>
      </c>
    </row>
    <row r="8" spans="1:22" x14ac:dyDescent="0.25">
      <c r="A8" s="746" t="s">
        <v>14</v>
      </c>
      <c r="B8" s="752">
        <v>71000</v>
      </c>
      <c r="C8" s="752">
        <v>67271</v>
      </c>
      <c r="D8" s="752">
        <v>73200</v>
      </c>
      <c r="E8" s="752">
        <v>67429</v>
      </c>
      <c r="F8" s="752">
        <v>79700</v>
      </c>
      <c r="G8" s="752">
        <v>95690</v>
      </c>
      <c r="H8" s="752">
        <v>95400</v>
      </c>
      <c r="I8" s="752">
        <v>86713</v>
      </c>
      <c r="J8" s="1034">
        <v>105000</v>
      </c>
      <c r="K8" s="752">
        <v>113000</v>
      </c>
      <c r="L8" s="747">
        <f>SUM(ROUNDUP('3% Personnel'!E80,-2))</f>
        <v>122600</v>
      </c>
      <c r="M8" s="1020">
        <f t="shared" si="0"/>
        <v>8.4955752212389379E-2</v>
      </c>
      <c r="N8" s="1"/>
      <c r="O8" s="1"/>
      <c r="Q8" s="128"/>
      <c r="T8" s="272" t="s">
        <v>68</v>
      </c>
      <c r="U8" s="273">
        <f>SUM(P11)</f>
        <v>516500</v>
      </c>
      <c r="V8" s="810">
        <f t="shared" si="1"/>
        <v>3.3547238929086398E-2</v>
      </c>
    </row>
    <row r="9" spans="1:22" s="983" customFormat="1" x14ac:dyDescent="0.25">
      <c r="A9" s="748" t="s">
        <v>16</v>
      </c>
      <c r="B9" s="749">
        <v>13600</v>
      </c>
      <c r="C9" s="749">
        <v>9810</v>
      </c>
      <c r="D9" s="749">
        <v>12500</v>
      </c>
      <c r="E9" s="749">
        <v>8340</v>
      </c>
      <c r="F9" s="749">
        <v>13900</v>
      </c>
      <c r="G9" s="749">
        <v>13924</v>
      </c>
      <c r="H9" s="749">
        <v>13500</v>
      </c>
      <c r="I9" s="749">
        <v>13805</v>
      </c>
      <c r="J9" s="749">
        <v>13600</v>
      </c>
      <c r="K9" s="749">
        <v>16600</v>
      </c>
      <c r="L9" s="750">
        <f>SUM(ROUNDUP('Budget-Services'!I15,-2))</f>
        <v>18000</v>
      </c>
      <c r="M9" s="751">
        <f t="shared" si="0"/>
        <v>8.4337349397590355E-2</v>
      </c>
      <c r="N9" s="1048"/>
      <c r="O9" s="1047"/>
      <c r="Q9" s="1051"/>
      <c r="T9" s="1052" t="s">
        <v>69</v>
      </c>
      <c r="U9" s="1053">
        <f>SUM(P17)</f>
        <v>3132800</v>
      </c>
      <c r="V9" s="1054">
        <f t="shared" si="1"/>
        <v>0.20347878047829984</v>
      </c>
    </row>
    <row r="10" spans="1:22" x14ac:dyDescent="0.25">
      <c r="A10" s="746" t="s">
        <v>18</v>
      </c>
      <c r="B10" s="752">
        <v>210900</v>
      </c>
      <c r="C10" s="752">
        <v>143617</v>
      </c>
      <c r="D10" s="752">
        <v>223300</v>
      </c>
      <c r="E10" s="752">
        <v>168714</v>
      </c>
      <c r="F10" s="752">
        <v>228000</v>
      </c>
      <c r="G10" s="752">
        <v>200882</v>
      </c>
      <c r="H10" s="752">
        <v>291500</v>
      </c>
      <c r="I10" s="752">
        <v>235778</v>
      </c>
      <c r="J10" s="1034">
        <v>215100</v>
      </c>
      <c r="K10" s="752">
        <v>247500</v>
      </c>
      <c r="L10" s="747">
        <f>SUM(ROUNDUP('Budget-Services'!I39,-2))</f>
        <v>273900</v>
      </c>
      <c r="M10" s="1020">
        <f t="shared" si="0"/>
        <v>0.10666666666666667</v>
      </c>
      <c r="N10" s="1"/>
      <c r="O10" s="1109" t="s">
        <v>70</v>
      </c>
      <c r="P10" s="1107"/>
      <c r="Q10" s="128"/>
      <c r="T10" s="272" t="s">
        <v>71</v>
      </c>
      <c r="U10" s="273">
        <f>SUM(P27)</f>
        <v>0</v>
      </c>
      <c r="V10" s="810">
        <f t="shared" si="1"/>
        <v>0</v>
      </c>
    </row>
    <row r="11" spans="1:22" x14ac:dyDescent="0.25">
      <c r="A11" s="748" t="s">
        <v>20</v>
      </c>
      <c r="B11" s="749">
        <v>85000</v>
      </c>
      <c r="C11" s="749">
        <v>67388</v>
      </c>
      <c r="D11" s="749">
        <v>88200</v>
      </c>
      <c r="E11" s="749">
        <v>68709</v>
      </c>
      <c r="F11" s="749">
        <v>97100</v>
      </c>
      <c r="G11" s="749">
        <v>75721</v>
      </c>
      <c r="H11" s="749">
        <v>101700</v>
      </c>
      <c r="I11" s="749">
        <v>82569</v>
      </c>
      <c r="J11" s="749">
        <v>72400</v>
      </c>
      <c r="K11" s="749">
        <v>89100</v>
      </c>
      <c r="L11" s="750">
        <f>SUM(ROUNDUP('Budget-Services'!I61,-2))</f>
        <v>101500</v>
      </c>
      <c r="M11" s="751">
        <f t="shared" si="0"/>
        <v>0.13916947250280584</v>
      </c>
      <c r="N11" s="1"/>
      <c r="O11" s="4">
        <f>SUM(K9:K14)</f>
        <v>471500</v>
      </c>
      <c r="P11" s="5">
        <f>SUM(L9:L14)</f>
        <v>516500</v>
      </c>
      <c r="Q11" s="127">
        <f>P11/P34</f>
        <v>3.3547238929086398E-2</v>
      </c>
      <c r="T11" s="269" t="s">
        <v>72</v>
      </c>
      <c r="U11" s="270">
        <f>SUM(P30)</f>
        <v>70000</v>
      </c>
      <c r="V11" s="809">
        <f t="shared" si="1"/>
        <v>4.5465764279497538E-3</v>
      </c>
    </row>
    <row r="12" spans="1:22" ht="15.75" thickBot="1" x14ac:dyDescent="0.3">
      <c r="A12" s="746" t="s">
        <v>22</v>
      </c>
      <c r="B12" s="752">
        <v>7200</v>
      </c>
      <c r="C12" s="752">
        <v>5470</v>
      </c>
      <c r="D12" s="752">
        <v>7200</v>
      </c>
      <c r="E12" s="752">
        <v>4608</v>
      </c>
      <c r="F12" s="752">
        <v>7200</v>
      </c>
      <c r="G12" s="752">
        <v>6805</v>
      </c>
      <c r="H12" s="752">
        <v>7200</v>
      </c>
      <c r="I12" s="752">
        <v>7208</v>
      </c>
      <c r="J12" s="1034">
        <v>7800</v>
      </c>
      <c r="K12" s="752">
        <v>7800</v>
      </c>
      <c r="L12" s="747">
        <f>SUM(ROUNDUP('Budget-Services'!I65,-2))</f>
        <v>8500</v>
      </c>
      <c r="M12" s="1020">
        <f t="shared" si="0"/>
        <v>8.9743589743589744E-2</v>
      </c>
      <c r="N12" s="1"/>
      <c r="O12" s="1"/>
      <c r="Q12" s="128"/>
      <c r="T12" s="275" t="s">
        <v>73</v>
      </c>
      <c r="U12" s="276">
        <f>SUM(P33)</f>
        <v>677600</v>
      </c>
      <c r="V12" s="811">
        <f t="shared" si="1"/>
        <v>4.4010859822553615E-2</v>
      </c>
    </row>
    <row r="13" spans="1:22" ht="15.75" thickBot="1" x14ac:dyDescent="0.3">
      <c r="A13" s="748" t="s">
        <v>24</v>
      </c>
      <c r="B13" s="749">
        <v>80800</v>
      </c>
      <c r="C13" s="749">
        <v>70949</v>
      </c>
      <c r="D13" s="749">
        <v>80300</v>
      </c>
      <c r="E13" s="749">
        <v>73274</v>
      </c>
      <c r="F13" s="749">
        <v>87700</v>
      </c>
      <c r="G13" s="749">
        <v>76091</v>
      </c>
      <c r="H13" s="749">
        <v>91000</v>
      </c>
      <c r="I13" s="749">
        <v>72281</v>
      </c>
      <c r="J13" s="749">
        <v>94000</v>
      </c>
      <c r="K13" s="749">
        <v>94000</v>
      </c>
      <c r="L13" s="750">
        <f>SUM(ROUNDUP('Budget-Services'!I79,-2))</f>
        <v>96900</v>
      </c>
      <c r="M13" s="751">
        <f t="shared" si="0"/>
        <v>3.0851063829787233E-2</v>
      </c>
      <c r="N13" s="1"/>
      <c r="O13" s="1"/>
      <c r="Q13" s="128"/>
      <c r="T13" s="280" t="s">
        <v>74</v>
      </c>
      <c r="U13" s="278">
        <f>SUM(U7:U12)</f>
        <v>15396200</v>
      </c>
      <c r="V13" s="279">
        <f>SUM(V7:V12)</f>
        <v>1</v>
      </c>
    </row>
    <row r="14" spans="1:22" x14ac:dyDescent="0.25">
      <c r="A14" s="746" t="s">
        <v>26</v>
      </c>
      <c r="B14" s="752">
        <v>13500</v>
      </c>
      <c r="C14" s="752">
        <v>13042</v>
      </c>
      <c r="D14" s="752">
        <v>13600</v>
      </c>
      <c r="E14" s="752">
        <v>8729</v>
      </c>
      <c r="F14" s="752">
        <v>13400</v>
      </c>
      <c r="G14" s="752">
        <v>10278</v>
      </c>
      <c r="H14" s="752">
        <v>12300</v>
      </c>
      <c r="I14" s="752">
        <v>9199</v>
      </c>
      <c r="J14" s="1034">
        <v>16500</v>
      </c>
      <c r="K14" s="752">
        <v>16500</v>
      </c>
      <c r="L14" s="747">
        <f>SUM(ROUNDUP('Budget-Services'!I91,-2))</f>
        <v>17700</v>
      </c>
      <c r="M14" s="1020">
        <f t="shared" si="0"/>
        <v>7.2727272727272724E-2</v>
      </c>
      <c r="N14" s="6">
        <f>SUM(J9:J14)</f>
        <v>419400</v>
      </c>
      <c r="O14" s="1"/>
      <c r="Q14" s="128"/>
    </row>
    <row r="15" spans="1:22" x14ac:dyDescent="0.25">
      <c r="A15" s="756" t="s">
        <v>28</v>
      </c>
      <c r="B15" s="757">
        <v>111700</v>
      </c>
      <c r="C15" s="757">
        <v>67544</v>
      </c>
      <c r="D15" s="757">
        <v>109200</v>
      </c>
      <c r="E15" s="757">
        <v>103507</v>
      </c>
      <c r="F15" s="757">
        <v>123400</v>
      </c>
      <c r="G15" s="757">
        <v>118954</v>
      </c>
      <c r="H15" s="757">
        <v>134300</v>
      </c>
      <c r="I15" s="757">
        <v>130888</v>
      </c>
      <c r="J15" s="749">
        <v>133600</v>
      </c>
      <c r="K15" s="757">
        <v>165200</v>
      </c>
      <c r="L15" s="758">
        <f>SUM(ROUNDUP('Budget-Services'!I131,-2))</f>
        <v>159100</v>
      </c>
      <c r="M15" s="751">
        <f t="shared" si="0"/>
        <v>-3.6924939467312345E-2</v>
      </c>
      <c r="N15" s="6"/>
      <c r="O15" s="1"/>
      <c r="Q15" s="128"/>
    </row>
    <row r="16" spans="1:22" s="983" customFormat="1" x14ac:dyDescent="0.25">
      <c r="A16" s="1046" t="s">
        <v>29</v>
      </c>
      <c r="B16" s="1034">
        <v>40000</v>
      </c>
      <c r="C16" s="1034">
        <v>31432</v>
      </c>
      <c r="D16" s="1034">
        <v>41100</v>
      </c>
      <c r="E16" s="1034">
        <v>33085</v>
      </c>
      <c r="F16" s="1034">
        <v>41100</v>
      </c>
      <c r="G16" s="1034">
        <v>33030</v>
      </c>
      <c r="H16" s="1034">
        <v>41100</v>
      </c>
      <c r="I16" s="1034">
        <v>38310</v>
      </c>
      <c r="J16" s="1034">
        <v>42300</v>
      </c>
      <c r="K16" s="1034">
        <v>43500</v>
      </c>
      <c r="L16" s="1045">
        <f>SUM(ROUNDUP('Budget-Services'!I141,-2))</f>
        <v>42000</v>
      </c>
      <c r="M16" s="1020">
        <f t="shared" si="0"/>
        <v>-3.4482758620689655E-2</v>
      </c>
      <c r="N16" s="1047"/>
      <c r="O16" s="1114" t="s">
        <v>69</v>
      </c>
      <c r="P16" s="1115"/>
      <c r="Q16" s="1051"/>
    </row>
    <row r="17" spans="1:18" x14ac:dyDescent="0.25">
      <c r="A17" s="756" t="s">
        <v>30</v>
      </c>
      <c r="B17" s="757">
        <v>167300</v>
      </c>
      <c r="C17" s="757">
        <v>204582</v>
      </c>
      <c r="D17" s="757">
        <v>217400</v>
      </c>
      <c r="E17" s="757">
        <v>219874</v>
      </c>
      <c r="F17" s="757">
        <v>215900</v>
      </c>
      <c r="G17" s="757">
        <v>219418</v>
      </c>
      <c r="H17" s="757">
        <v>228200</v>
      </c>
      <c r="I17" s="757">
        <v>217237</v>
      </c>
      <c r="J17" s="749">
        <v>232200</v>
      </c>
      <c r="K17" s="757">
        <v>224700</v>
      </c>
      <c r="L17" s="758">
        <f>SUM(ROUNDUP('Budget-Services'!I151,-2))</f>
        <v>230700</v>
      </c>
      <c r="M17" s="751">
        <f t="shared" si="0"/>
        <v>2.67022696929239E-2</v>
      </c>
      <c r="N17" s="1"/>
      <c r="O17" s="4">
        <f>SUM(K15:K26)</f>
        <v>2906700</v>
      </c>
      <c r="P17" s="5">
        <f>SUM(L15:L26)</f>
        <v>3132800</v>
      </c>
      <c r="Q17" s="127">
        <f>P17/P34</f>
        <v>0.20347878047829984</v>
      </c>
    </row>
    <row r="18" spans="1:18" x14ac:dyDescent="0.25">
      <c r="A18" s="746" t="s">
        <v>31</v>
      </c>
      <c r="B18" s="752">
        <v>129300</v>
      </c>
      <c r="C18" s="752">
        <v>188231</v>
      </c>
      <c r="D18" s="752">
        <v>148400</v>
      </c>
      <c r="E18" s="752">
        <v>261807</v>
      </c>
      <c r="F18" s="752">
        <v>154200</v>
      </c>
      <c r="G18" s="752">
        <v>265455</v>
      </c>
      <c r="H18" s="752">
        <v>179500</v>
      </c>
      <c r="I18" s="752">
        <v>153514</v>
      </c>
      <c r="J18" s="1034">
        <v>185400</v>
      </c>
      <c r="K18" s="752">
        <v>189400</v>
      </c>
      <c r="L18" s="747">
        <f>SUM(ROUNDUP('Budget-Services'!I180,-2))</f>
        <v>189600</v>
      </c>
      <c r="M18" s="1020">
        <f t="shared" si="0"/>
        <v>1.0559662090813093E-3</v>
      </c>
      <c r="N18" s="1"/>
      <c r="O18" s="1"/>
      <c r="Q18" s="128"/>
    </row>
    <row r="19" spans="1:18" x14ac:dyDescent="0.25">
      <c r="A19" s="748" t="s">
        <v>32</v>
      </c>
      <c r="B19" s="749">
        <v>10200</v>
      </c>
      <c r="C19" s="749">
        <v>11100</v>
      </c>
      <c r="D19" s="749">
        <v>11900</v>
      </c>
      <c r="E19" s="749">
        <v>11850</v>
      </c>
      <c r="F19" s="749">
        <v>12000</v>
      </c>
      <c r="G19" s="749">
        <v>12900</v>
      </c>
      <c r="H19" s="749">
        <v>14300</v>
      </c>
      <c r="I19" s="749">
        <v>13200</v>
      </c>
      <c r="J19" s="749">
        <v>16000</v>
      </c>
      <c r="K19" s="749">
        <v>17500</v>
      </c>
      <c r="L19" s="750">
        <f>SUM(ROUNDUP('Budget-Services'!I185,-2))</f>
        <v>19000</v>
      </c>
      <c r="M19" s="751">
        <f t="shared" si="0"/>
        <v>8.5714285714285715E-2</v>
      </c>
      <c r="N19" s="1"/>
      <c r="O19" s="6"/>
      <c r="P19" s="5"/>
      <c r="Q19" s="128"/>
    </row>
    <row r="20" spans="1:18" x14ac:dyDescent="0.25">
      <c r="A20" s="746" t="s">
        <v>33</v>
      </c>
      <c r="B20" s="752">
        <v>6000</v>
      </c>
      <c r="C20" s="752">
        <v>3934</v>
      </c>
      <c r="D20" s="752">
        <v>6000</v>
      </c>
      <c r="E20" s="752">
        <v>5992</v>
      </c>
      <c r="F20" s="752">
        <v>6000</v>
      </c>
      <c r="G20" s="752">
        <v>4828</v>
      </c>
      <c r="H20" s="752">
        <v>6000</v>
      </c>
      <c r="I20" s="752">
        <v>5738</v>
      </c>
      <c r="J20" s="1034">
        <v>364900</v>
      </c>
      <c r="K20" s="752">
        <v>184000</v>
      </c>
      <c r="L20" s="747">
        <f>SUM(ROUNDUP('Budget-Services'!I190,-2))</f>
        <v>184000</v>
      </c>
      <c r="M20" s="1020">
        <f t="shared" si="0"/>
        <v>0</v>
      </c>
      <c r="N20" s="1"/>
      <c r="O20" s="1"/>
      <c r="Q20" s="128"/>
    </row>
    <row r="21" spans="1:18" s="983" customFormat="1" x14ac:dyDescent="0.25">
      <c r="A21" s="748" t="s">
        <v>34</v>
      </c>
      <c r="B21" s="749">
        <v>85300</v>
      </c>
      <c r="C21" s="749">
        <v>92252</v>
      </c>
      <c r="D21" s="749">
        <v>113300</v>
      </c>
      <c r="E21" s="749">
        <v>111467</v>
      </c>
      <c r="F21" s="749">
        <v>109500</v>
      </c>
      <c r="G21" s="749">
        <v>97749</v>
      </c>
      <c r="H21" s="749">
        <v>132500</v>
      </c>
      <c r="I21" s="749">
        <v>112710</v>
      </c>
      <c r="J21" s="749">
        <v>140500</v>
      </c>
      <c r="K21" s="749">
        <v>146100</v>
      </c>
      <c r="L21" s="750">
        <f>SUM(ROUNDUP('Budget-Services'!I228,-2))</f>
        <v>180800</v>
      </c>
      <c r="M21" s="751">
        <f t="shared" si="0"/>
        <v>0.2375085557837098</v>
      </c>
      <c r="N21" s="1047"/>
      <c r="O21" s="1047"/>
      <c r="Q21" s="1051"/>
    </row>
    <row r="22" spans="1:18" x14ac:dyDescent="0.25">
      <c r="A22" s="746" t="s">
        <v>35</v>
      </c>
      <c r="B22" s="752">
        <v>500</v>
      </c>
      <c r="C22" s="752">
        <v>44020</v>
      </c>
      <c r="D22" s="752">
        <v>500</v>
      </c>
      <c r="E22" s="752">
        <v>0</v>
      </c>
      <c r="F22" s="752">
        <v>500</v>
      </c>
      <c r="G22" s="752">
        <v>0</v>
      </c>
      <c r="H22" s="752">
        <v>500</v>
      </c>
      <c r="I22" s="752">
        <v>0</v>
      </c>
      <c r="J22" s="1034">
        <v>500</v>
      </c>
      <c r="K22" s="752">
        <v>500</v>
      </c>
      <c r="L22" s="747">
        <f>SUM(ROUNDUP('Budget-Services'!I232,-2))</f>
        <v>500</v>
      </c>
      <c r="M22" s="1020">
        <f t="shared" si="0"/>
        <v>0</v>
      </c>
      <c r="N22" s="1"/>
      <c r="O22" s="1"/>
      <c r="Q22" s="128"/>
    </row>
    <row r="23" spans="1:18" x14ac:dyDescent="0.25">
      <c r="A23" s="748" t="s">
        <v>36</v>
      </c>
      <c r="B23" s="749">
        <v>857700</v>
      </c>
      <c r="C23" s="749">
        <v>738367</v>
      </c>
      <c r="D23" s="749">
        <v>899100</v>
      </c>
      <c r="E23" s="749">
        <v>712317</v>
      </c>
      <c r="F23" s="749">
        <v>924600</v>
      </c>
      <c r="G23" s="749">
        <v>847599</v>
      </c>
      <c r="H23" s="749">
        <v>1011000</v>
      </c>
      <c r="I23" s="749">
        <v>1404783</v>
      </c>
      <c r="J23" s="749">
        <v>1084400</v>
      </c>
      <c r="K23" s="749">
        <v>1185800</v>
      </c>
      <c r="L23" s="750">
        <f>SUM(ROUNDUP('Budget-Services'!I257,-2))</f>
        <v>1369900</v>
      </c>
      <c r="M23" s="751">
        <f t="shared" si="0"/>
        <v>0.1552538370720189</v>
      </c>
      <c r="N23" s="1"/>
      <c r="O23" s="1"/>
      <c r="Q23" s="128"/>
    </row>
    <row r="24" spans="1:18" s="983" customFormat="1" x14ac:dyDescent="0.25">
      <c r="A24" s="1046" t="s">
        <v>38</v>
      </c>
      <c r="B24" s="1034">
        <v>277600</v>
      </c>
      <c r="C24" s="1034">
        <v>286362</v>
      </c>
      <c r="D24" s="1034">
        <v>285800</v>
      </c>
      <c r="E24" s="1034">
        <v>285265</v>
      </c>
      <c r="F24" s="1034">
        <v>394700</v>
      </c>
      <c r="G24" s="1034">
        <v>368632</v>
      </c>
      <c r="H24" s="1034">
        <v>421300</v>
      </c>
      <c r="I24" s="1034">
        <v>370496</v>
      </c>
      <c r="J24" s="1034">
        <v>430200</v>
      </c>
      <c r="K24" s="1034">
        <v>444800</v>
      </c>
      <c r="L24" s="1045">
        <f>SUM(ROUNDUP('Budget-Services'!I299,-2))</f>
        <v>475400</v>
      </c>
      <c r="M24" s="1020">
        <f t="shared" si="0"/>
        <v>6.8794964028776981E-2</v>
      </c>
      <c r="N24" s="1047"/>
      <c r="O24" s="1047"/>
      <c r="Q24" s="1051"/>
    </row>
    <row r="25" spans="1:18" s="983" customFormat="1" x14ac:dyDescent="0.25">
      <c r="A25" s="748" t="s">
        <v>39</v>
      </c>
      <c r="B25" s="749">
        <v>123900</v>
      </c>
      <c r="C25" s="749">
        <v>123797</v>
      </c>
      <c r="D25" s="749">
        <v>135300</v>
      </c>
      <c r="E25" s="749">
        <v>136957</v>
      </c>
      <c r="F25" s="749">
        <v>157800</v>
      </c>
      <c r="G25" s="749">
        <v>152726</v>
      </c>
      <c r="H25" s="749">
        <v>145800</v>
      </c>
      <c r="I25" s="749">
        <v>184244</v>
      </c>
      <c r="J25" s="749">
        <v>187700</v>
      </c>
      <c r="K25" s="749">
        <v>279600</v>
      </c>
      <c r="L25" s="750">
        <f>SUM(ROUNDUP('Budget-Services'!I322,-2))</f>
        <v>252600</v>
      </c>
      <c r="M25" s="751">
        <f t="shared" si="0"/>
        <v>-9.6566523605150209E-2</v>
      </c>
      <c r="N25" s="1047"/>
      <c r="O25" s="1047"/>
      <c r="Q25" s="1051"/>
    </row>
    <row r="26" spans="1:18" x14ac:dyDescent="0.25">
      <c r="A26" s="746" t="s">
        <v>40</v>
      </c>
      <c r="B26" s="752">
        <v>17800</v>
      </c>
      <c r="C26" s="752">
        <v>18060</v>
      </c>
      <c r="D26" s="752">
        <v>17800</v>
      </c>
      <c r="E26" s="752">
        <v>20566</v>
      </c>
      <c r="F26" s="752">
        <v>19800</v>
      </c>
      <c r="G26" s="752">
        <v>21859</v>
      </c>
      <c r="H26" s="752">
        <v>21700</v>
      </c>
      <c r="I26" s="752">
        <v>24199</v>
      </c>
      <c r="J26" s="1034">
        <v>23300</v>
      </c>
      <c r="K26" s="752">
        <v>25600</v>
      </c>
      <c r="L26" s="747">
        <f>SUM(ROUNDUP('Budget-Services'!I331,-2))</f>
        <v>29200</v>
      </c>
      <c r="M26" s="1020">
        <f t="shared" si="0"/>
        <v>0.140625</v>
      </c>
      <c r="N26" s="6">
        <f>SUM(J15:J26)</f>
        <v>2841000</v>
      </c>
      <c r="O26" s="1109" t="s">
        <v>71</v>
      </c>
      <c r="P26" s="1107"/>
      <c r="Q26" s="128"/>
    </row>
    <row r="27" spans="1:18" x14ac:dyDescent="0.25">
      <c r="A27" s="748" t="s">
        <v>41</v>
      </c>
      <c r="B27" s="749">
        <v>425600</v>
      </c>
      <c r="C27" s="749">
        <f>395502+30015</f>
        <v>425517</v>
      </c>
      <c r="D27" s="749">
        <v>425600</v>
      </c>
      <c r="E27" s="749">
        <f>409365+16152</f>
        <v>425517</v>
      </c>
      <c r="F27" s="749">
        <v>0</v>
      </c>
      <c r="G27" s="749">
        <v>0</v>
      </c>
      <c r="H27" s="749">
        <v>0</v>
      </c>
      <c r="I27" s="749">
        <f>20135+2698</f>
        <v>22833</v>
      </c>
      <c r="J27" s="749">
        <v>0</v>
      </c>
      <c r="K27" s="749">
        <v>0</v>
      </c>
      <c r="L27" s="750">
        <f>SUM(ROUNDUP('Budget-Services'!I335,-2))</f>
        <v>0</v>
      </c>
      <c r="M27" s="751">
        <v>0</v>
      </c>
      <c r="N27" s="1"/>
      <c r="O27" s="4">
        <f>SUM(K27)</f>
        <v>0</v>
      </c>
      <c r="P27" s="5">
        <f>SUM(L27)</f>
        <v>0</v>
      </c>
      <c r="Q27" s="127">
        <f>P27/P34</f>
        <v>0</v>
      </c>
    </row>
    <row r="28" spans="1:18" x14ac:dyDescent="0.25">
      <c r="A28" s="746" t="s">
        <v>42</v>
      </c>
      <c r="B28" s="752">
        <v>61200</v>
      </c>
      <c r="C28" s="752">
        <v>53495</v>
      </c>
      <c r="D28" s="752">
        <v>65000</v>
      </c>
      <c r="E28" s="752">
        <v>63782</v>
      </c>
      <c r="F28" s="752">
        <v>65000</v>
      </c>
      <c r="G28" s="752">
        <v>32887</v>
      </c>
      <c r="H28" s="752">
        <v>65000</v>
      </c>
      <c r="I28" s="752">
        <v>0</v>
      </c>
      <c r="J28" s="1034">
        <v>47500</v>
      </c>
      <c r="K28" s="752">
        <v>65000</v>
      </c>
      <c r="L28" s="747">
        <f>SUM(ROUNDUP('Budget-Services'!I341,-2))</f>
        <v>65000</v>
      </c>
      <c r="M28" s="1020">
        <f>(L28-K28)/K28</f>
        <v>0</v>
      </c>
      <c r="N28" s="1"/>
      <c r="O28" s="1"/>
      <c r="Q28" s="128"/>
    </row>
    <row r="29" spans="1:18" x14ac:dyDescent="0.25">
      <c r="A29" s="748" t="s">
        <v>43</v>
      </c>
      <c r="B29" s="749">
        <v>0</v>
      </c>
      <c r="C29" s="749">
        <v>0</v>
      </c>
      <c r="D29" s="749">
        <v>0</v>
      </c>
      <c r="E29" s="749">
        <v>0</v>
      </c>
      <c r="F29" s="749">
        <v>0</v>
      </c>
      <c r="G29" s="749">
        <v>0</v>
      </c>
      <c r="H29" s="749">
        <v>0</v>
      </c>
      <c r="I29" s="749">
        <v>0</v>
      </c>
      <c r="J29" s="749">
        <v>0</v>
      </c>
      <c r="K29" s="749">
        <v>0</v>
      </c>
      <c r="L29" s="750">
        <f>SUM(ROUNDUP('Budget-Services'!I345,-2))</f>
        <v>0</v>
      </c>
      <c r="M29" s="751">
        <v>0</v>
      </c>
      <c r="N29" s="6">
        <f>SUM(J28:J30)</f>
        <v>52500</v>
      </c>
      <c r="O29" s="1106" t="s">
        <v>72</v>
      </c>
      <c r="P29" s="1107"/>
      <c r="Q29" s="128"/>
    </row>
    <row r="30" spans="1:18" x14ac:dyDescent="0.25">
      <c r="A30" s="746" t="s">
        <v>44</v>
      </c>
      <c r="B30" s="858">
        <v>5000</v>
      </c>
      <c r="C30" s="858">
        <v>0</v>
      </c>
      <c r="D30" s="858">
        <v>5000</v>
      </c>
      <c r="E30" s="858">
        <v>0</v>
      </c>
      <c r="F30" s="858">
        <v>5000</v>
      </c>
      <c r="G30" s="858">
        <v>0</v>
      </c>
      <c r="H30" s="858">
        <v>5000</v>
      </c>
      <c r="I30" s="858">
        <v>0</v>
      </c>
      <c r="J30" s="1035">
        <v>5000</v>
      </c>
      <c r="K30" s="858">
        <v>5000</v>
      </c>
      <c r="L30" s="859">
        <v>5000</v>
      </c>
      <c r="M30" s="1020">
        <f>(L30-K30)/K30</f>
        <v>0</v>
      </c>
      <c r="N30" s="1"/>
      <c r="O30" s="4">
        <f>SUM(K28:K30)</f>
        <v>70000</v>
      </c>
      <c r="P30" s="5">
        <f>SUM(L28:L30)</f>
        <v>70000</v>
      </c>
      <c r="Q30" s="127">
        <f>P30/P34</f>
        <v>4.5465764279497538E-3</v>
      </c>
    </row>
    <row r="31" spans="1:18" ht="15.75" thickBot="1" x14ac:dyDescent="0.3">
      <c r="A31" s="864" t="s">
        <v>45</v>
      </c>
      <c r="B31" s="865">
        <f t="shared" ref="B31:J31" si="2">SUM(B3:B30)</f>
        <v>9283700</v>
      </c>
      <c r="C31" s="865">
        <f t="shared" si="2"/>
        <v>9008594</v>
      </c>
      <c r="D31" s="865">
        <f t="shared" si="2"/>
        <v>9630800</v>
      </c>
      <c r="E31" s="865">
        <f t="shared" si="2"/>
        <v>9468930</v>
      </c>
      <c r="F31" s="865">
        <f t="shared" si="2"/>
        <v>10015500</v>
      </c>
      <c r="G31" s="865">
        <f>SUM(G3:G30)</f>
        <v>9704230</v>
      </c>
      <c r="H31" s="865">
        <f t="shared" si="2"/>
        <v>11544900</v>
      </c>
      <c r="I31" s="865">
        <f>SUM(I3:I30)</f>
        <v>11412727</v>
      </c>
      <c r="J31" s="865">
        <f t="shared" si="2"/>
        <v>12863900</v>
      </c>
      <c r="K31" s="865">
        <f>SUM(K3:K30)</f>
        <v>13733800</v>
      </c>
      <c r="L31" s="866">
        <f>SUM(L3:L30)</f>
        <v>14718600</v>
      </c>
      <c r="M31" s="867">
        <f>(L31-K31)/K31</f>
        <v>7.1706301242190795E-2</v>
      </c>
      <c r="N31" s="1"/>
      <c r="O31" s="146">
        <f>SUM(O30+O27+O17+O11+O5)</f>
        <v>13733800</v>
      </c>
      <c r="P31" s="110">
        <f>SUM(P30+P27+P17+P11+P5)</f>
        <v>14718600</v>
      </c>
      <c r="Q31" s="128"/>
      <c r="R31" s="5">
        <f>P31-O31</f>
        <v>984800</v>
      </c>
    </row>
    <row r="32" spans="1:18" ht="15.75" thickTop="1" x14ac:dyDescent="0.25">
      <c r="A32" s="475"/>
      <c r="B32" s="860"/>
      <c r="C32" s="860"/>
      <c r="D32" s="860"/>
      <c r="E32" s="860"/>
      <c r="F32" s="860"/>
      <c r="G32" s="860"/>
      <c r="H32" s="860"/>
      <c r="I32" s="860"/>
      <c r="J32" s="1036"/>
      <c r="K32" s="860"/>
      <c r="L32" s="860"/>
      <c r="M32" s="1021"/>
      <c r="N32" s="889"/>
      <c r="O32" s="3"/>
      <c r="Q32" s="128"/>
    </row>
    <row r="33" spans="1:17" x14ac:dyDescent="0.25">
      <c r="A33" s="874" t="s">
        <v>46</v>
      </c>
      <c r="B33" s="868">
        <v>227800</v>
      </c>
      <c r="C33" s="868">
        <v>200915</v>
      </c>
      <c r="D33" s="868">
        <v>244500</v>
      </c>
      <c r="E33" s="868">
        <v>251017</v>
      </c>
      <c r="F33" s="868">
        <v>242400</v>
      </c>
      <c r="G33" s="868">
        <v>303996</v>
      </c>
      <c r="H33" s="868">
        <v>282300</v>
      </c>
      <c r="I33" s="868">
        <v>221985</v>
      </c>
      <c r="J33" s="868">
        <v>306400</v>
      </c>
      <c r="K33" s="868">
        <v>347800</v>
      </c>
      <c r="L33" s="869">
        <f>SUM(ROUNDUP('ARB Budget'!F39,-2))</f>
        <v>677600</v>
      </c>
      <c r="M33" s="870">
        <f>(L33-K33)/K33</f>
        <v>0.9482461184588844</v>
      </c>
      <c r="N33" s="1"/>
      <c r="O33" s="4">
        <f>SUM(K33)</f>
        <v>347800</v>
      </c>
      <c r="P33" s="248">
        <f>SUM(L33)</f>
        <v>677600</v>
      </c>
      <c r="Q33" s="249">
        <f>P33/P34</f>
        <v>4.4010859822553615E-2</v>
      </c>
    </row>
    <row r="34" spans="1:17" ht="15.75" thickBot="1" x14ac:dyDescent="0.3">
      <c r="A34" s="875" t="s">
        <v>47</v>
      </c>
      <c r="B34" s="861">
        <f t="shared" ref="B34:F34" si="3">SUM(B31:B33)</f>
        <v>9511500</v>
      </c>
      <c r="C34" s="861">
        <f t="shared" si="3"/>
        <v>9209509</v>
      </c>
      <c r="D34" s="861">
        <f t="shared" si="3"/>
        <v>9875300</v>
      </c>
      <c r="E34" s="861">
        <f>SUM(E31:E33)</f>
        <v>9719947</v>
      </c>
      <c r="F34" s="861">
        <f t="shared" si="3"/>
        <v>10257900</v>
      </c>
      <c r="G34" s="861">
        <f t="shared" ref="G34:L34" si="4">SUM(G31:G33)</f>
        <v>10008226</v>
      </c>
      <c r="H34" s="861">
        <f t="shared" si="4"/>
        <v>11827200</v>
      </c>
      <c r="I34" s="861">
        <f t="shared" si="4"/>
        <v>11634712</v>
      </c>
      <c r="J34" s="1037">
        <f t="shared" si="4"/>
        <v>13170300</v>
      </c>
      <c r="K34" s="861">
        <f t="shared" si="4"/>
        <v>14081600</v>
      </c>
      <c r="L34" s="861">
        <f t="shared" si="4"/>
        <v>15396200</v>
      </c>
      <c r="M34" s="887">
        <f>(L34-K34)/K34</f>
        <v>9.3355868651289628E-2</v>
      </c>
      <c r="N34" s="1"/>
      <c r="O34" s="110">
        <f>SUM(O31:O33)</f>
        <v>14081600</v>
      </c>
      <c r="P34" s="125">
        <f>SUM(P31:P33)</f>
        <v>15396200</v>
      </c>
      <c r="Q34" s="126">
        <f>SUM(Q5:Q33)</f>
        <v>1</v>
      </c>
    </row>
    <row r="35" spans="1:17" ht="15.75" thickTop="1" x14ac:dyDescent="0.25">
      <c r="A35" s="871" t="s">
        <v>48</v>
      </c>
      <c r="B35" s="872"/>
      <c r="C35" s="872"/>
      <c r="D35" s="872"/>
      <c r="E35" s="872"/>
      <c r="F35" s="872"/>
      <c r="G35" s="872"/>
      <c r="H35" s="872"/>
      <c r="I35" s="872"/>
      <c r="J35" s="872"/>
      <c r="K35" s="872"/>
      <c r="L35" s="873"/>
      <c r="M35" s="867"/>
    </row>
    <row r="36" spans="1:17" ht="15.75" thickBot="1" x14ac:dyDescent="0.3">
      <c r="A36" s="475" t="s">
        <v>49</v>
      </c>
      <c r="B36" s="863">
        <v>-158000</v>
      </c>
      <c r="C36" s="863"/>
      <c r="D36" s="863">
        <v>-399453</v>
      </c>
      <c r="E36" s="863"/>
      <c r="F36" s="863">
        <v>-300000</v>
      </c>
      <c r="G36" s="863"/>
      <c r="H36" s="863">
        <v>-300000</v>
      </c>
      <c r="I36" s="863"/>
      <c r="J36" s="1038">
        <v>-50000</v>
      </c>
      <c r="K36" s="863"/>
      <c r="L36" s="862"/>
      <c r="M36" s="888"/>
      <c r="N36" s="889"/>
      <c r="O36" s="1"/>
    </row>
    <row r="37" spans="1:17" ht="15.75" thickBot="1" x14ac:dyDescent="0.3">
      <c r="A37" s="891" t="s">
        <v>50</v>
      </c>
      <c r="B37" s="892">
        <f>SUM(B34:B36)</f>
        <v>9353500</v>
      </c>
      <c r="C37" s="892"/>
      <c r="D37" s="892">
        <f>SUM(D34:D36)</f>
        <v>9475847</v>
      </c>
      <c r="E37" s="892"/>
      <c r="F37" s="892">
        <f>SUM(F34:F36)</f>
        <v>9957900</v>
      </c>
      <c r="G37" s="892"/>
      <c r="H37" s="892">
        <f>SUM(H34:H36)</f>
        <v>11527200</v>
      </c>
      <c r="I37" s="892"/>
      <c r="J37" s="1039">
        <f>SUM(J34:J36)</f>
        <v>13120300</v>
      </c>
      <c r="K37" s="892">
        <f>SUM(K34:K36)</f>
        <v>14081600</v>
      </c>
      <c r="L37" s="1084">
        <f>SUM(L34:L36)</f>
        <v>15396200</v>
      </c>
      <c r="M37" s="894">
        <f>(L37-K37)/K37</f>
        <v>9.3355868651289628E-2</v>
      </c>
      <c r="N37" s="195"/>
      <c r="Q37" s="5">
        <f>P34-O34</f>
        <v>1314600</v>
      </c>
    </row>
    <row r="38" spans="1:17" x14ac:dyDescent="0.25">
      <c r="A38" s="890"/>
      <c r="B38" s="890"/>
      <c r="C38" s="890"/>
      <c r="D38" s="890"/>
      <c r="E38" s="890"/>
      <c r="F38" s="890"/>
      <c r="G38" s="890"/>
      <c r="H38" s="890"/>
      <c r="I38" s="890"/>
      <c r="J38" s="1040"/>
      <c r="K38" s="890"/>
      <c r="L38" s="893"/>
      <c r="M38" s="890"/>
      <c r="N38" s="1"/>
      <c r="O38" s="1"/>
    </row>
    <row r="39" spans="1:17" x14ac:dyDescent="0.25">
      <c r="A39" s="26"/>
      <c r="B39" s="26"/>
      <c r="C39" s="26"/>
      <c r="D39" s="26"/>
      <c r="E39" s="26"/>
      <c r="F39" s="26"/>
      <c r="G39" s="26"/>
      <c r="H39" s="26"/>
      <c r="I39" s="26"/>
      <c r="J39" s="1041"/>
      <c r="K39" s="26"/>
      <c r="L39" s="26"/>
      <c r="M39" s="26"/>
      <c r="N39" s="1"/>
      <c r="O39" s="1"/>
    </row>
    <row r="40" spans="1:17" x14ac:dyDescent="0.25">
      <c r="A40" s="26"/>
      <c r="B40" s="32"/>
      <c r="C40" s="32"/>
      <c r="D40" s="32"/>
      <c r="E40" s="32"/>
      <c r="F40" s="32"/>
      <c r="G40" s="32"/>
      <c r="H40" s="32"/>
      <c r="I40" s="32"/>
      <c r="J40" s="1042"/>
      <c r="K40" s="32"/>
      <c r="L40" s="32"/>
      <c r="M40" s="26"/>
      <c r="N40" s="1"/>
      <c r="O40" s="1"/>
    </row>
    <row r="41" spans="1:17" x14ac:dyDescent="0.25">
      <c r="L41" s="3"/>
      <c r="M41" s="3"/>
      <c r="N41" s="1"/>
      <c r="O41" s="1"/>
    </row>
    <row r="42" spans="1:17" x14ac:dyDescent="0.25">
      <c r="L42" s="3"/>
      <c r="M42" s="3"/>
      <c r="N42" s="1"/>
      <c r="O42" s="1"/>
    </row>
    <row r="43" spans="1:17" x14ac:dyDescent="0.25">
      <c r="L43" s="3"/>
      <c r="M43" s="3"/>
      <c r="N43" s="1"/>
      <c r="O43" s="1"/>
    </row>
    <row r="44" spans="1:17" x14ac:dyDescent="0.25">
      <c r="N44" s="1"/>
      <c r="O44" s="1"/>
    </row>
    <row r="45" spans="1:17" x14ac:dyDescent="0.25">
      <c r="N45" s="1"/>
      <c r="O45" s="1"/>
    </row>
    <row r="46" spans="1:17" x14ac:dyDescent="0.25">
      <c r="N46" s="1"/>
      <c r="O46" s="1"/>
    </row>
    <row r="47" spans="1:17" x14ac:dyDescent="0.25">
      <c r="N47" s="1"/>
      <c r="O47" s="1"/>
    </row>
    <row r="48" spans="1:17" x14ac:dyDescent="0.25">
      <c r="N48" s="1"/>
      <c r="O48" s="1"/>
    </row>
    <row r="49" spans="14:15" x14ac:dyDescent="0.25">
      <c r="N49" s="1"/>
      <c r="O49" s="1"/>
    </row>
    <row r="50" spans="14:15" x14ac:dyDescent="0.25">
      <c r="N50" s="1"/>
      <c r="O50" s="1"/>
    </row>
    <row r="51" spans="14:15" x14ac:dyDescent="0.25">
      <c r="N51" s="1"/>
      <c r="O51" s="1"/>
    </row>
    <row r="52" spans="14:15" x14ac:dyDescent="0.25">
      <c r="N52" s="1"/>
      <c r="O52" s="1"/>
    </row>
    <row r="53" spans="14:15" x14ac:dyDescent="0.25">
      <c r="N53" s="1"/>
      <c r="O53" s="1"/>
    </row>
    <row r="54" spans="14:15" x14ac:dyDescent="0.25">
      <c r="N54" s="1"/>
      <c r="O54" s="1"/>
    </row>
    <row r="55" spans="14:15" x14ac:dyDescent="0.25">
      <c r="N55" s="1"/>
      <c r="O55" s="1"/>
    </row>
    <row r="56" spans="14:15" x14ac:dyDescent="0.25">
      <c r="N56" s="1"/>
      <c r="O56" s="1"/>
    </row>
    <row r="57" spans="14:15" x14ac:dyDescent="0.25">
      <c r="N57" s="1"/>
      <c r="O57" s="1"/>
    </row>
    <row r="58" spans="14:15" x14ac:dyDescent="0.25">
      <c r="N58" s="1"/>
      <c r="O58" s="1"/>
    </row>
    <row r="59" spans="14:15" x14ac:dyDescent="0.25">
      <c r="N59" s="1"/>
      <c r="O59" s="1"/>
    </row>
    <row r="60" spans="14:15" x14ac:dyDescent="0.25">
      <c r="N60" s="1"/>
      <c r="O60" s="1"/>
    </row>
    <row r="61" spans="14:15" x14ac:dyDescent="0.25">
      <c r="N61" s="1"/>
      <c r="O61" s="1"/>
    </row>
    <row r="62" spans="14:15" x14ac:dyDescent="0.25">
      <c r="N62" s="1"/>
      <c r="O62" s="1"/>
    </row>
    <row r="63" spans="14:15" x14ac:dyDescent="0.25">
      <c r="N63" s="1"/>
      <c r="O63" s="1"/>
    </row>
    <row r="64" spans="14:15" x14ac:dyDescent="0.25">
      <c r="N64" s="1"/>
      <c r="O64" s="1"/>
    </row>
    <row r="65" spans="14:15" x14ac:dyDescent="0.25">
      <c r="N65" s="1"/>
      <c r="O65" s="1"/>
    </row>
    <row r="66" spans="14:15" x14ac:dyDescent="0.25">
      <c r="N66" s="1"/>
      <c r="O66" s="1"/>
    </row>
    <row r="67" spans="14:15" x14ac:dyDescent="0.25">
      <c r="N67" s="1"/>
      <c r="O67" s="1"/>
    </row>
    <row r="68" spans="14:15" x14ac:dyDescent="0.25">
      <c r="N68" s="1"/>
      <c r="O68" s="1"/>
    </row>
    <row r="69" spans="14:15" x14ac:dyDescent="0.25">
      <c r="N69" s="1"/>
      <c r="O69" s="1"/>
    </row>
    <row r="70" spans="14:15" x14ac:dyDescent="0.25">
      <c r="N70" s="1"/>
      <c r="O70" s="1"/>
    </row>
    <row r="71" spans="14:15" x14ac:dyDescent="0.25">
      <c r="N71" s="1"/>
      <c r="O71" s="1"/>
    </row>
    <row r="72" spans="14:15" x14ac:dyDescent="0.25">
      <c r="N72" s="1"/>
      <c r="O72" s="1"/>
    </row>
    <row r="73" spans="14:15" x14ac:dyDescent="0.25">
      <c r="N73" s="1"/>
      <c r="O73" s="1"/>
    </row>
    <row r="74" spans="14:15" x14ac:dyDescent="0.25">
      <c r="N74" s="1"/>
      <c r="O74" s="1"/>
    </row>
    <row r="75" spans="14:15" x14ac:dyDescent="0.25">
      <c r="N75" s="1"/>
      <c r="O75" s="1"/>
    </row>
    <row r="76" spans="14:15" x14ac:dyDescent="0.25">
      <c r="N76" s="1"/>
      <c r="O76" s="1"/>
    </row>
    <row r="77" spans="14:15" x14ac:dyDescent="0.25">
      <c r="N77" s="1"/>
      <c r="O77" s="1"/>
    </row>
    <row r="78" spans="14:15" x14ac:dyDescent="0.25">
      <c r="N78" s="1"/>
      <c r="O78" s="1"/>
    </row>
    <row r="79" spans="14:15" x14ac:dyDescent="0.25">
      <c r="N79" s="1"/>
      <c r="O79" s="1"/>
    </row>
    <row r="80" spans="14:15" x14ac:dyDescent="0.25">
      <c r="N80" s="1"/>
      <c r="O80" s="1"/>
    </row>
    <row r="81" spans="1:15" x14ac:dyDescent="0.25">
      <c r="N81" s="1"/>
      <c r="O81" s="1"/>
    </row>
    <row r="82" spans="1:15" x14ac:dyDescent="0.25">
      <c r="N82" s="1"/>
      <c r="O82" s="1"/>
    </row>
    <row r="83" spans="1:15" x14ac:dyDescent="0.25">
      <c r="N83" s="1"/>
      <c r="O83" s="1"/>
    </row>
    <row r="84" spans="1:15" x14ac:dyDescent="0.25">
      <c r="N84" s="1"/>
      <c r="O84" s="1"/>
    </row>
    <row r="85" spans="1:15" x14ac:dyDescent="0.25">
      <c r="N85" s="1"/>
      <c r="O85" s="1"/>
    </row>
    <row r="86" spans="1:15" x14ac:dyDescent="0.25">
      <c r="N86" s="1"/>
      <c r="O86" s="1"/>
    </row>
    <row r="87" spans="1:15" x14ac:dyDescent="0.25">
      <c r="N87" s="1"/>
      <c r="O87" s="1"/>
    </row>
    <row r="88" spans="1:15" x14ac:dyDescent="0.25">
      <c r="N88" s="1"/>
      <c r="O88" s="1"/>
    </row>
    <row r="89" spans="1:15" x14ac:dyDescent="0.25">
      <c r="N89" s="1"/>
      <c r="O89" s="1"/>
    </row>
    <row r="90" spans="1:15" x14ac:dyDescent="0.25">
      <c r="N90" s="1"/>
      <c r="O90" s="1"/>
    </row>
    <row r="91" spans="1:15" x14ac:dyDescent="0.25">
      <c r="A91" s="26"/>
      <c r="B91" s="33"/>
      <c r="C91" s="33"/>
      <c r="D91" s="33"/>
      <c r="E91" s="33"/>
      <c r="F91" s="33"/>
      <c r="G91" s="33"/>
      <c r="H91" s="33"/>
      <c r="I91" s="33"/>
      <c r="J91" s="1043"/>
      <c r="K91" s="33"/>
      <c r="L91" s="33"/>
      <c r="M91" s="33"/>
      <c r="N91" s="1"/>
      <c r="O91" s="1"/>
    </row>
  </sheetData>
  <mergeCells count="6">
    <mergeCell ref="O29:P29"/>
    <mergeCell ref="B1:M1"/>
    <mergeCell ref="O4:P4"/>
    <mergeCell ref="O10:P10"/>
    <mergeCell ref="O16:P16"/>
    <mergeCell ref="O26:P26"/>
  </mergeCells>
  <conditionalFormatting sqref="M3:M37">
    <cfRule type="cellIs" dxfId="130" priority="1" stopIfTrue="1" operator="lessThan">
      <formula>0</formula>
    </cfRule>
    <cfRule type="cellIs" dxfId="129" priority="2" stopIfTrue="1" operator="greaterThan">
      <formula>0</formula>
    </cfRule>
    <cfRule type="cellIs" dxfId="128" priority="3" stopIfTrue="1" operator="equal">
      <formula>0</formula>
    </cfRule>
  </conditionalFormatting>
  <pageMargins left="0.25" right="0.25" top="0.75" bottom="0.75" header="0.3" footer="0.3"/>
  <pageSetup scale="67" fitToHeight="0"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F93CB-8769-43A5-AA9C-6166233AF4CE}">
  <sheetPr>
    <pageSetUpPr fitToPage="1"/>
  </sheetPr>
  <dimension ref="A1:N1004"/>
  <sheetViews>
    <sheetView zoomScale="135" zoomScaleNormal="135" workbookViewId="0">
      <selection activeCell="B42" sqref="B42"/>
    </sheetView>
  </sheetViews>
  <sheetFormatPr defaultColWidth="14.42578125" defaultRowHeight="15" x14ac:dyDescent="0.25"/>
  <cols>
    <col min="1" max="1" width="29.28515625" bestFit="1" customWidth="1"/>
    <col min="2" max="2" width="66.140625" customWidth="1"/>
    <col min="3" max="3" width="2.42578125" customWidth="1"/>
    <col min="4" max="4" width="13.42578125" customWidth="1"/>
    <col min="5" max="5" width="12.7109375" bestFit="1" customWidth="1"/>
    <col min="6" max="6" width="7.42578125" hidden="1" customWidth="1"/>
    <col min="7" max="7" width="11.42578125" hidden="1" customWidth="1"/>
    <col min="8" max="8" width="12.7109375" bestFit="1" customWidth="1"/>
    <col min="9" max="9" width="70.28515625" customWidth="1"/>
    <col min="10" max="10" width="37.28515625" bestFit="1" customWidth="1"/>
    <col min="11" max="11" width="10.5703125" bestFit="1" customWidth="1"/>
    <col min="12" max="12" width="14.85546875" bestFit="1" customWidth="1"/>
    <col min="13" max="13" width="13.28515625" customWidth="1"/>
    <col min="14" max="14" width="10.28515625" customWidth="1"/>
    <col min="15" max="16" width="13.28515625" customWidth="1"/>
    <col min="17" max="17" width="4.42578125" customWidth="1"/>
    <col min="18" max="19" width="13.28515625" customWidth="1"/>
    <col min="20" max="26" width="15.140625" customWidth="1"/>
  </cols>
  <sheetData>
    <row r="1" spans="1:13" ht="26.25" x14ac:dyDescent="0.4">
      <c r="A1" s="1104" t="s">
        <v>727</v>
      </c>
      <c r="B1" s="1104"/>
      <c r="C1" s="1104"/>
      <c r="D1" s="1104"/>
      <c r="E1" s="1104"/>
      <c r="F1" s="1104"/>
      <c r="G1" s="1104"/>
      <c r="H1" s="1104"/>
    </row>
    <row r="2" spans="1:13" ht="45" customHeight="1" x14ac:dyDescent="0.25">
      <c r="A2" s="909" t="s">
        <v>76</v>
      </c>
      <c r="B2" s="909" t="s">
        <v>77</v>
      </c>
      <c r="C2" s="909"/>
      <c r="D2" s="910"/>
      <c r="E2" s="911" t="s">
        <v>728</v>
      </c>
      <c r="F2" s="911" t="s">
        <v>79</v>
      </c>
      <c r="G2" s="911" t="s">
        <v>80</v>
      </c>
      <c r="H2" s="911" t="s">
        <v>173</v>
      </c>
      <c r="I2" s="2"/>
    </row>
    <row r="3" spans="1:13" ht="19.5" customHeight="1" x14ac:dyDescent="0.3">
      <c r="A3" s="1116" t="s">
        <v>9</v>
      </c>
      <c r="B3" s="1116"/>
      <c r="C3" s="1116"/>
      <c r="D3" s="1116"/>
      <c r="E3" s="1116"/>
      <c r="F3" s="1116"/>
      <c r="G3" s="1116"/>
      <c r="H3" s="1116"/>
      <c r="I3" s="7"/>
      <c r="J3" s="698" t="s">
        <v>174</v>
      </c>
      <c r="K3" s="694"/>
      <c r="L3" s="121"/>
    </row>
    <row r="4" spans="1:13" ht="15" customHeight="1" x14ac:dyDescent="0.25">
      <c r="A4" s="1081" t="s">
        <v>712</v>
      </c>
      <c r="B4" s="1082" t="s">
        <v>175</v>
      </c>
      <c r="C4" s="1076"/>
      <c r="D4" s="1082"/>
      <c r="E4" s="1077">
        <f>(H5*2)+(H4)+(K7)</f>
        <v>7530052.5111999996</v>
      </c>
      <c r="F4" s="1083"/>
      <c r="G4" s="1083"/>
      <c r="H4" s="1078">
        <v>6903898.5111999996</v>
      </c>
      <c r="I4" s="904" t="s">
        <v>176</v>
      </c>
      <c r="J4" s="3" t="s">
        <v>628</v>
      </c>
      <c r="K4" s="11">
        <v>130000</v>
      </c>
      <c r="L4" s="11"/>
    </row>
    <row r="5" spans="1:13" ht="15" customHeight="1" x14ac:dyDescent="0.25">
      <c r="A5" s="655" t="s">
        <v>84</v>
      </c>
      <c r="B5" s="656" t="s">
        <v>177</v>
      </c>
      <c r="C5" s="657"/>
      <c r="D5" s="656"/>
      <c r="E5" s="653">
        <f>(E4*3%)*50%</f>
        <v>112950.78766799999</v>
      </c>
      <c r="F5" s="1079"/>
      <c r="G5" s="1079"/>
      <c r="H5" s="1080">
        <v>138077</v>
      </c>
      <c r="I5" s="2"/>
      <c r="J5" s="121" t="s">
        <v>713</v>
      </c>
      <c r="K5" s="59">
        <f>55000*4</f>
        <v>220000</v>
      </c>
    </row>
    <row r="6" spans="1:13" x14ac:dyDescent="0.25">
      <c r="A6" s="642"/>
      <c r="B6" s="822" t="s">
        <v>178</v>
      </c>
      <c r="C6" s="812"/>
      <c r="D6" s="822"/>
      <c r="E6" s="417"/>
      <c r="F6" s="823"/>
      <c r="G6" s="823"/>
      <c r="H6" s="824"/>
      <c r="I6" s="2"/>
      <c r="J6" s="121"/>
      <c r="K6" s="59"/>
      <c r="L6" s="121"/>
    </row>
    <row r="7" spans="1:13" ht="15" customHeight="1" thickBot="1" x14ac:dyDescent="0.3">
      <c r="A7" s="815"/>
      <c r="B7" s="816" t="s">
        <v>87</v>
      </c>
      <c r="C7" s="798"/>
      <c r="D7" s="816"/>
      <c r="E7" s="799">
        <v>17000</v>
      </c>
      <c r="F7" s="817"/>
      <c r="G7" s="817"/>
      <c r="H7" s="818">
        <v>17000</v>
      </c>
      <c r="I7" s="7" t="s">
        <v>629</v>
      </c>
      <c r="J7" s="61" t="s">
        <v>179</v>
      </c>
      <c r="K7" s="734">
        <f>SUM(K4:K6)</f>
        <v>350000</v>
      </c>
      <c r="M7" s="111"/>
    </row>
    <row r="8" spans="1:13" ht="15" customHeight="1" thickTop="1" x14ac:dyDescent="0.25">
      <c r="A8" s="640"/>
      <c r="B8" s="813" t="s">
        <v>89</v>
      </c>
      <c r="C8" s="812"/>
      <c r="D8" s="813"/>
      <c r="E8" s="399">
        <v>80000</v>
      </c>
      <c r="F8" s="401"/>
      <c r="G8" s="401"/>
      <c r="H8" s="814">
        <v>70000</v>
      </c>
      <c r="I8" s="991" t="s">
        <v>630</v>
      </c>
    </row>
    <row r="9" spans="1:13" ht="15" customHeight="1" x14ac:dyDescent="0.25">
      <c r="A9" s="655" t="s">
        <v>180</v>
      </c>
      <c r="B9" s="819" t="s">
        <v>181</v>
      </c>
      <c r="C9" s="657"/>
      <c r="D9" s="819"/>
      <c r="E9" s="799">
        <f>88493.25+24433.45</f>
        <v>112926.7</v>
      </c>
      <c r="F9" s="658"/>
      <c r="G9" s="658"/>
      <c r="H9" s="820">
        <v>109280</v>
      </c>
      <c r="I9" s="991" t="s">
        <v>632</v>
      </c>
      <c r="J9" s="61"/>
      <c r="K9" s="797"/>
      <c r="M9" s="112"/>
    </row>
    <row r="10" spans="1:13" ht="15" customHeight="1" x14ac:dyDescent="0.25">
      <c r="A10" s="639"/>
      <c r="B10" s="398" t="s">
        <v>92</v>
      </c>
      <c r="C10" s="416"/>
      <c r="D10" s="398"/>
      <c r="E10" s="399">
        <v>85000</v>
      </c>
      <c r="F10" s="400"/>
      <c r="G10" s="400"/>
      <c r="H10" s="400">
        <v>85000</v>
      </c>
      <c r="I10" s="991" t="s">
        <v>182</v>
      </c>
      <c r="M10" s="111"/>
    </row>
    <row r="11" spans="1:13" ht="15" customHeight="1" x14ac:dyDescent="0.25">
      <c r="A11" s="821"/>
      <c r="B11" s="660" t="s">
        <v>95</v>
      </c>
      <c r="C11" s="651"/>
      <c r="D11" s="660"/>
      <c r="E11" s="799">
        <v>50000</v>
      </c>
      <c r="F11" s="658"/>
      <c r="G11" s="658"/>
      <c r="H11" s="820">
        <v>50000</v>
      </c>
      <c r="I11" s="7" t="s">
        <v>183</v>
      </c>
      <c r="J11" s="895" t="s">
        <v>184</v>
      </c>
      <c r="K11" s="896" t="s">
        <v>185</v>
      </c>
      <c r="L11" s="111"/>
      <c r="M11" s="111"/>
    </row>
    <row r="12" spans="1:13" ht="15" customHeight="1" thickBot="1" x14ac:dyDescent="0.3">
      <c r="A12" s="643"/>
      <c r="B12" s="397"/>
      <c r="C12" s="424"/>
      <c r="D12" s="451">
        <f>(E12-H12)/H12</f>
        <v>8.3365412569021594E-2</v>
      </c>
      <c r="E12" s="402">
        <f>(SUM(E4:E11))</f>
        <v>7987929.9988679998</v>
      </c>
      <c r="F12" s="403"/>
      <c r="G12" s="403"/>
      <c r="H12" s="404">
        <f>SUM(H4:H11)</f>
        <v>7373255.5111999996</v>
      </c>
      <c r="I12" s="2"/>
      <c r="J12" s="896" t="s">
        <v>186</v>
      </c>
      <c r="K12" s="897">
        <v>54000</v>
      </c>
      <c r="L12" s="736"/>
      <c r="M12" s="111"/>
    </row>
    <row r="13" spans="1:13" ht="10.5" customHeight="1" thickTop="1" x14ac:dyDescent="0.25">
      <c r="A13" s="24"/>
      <c r="B13" s="24"/>
      <c r="C13" s="25"/>
      <c r="D13" s="26"/>
      <c r="E13" s="27"/>
      <c r="F13" s="27"/>
      <c r="G13" s="27"/>
      <c r="H13" s="27"/>
      <c r="I13" s="7"/>
      <c r="J13" s="896" t="s">
        <v>187</v>
      </c>
      <c r="K13" s="897">
        <v>85000</v>
      </c>
      <c r="L13" s="111"/>
      <c r="M13" s="111"/>
    </row>
    <row r="14" spans="1:13" ht="19.5" x14ac:dyDescent="0.3">
      <c r="A14" s="1118" t="s">
        <v>10</v>
      </c>
      <c r="B14" s="1118"/>
      <c r="C14" s="1118"/>
      <c r="D14" s="1118"/>
      <c r="E14" s="1118"/>
      <c r="F14" s="1118"/>
      <c r="G14" s="1118"/>
      <c r="H14" s="1118"/>
      <c r="I14" s="7"/>
      <c r="J14" s="896" t="s">
        <v>188</v>
      </c>
      <c r="K14" s="897">
        <v>125000</v>
      </c>
      <c r="L14" s="111"/>
      <c r="M14" s="111"/>
    </row>
    <row r="15" spans="1:13" ht="19.5" customHeight="1" thickBot="1" x14ac:dyDescent="0.3">
      <c r="A15" s="409"/>
      <c r="B15" s="412" t="s">
        <v>100</v>
      </c>
      <c r="C15" s="413"/>
      <c r="D15" s="414"/>
      <c r="E15" s="414"/>
      <c r="F15" s="414"/>
      <c r="G15" s="414"/>
      <c r="H15" s="414"/>
      <c r="I15" s="2"/>
      <c r="J15" s="898" t="s">
        <v>179</v>
      </c>
      <c r="K15" s="899">
        <f>SUM(K12:K14)</f>
        <v>264000</v>
      </c>
      <c r="L15" s="111"/>
      <c r="M15" s="111"/>
    </row>
    <row r="16" spans="1:13" ht="15.75" thickTop="1" x14ac:dyDescent="0.25">
      <c r="A16" s="644"/>
      <c r="B16" s="645" t="s">
        <v>714</v>
      </c>
      <c r="C16" s="646"/>
      <c r="D16" s="645"/>
      <c r="E16" s="647">
        <f>((700*12)*45)*0.95</f>
        <v>359100</v>
      </c>
      <c r="F16" s="648"/>
      <c r="G16" s="648"/>
      <c r="H16" s="648">
        <v>319200</v>
      </c>
      <c r="I16" s="2" t="s">
        <v>715</v>
      </c>
      <c r="L16" s="111"/>
      <c r="M16" s="111"/>
    </row>
    <row r="17" spans="1:14" x14ac:dyDescent="0.25">
      <c r="A17" s="639"/>
      <c r="B17" s="415" t="s">
        <v>189</v>
      </c>
      <c r="C17" s="416"/>
      <c r="D17" s="398"/>
      <c r="E17" s="417">
        <f>700*12</f>
        <v>8400</v>
      </c>
      <c r="F17" s="400"/>
      <c r="G17" s="400"/>
      <c r="H17" s="400">
        <v>8400</v>
      </c>
      <c r="I17" s="2"/>
      <c r="M17" s="111"/>
    </row>
    <row r="18" spans="1:14" x14ac:dyDescent="0.25">
      <c r="A18" s="641"/>
      <c r="B18" s="418" t="s">
        <v>105</v>
      </c>
      <c r="C18" s="419"/>
      <c r="D18" s="419"/>
      <c r="E18" s="420">
        <v>1000</v>
      </c>
      <c r="F18" s="421"/>
      <c r="G18" s="421"/>
      <c r="H18" s="422">
        <v>1000</v>
      </c>
      <c r="I18" s="2"/>
      <c r="M18" s="111"/>
    </row>
    <row r="19" spans="1:14" x14ac:dyDescent="0.25">
      <c r="A19" s="407"/>
      <c r="B19" s="423" t="s">
        <v>106</v>
      </c>
      <c r="C19" s="424"/>
      <c r="D19" s="425"/>
      <c r="E19" s="426">
        <f>SUM(E16:E18)</f>
        <v>368500</v>
      </c>
      <c r="F19" s="427"/>
      <c r="G19" s="427"/>
      <c r="H19" s="428">
        <f>SUM(H16:H18)</f>
        <v>328600</v>
      </c>
      <c r="I19" s="2"/>
    </row>
    <row r="20" spans="1:14" ht="10.5" customHeight="1" x14ac:dyDescent="0.25">
      <c r="A20" s="639"/>
      <c r="B20" s="425"/>
      <c r="C20" s="429"/>
      <c r="D20" s="425"/>
      <c r="E20" s="414"/>
      <c r="F20" s="425"/>
      <c r="G20" s="425"/>
      <c r="H20" s="414"/>
      <c r="I20" s="2"/>
    </row>
    <row r="21" spans="1:14" x14ac:dyDescent="0.25">
      <c r="A21" s="639"/>
      <c r="B21" s="430" t="s">
        <v>190</v>
      </c>
      <c r="C21" s="431"/>
      <c r="D21" s="398"/>
      <c r="E21" s="425"/>
      <c r="F21" s="425"/>
      <c r="G21" s="425"/>
      <c r="H21" s="414"/>
      <c r="I21" s="2"/>
      <c r="N21" s="51"/>
    </row>
    <row r="22" spans="1:14" x14ac:dyDescent="0.25">
      <c r="A22" s="641"/>
      <c r="B22" s="432" t="s">
        <v>108</v>
      </c>
      <c r="C22" s="419"/>
      <c r="D22" s="433"/>
      <c r="E22" s="434">
        <f>(1*110)*12</f>
        <v>1320</v>
      </c>
      <c r="F22" s="435"/>
      <c r="G22" s="435"/>
      <c r="H22" s="435">
        <v>1320</v>
      </c>
      <c r="I22" s="2" t="s">
        <v>109</v>
      </c>
    </row>
    <row r="23" spans="1:14" x14ac:dyDescent="0.25">
      <c r="A23" s="639"/>
      <c r="B23" s="398" t="s">
        <v>191</v>
      </c>
      <c r="C23" s="416"/>
      <c r="D23" s="425"/>
      <c r="E23" s="417">
        <f>(90*6)*12</f>
        <v>6480</v>
      </c>
      <c r="F23" s="400"/>
      <c r="G23" s="400"/>
      <c r="H23" s="400">
        <v>6480</v>
      </c>
      <c r="I23" s="2" t="s">
        <v>192</v>
      </c>
    </row>
    <row r="24" spans="1:14" x14ac:dyDescent="0.25">
      <c r="A24" s="641"/>
      <c r="B24" s="432" t="s">
        <v>193</v>
      </c>
      <c r="C24" s="419"/>
      <c r="D24" s="433"/>
      <c r="E24" s="420">
        <f>(70*14)*12</f>
        <v>11760</v>
      </c>
      <c r="F24" s="436"/>
      <c r="G24" s="436"/>
      <c r="H24" s="436">
        <v>11760</v>
      </c>
      <c r="I24" s="2" t="s">
        <v>194</v>
      </c>
    </row>
    <row r="25" spans="1:14" x14ac:dyDescent="0.25">
      <c r="A25" s="407"/>
      <c r="B25" s="423" t="s">
        <v>106</v>
      </c>
      <c r="C25" s="424"/>
      <c r="D25" s="425"/>
      <c r="E25" s="426">
        <f>SUM(E22:E24)</f>
        <v>19560</v>
      </c>
      <c r="F25" s="428"/>
      <c r="G25" s="428"/>
      <c r="H25" s="428">
        <f>SUM(H22:H24)</f>
        <v>19560</v>
      </c>
      <c r="I25" s="2"/>
    </row>
    <row r="26" spans="1:14" ht="9" customHeight="1" x14ac:dyDescent="0.25">
      <c r="A26" s="411"/>
      <c r="B26" s="423"/>
      <c r="C26" s="424"/>
      <c r="D26" s="425"/>
      <c r="E26" s="428"/>
      <c r="F26" s="428"/>
      <c r="G26" s="428"/>
      <c r="H26" s="428"/>
      <c r="I26" s="2"/>
    </row>
    <row r="27" spans="1:14" ht="19.5" x14ac:dyDescent="0.3">
      <c r="A27" s="1118" t="s">
        <v>195</v>
      </c>
      <c r="B27" s="1118"/>
      <c r="C27" s="1118"/>
      <c r="D27" s="1118"/>
      <c r="E27" s="1118"/>
      <c r="F27" s="1118"/>
      <c r="G27" s="1118"/>
      <c r="H27" s="1118"/>
      <c r="I27" s="2"/>
    </row>
    <row r="28" spans="1:14" x14ac:dyDescent="0.25">
      <c r="A28" s="411"/>
      <c r="B28" s="437" t="s">
        <v>114</v>
      </c>
      <c r="C28" s="438"/>
      <c r="D28" s="425"/>
      <c r="E28" s="428"/>
      <c r="F28" s="428"/>
      <c r="G28" s="428"/>
      <c r="H28" s="428"/>
    </row>
    <row r="29" spans="1:14" x14ac:dyDescent="0.25">
      <c r="A29" s="406"/>
      <c r="B29" s="439" t="s">
        <v>115</v>
      </c>
      <c r="C29" s="440">
        <v>1</v>
      </c>
      <c r="D29" s="441">
        <v>1000</v>
      </c>
      <c r="E29" s="434">
        <f t="shared" ref="E29:E34" si="0">C29*D29</f>
        <v>1000</v>
      </c>
      <c r="F29" s="442"/>
      <c r="G29" s="442"/>
      <c r="H29" s="435">
        <v>0</v>
      </c>
      <c r="I29" s="2" t="s">
        <v>196</v>
      </c>
    </row>
    <row r="30" spans="1:14" x14ac:dyDescent="0.25">
      <c r="A30" s="407"/>
      <c r="B30" s="415" t="s">
        <v>116</v>
      </c>
      <c r="C30" s="443">
        <v>1</v>
      </c>
      <c r="D30" s="444">
        <v>1000</v>
      </c>
      <c r="E30" s="417">
        <f t="shared" si="0"/>
        <v>1000</v>
      </c>
      <c r="F30" s="428"/>
      <c r="G30" s="428"/>
      <c r="H30" s="400">
        <v>0</v>
      </c>
      <c r="I30" s="2" t="s">
        <v>197</v>
      </c>
    </row>
    <row r="31" spans="1:14" x14ac:dyDescent="0.25">
      <c r="A31" s="406"/>
      <c r="B31" s="439" t="s">
        <v>118</v>
      </c>
      <c r="C31" s="440"/>
      <c r="D31" s="441">
        <v>1000</v>
      </c>
      <c r="E31" s="434">
        <f t="shared" si="0"/>
        <v>0</v>
      </c>
      <c r="F31" s="442"/>
      <c r="G31" s="442"/>
      <c r="H31" s="435">
        <v>0</v>
      </c>
      <c r="I31" s="2"/>
    </row>
    <row r="32" spans="1:14" x14ac:dyDescent="0.25">
      <c r="A32" s="407"/>
      <c r="B32" s="415" t="s">
        <v>119</v>
      </c>
      <c r="C32" s="443">
        <v>3</v>
      </c>
      <c r="D32" s="444">
        <v>1500</v>
      </c>
      <c r="E32" s="417">
        <f t="shared" si="0"/>
        <v>4500</v>
      </c>
      <c r="F32" s="428"/>
      <c r="G32" s="428"/>
      <c r="H32" s="400">
        <v>1500</v>
      </c>
      <c r="I32" s="2" t="s">
        <v>198</v>
      </c>
    </row>
    <row r="33" spans="1:9" x14ac:dyDescent="0.25">
      <c r="A33" s="406"/>
      <c r="B33" s="439" t="s">
        <v>121</v>
      </c>
      <c r="C33" s="440">
        <v>5</v>
      </c>
      <c r="D33" s="441">
        <v>2000</v>
      </c>
      <c r="E33" s="434">
        <f t="shared" si="0"/>
        <v>10000</v>
      </c>
      <c r="F33" s="442"/>
      <c r="G33" s="442"/>
      <c r="H33" s="435">
        <v>8000</v>
      </c>
      <c r="I33" s="2" t="s">
        <v>631</v>
      </c>
    </row>
    <row r="34" spans="1:9" x14ac:dyDescent="0.25">
      <c r="A34" s="408"/>
      <c r="B34" s="445" t="s">
        <v>123</v>
      </c>
      <c r="C34" s="446">
        <v>1</v>
      </c>
      <c r="D34" s="447">
        <v>2000</v>
      </c>
      <c r="E34" s="448">
        <f t="shared" si="0"/>
        <v>2000</v>
      </c>
      <c r="F34" s="449"/>
      <c r="G34" s="449"/>
      <c r="H34" s="450">
        <v>2000</v>
      </c>
      <c r="I34" s="2" t="s">
        <v>124</v>
      </c>
    </row>
    <row r="35" spans="1:9" x14ac:dyDescent="0.25">
      <c r="A35" s="411"/>
      <c r="B35" s="415"/>
      <c r="C35" s="416"/>
      <c r="D35" s="425"/>
      <c r="E35" s="426">
        <f>SUM(E29:E34)</f>
        <v>18500</v>
      </c>
      <c r="F35" s="428"/>
      <c r="G35" s="428"/>
      <c r="H35" s="428">
        <f>SUM(H29:H34)</f>
        <v>11500</v>
      </c>
      <c r="I35" s="2"/>
    </row>
    <row r="36" spans="1:9" x14ac:dyDescent="0.25">
      <c r="A36" s="411"/>
      <c r="B36" s="415"/>
      <c r="C36" s="416"/>
      <c r="D36" s="425"/>
      <c r="E36" s="400"/>
      <c r="F36" s="428"/>
      <c r="G36" s="428"/>
      <c r="H36" s="400"/>
      <c r="I36" s="2"/>
    </row>
    <row r="37" spans="1:9" ht="15.75" thickBot="1" x14ac:dyDescent="0.3">
      <c r="A37" s="411"/>
      <c r="B37" s="397"/>
      <c r="C37" s="424"/>
      <c r="D37" s="451">
        <f>(E37-H37)/H37</f>
        <v>0.13040093421564811</v>
      </c>
      <c r="E37" s="402">
        <f>SUM(E19+E25+E35)</f>
        <v>406560</v>
      </c>
      <c r="F37" s="403"/>
      <c r="G37" s="403"/>
      <c r="H37" s="404">
        <f>SUM(H19+H25+H35)</f>
        <v>359660</v>
      </c>
      <c r="I37" s="2"/>
    </row>
    <row r="38" spans="1:9" ht="15.75" thickTop="1" x14ac:dyDescent="0.25">
      <c r="A38" s="409"/>
      <c r="B38" s="13"/>
      <c r="C38" s="50"/>
      <c r="D38" s="13"/>
      <c r="E38" s="13"/>
      <c r="F38" s="13"/>
      <c r="G38" s="13"/>
      <c r="H38" s="26"/>
      <c r="I38" s="7"/>
    </row>
    <row r="39" spans="1:9" ht="15" customHeight="1" x14ac:dyDescent="0.3">
      <c r="A39" s="1118" t="s">
        <v>125</v>
      </c>
      <c r="B39" s="1118"/>
      <c r="C39" s="1118"/>
      <c r="D39" s="1118"/>
      <c r="E39" s="1118"/>
      <c r="F39" s="1118"/>
      <c r="G39" s="1118"/>
      <c r="H39" s="1118"/>
      <c r="I39" s="830"/>
    </row>
    <row r="40" spans="1:9" ht="15" customHeight="1" x14ac:dyDescent="0.25">
      <c r="A40" s="1098" t="s">
        <v>199</v>
      </c>
      <c r="B40" s="1099" t="s">
        <v>200</v>
      </c>
      <c r="C40" s="1076"/>
      <c r="D40" s="649"/>
      <c r="E40" s="1077">
        <f>ROUND((40.15*90*8)+((41*108%)*90*4),0)</f>
        <v>44849</v>
      </c>
      <c r="F40" s="1100"/>
      <c r="G40" s="1100"/>
      <c r="H40" s="1101">
        <v>44182</v>
      </c>
      <c r="I40" s="2"/>
    </row>
    <row r="41" spans="1:9" ht="15" customHeight="1" x14ac:dyDescent="0.25">
      <c r="A41" s="655" t="s">
        <v>716</v>
      </c>
      <c r="B41" s="656" t="s">
        <v>201</v>
      </c>
      <c r="C41" s="657"/>
      <c r="D41" s="832"/>
      <c r="E41" s="653">
        <f>((674.56-10)*90*8)+(((700-10)*115%)*90*4)</f>
        <v>764143.2</v>
      </c>
      <c r="F41" s="658"/>
      <c r="G41" s="658"/>
      <c r="H41" s="654">
        <v>881102.33599999989</v>
      </c>
      <c r="I41" s="2"/>
    </row>
    <row r="42" spans="1:9" ht="15" customHeight="1" x14ac:dyDescent="0.25">
      <c r="A42" s="639"/>
      <c r="B42" s="415" t="s">
        <v>202</v>
      </c>
      <c r="C42" s="416"/>
      <c r="D42" s="831"/>
      <c r="E42" s="417">
        <f>(200*20*12)</f>
        <v>48000</v>
      </c>
      <c r="F42" s="400"/>
      <c r="G42" s="400"/>
      <c r="H42" s="400">
        <v>45600</v>
      </c>
      <c r="I42" s="2"/>
    </row>
    <row r="43" spans="1:9" ht="15" customHeight="1" x14ac:dyDescent="0.25">
      <c r="A43" s="877"/>
      <c r="B43" s="816" t="s">
        <v>203</v>
      </c>
      <c r="C43" s="798"/>
      <c r="D43" s="878"/>
      <c r="E43" s="653">
        <f>(5819.33+11638.66)+(5819.33+34915.97)</f>
        <v>58193.29</v>
      </c>
      <c r="F43" s="879"/>
      <c r="G43" s="879"/>
      <c r="H43" s="879">
        <v>15560.07</v>
      </c>
      <c r="I43" s="2"/>
    </row>
    <row r="44" spans="1:9" s="983" customFormat="1" ht="15" customHeight="1" x14ac:dyDescent="0.25">
      <c r="A44" s="1098" t="s">
        <v>199</v>
      </c>
      <c r="B44" s="1102" t="s">
        <v>204</v>
      </c>
      <c r="C44" s="1103"/>
      <c r="D44" s="876"/>
      <c r="E44" s="1077">
        <f>((7.31*90)*8)+((8*108%)*90*4)</f>
        <v>8373.6</v>
      </c>
      <c r="F44" s="1078"/>
      <c r="G44" s="1078"/>
      <c r="H44" s="1078">
        <v>8327.8271999999997</v>
      </c>
    </row>
    <row r="45" spans="1:9" ht="15" customHeight="1" x14ac:dyDescent="0.25">
      <c r="A45" s="655"/>
      <c r="B45" s="650" t="s">
        <v>205</v>
      </c>
      <c r="C45" s="651"/>
      <c r="D45" s="652"/>
      <c r="E45" s="653">
        <f>((((4*92)*12)+2370))</f>
        <v>6786</v>
      </c>
      <c r="F45" s="654"/>
      <c r="G45" s="654"/>
      <c r="H45" s="654">
        <v>6498</v>
      </c>
      <c r="I45" s="2"/>
    </row>
    <row r="46" spans="1:9" ht="15" customHeight="1" x14ac:dyDescent="0.25">
      <c r="A46" s="640"/>
      <c r="B46" s="445" t="s">
        <v>206</v>
      </c>
      <c r="C46" s="476"/>
      <c r="D46" s="649"/>
      <c r="E46" s="417">
        <f>(((E4+E5)*0.18%))</f>
        <v>13757.4059379624</v>
      </c>
      <c r="F46" s="659"/>
      <c r="G46" s="659"/>
      <c r="H46" s="659">
        <v>23309</v>
      </c>
      <c r="I46" s="806"/>
    </row>
    <row r="47" spans="1:9" ht="15" customHeight="1" thickBot="1" x14ac:dyDescent="0.3">
      <c r="A47" s="679"/>
      <c r="B47" s="680"/>
      <c r="C47" s="664"/>
      <c r="D47" s="663">
        <f>(E47-H47)/H47</f>
        <v>-7.8546133529068279E-2</v>
      </c>
      <c r="E47" s="681">
        <f>SUM(E40:E46)</f>
        <v>944102.49593796232</v>
      </c>
      <c r="F47" s="682"/>
      <c r="G47" s="682"/>
      <c r="H47" s="737">
        <f>SUM(H40:H46)</f>
        <v>1024579.2331999999</v>
      </c>
      <c r="I47" s="2"/>
    </row>
    <row r="48" spans="1:9" ht="15.75" thickTop="1" x14ac:dyDescent="0.25">
      <c r="A48" s="477"/>
      <c r="B48" s="195"/>
      <c r="C48" s="196"/>
      <c r="D48" s="285"/>
      <c r="E48" s="195"/>
      <c r="F48" s="195"/>
      <c r="G48" s="195"/>
      <c r="H48" s="195"/>
      <c r="I48" s="197"/>
    </row>
    <row r="49" spans="1:11" ht="15" customHeight="1" x14ac:dyDescent="0.3">
      <c r="A49" s="1118" t="s">
        <v>12</v>
      </c>
      <c r="B49" s="1118"/>
      <c r="C49" s="1118"/>
      <c r="D49" s="1118"/>
      <c r="E49" s="1118"/>
      <c r="F49" s="1118"/>
      <c r="G49" s="1118"/>
      <c r="H49" s="1118"/>
      <c r="I49" s="197"/>
    </row>
    <row r="50" spans="1:11" s="195" customFormat="1" ht="15" customHeight="1" x14ac:dyDescent="0.25">
      <c r="A50" s="640" t="s">
        <v>207</v>
      </c>
      <c r="B50" s="445" t="s">
        <v>208</v>
      </c>
      <c r="C50" s="476"/>
      <c r="D50" s="476"/>
      <c r="E50" s="417">
        <f>SUM(E4:E9)*0.97</f>
        <v>7617342.0989019591</v>
      </c>
      <c r="F50" s="401"/>
      <c r="G50" s="401"/>
      <c r="H50" s="814">
        <v>7021109</v>
      </c>
      <c r="I50" s="683"/>
      <c r="J50"/>
      <c r="K50"/>
    </row>
    <row r="51" spans="1:11" s="195" customFormat="1" ht="15" customHeight="1" x14ac:dyDescent="0.25">
      <c r="A51" s="655"/>
      <c r="B51" s="656" t="s">
        <v>137</v>
      </c>
      <c r="C51" s="657"/>
      <c r="D51" s="634"/>
      <c r="E51" s="672">
        <f>SUM(E16+E17+E35)</f>
        <v>386000</v>
      </c>
      <c r="F51" s="674"/>
      <c r="G51" s="674"/>
      <c r="H51" s="674">
        <v>339100</v>
      </c>
      <c r="I51" s="2"/>
    </row>
    <row r="52" spans="1:11" ht="15" customHeight="1" x14ac:dyDescent="0.25">
      <c r="A52" s="610"/>
      <c r="B52" s="415"/>
      <c r="C52" s="416"/>
      <c r="D52" s="414"/>
      <c r="E52" s="417">
        <f>SUM(E50:E51)</f>
        <v>8003342.0989019591</v>
      </c>
      <c r="F52" s="427"/>
      <c r="G52" s="427"/>
      <c r="H52" s="428">
        <f>SUM(H50:H51)</f>
        <v>7360209</v>
      </c>
      <c r="I52" s="2"/>
      <c r="J52" s="195"/>
      <c r="K52" s="195"/>
    </row>
    <row r="53" spans="1:11" ht="15" customHeight="1" x14ac:dyDescent="0.25">
      <c r="A53" s="639"/>
      <c r="B53" s="398"/>
      <c r="C53" s="416"/>
      <c r="D53" s="416"/>
      <c r="E53" s="400"/>
      <c r="F53" s="400"/>
      <c r="G53" s="400"/>
      <c r="H53" s="400"/>
      <c r="I53" s="2"/>
    </row>
    <row r="54" spans="1:11" ht="15" customHeight="1" x14ac:dyDescent="0.25">
      <c r="A54" s="264" t="s">
        <v>633</v>
      </c>
      <c r="B54" s="666" t="s">
        <v>209</v>
      </c>
      <c r="C54" s="667"/>
      <c r="D54" s="668"/>
      <c r="E54" s="669">
        <f>E52*0.1%</f>
        <v>8003.3420989019596</v>
      </c>
      <c r="F54" s="684"/>
      <c r="G54" s="684"/>
      <c r="H54" s="685">
        <v>7360</v>
      </c>
      <c r="I54" s="2"/>
    </row>
    <row r="55" spans="1:11" ht="15" customHeight="1" thickBot="1" x14ac:dyDescent="0.3">
      <c r="A55" s="639"/>
      <c r="B55" s="423"/>
      <c r="C55" s="424"/>
      <c r="D55" s="425"/>
      <c r="E55" s="417">
        <f>SUM(E54)</f>
        <v>8003.3420989019596</v>
      </c>
      <c r="F55" s="452"/>
      <c r="G55" s="452"/>
      <c r="H55" s="453">
        <f>SUM(H54)</f>
        <v>7360</v>
      </c>
      <c r="I55" s="2"/>
    </row>
    <row r="56" spans="1:11" ht="15" customHeight="1" thickTop="1" x14ac:dyDescent="0.25">
      <c r="A56" s="639"/>
      <c r="B56" s="425"/>
      <c r="C56" s="429"/>
      <c r="D56" s="425"/>
      <c r="E56" s="425"/>
      <c r="F56" s="425"/>
      <c r="G56" s="425"/>
      <c r="H56" s="400"/>
      <c r="I56" s="7"/>
    </row>
    <row r="57" spans="1:11" ht="15" customHeight="1" x14ac:dyDescent="0.25">
      <c r="A57" s="640" t="s">
        <v>634</v>
      </c>
      <c r="B57" s="405" t="s">
        <v>635</v>
      </c>
      <c r="C57" s="476"/>
      <c r="D57" s="478"/>
      <c r="E57" s="417">
        <f>E52*16.1%</f>
        <v>1288538.0779232155</v>
      </c>
      <c r="F57" s="805"/>
      <c r="G57" s="805"/>
      <c r="H57" s="659">
        <v>1230627</v>
      </c>
      <c r="I57" s="7"/>
    </row>
    <row r="58" spans="1:11" ht="15" customHeight="1" x14ac:dyDescent="0.25">
      <c r="A58" s="671" t="s">
        <v>633</v>
      </c>
      <c r="B58" s="660" t="s">
        <v>209</v>
      </c>
      <c r="C58" s="651"/>
      <c r="D58" s="634"/>
      <c r="E58" s="672">
        <f>E52*0.1%</f>
        <v>8003.3420989019596</v>
      </c>
      <c r="F58" s="673"/>
      <c r="G58" s="673"/>
      <c r="H58" s="674">
        <v>7360</v>
      </c>
      <c r="I58" s="7"/>
    </row>
    <row r="59" spans="1:11" ht="15" customHeight="1" x14ac:dyDescent="0.25">
      <c r="A59" s="640"/>
      <c r="B59" s="661"/>
      <c r="C59" s="662"/>
      <c r="D59" s="663">
        <f>(E59-H59)/H59</f>
        <v>4.7298089577772172E-2</v>
      </c>
      <c r="E59" s="417">
        <f>SUM(E57:E58)</f>
        <v>1296541.4200221174</v>
      </c>
      <c r="F59" s="539"/>
      <c r="G59" s="539"/>
      <c r="H59" s="659">
        <f>SUM(H57:H58)</f>
        <v>1237987</v>
      </c>
      <c r="I59" s="7"/>
    </row>
    <row r="60" spans="1:11" ht="15" customHeight="1" x14ac:dyDescent="0.25">
      <c r="A60" s="610"/>
      <c r="B60" s="395"/>
      <c r="C60" s="455"/>
      <c r="D60" s="454"/>
      <c r="E60" s="399"/>
      <c r="F60" s="395"/>
      <c r="G60" s="395"/>
      <c r="H60" s="400"/>
      <c r="I60" s="7"/>
    </row>
    <row r="61" spans="1:11" ht="15" customHeight="1" x14ac:dyDescent="0.25">
      <c r="A61" s="264" t="s">
        <v>143</v>
      </c>
      <c r="B61" s="629" t="s">
        <v>210</v>
      </c>
      <c r="C61" s="670"/>
      <c r="D61" s="668"/>
      <c r="E61" s="647">
        <f>E52*19.1%</f>
        <v>1528638.3408902742</v>
      </c>
      <c r="F61" s="629"/>
      <c r="G61" s="629"/>
      <c r="H61" s="665">
        <v>1405800</v>
      </c>
      <c r="I61" s="7"/>
    </row>
    <row r="62" spans="1:11" ht="15" customHeight="1" x14ac:dyDescent="0.25">
      <c r="A62" s="639" t="s">
        <v>211</v>
      </c>
      <c r="B62" s="395" t="s">
        <v>212</v>
      </c>
      <c r="C62" s="455"/>
      <c r="D62" s="399"/>
      <c r="E62" s="425"/>
      <c r="F62" s="395"/>
      <c r="G62" s="395"/>
      <c r="H62" s="400"/>
      <c r="I62" s="7"/>
    </row>
    <row r="63" spans="1:11" ht="15" customHeight="1" thickBot="1" x14ac:dyDescent="0.3">
      <c r="A63" s="610"/>
      <c r="B63" s="397"/>
      <c r="C63" s="455"/>
      <c r="D63" s="451">
        <f>(E63-H63)/H63</f>
        <v>8.7379670572111365E-2</v>
      </c>
      <c r="E63" s="402">
        <f>SUM(E61:E62)</f>
        <v>1528638.3408902742</v>
      </c>
      <c r="F63" s="825"/>
      <c r="G63" s="825"/>
      <c r="H63" s="404">
        <f>SUM(H61:H62)</f>
        <v>1405800</v>
      </c>
      <c r="I63" s="7"/>
    </row>
    <row r="64" spans="1:11" ht="19.5" customHeight="1" thickTop="1" x14ac:dyDescent="0.25">
      <c r="A64" s="409"/>
      <c r="B64" s="62"/>
      <c r="C64" s="67"/>
      <c r="D64" s="13"/>
      <c r="E64" s="62"/>
      <c r="F64" s="62"/>
      <c r="G64" s="62"/>
      <c r="H64" s="26"/>
      <c r="I64" s="7"/>
    </row>
    <row r="65" spans="1:9" ht="15" customHeight="1" x14ac:dyDescent="0.3">
      <c r="A65" s="1116" t="s">
        <v>147</v>
      </c>
      <c r="B65" s="1117"/>
      <c r="C65" s="1117"/>
      <c r="D65" s="1117"/>
      <c r="E65" s="1117"/>
      <c r="F65" s="1117"/>
      <c r="G65" s="1117"/>
      <c r="H65" s="1117"/>
      <c r="I65" s="2"/>
    </row>
    <row r="66" spans="1:9" ht="15" customHeight="1" x14ac:dyDescent="0.25">
      <c r="A66" s="639" t="s">
        <v>213</v>
      </c>
      <c r="B66" s="425" t="s">
        <v>148</v>
      </c>
      <c r="C66" s="429"/>
      <c r="D66" s="425"/>
      <c r="E66" s="417">
        <f>(2069*4)*110%</f>
        <v>9103.6</v>
      </c>
      <c r="F66" s="457"/>
      <c r="G66" s="457"/>
      <c r="H66" s="458">
        <v>9103.6</v>
      </c>
      <c r="I66" s="2"/>
    </row>
    <row r="67" spans="1:9" ht="15" customHeight="1" thickBot="1" x14ac:dyDescent="0.3">
      <c r="A67" s="456"/>
      <c r="B67" s="459"/>
      <c r="C67" s="463"/>
      <c r="D67" s="637">
        <f>(E67-H67)/H67</f>
        <v>0</v>
      </c>
      <c r="E67" s="460">
        <f>SUM(E66)</f>
        <v>9103.6</v>
      </c>
      <c r="F67" s="461"/>
      <c r="G67" s="461"/>
      <c r="H67" s="462">
        <f>SUM(H66)</f>
        <v>9103.6</v>
      </c>
      <c r="I67" s="2"/>
    </row>
    <row r="68" spans="1:9" ht="19.5" customHeight="1" thickTop="1" x14ac:dyDescent="0.25">
      <c r="A68" s="409"/>
      <c r="B68" s="13"/>
      <c r="C68" s="50"/>
      <c r="D68" s="13"/>
      <c r="E68" s="13"/>
      <c r="F68" s="13"/>
      <c r="G68" s="13"/>
      <c r="H68" s="26"/>
      <c r="I68" s="7"/>
    </row>
    <row r="69" spans="1:9" ht="15" customHeight="1" x14ac:dyDescent="0.3">
      <c r="A69" s="1116" t="s">
        <v>149</v>
      </c>
      <c r="B69" s="1117"/>
      <c r="C69" s="1117"/>
      <c r="D69" s="1117"/>
      <c r="E69" s="1117"/>
      <c r="F69" s="1117"/>
      <c r="G69" s="1117"/>
      <c r="H69" s="1117"/>
      <c r="I69" s="2"/>
    </row>
    <row r="70" spans="1:9" ht="15" customHeight="1" x14ac:dyDescent="0.25">
      <c r="A70" s="409"/>
      <c r="B70" s="464" t="s">
        <v>150</v>
      </c>
      <c r="C70" s="431"/>
      <c r="D70" s="398"/>
      <c r="E70" s="398"/>
      <c r="F70" s="398"/>
      <c r="G70" s="398"/>
      <c r="H70" s="398"/>
      <c r="I70" s="2"/>
    </row>
    <row r="71" spans="1:9" ht="15" customHeight="1" x14ac:dyDescent="0.25">
      <c r="A71" s="409"/>
      <c r="B71" s="415" t="s">
        <v>151</v>
      </c>
      <c r="C71" s="416"/>
      <c r="D71" s="415"/>
      <c r="E71" s="417">
        <f>SUM(E4+E5+E6+E7+E8+E9+E10+E16+E17+E35)</f>
        <v>8323929.9988679998</v>
      </c>
      <c r="F71" s="467"/>
      <c r="G71" s="467"/>
      <c r="H71" s="458">
        <v>7662356</v>
      </c>
      <c r="I71" s="2"/>
    </row>
    <row r="72" spans="1:9" ht="15" customHeight="1" x14ac:dyDescent="0.25">
      <c r="A72" s="410"/>
      <c r="B72" s="418" t="s">
        <v>152</v>
      </c>
      <c r="C72" s="419"/>
      <c r="D72" s="419"/>
      <c r="E72" s="465">
        <v>1.4500000000000001E-2</v>
      </c>
      <c r="F72" s="466"/>
      <c r="G72" s="466"/>
      <c r="H72" s="465">
        <v>1.4500000000000001E-2</v>
      </c>
      <c r="I72" s="2"/>
    </row>
    <row r="73" spans="1:9" ht="15" customHeight="1" x14ac:dyDescent="0.25">
      <c r="A73" s="409"/>
      <c r="B73" s="423" t="s">
        <v>153</v>
      </c>
      <c r="C73" s="424"/>
      <c r="D73" s="451">
        <f>(E73-H73)/H73</f>
        <v>8.6340806779011528E-2</v>
      </c>
      <c r="E73" s="417">
        <f>(E71*E72)</f>
        <v>120696.98498358601</v>
      </c>
      <c r="F73" s="467"/>
      <c r="G73" s="467"/>
      <c r="H73" s="400">
        <f>H71*H72</f>
        <v>111104.16200000001</v>
      </c>
      <c r="I73" s="2"/>
    </row>
    <row r="74" spans="1:9" ht="15" customHeight="1" x14ac:dyDescent="0.25">
      <c r="A74" s="409"/>
      <c r="B74" s="464"/>
      <c r="C74" s="431"/>
      <c r="D74" s="398"/>
      <c r="E74" s="468"/>
      <c r="F74" s="468"/>
      <c r="G74" s="468"/>
      <c r="H74" s="468"/>
      <c r="I74" s="2"/>
    </row>
    <row r="75" spans="1:9" ht="15" customHeight="1" x14ac:dyDescent="0.25">
      <c r="A75" s="409"/>
      <c r="B75" s="464" t="s">
        <v>154</v>
      </c>
      <c r="C75" s="431"/>
      <c r="D75" s="398"/>
      <c r="E75" s="398"/>
      <c r="F75" s="398"/>
      <c r="G75" s="398"/>
      <c r="H75" s="398"/>
      <c r="I75" s="57"/>
    </row>
    <row r="76" spans="1:9" ht="15" customHeight="1" x14ac:dyDescent="0.25">
      <c r="A76" s="115" t="s">
        <v>214</v>
      </c>
      <c r="B76" s="415" t="s">
        <v>156</v>
      </c>
      <c r="C76" s="416"/>
      <c r="D76" s="415"/>
      <c r="E76" s="807">
        <v>30000</v>
      </c>
      <c r="F76" s="400"/>
      <c r="G76" s="400"/>
      <c r="H76" s="400">
        <v>30000</v>
      </c>
      <c r="I76" s="2"/>
    </row>
    <row r="77" spans="1:9" ht="15" customHeight="1" x14ac:dyDescent="0.25">
      <c r="A77" s="410"/>
      <c r="B77" s="418" t="s">
        <v>157</v>
      </c>
      <c r="C77" s="419"/>
      <c r="D77" s="418"/>
      <c r="E77" s="469">
        <v>6.2E-2</v>
      </c>
      <c r="F77" s="466"/>
      <c r="G77" s="466"/>
      <c r="H77" s="465">
        <v>6.2E-2</v>
      </c>
      <c r="I77" s="2"/>
    </row>
    <row r="78" spans="1:9" ht="15" customHeight="1" x14ac:dyDescent="0.25">
      <c r="A78" s="411"/>
      <c r="B78" s="423" t="s">
        <v>153</v>
      </c>
      <c r="C78" s="424"/>
      <c r="D78" s="398"/>
      <c r="E78" s="417">
        <f>E76*E77</f>
        <v>1860</v>
      </c>
      <c r="F78" s="468"/>
      <c r="G78" s="468"/>
      <c r="H78" s="400">
        <f>H76*H77</f>
        <v>1860</v>
      </c>
      <c r="I78" s="2"/>
    </row>
    <row r="79" spans="1:9" ht="15" customHeight="1" x14ac:dyDescent="0.25">
      <c r="A79" s="409"/>
      <c r="B79" s="425"/>
      <c r="C79" s="429"/>
      <c r="D79" s="425"/>
      <c r="E79" s="414"/>
      <c r="F79" s="414"/>
      <c r="G79" s="414"/>
      <c r="H79" s="414"/>
      <c r="I79" s="2"/>
    </row>
    <row r="80" spans="1:9" ht="15" customHeight="1" thickBot="1" x14ac:dyDescent="0.3">
      <c r="A80" s="409"/>
      <c r="B80" s="397"/>
      <c r="C80" s="424"/>
      <c r="D80" s="451">
        <f>(E80-H80)/H80</f>
        <v>8.491917094543662E-2</v>
      </c>
      <c r="E80" s="402">
        <f>SUM(E73+E78)</f>
        <v>122556.98498358601</v>
      </c>
      <c r="F80" s="826"/>
      <c r="G80" s="826"/>
      <c r="H80" s="404">
        <f>SUM(H73+H78)</f>
        <v>112964.16200000001</v>
      </c>
      <c r="I80" s="2"/>
    </row>
    <row r="81" spans="1:9" ht="15" customHeight="1" thickTop="1" thickBot="1" x14ac:dyDescent="0.3">
      <c r="A81" s="13"/>
      <c r="B81" s="425"/>
      <c r="C81" s="429"/>
      <c r="D81" s="425"/>
      <c r="E81" s="425"/>
      <c r="F81" s="425"/>
      <c r="G81" s="425"/>
      <c r="H81" s="414"/>
      <c r="I81" s="2"/>
    </row>
    <row r="82" spans="1:9" ht="15.75" thickBot="1" x14ac:dyDescent="0.3">
      <c r="A82" s="13"/>
      <c r="B82" s="470" t="s">
        <v>158</v>
      </c>
      <c r="C82" s="471"/>
      <c r="D82" s="451">
        <f>(E82-H82)/H82</f>
        <v>6.9373239284063318E-2</v>
      </c>
      <c r="E82" s="472">
        <f>SUM(E12+E37+E47+E63+E67+E80)</f>
        <v>10998891.420679821</v>
      </c>
      <c r="F82" s="473"/>
      <c r="G82" s="473"/>
      <c r="H82" s="474">
        <f>SUM(H12+H37+H47+H63+H67+H80)</f>
        <v>10285362.5064</v>
      </c>
      <c r="I82" s="2"/>
    </row>
    <row r="83" spans="1:9" ht="13.5" customHeight="1" x14ac:dyDescent="0.25">
      <c r="A83" s="13"/>
      <c r="B83" s="13"/>
      <c r="C83" s="50"/>
      <c r="D83" s="81"/>
      <c r="E83" s="13"/>
      <c r="F83" s="13"/>
      <c r="G83" s="13"/>
      <c r="H83" s="26"/>
      <c r="I83" s="57"/>
    </row>
    <row r="84" spans="1:9" x14ac:dyDescent="0.25">
      <c r="C84" s="393"/>
      <c r="I84" s="57"/>
    </row>
    <row r="85" spans="1:9" x14ac:dyDescent="0.25">
      <c r="C85" s="393"/>
      <c r="I85" s="57"/>
    </row>
    <row r="86" spans="1:9" x14ac:dyDescent="0.25">
      <c r="I86" s="57"/>
    </row>
    <row r="87" spans="1:9" x14ac:dyDescent="0.25">
      <c r="I87" s="57"/>
    </row>
    <row r="88" spans="1:9" x14ac:dyDescent="0.25">
      <c r="I88" s="57"/>
    </row>
    <row r="89" spans="1:9" x14ac:dyDescent="0.25">
      <c r="I89" s="57"/>
    </row>
    <row r="90" spans="1:9" x14ac:dyDescent="0.25">
      <c r="I90" s="57"/>
    </row>
    <row r="91" spans="1:9" x14ac:dyDescent="0.25">
      <c r="I91" s="57"/>
    </row>
    <row r="92" spans="1:9" x14ac:dyDescent="0.25">
      <c r="I92" s="57"/>
    </row>
    <row r="93" spans="1:9" x14ac:dyDescent="0.25">
      <c r="I93" s="57"/>
    </row>
    <row r="94" spans="1:9" x14ac:dyDescent="0.25">
      <c r="I94" s="57"/>
    </row>
    <row r="95" spans="1:9" x14ac:dyDescent="0.25">
      <c r="I95" s="57"/>
    </row>
    <row r="96" spans="1:9" x14ac:dyDescent="0.25">
      <c r="I96" s="57"/>
    </row>
    <row r="97" spans="9:9" x14ac:dyDescent="0.25">
      <c r="I97" s="57"/>
    </row>
    <row r="98" spans="9:9" x14ac:dyDescent="0.25">
      <c r="I98" s="57"/>
    </row>
    <row r="99" spans="9:9" x14ac:dyDescent="0.25">
      <c r="I99" s="57"/>
    </row>
    <row r="100" spans="9:9" x14ac:dyDescent="0.25">
      <c r="I100" s="57"/>
    </row>
    <row r="101" spans="9:9" x14ac:dyDescent="0.25">
      <c r="I101" s="57"/>
    </row>
    <row r="102" spans="9:9" x14ac:dyDescent="0.25">
      <c r="I102" s="57"/>
    </row>
    <row r="103" spans="9:9" x14ac:dyDescent="0.25">
      <c r="I103" s="57"/>
    </row>
    <row r="104" spans="9:9" x14ac:dyDescent="0.25">
      <c r="I104" s="57"/>
    </row>
    <row r="105" spans="9:9" x14ac:dyDescent="0.25">
      <c r="I105" s="57"/>
    </row>
    <row r="106" spans="9:9" x14ac:dyDescent="0.25">
      <c r="I106" s="57"/>
    </row>
    <row r="107" spans="9:9" x14ac:dyDescent="0.25">
      <c r="I107" s="57"/>
    </row>
    <row r="108" spans="9:9" x14ac:dyDescent="0.25">
      <c r="I108" s="57"/>
    </row>
    <row r="109" spans="9:9" x14ac:dyDescent="0.25">
      <c r="I109" s="57"/>
    </row>
    <row r="110" spans="9:9" x14ac:dyDescent="0.25">
      <c r="I110" s="57"/>
    </row>
    <row r="111" spans="9:9" x14ac:dyDescent="0.25">
      <c r="I111" s="57"/>
    </row>
    <row r="112" spans="9:9" x14ac:dyDescent="0.25">
      <c r="I112" s="57"/>
    </row>
    <row r="113" spans="9:9" x14ac:dyDescent="0.25">
      <c r="I113" s="57"/>
    </row>
    <row r="114" spans="9:9" x14ac:dyDescent="0.25">
      <c r="I114" s="57"/>
    </row>
    <row r="115" spans="9:9" x14ac:dyDescent="0.25">
      <c r="I115" s="57"/>
    </row>
    <row r="116" spans="9:9" x14ac:dyDescent="0.25">
      <c r="I116" s="57"/>
    </row>
    <row r="117" spans="9:9" x14ac:dyDescent="0.25">
      <c r="I117" s="57"/>
    </row>
    <row r="118" spans="9:9" x14ac:dyDescent="0.25">
      <c r="I118" s="57"/>
    </row>
    <row r="119" spans="9:9" x14ac:dyDescent="0.25">
      <c r="I119" s="57"/>
    </row>
    <row r="120" spans="9:9" x14ac:dyDescent="0.25">
      <c r="I120" s="57"/>
    </row>
    <row r="121" spans="9:9" x14ac:dyDescent="0.25">
      <c r="I121" s="57"/>
    </row>
    <row r="122" spans="9:9" x14ac:dyDescent="0.25">
      <c r="I122" s="57"/>
    </row>
    <row r="123" spans="9:9" x14ac:dyDescent="0.25">
      <c r="I123" s="57"/>
    </row>
    <row r="124" spans="9:9" x14ac:dyDescent="0.25">
      <c r="I124" s="57"/>
    </row>
    <row r="125" spans="9:9" x14ac:dyDescent="0.25">
      <c r="I125" s="57"/>
    </row>
    <row r="126" spans="9:9" x14ac:dyDescent="0.25">
      <c r="I126" s="57"/>
    </row>
    <row r="127" spans="9:9" x14ac:dyDescent="0.25">
      <c r="I127" s="57"/>
    </row>
    <row r="128" spans="9:9" x14ac:dyDescent="0.25">
      <c r="I128" s="57"/>
    </row>
    <row r="129" spans="9:9" x14ac:dyDescent="0.25">
      <c r="I129" s="57"/>
    </row>
    <row r="130" spans="9:9" x14ac:dyDescent="0.25">
      <c r="I130" s="57"/>
    </row>
    <row r="131" spans="9:9" x14ac:dyDescent="0.25">
      <c r="I131" s="57"/>
    </row>
    <row r="132" spans="9:9" x14ac:dyDescent="0.25">
      <c r="I132" s="57"/>
    </row>
    <row r="133" spans="9:9" x14ac:dyDescent="0.25">
      <c r="I133" s="57"/>
    </row>
    <row r="134" spans="9:9" x14ac:dyDescent="0.25">
      <c r="I134" s="57"/>
    </row>
    <row r="135" spans="9:9" x14ac:dyDescent="0.25">
      <c r="I135" s="57"/>
    </row>
    <row r="136" spans="9:9" x14ac:dyDescent="0.25">
      <c r="I136" s="57"/>
    </row>
    <row r="137" spans="9:9" x14ac:dyDescent="0.25">
      <c r="I137" s="57"/>
    </row>
    <row r="138" spans="9:9" x14ac:dyDescent="0.25">
      <c r="I138" s="57"/>
    </row>
    <row r="139" spans="9:9" x14ac:dyDescent="0.25">
      <c r="I139" s="57"/>
    </row>
    <row r="140" spans="9:9" x14ac:dyDescent="0.25">
      <c r="I140" s="57"/>
    </row>
    <row r="141" spans="9:9" x14ac:dyDescent="0.25">
      <c r="I141" s="57"/>
    </row>
    <row r="142" spans="9:9" x14ac:dyDescent="0.25">
      <c r="I142" s="57"/>
    </row>
    <row r="143" spans="9:9" x14ac:dyDescent="0.25">
      <c r="I143" s="57"/>
    </row>
    <row r="144" spans="9:9" x14ac:dyDescent="0.25">
      <c r="I144" s="57"/>
    </row>
    <row r="145" spans="9:9" x14ac:dyDescent="0.25">
      <c r="I145" s="57"/>
    </row>
    <row r="146" spans="9:9" x14ac:dyDescent="0.25">
      <c r="I146" s="57"/>
    </row>
    <row r="147" spans="9:9" x14ac:dyDescent="0.25">
      <c r="I147" s="57"/>
    </row>
    <row r="148" spans="9:9" x14ac:dyDescent="0.25">
      <c r="I148" s="57"/>
    </row>
    <row r="149" spans="9:9" x14ac:dyDescent="0.25">
      <c r="I149" s="57"/>
    </row>
    <row r="150" spans="9:9" x14ac:dyDescent="0.25">
      <c r="I150" s="57"/>
    </row>
    <row r="151" spans="9:9" x14ac:dyDescent="0.25">
      <c r="I151" s="57"/>
    </row>
    <row r="152" spans="9:9" x14ac:dyDescent="0.25">
      <c r="I152" s="57"/>
    </row>
    <row r="153" spans="9:9" x14ac:dyDescent="0.25">
      <c r="I153" s="57"/>
    </row>
    <row r="154" spans="9:9" x14ac:dyDescent="0.25">
      <c r="I154" s="57"/>
    </row>
    <row r="155" spans="9:9" x14ac:dyDescent="0.25">
      <c r="I155" s="57"/>
    </row>
    <row r="156" spans="9:9" x14ac:dyDescent="0.25">
      <c r="I156" s="57"/>
    </row>
    <row r="157" spans="9:9" x14ac:dyDescent="0.25">
      <c r="I157" s="57"/>
    </row>
    <row r="158" spans="9:9" x14ac:dyDescent="0.25">
      <c r="I158" s="57"/>
    </row>
    <row r="159" spans="9:9" x14ac:dyDescent="0.25">
      <c r="I159" s="57"/>
    </row>
    <row r="160" spans="9:9" x14ac:dyDescent="0.25">
      <c r="I160" s="57"/>
    </row>
    <row r="161" spans="9:9" x14ac:dyDescent="0.25">
      <c r="I161" s="57"/>
    </row>
    <row r="162" spans="9:9" x14ac:dyDescent="0.25">
      <c r="I162" s="57"/>
    </row>
    <row r="163" spans="9:9" x14ac:dyDescent="0.25">
      <c r="I163" s="57"/>
    </row>
    <row r="164" spans="9:9" x14ac:dyDescent="0.25">
      <c r="I164" s="57"/>
    </row>
    <row r="165" spans="9:9" x14ac:dyDescent="0.25">
      <c r="I165" s="57"/>
    </row>
    <row r="166" spans="9:9" x14ac:dyDescent="0.25">
      <c r="I166" s="57"/>
    </row>
    <row r="167" spans="9:9" x14ac:dyDescent="0.25">
      <c r="I167" s="57"/>
    </row>
    <row r="168" spans="9:9" x14ac:dyDescent="0.25">
      <c r="I168" s="57"/>
    </row>
    <row r="169" spans="9:9" x14ac:dyDescent="0.25">
      <c r="I169" s="57"/>
    </row>
    <row r="170" spans="9:9" x14ac:dyDescent="0.25">
      <c r="I170" s="57"/>
    </row>
    <row r="171" spans="9:9" x14ac:dyDescent="0.25">
      <c r="I171" s="57"/>
    </row>
    <row r="172" spans="9:9" x14ac:dyDescent="0.25">
      <c r="I172" s="57"/>
    </row>
    <row r="173" spans="9:9" x14ac:dyDescent="0.25">
      <c r="I173" s="57"/>
    </row>
    <row r="174" spans="9:9" x14ac:dyDescent="0.25">
      <c r="I174" s="57"/>
    </row>
    <row r="175" spans="9:9" x14ac:dyDescent="0.25">
      <c r="I175" s="57"/>
    </row>
    <row r="176" spans="9:9" x14ac:dyDescent="0.25">
      <c r="I176" s="57"/>
    </row>
    <row r="177" spans="9:9" x14ac:dyDescent="0.25">
      <c r="I177" s="57"/>
    </row>
    <row r="178" spans="9:9" x14ac:dyDescent="0.25">
      <c r="I178" s="57"/>
    </row>
    <row r="179" spans="9:9" x14ac:dyDescent="0.25">
      <c r="I179" s="57"/>
    </row>
    <row r="180" spans="9:9" x14ac:dyDescent="0.25">
      <c r="I180" s="57"/>
    </row>
    <row r="181" spans="9:9" x14ac:dyDescent="0.25">
      <c r="I181" s="57"/>
    </row>
    <row r="182" spans="9:9" x14ac:dyDescent="0.25">
      <c r="I182" s="57"/>
    </row>
    <row r="183" spans="9:9" x14ac:dyDescent="0.25">
      <c r="I183" s="57"/>
    </row>
    <row r="184" spans="9:9" x14ac:dyDescent="0.25">
      <c r="I184" s="57"/>
    </row>
    <row r="185" spans="9:9" x14ac:dyDescent="0.25">
      <c r="I185" s="57"/>
    </row>
    <row r="186" spans="9:9" x14ac:dyDescent="0.25">
      <c r="I186" s="57"/>
    </row>
    <row r="187" spans="9:9" x14ac:dyDescent="0.25">
      <c r="I187" s="57"/>
    </row>
    <row r="188" spans="9:9" x14ac:dyDescent="0.25">
      <c r="I188" s="57"/>
    </row>
    <row r="189" spans="9:9" x14ac:dyDescent="0.25">
      <c r="I189" s="57"/>
    </row>
    <row r="190" spans="9:9" x14ac:dyDescent="0.25">
      <c r="I190" s="57"/>
    </row>
    <row r="191" spans="9:9" x14ac:dyDescent="0.25">
      <c r="I191" s="57"/>
    </row>
    <row r="192" spans="9:9" x14ac:dyDescent="0.25">
      <c r="I192" s="57"/>
    </row>
    <row r="193" spans="9:9" x14ac:dyDescent="0.25">
      <c r="I193" s="57"/>
    </row>
    <row r="194" spans="9:9" x14ac:dyDescent="0.25">
      <c r="I194" s="57"/>
    </row>
    <row r="195" spans="9:9" x14ac:dyDescent="0.25">
      <c r="I195" s="57"/>
    </row>
    <row r="196" spans="9:9" x14ac:dyDescent="0.25">
      <c r="I196" s="57"/>
    </row>
    <row r="197" spans="9:9" x14ac:dyDescent="0.25">
      <c r="I197" s="57"/>
    </row>
    <row r="198" spans="9:9" x14ac:dyDescent="0.25">
      <c r="I198" s="57"/>
    </row>
    <row r="199" spans="9:9" x14ac:dyDescent="0.25">
      <c r="I199" s="57"/>
    </row>
    <row r="200" spans="9:9" x14ac:dyDescent="0.25">
      <c r="I200" s="57"/>
    </row>
    <row r="201" spans="9:9" x14ac:dyDescent="0.25">
      <c r="I201" s="57"/>
    </row>
    <row r="202" spans="9:9" x14ac:dyDescent="0.25">
      <c r="I202" s="57"/>
    </row>
    <row r="203" spans="9:9" x14ac:dyDescent="0.25">
      <c r="I203" s="57"/>
    </row>
    <row r="204" spans="9:9" x14ac:dyDescent="0.25">
      <c r="I204" s="57"/>
    </row>
    <row r="205" spans="9:9" x14ac:dyDescent="0.25">
      <c r="I205" s="57"/>
    </row>
    <row r="206" spans="9:9" x14ac:dyDescent="0.25">
      <c r="I206" s="57"/>
    </row>
    <row r="207" spans="9:9" x14ac:dyDescent="0.25">
      <c r="I207" s="57"/>
    </row>
    <row r="208" spans="9:9" x14ac:dyDescent="0.25">
      <c r="I208" s="57"/>
    </row>
    <row r="209" spans="9:9" x14ac:dyDescent="0.25">
      <c r="I209" s="57"/>
    </row>
    <row r="210" spans="9:9" x14ac:dyDescent="0.25">
      <c r="I210" s="57"/>
    </row>
    <row r="211" spans="9:9" x14ac:dyDescent="0.25">
      <c r="I211" s="57"/>
    </row>
    <row r="212" spans="9:9" x14ac:dyDescent="0.25">
      <c r="I212" s="57"/>
    </row>
    <row r="213" spans="9:9" x14ac:dyDescent="0.25">
      <c r="I213" s="57"/>
    </row>
    <row r="214" spans="9:9" x14ac:dyDescent="0.25">
      <c r="I214" s="57"/>
    </row>
    <row r="215" spans="9:9" x14ac:dyDescent="0.25">
      <c r="I215" s="57"/>
    </row>
    <row r="216" spans="9:9" x14ac:dyDescent="0.25">
      <c r="I216" s="57"/>
    </row>
    <row r="217" spans="9:9" x14ac:dyDescent="0.25">
      <c r="I217" s="57"/>
    </row>
    <row r="218" spans="9:9" x14ac:dyDescent="0.25">
      <c r="I218" s="57"/>
    </row>
    <row r="219" spans="9:9" x14ac:dyDescent="0.25">
      <c r="I219" s="57"/>
    </row>
    <row r="220" spans="9:9" x14ac:dyDescent="0.25">
      <c r="I220" s="57"/>
    </row>
    <row r="221" spans="9:9" x14ac:dyDescent="0.25">
      <c r="I221" s="57"/>
    </row>
    <row r="222" spans="9:9" x14ac:dyDescent="0.25">
      <c r="I222" s="57"/>
    </row>
    <row r="223" spans="9:9" x14ac:dyDescent="0.25">
      <c r="I223" s="57"/>
    </row>
    <row r="224" spans="9:9" x14ac:dyDescent="0.25">
      <c r="I224" s="57"/>
    </row>
    <row r="225" spans="9:9" x14ac:dyDescent="0.25">
      <c r="I225" s="57"/>
    </row>
    <row r="226" spans="9:9" x14ac:dyDescent="0.25">
      <c r="I226" s="57"/>
    </row>
    <row r="227" spans="9:9" x14ac:dyDescent="0.25">
      <c r="I227" s="57"/>
    </row>
    <row r="228" spans="9:9" x14ac:dyDescent="0.25">
      <c r="I228" s="57"/>
    </row>
    <row r="229" spans="9:9" x14ac:dyDescent="0.25">
      <c r="I229" s="57"/>
    </row>
    <row r="230" spans="9:9" x14ac:dyDescent="0.25">
      <c r="I230" s="57"/>
    </row>
    <row r="231" spans="9:9" x14ac:dyDescent="0.25">
      <c r="I231" s="57"/>
    </row>
    <row r="232" spans="9:9" x14ac:dyDescent="0.25">
      <c r="I232" s="57"/>
    </row>
    <row r="233" spans="9:9" x14ac:dyDescent="0.25">
      <c r="I233" s="57"/>
    </row>
    <row r="234" spans="9:9" x14ac:dyDescent="0.25">
      <c r="I234" s="57"/>
    </row>
    <row r="235" spans="9:9" x14ac:dyDescent="0.25">
      <c r="I235" s="57"/>
    </row>
    <row r="236" spans="9:9" x14ac:dyDescent="0.25">
      <c r="I236" s="57"/>
    </row>
    <row r="237" spans="9:9" x14ac:dyDescent="0.25">
      <c r="I237" s="57"/>
    </row>
    <row r="238" spans="9:9" x14ac:dyDescent="0.25">
      <c r="I238" s="57"/>
    </row>
    <row r="239" spans="9:9" x14ac:dyDescent="0.25">
      <c r="I239" s="57"/>
    </row>
    <row r="240" spans="9:9" x14ac:dyDescent="0.25">
      <c r="I240" s="57"/>
    </row>
    <row r="241" spans="9:9" x14ac:dyDescent="0.25">
      <c r="I241" s="57"/>
    </row>
    <row r="242" spans="9:9" x14ac:dyDescent="0.25">
      <c r="I242" s="57"/>
    </row>
    <row r="243" spans="9:9" x14ac:dyDescent="0.25">
      <c r="I243" s="57"/>
    </row>
    <row r="244" spans="9:9" x14ac:dyDescent="0.25">
      <c r="I244" s="57"/>
    </row>
    <row r="245" spans="9:9" x14ac:dyDescent="0.25">
      <c r="I245" s="57"/>
    </row>
    <row r="246" spans="9:9" x14ac:dyDescent="0.25">
      <c r="I246" s="57"/>
    </row>
    <row r="247" spans="9:9" x14ac:dyDescent="0.25">
      <c r="I247" s="57"/>
    </row>
    <row r="248" spans="9:9" x14ac:dyDescent="0.25">
      <c r="I248" s="57"/>
    </row>
    <row r="249" spans="9:9" x14ac:dyDescent="0.25">
      <c r="I249" s="57"/>
    </row>
    <row r="250" spans="9:9" x14ac:dyDescent="0.25">
      <c r="I250" s="57"/>
    </row>
    <row r="251" spans="9:9" x14ac:dyDescent="0.25">
      <c r="I251" s="57"/>
    </row>
    <row r="252" spans="9:9" x14ac:dyDescent="0.25">
      <c r="I252" s="57"/>
    </row>
    <row r="253" spans="9:9" x14ac:dyDescent="0.25">
      <c r="I253" s="57"/>
    </row>
    <row r="254" spans="9:9" x14ac:dyDescent="0.25">
      <c r="I254" s="57"/>
    </row>
    <row r="255" spans="9:9" x14ac:dyDescent="0.25">
      <c r="I255" s="57"/>
    </row>
    <row r="256" spans="9:9" x14ac:dyDescent="0.25">
      <c r="I256" s="57"/>
    </row>
    <row r="257" spans="9:9" x14ac:dyDescent="0.25">
      <c r="I257" s="57"/>
    </row>
    <row r="258" spans="9:9" x14ac:dyDescent="0.25">
      <c r="I258" s="57"/>
    </row>
    <row r="259" spans="9:9" x14ac:dyDescent="0.25">
      <c r="I259" s="57"/>
    </row>
    <row r="260" spans="9:9" x14ac:dyDescent="0.25">
      <c r="I260" s="57"/>
    </row>
    <row r="261" spans="9:9" x14ac:dyDescent="0.25">
      <c r="I261" s="57"/>
    </row>
    <row r="262" spans="9:9" x14ac:dyDescent="0.25">
      <c r="I262" s="57"/>
    </row>
    <row r="263" spans="9:9" x14ac:dyDescent="0.25">
      <c r="I263" s="57"/>
    </row>
    <row r="264" spans="9:9" x14ac:dyDescent="0.25">
      <c r="I264" s="57"/>
    </row>
    <row r="265" spans="9:9" x14ac:dyDescent="0.25">
      <c r="I265" s="57"/>
    </row>
    <row r="266" spans="9:9" x14ac:dyDescent="0.25">
      <c r="I266" s="57"/>
    </row>
    <row r="267" spans="9:9" x14ac:dyDescent="0.25">
      <c r="I267" s="57"/>
    </row>
    <row r="268" spans="9:9" x14ac:dyDescent="0.25">
      <c r="I268" s="57"/>
    </row>
    <row r="269" spans="9:9" x14ac:dyDescent="0.25">
      <c r="I269" s="57"/>
    </row>
    <row r="270" spans="9:9" x14ac:dyDescent="0.25">
      <c r="I270" s="57"/>
    </row>
    <row r="271" spans="9:9" x14ac:dyDescent="0.25">
      <c r="I271" s="57"/>
    </row>
    <row r="272" spans="9:9" x14ac:dyDescent="0.25">
      <c r="I272" s="57"/>
    </row>
    <row r="273" spans="9:9" x14ac:dyDescent="0.25">
      <c r="I273" s="57"/>
    </row>
    <row r="274" spans="9:9" x14ac:dyDescent="0.25">
      <c r="I274" s="57"/>
    </row>
    <row r="275" spans="9:9" x14ac:dyDescent="0.25">
      <c r="I275" s="57"/>
    </row>
    <row r="276" spans="9:9" x14ac:dyDescent="0.25">
      <c r="I276" s="57"/>
    </row>
    <row r="277" spans="9:9" x14ac:dyDescent="0.25">
      <c r="I277" s="57"/>
    </row>
    <row r="278" spans="9:9" x14ac:dyDescent="0.25">
      <c r="I278" s="57"/>
    </row>
    <row r="279" spans="9:9" x14ac:dyDescent="0.25">
      <c r="I279" s="57"/>
    </row>
    <row r="280" spans="9:9" x14ac:dyDescent="0.25">
      <c r="I280" s="57"/>
    </row>
    <row r="281" spans="9:9" x14ac:dyDescent="0.25">
      <c r="I281" s="57"/>
    </row>
    <row r="282" spans="9:9" x14ac:dyDescent="0.25">
      <c r="I282" s="57"/>
    </row>
    <row r="283" spans="9:9" x14ac:dyDescent="0.25">
      <c r="I283" s="57"/>
    </row>
    <row r="284" spans="9:9" x14ac:dyDescent="0.25">
      <c r="I284" s="57"/>
    </row>
    <row r="285" spans="9:9" x14ac:dyDescent="0.25">
      <c r="I285" s="57"/>
    </row>
    <row r="286" spans="9:9" x14ac:dyDescent="0.25">
      <c r="I286" s="57"/>
    </row>
    <row r="287" spans="9:9" x14ac:dyDescent="0.25">
      <c r="I287" s="57"/>
    </row>
    <row r="288" spans="9:9" x14ac:dyDescent="0.25">
      <c r="I288" s="57"/>
    </row>
    <row r="289" spans="9:9" x14ac:dyDescent="0.25">
      <c r="I289" s="57"/>
    </row>
    <row r="290" spans="9:9" x14ac:dyDescent="0.25">
      <c r="I290" s="57"/>
    </row>
    <row r="291" spans="9:9" x14ac:dyDescent="0.25">
      <c r="I291" s="57"/>
    </row>
    <row r="292" spans="9:9" x14ac:dyDescent="0.25">
      <c r="I292" s="57"/>
    </row>
    <row r="293" spans="9:9" x14ac:dyDescent="0.25">
      <c r="I293" s="57"/>
    </row>
    <row r="294" spans="9:9" x14ac:dyDescent="0.25">
      <c r="I294" s="57"/>
    </row>
    <row r="295" spans="9:9" x14ac:dyDescent="0.25">
      <c r="I295" s="57"/>
    </row>
    <row r="296" spans="9:9" x14ac:dyDescent="0.25">
      <c r="I296" s="57"/>
    </row>
    <row r="297" spans="9:9" x14ac:dyDescent="0.25">
      <c r="I297" s="57"/>
    </row>
    <row r="298" spans="9:9" x14ac:dyDescent="0.25">
      <c r="I298" s="57"/>
    </row>
    <row r="299" spans="9:9" x14ac:dyDescent="0.25">
      <c r="I299" s="57"/>
    </row>
    <row r="300" spans="9:9" x14ac:dyDescent="0.25">
      <c r="I300" s="57"/>
    </row>
    <row r="301" spans="9:9" x14ac:dyDescent="0.25">
      <c r="I301" s="57"/>
    </row>
    <row r="302" spans="9:9" x14ac:dyDescent="0.25">
      <c r="I302" s="57"/>
    </row>
    <row r="303" spans="9:9" x14ac:dyDescent="0.25">
      <c r="I303" s="57"/>
    </row>
    <row r="304" spans="9:9" x14ac:dyDescent="0.25">
      <c r="I304" s="57"/>
    </row>
    <row r="305" spans="9:9" x14ac:dyDescent="0.25">
      <c r="I305" s="57"/>
    </row>
    <row r="306" spans="9:9" x14ac:dyDescent="0.25">
      <c r="I306" s="57"/>
    </row>
    <row r="307" spans="9:9" x14ac:dyDescent="0.25">
      <c r="I307" s="57"/>
    </row>
    <row r="308" spans="9:9" x14ac:dyDescent="0.25">
      <c r="I308" s="57"/>
    </row>
    <row r="309" spans="9:9" x14ac:dyDescent="0.25">
      <c r="I309" s="57"/>
    </row>
    <row r="310" spans="9:9" x14ac:dyDescent="0.25">
      <c r="I310" s="57"/>
    </row>
    <row r="311" spans="9:9" x14ac:dyDescent="0.25">
      <c r="I311" s="57"/>
    </row>
    <row r="312" spans="9:9" x14ac:dyDescent="0.25">
      <c r="I312" s="57"/>
    </row>
    <row r="313" spans="9:9" x14ac:dyDescent="0.25">
      <c r="I313" s="57"/>
    </row>
    <row r="314" spans="9:9" x14ac:dyDescent="0.25">
      <c r="I314" s="57"/>
    </row>
    <row r="315" spans="9:9" x14ac:dyDescent="0.25">
      <c r="I315" s="57"/>
    </row>
    <row r="316" spans="9:9" x14ac:dyDescent="0.25">
      <c r="I316" s="57"/>
    </row>
    <row r="317" spans="9:9" x14ac:dyDescent="0.25">
      <c r="I317" s="57"/>
    </row>
    <row r="318" spans="9:9" x14ac:dyDescent="0.25">
      <c r="I318" s="57"/>
    </row>
    <row r="319" spans="9:9" x14ac:dyDescent="0.25">
      <c r="I319" s="57"/>
    </row>
    <row r="320" spans="9:9" x14ac:dyDescent="0.25">
      <c r="I320" s="57"/>
    </row>
    <row r="321" spans="9:9" x14ac:dyDescent="0.25">
      <c r="I321" s="57"/>
    </row>
    <row r="322" spans="9:9" x14ac:dyDescent="0.25">
      <c r="I322" s="57"/>
    </row>
    <row r="323" spans="9:9" x14ac:dyDescent="0.25">
      <c r="I323" s="57"/>
    </row>
    <row r="324" spans="9:9" x14ac:dyDescent="0.25">
      <c r="I324" s="57"/>
    </row>
    <row r="325" spans="9:9" x14ac:dyDescent="0.25">
      <c r="I325" s="57"/>
    </row>
    <row r="326" spans="9:9" x14ac:dyDescent="0.25">
      <c r="I326" s="57"/>
    </row>
    <row r="327" spans="9:9" x14ac:dyDescent="0.25">
      <c r="I327" s="57"/>
    </row>
    <row r="328" spans="9:9" x14ac:dyDescent="0.25">
      <c r="I328" s="57"/>
    </row>
    <row r="329" spans="9:9" x14ac:dyDescent="0.25">
      <c r="I329" s="57"/>
    </row>
    <row r="330" spans="9:9" x14ac:dyDescent="0.25">
      <c r="I330" s="57"/>
    </row>
    <row r="331" spans="9:9" x14ac:dyDescent="0.25">
      <c r="I331" s="57"/>
    </row>
    <row r="332" spans="9:9" x14ac:dyDescent="0.25">
      <c r="I332" s="57"/>
    </row>
    <row r="333" spans="9:9" x14ac:dyDescent="0.25">
      <c r="I333" s="57"/>
    </row>
    <row r="334" spans="9:9" x14ac:dyDescent="0.25">
      <c r="I334" s="57"/>
    </row>
    <row r="335" spans="9:9" x14ac:dyDescent="0.25">
      <c r="I335" s="57"/>
    </row>
    <row r="336" spans="9:9" x14ac:dyDescent="0.25">
      <c r="I336" s="57"/>
    </row>
    <row r="337" spans="9:9" x14ac:dyDescent="0.25">
      <c r="I337" s="57"/>
    </row>
    <row r="338" spans="9:9" x14ac:dyDescent="0.25">
      <c r="I338" s="57"/>
    </row>
    <row r="339" spans="9:9" x14ac:dyDescent="0.25">
      <c r="I339" s="57"/>
    </row>
    <row r="340" spans="9:9" x14ac:dyDescent="0.25">
      <c r="I340" s="57"/>
    </row>
    <row r="341" spans="9:9" x14ac:dyDescent="0.25">
      <c r="I341" s="57"/>
    </row>
    <row r="342" spans="9:9" x14ac:dyDescent="0.25">
      <c r="I342" s="57"/>
    </row>
    <row r="343" spans="9:9" x14ac:dyDescent="0.25">
      <c r="I343" s="57"/>
    </row>
    <row r="344" spans="9:9" x14ac:dyDescent="0.25">
      <c r="I344" s="57"/>
    </row>
    <row r="345" spans="9:9" x14ac:dyDescent="0.25">
      <c r="I345" s="57"/>
    </row>
    <row r="346" spans="9:9" x14ac:dyDescent="0.25">
      <c r="I346" s="57"/>
    </row>
    <row r="347" spans="9:9" x14ac:dyDescent="0.25">
      <c r="I347" s="57"/>
    </row>
    <row r="348" spans="9:9" x14ac:dyDescent="0.25">
      <c r="I348" s="57"/>
    </row>
    <row r="349" spans="9:9" x14ac:dyDescent="0.25">
      <c r="I349" s="57"/>
    </row>
    <row r="350" spans="9:9" x14ac:dyDescent="0.25">
      <c r="I350" s="57"/>
    </row>
    <row r="351" spans="9:9" x14ac:dyDescent="0.25">
      <c r="I351" s="57"/>
    </row>
    <row r="352" spans="9:9" x14ac:dyDescent="0.25">
      <c r="I352" s="57"/>
    </row>
    <row r="353" spans="9:9" x14ac:dyDescent="0.25">
      <c r="I353" s="57"/>
    </row>
    <row r="354" spans="9:9" x14ac:dyDescent="0.25">
      <c r="I354" s="57"/>
    </row>
    <row r="355" spans="9:9" x14ac:dyDescent="0.25">
      <c r="I355" s="57"/>
    </row>
    <row r="356" spans="9:9" x14ac:dyDescent="0.25">
      <c r="I356" s="57"/>
    </row>
    <row r="357" spans="9:9" x14ac:dyDescent="0.25">
      <c r="I357" s="57"/>
    </row>
    <row r="358" spans="9:9" x14ac:dyDescent="0.25">
      <c r="I358" s="57"/>
    </row>
    <row r="359" spans="9:9" x14ac:dyDescent="0.25">
      <c r="I359" s="57"/>
    </row>
    <row r="360" spans="9:9" x14ac:dyDescent="0.25">
      <c r="I360" s="57"/>
    </row>
    <row r="361" spans="9:9" x14ac:dyDescent="0.25">
      <c r="I361" s="57"/>
    </row>
    <row r="362" spans="9:9" x14ac:dyDescent="0.25">
      <c r="I362" s="57"/>
    </row>
    <row r="363" spans="9:9" x14ac:dyDescent="0.25">
      <c r="I363" s="57"/>
    </row>
    <row r="364" spans="9:9" x14ac:dyDescent="0.25">
      <c r="I364" s="57"/>
    </row>
    <row r="365" spans="9:9" x14ac:dyDescent="0.25">
      <c r="I365" s="57"/>
    </row>
    <row r="366" spans="9:9" x14ac:dyDescent="0.25">
      <c r="I366" s="57"/>
    </row>
    <row r="367" spans="9:9" x14ac:dyDescent="0.25">
      <c r="I367" s="57"/>
    </row>
    <row r="368" spans="9:9" x14ac:dyDescent="0.25">
      <c r="I368" s="57"/>
    </row>
    <row r="369" spans="9:9" x14ac:dyDescent="0.25">
      <c r="I369" s="57"/>
    </row>
    <row r="370" spans="9:9" x14ac:dyDescent="0.25">
      <c r="I370" s="57"/>
    </row>
    <row r="371" spans="9:9" x14ac:dyDescent="0.25">
      <c r="I371" s="57"/>
    </row>
    <row r="372" spans="9:9" x14ac:dyDescent="0.25">
      <c r="I372" s="57"/>
    </row>
    <row r="373" spans="9:9" x14ac:dyDescent="0.25">
      <c r="I373" s="57"/>
    </row>
    <row r="374" spans="9:9" x14ac:dyDescent="0.25">
      <c r="I374" s="57"/>
    </row>
    <row r="375" spans="9:9" x14ac:dyDescent="0.25">
      <c r="I375" s="57"/>
    </row>
    <row r="376" spans="9:9" x14ac:dyDescent="0.25">
      <c r="I376" s="57"/>
    </row>
    <row r="377" spans="9:9" x14ac:dyDescent="0.25">
      <c r="I377" s="57"/>
    </row>
    <row r="378" spans="9:9" x14ac:dyDescent="0.25">
      <c r="I378" s="57"/>
    </row>
    <row r="379" spans="9:9" x14ac:dyDescent="0.25">
      <c r="I379" s="57"/>
    </row>
    <row r="380" spans="9:9" x14ac:dyDescent="0.25">
      <c r="I380" s="57"/>
    </row>
    <row r="381" spans="9:9" x14ac:dyDescent="0.25">
      <c r="I381" s="57"/>
    </row>
    <row r="382" spans="9:9" x14ac:dyDescent="0.25">
      <c r="I382" s="57"/>
    </row>
    <row r="383" spans="9:9" x14ac:dyDescent="0.25">
      <c r="I383" s="57"/>
    </row>
    <row r="384" spans="9:9" x14ac:dyDescent="0.25">
      <c r="I384" s="57"/>
    </row>
    <row r="385" spans="9:9" x14ac:dyDescent="0.25">
      <c r="I385" s="57"/>
    </row>
    <row r="386" spans="9:9" x14ac:dyDescent="0.25">
      <c r="I386" s="57"/>
    </row>
    <row r="387" spans="9:9" x14ac:dyDescent="0.25">
      <c r="I387" s="57"/>
    </row>
    <row r="388" spans="9:9" x14ac:dyDescent="0.25">
      <c r="I388" s="57"/>
    </row>
    <row r="389" spans="9:9" x14ac:dyDescent="0.25">
      <c r="I389" s="57"/>
    </row>
    <row r="390" spans="9:9" x14ac:dyDescent="0.25">
      <c r="I390" s="57"/>
    </row>
    <row r="391" spans="9:9" x14ac:dyDescent="0.25">
      <c r="I391" s="57"/>
    </row>
    <row r="392" spans="9:9" x14ac:dyDescent="0.25">
      <c r="I392" s="57"/>
    </row>
    <row r="393" spans="9:9" x14ac:dyDescent="0.25">
      <c r="I393" s="57"/>
    </row>
    <row r="394" spans="9:9" x14ac:dyDescent="0.25">
      <c r="I394" s="57"/>
    </row>
    <row r="395" spans="9:9" x14ac:dyDescent="0.25">
      <c r="I395" s="57"/>
    </row>
    <row r="396" spans="9:9" x14ac:dyDescent="0.25">
      <c r="I396" s="57"/>
    </row>
    <row r="397" spans="9:9" x14ac:dyDescent="0.25">
      <c r="I397" s="57"/>
    </row>
    <row r="398" spans="9:9" x14ac:dyDescent="0.25">
      <c r="I398" s="57"/>
    </row>
    <row r="399" spans="9:9" x14ac:dyDescent="0.25">
      <c r="I399" s="57"/>
    </row>
    <row r="400" spans="9:9" x14ac:dyDescent="0.25">
      <c r="I400" s="57"/>
    </row>
    <row r="401" spans="9:9" x14ac:dyDescent="0.25">
      <c r="I401" s="57"/>
    </row>
    <row r="402" spans="9:9" x14ac:dyDescent="0.25">
      <c r="I402" s="57"/>
    </row>
    <row r="403" spans="9:9" x14ac:dyDescent="0.25">
      <c r="I403" s="57"/>
    </row>
    <row r="404" spans="9:9" x14ac:dyDescent="0.25">
      <c r="I404" s="57"/>
    </row>
    <row r="405" spans="9:9" x14ac:dyDescent="0.25">
      <c r="I405" s="57"/>
    </row>
    <row r="406" spans="9:9" x14ac:dyDescent="0.25">
      <c r="I406" s="57"/>
    </row>
    <row r="407" spans="9:9" x14ac:dyDescent="0.25">
      <c r="I407" s="57"/>
    </row>
    <row r="408" spans="9:9" x14ac:dyDescent="0.25">
      <c r="I408" s="57"/>
    </row>
    <row r="409" spans="9:9" x14ac:dyDescent="0.25">
      <c r="I409" s="57"/>
    </row>
    <row r="410" spans="9:9" x14ac:dyDescent="0.25">
      <c r="I410" s="57"/>
    </row>
    <row r="411" spans="9:9" x14ac:dyDescent="0.25">
      <c r="I411" s="57"/>
    </row>
    <row r="412" spans="9:9" x14ac:dyDescent="0.25">
      <c r="I412" s="57"/>
    </row>
    <row r="413" spans="9:9" x14ac:dyDescent="0.25">
      <c r="I413" s="57"/>
    </row>
    <row r="414" spans="9:9" x14ac:dyDescent="0.25">
      <c r="I414" s="57"/>
    </row>
    <row r="415" spans="9:9" x14ac:dyDescent="0.25">
      <c r="I415" s="57"/>
    </row>
    <row r="416" spans="9:9" x14ac:dyDescent="0.25">
      <c r="I416" s="57"/>
    </row>
    <row r="417" spans="9:9" x14ac:dyDescent="0.25">
      <c r="I417" s="57"/>
    </row>
    <row r="418" spans="9:9" x14ac:dyDescent="0.25">
      <c r="I418" s="57"/>
    </row>
    <row r="419" spans="9:9" x14ac:dyDescent="0.25">
      <c r="I419" s="57"/>
    </row>
    <row r="420" spans="9:9" x14ac:dyDescent="0.25">
      <c r="I420" s="57"/>
    </row>
    <row r="421" spans="9:9" x14ac:dyDescent="0.25">
      <c r="I421" s="57"/>
    </row>
    <row r="422" spans="9:9" x14ac:dyDescent="0.25">
      <c r="I422" s="57"/>
    </row>
    <row r="423" spans="9:9" x14ac:dyDescent="0.25">
      <c r="I423" s="57"/>
    </row>
    <row r="424" spans="9:9" x14ac:dyDescent="0.25">
      <c r="I424" s="57"/>
    </row>
    <row r="425" spans="9:9" x14ac:dyDescent="0.25">
      <c r="I425" s="57"/>
    </row>
    <row r="426" spans="9:9" x14ac:dyDescent="0.25">
      <c r="I426" s="57"/>
    </row>
    <row r="427" spans="9:9" x14ac:dyDescent="0.25">
      <c r="I427" s="57"/>
    </row>
    <row r="428" spans="9:9" x14ac:dyDescent="0.25">
      <c r="I428" s="57"/>
    </row>
    <row r="429" spans="9:9" x14ac:dyDescent="0.25">
      <c r="I429" s="57"/>
    </row>
    <row r="430" spans="9:9" x14ac:dyDescent="0.25">
      <c r="I430" s="57"/>
    </row>
    <row r="431" spans="9:9" x14ac:dyDescent="0.25">
      <c r="I431" s="57"/>
    </row>
    <row r="432" spans="9:9" x14ac:dyDescent="0.25">
      <c r="I432" s="57"/>
    </row>
    <row r="433" spans="9:9" x14ac:dyDescent="0.25">
      <c r="I433" s="57"/>
    </row>
    <row r="434" spans="9:9" x14ac:dyDescent="0.25">
      <c r="I434" s="57"/>
    </row>
    <row r="435" spans="9:9" x14ac:dyDescent="0.25">
      <c r="I435" s="57"/>
    </row>
    <row r="436" spans="9:9" x14ac:dyDescent="0.25">
      <c r="I436" s="57"/>
    </row>
    <row r="437" spans="9:9" x14ac:dyDescent="0.25">
      <c r="I437" s="57"/>
    </row>
    <row r="438" spans="9:9" x14ac:dyDescent="0.25">
      <c r="I438" s="57"/>
    </row>
    <row r="439" spans="9:9" x14ac:dyDescent="0.25">
      <c r="I439" s="57"/>
    </row>
    <row r="440" spans="9:9" x14ac:dyDescent="0.25">
      <c r="I440" s="57"/>
    </row>
    <row r="441" spans="9:9" x14ac:dyDescent="0.25">
      <c r="I441" s="57"/>
    </row>
    <row r="442" spans="9:9" x14ac:dyDescent="0.25">
      <c r="I442" s="57"/>
    </row>
    <row r="443" spans="9:9" x14ac:dyDescent="0.25">
      <c r="I443" s="57"/>
    </row>
    <row r="444" spans="9:9" x14ac:dyDescent="0.25">
      <c r="I444" s="57"/>
    </row>
    <row r="445" spans="9:9" x14ac:dyDescent="0.25">
      <c r="I445" s="57"/>
    </row>
    <row r="446" spans="9:9" x14ac:dyDescent="0.25">
      <c r="I446" s="57"/>
    </row>
    <row r="447" spans="9:9" x14ac:dyDescent="0.25">
      <c r="I447" s="57"/>
    </row>
    <row r="448" spans="9:9" x14ac:dyDescent="0.25">
      <c r="I448" s="57"/>
    </row>
    <row r="449" spans="9:9" x14ac:dyDescent="0.25">
      <c r="I449" s="57"/>
    </row>
    <row r="450" spans="9:9" x14ac:dyDescent="0.25">
      <c r="I450" s="57"/>
    </row>
    <row r="451" spans="9:9" x14ac:dyDescent="0.25">
      <c r="I451" s="57"/>
    </row>
    <row r="452" spans="9:9" x14ac:dyDescent="0.25">
      <c r="I452" s="57"/>
    </row>
    <row r="453" spans="9:9" x14ac:dyDescent="0.25">
      <c r="I453" s="57"/>
    </row>
    <row r="454" spans="9:9" x14ac:dyDescent="0.25">
      <c r="I454" s="57"/>
    </row>
    <row r="455" spans="9:9" x14ac:dyDescent="0.25">
      <c r="I455" s="57"/>
    </row>
    <row r="456" spans="9:9" x14ac:dyDescent="0.25">
      <c r="I456" s="57"/>
    </row>
    <row r="457" spans="9:9" x14ac:dyDescent="0.25">
      <c r="I457" s="57"/>
    </row>
    <row r="458" spans="9:9" x14ac:dyDescent="0.25">
      <c r="I458" s="57"/>
    </row>
    <row r="459" spans="9:9" x14ac:dyDescent="0.25">
      <c r="I459" s="57"/>
    </row>
    <row r="460" spans="9:9" x14ac:dyDescent="0.25">
      <c r="I460" s="57"/>
    </row>
    <row r="461" spans="9:9" x14ac:dyDescent="0.25">
      <c r="I461" s="57"/>
    </row>
    <row r="462" spans="9:9" x14ac:dyDescent="0.25">
      <c r="I462" s="57"/>
    </row>
    <row r="463" spans="9:9" x14ac:dyDescent="0.25">
      <c r="I463" s="57"/>
    </row>
    <row r="464" spans="9:9" x14ac:dyDescent="0.25">
      <c r="I464" s="57"/>
    </row>
    <row r="465" spans="9:9" x14ac:dyDescent="0.25">
      <c r="I465" s="57"/>
    </row>
    <row r="466" spans="9:9" x14ac:dyDescent="0.25">
      <c r="I466" s="57"/>
    </row>
    <row r="467" spans="9:9" x14ac:dyDescent="0.25">
      <c r="I467" s="57"/>
    </row>
    <row r="468" spans="9:9" x14ac:dyDescent="0.25">
      <c r="I468" s="57"/>
    </row>
    <row r="469" spans="9:9" x14ac:dyDescent="0.25">
      <c r="I469" s="57"/>
    </row>
    <row r="470" spans="9:9" x14ac:dyDescent="0.25">
      <c r="I470" s="57"/>
    </row>
    <row r="471" spans="9:9" x14ac:dyDescent="0.25">
      <c r="I471" s="57"/>
    </row>
    <row r="472" spans="9:9" x14ac:dyDescent="0.25">
      <c r="I472" s="57"/>
    </row>
    <row r="473" spans="9:9" x14ac:dyDescent="0.25">
      <c r="I473" s="57"/>
    </row>
    <row r="474" spans="9:9" x14ac:dyDescent="0.25">
      <c r="I474" s="57"/>
    </row>
    <row r="475" spans="9:9" x14ac:dyDescent="0.25">
      <c r="I475" s="57"/>
    </row>
    <row r="476" spans="9:9" x14ac:dyDescent="0.25">
      <c r="I476" s="57"/>
    </row>
    <row r="477" spans="9:9" x14ac:dyDescent="0.25">
      <c r="I477" s="57"/>
    </row>
    <row r="478" spans="9:9" x14ac:dyDescent="0.25">
      <c r="I478" s="57"/>
    </row>
    <row r="479" spans="9:9" x14ac:dyDescent="0.25">
      <c r="I479" s="57"/>
    </row>
    <row r="480" spans="9:9" x14ac:dyDescent="0.25">
      <c r="I480" s="57"/>
    </row>
    <row r="481" spans="9:9" x14ac:dyDescent="0.25">
      <c r="I481" s="57"/>
    </row>
    <row r="482" spans="9:9" x14ac:dyDescent="0.25">
      <c r="I482" s="57"/>
    </row>
    <row r="483" spans="9:9" x14ac:dyDescent="0.25">
      <c r="I483" s="57"/>
    </row>
    <row r="484" spans="9:9" x14ac:dyDescent="0.25">
      <c r="I484" s="57"/>
    </row>
    <row r="485" spans="9:9" x14ac:dyDescent="0.25">
      <c r="I485" s="57"/>
    </row>
    <row r="486" spans="9:9" x14ac:dyDescent="0.25">
      <c r="I486" s="57"/>
    </row>
    <row r="487" spans="9:9" x14ac:dyDescent="0.25">
      <c r="I487" s="57"/>
    </row>
    <row r="488" spans="9:9" x14ac:dyDescent="0.25">
      <c r="I488" s="57"/>
    </row>
    <row r="489" spans="9:9" x14ac:dyDescent="0.25">
      <c r="I489" s="57"/>
    </row>
    <row r="490" spans="9:9" x14ac:dyDescent="0.25">
      <c r="I490" s="57"/>
    </row>
    <row r="491" spans="9:9" x14ac:dyDescent="0.25">
      <c r="I491" s="57"/>
    </row>
    <row r="492" spans="9:9" x14ac:dyDescent="0.25">
      <c r="I492" s="57"/>
    </row>
    <row r="493" spans="9:9" x14ac:dyDescent="0.25">
      <c r="I493" s="57"/>
    </row>
    <row r="494" spans="9:9" x14ac:dyDescent="0.25">
      <c r="I494" s="57"/>
    </row>
    <row r="495" spans="9:9" x14ac:dyDescent="0.25">
      <c r="I495" s="57"/>
    </row>
    <row r="496" spans="9:9" x14ac:dyDescent="0.25">
      <c r="I496" s="57"/>
    </row>
    <row r="497" spans="9:9" x14ac:dyDescent="0.25">
      <c r="I497" s="57"/>
    </row>
    <row r="498" spans="9:9" x14ac:dyDescent="0.25">
      <c r="I498" s="57"/>
    </row>
    <row r="499" spans="9:9" x14ac:dyDescent="0.25">
      <c r="I499" s="57"/>
    </row>
    <row r="500" spans="9:9" x14ac:dyDescent="0.25">
      <c r="I500" s="57"/>
    </row>
    <row r="501" spans="9:9" x14ac:dyDescent="0.25">
      <c r="I501" s="57"/>
    </row>
    <row r="502" spans="9:9" x14ac:dyDescent="0.25">
      <c r="I502" s="57"/>
    </row>
    <row r="503" spans="9:9" x14ac:dyDescent="0.25">
      <c r="I503" s="57"/>
    </row>
    <row r="504" spans="9:9" x14ac:dyDescent="0.25">
      <c r="I504" s="57"/>
    </row>
    <row r="505" spans="9:9" x14ac:dyDescent="0.25">
      <c r="I505" s="57"/>
    </row>
    <row r="506" spans="9:9" x14ac:dyDescent="0.25">
      <c r="I506" s="57"/>
    </row>
    <row r="507" spans="9:9" x14ac:dyDescent="0.25">
      <c r="I507" s="57"/>
    </row>
    <row r="508" spans="9:9" x14ac:dyDescent="0.25">
      <c r="I508" s="57"/>
    </row>
    <row r="509" spans="9:9" x14ac:dyDescent="0.25">
      <c r="I509" s="57"/>
    </row>
    <row r="510" spans="9:9" x14ac:dyDescent="0.25">
      <c r="I510" s="57"/>
    </row>
    <row r="511" spans="9:9" x14ac:dyDescent="0.25">
      <c r="I511" s="57"/>
    </row>
    <row r="512" spans="9:9" x14ac:dyDescent="0.25">
      <c r="I512" s="57"/>
    </row>
    <row r="513" spans="9:9" x14ac:dyDescent="0.25">
      <c r="I513" s="57"/>
    </row>
    <row r="514" spans="9:9" x14ac:dyDescent="0.25">
      <c r="I514" s="57"/>
    </row>
    <row r="515" spans="9:9" x14ac:dyDescent="0.25">
      <c r="I515" s="57"/>
    </row>
    <row r="516" spans="9:9" x14ac:dyDescent="0.25">
      <c r="I516" s="57"/>
    </row>
    <row r="517" spans="9:9" x14ac:dyDescent="0.25">
      <c r="I517" s="57"/>
    </row>
    <row r="518" spans="9:9" x14ac:dyDescent="0.25">
      <c r="I518" s="57"/>
    </row>
    <row r="519" spans="9:9" x14ac:dyDescent="0.25">
      <c r="I519" s="57"/>
    </row>
    <row r="520" spans="9:9" x14ac:dyDescent="0.25">
      <c r="I520" s="57"/>
    </row>
    <row r="521" spans="9:9" x14ac:dyDescent="0.25">
      <c r="I521" s="57"/>
    </row>
    <row r="522" spans="9:9" x14ac:dyDescent="0.25">
      <c r="I522" s="57"/>
    </row>
    <row r="523" spans="9:9" x14ac:dyDescent="0.25">
      <c r="I523" s="57"/>
    </row>
    <row r="524" spans="9:9" x14ac:dyDescent="0.25">
      <c r="I524" s="57"/>
    </row>
    <row r="525" spans="9:9" x14ac:dyDescent="0.25">
      <c r="I525" s="57"/>
    </row>
    <row r="526" spans="9:9" x14ac:dyDescent="0.25">
      <c r="I526" s="57"/>
    </row>
    <row r="527" spans="9:9" x14ac:dyDescent="0.25">
      <c r="I527" s="57"/>
    </row>
    <row r="528" spans="9:9" x14ac:dyDescent="0.25">
      <c r="I528" s="57"/>
    </row>
    <row r="529" spans="9:9" x14ac:dyDescent="0.25">
      <c r="I529" s="57"/>
    </row>
    <row r="530" spans="9:9" x14ac:dyDescent="0.25">
      <c r="I530" s="57"/>
    </row>
    <row r="531" spans="9:9" x14ac:dyDescent="0.25">
      <c r="I531" s="57"/>
    </row>
    <row r="532" spans="9:9" x14ac:dyDescent="0.25">
      <c r="I532" s="57"/>
    </row>
    <row r="533" spans="9:9" x14ac:dyDescent="0.25">
      <c r="I533" s="57"/>
    </row>
    <row r="534" spans="9:9" x14ac:dyDescent="0.25">
      <c r="I534" s="57"/>
    </row>
    <row r="535" spans="9:9" x14ac:dyDescent="0.25">
      <c r="I535" s="57"/>
    </row>
    <row r="536" spans="9:9" x14ac:dyDescent="0.25">
      <c r="I536" s="57"/>
    </row>
    <row r="537" spans="9:9" x14ac:dyDescent="0.25">
      <c r="I537" s="57"/>
    </row>
    <row r="538" spans="9:9" x14ac:dyDescent="0.25">
      <c r="I538" s="57"/>
    </row>
    <row r="539" spans="9:9" x14ac:dyDescent="0.25">
      <c r="I539" s="57"/>
    </row>
    <row r="540" spans="9:9" x14ac:dyDescent="0.25">
      <c r="I540" s="57"/>
    </row>
    <row r="541" spans="9:9" x14ac:dyDescent="0.25">
      <c r="I541" s="57"/>
    </row>
    <row r="542" spans="9:9" x14ac:dyDescent="0.25">
      <c r="I542" s="57"/>
    </row>
    <row r="543" spans="9:9" x14ac:dyDescent="0.25">
      <c r="I543" s="57"/>
    </row>
    <row r="544" spans="9:9" x14ac:dyDescent="0.25">
      <c r="I544" s="57"/>
    </row>
    <row r="545" spans="9:9" x14ac:dyDescent="0.25">
      <c r="I545" s="57"/>
    </row>
    <row r="546" spans="9:9" x14ac:dyDescent="0.25">
      <c r="I546" s="57"/>
    </row>
    <row r="547" spans="9:9" x14ac:dyDescent="0.25">
      <c r="I547" s="57"/>
    </row>
    <row r="548" spans="9:9" x14ac:dyDescent="0.25">
      <c r="I548" s="57"/>
    </row>
    <row r="549" spans="9:9" x14ac:dyDescent="0.25">
      <c r="I549" s="57"/>
    </row>
    <row r="550" spans="9:9" x14ac:dyDescent="0.25">
      <c r="I550" s="57"/>
    </row>
    <row r="551" spans="9:9" x14ac:dyDescent="0.25">
      <c r="I551" s="57"/>
    </row>
    <row r="552" spans="9:9" x14ac:dyDescent="0.25">
      <c r="I552" s="57"/>
    </row>
    <row r="553" spans="9:9" x14ac:dyDescent="0.25">
      <c r="I553" s="57"/>
    </row>
    <row r="554" spans="9:9" x14ac:dyDescent="0.25">
      <c r="I554" s="57"/>
    </row>
    <row r="555" spans="9:9" x14ac:dyDescent="0.25">
      <c r="I555" s="57"/>
    </row>
    <row r="556" spans="9:9" x14ac:dyDescent="0.25">
      <c r="I556" s="57"/>
    </row>
    <row r="557" spans="9:9" x14ac:dyDescent="0.25">
      <c r="I557" s="57"/>
    </row>
    <row r="558" spans="9:9" x14ac:dyDescent="0.25">
      <c r="I558" s="57"/>
    </row>
    <row r="559" spans="9:9" x14ac:dyDescent="0.25">
      <c r="I559" s="57"/>
    </row>
    <row r="560" spans="9:9" x14ac:dyDescent="0.25">
      <c r="I560" s="57"/>
    </row>
    <row r="561" spans="9:9" x14ac:dyDescent="0.25">
      <c r="I561" s="57"/>
    </row>
    <row r="562" spans="9:9" x14ac:dyDescent="0.25">
      <c r="I562" s="57"/>
    </row>
    <row r="563" spans="9:9" x14ac:dyDescent="0.25">
      <c r="I563" s="57"/>
    </row>
    <row r="564" spans="9:9" x14ac:dyDescent="0.25">
      <c r="I564" s="57"/>
    </row>
    <row r="565" spans="9:9" x14ac:dyDescent="0.25">
      <c r="I565" s="57"/>
    </row>
    <row r="566" spans="9:9" x14ac:dyDescent="0.25">
      <c r="I566" s="57"/>
    </row>
    <row r="567" spans="9:9" x14ac:dyDescent="0.25">
      <c r="I567" s="57"/>
    </row>
    <row r="568" spans="9:9" x14ac:dyDescent="0.25">
      <c r="I568" s="57"/>
    </row>
    <row r="569" spans="9:9" x14ac:dyDescent="0.25">
      <c r="I569" s="57"/>
    </row>
    <row r="570" spans="9:9" x14ac:dyDescent="0.25">
      <c r="I570" s="57"/>
    </row>
    <row r="571" spans="9:9" x14ac:dyDescent="0.25">
      <c r="I571" s="57"/>
    </row>
    <row r="572" spans="9:9" x14ac:dyDescent="0.25">
      <c r="I572" s="57"/>
    </row>
    <row r="573" spans="9:9" x14ac:dyDescent="0.25">
      <c r="I573" s="57"/>
    </row>
    <row r="574" spans="9:9" x14ac:dyDescent="0.25">
      <c r="I574" s="57"/>
    </row>
    <row r="575" spans="9:9" x14ac:dyDescent="0.25">
      <c r="I575" s="57"/>
    </row>
    <row r="576" spans="9:9" x14ac:dyDescent="0.25">
      <c r="I576" s="57"/>
    </row>
    <row r="577" spans="9:9" x14ac:dyDescent="0.25">
      <c r="I577" s="57"/>
    </row>
    <row r="578" spans="9:9" x14ac:dyDescent="0.25">
      <c r="I578" s="57"/>
    </row>
    <row r="579" spans="9:9" x14ac:dyDescent="0.25">
      <c r="I579" s="57"/>
    </row>
    <row r="580" spans="9:9" x14ac:dyDescent="0.25">
      <c r="I580" s="57"/>
    </row>
    <row r="581" spans="9:9" x14ac:dyDescent="0.25">
      <c r="I581" s="57"/>
    </row>
    <row r="582" spans="9:9" x14ac:dyDescent="0.25">
      <c r="I582" s="57"/>
    </row>
    <row r="583" spans="9:9" x14ac:dyDescent="0.25">
      <c r="I583" s="57"/>
    </row>
    <row r="584" spans="9:9" x14ac:dyDescent="0.25">
      <c r="I584" s="57"/>
    </row>
    <row r="585" spans="9:9" x14ac:dyDescent="0.25">
      <c r="I585" s="57"/>
    </row>
    <row r="586" spans="9:9" x14ac:dyDescent="0.25">
      <c r="I586" s="57"/>
    </row>
    <row r="587" spans="9:9" x14ac:dyDescent="0.25">
      <c r="I587" s="57"/>
    </row>
    <row r="588" spans="9:9" x14ac:dyDescent="0.25">
      <c r="I588" s="57"/>
    </row>
    <row r="589" spans="9:9" x14ac:dyDescent="0.25">
      <c r="I589" s="57"/>
    </row>
    <row r="590" spans="9:9" x14ac:dyDescent="0.25">
      <c r="I590" s="57"/>
    </row>
    <row r="591" spans="9:9" x14ac:dyDescent="0.25">
      <c r="I591" s="57"/>
    </row>
    <row r="592" spans="9:9" x14ac:dyDescent="0.25">
      <c r="I592" s="57"/>
    </row>
    <row r="593" spans="9:9" x14ac:dyDescent="0.25">
      <c r="I593" s="57"/>
    </row>
    <row r="594" spans="9:9" x14ac:dyDescent="0.25">
      <c r="I594" s="57"/>
    </row>
    <row r="595" spans="9:9" x14ac:dyDescent="0.25">
      <c r="I595" s="57"/>
    </row>
    <row r="596" spans="9:9" x14ac:dyDescent="0.25">
      <c r="I596" s="57"/>
    </row>
    <row r="597" spans="9:9" x14ac:dyDescent="0.25">
      <c r="I597" s="57"/>
    </row>
    <row r="598" spans="9:9" x14ac:dyDescent="0.25">
      <c r="I598" s="57"/>
    </row>
    <row r="599" spans="9:9" x14ac:dyDescent="0.25">
      <c r="I599" s="57"/>
    </row>
    <row r="600" spans="9:9" x14ac:dyDescent="0.25">
      <c r="I600" s="57"/>
    </row>
    <row r="601" spans="9:9" x14ac:dyDescent="0.25">
      <c r="I601" s="57"/>
    </row>
    <row r="602" spans="9:9" x14ac:dyDescent="0.25">
      <c r="I602" s="57"/>
    </row>
    <row r="603" spans="9:9" x14ac:dyDescent="0.25">
      <c r="I603" s="57"/>
    </row>
    <row r="604" spans="9:9" x14ac:dyDescent="0.25">
      <c r="I604" s="57"/>
    </row>
    <row r="605" spans="9:9" x14ac:dyDescent="0.25">
      <c r="I605" s="57"/>
    </row>
    <row r="606" spans="9:9" x14ac:dyDescent="0.25">
      <c r="I606" s="57"/>
    </row>
    <row r="607" spans="9:9" x14ac:dyDescent="0.25">
      <c r="I607" s="57"/>
    </row>
    <row r="608" spans="9:9" x14ac:dyDescent="0.25">
      <c r="I608" s="57"/>
    </row>
    <row r="609" spans="9:9" x14ac:dyDescent="0.25">
      <c r="I609" s="57"/>
    </row>
    <row r="610" spans="9:9" x14ac:dyDescent="0.25">
      <c r="I610" s="57"/>
    </row>
    <row r="611" spans="9:9" x14ac:dyDescent="0.25">
      <c r="I611" s="57"/>
    </row>
    <row r="612" spans="9:9" x14ac:dyDescent="0.25">
      <c r="I612" s="57"/>
    </row>
    <row r="613" spans="9:9" x14ac:dyDescent="0.25">
      <c r="I613" s="57"/>
    </row>
    <row r="614" spans="9:9" x14ac:dyDescent="0.25">
      <c r="I614" s="57"/>
    </row>
    <row r="615" spans="9:9" x14ac:dyDescent="0.25">
      <c r="I615" s="57"/>
    </row>
    <row r="616" spans="9:9" x14ac:dyDescent="0.25">
      <c r="I616" s="57"/>
    </row>
    <row r="617" spans="9:9" x14ac:dyDescent="0.25">
      <c r="I617" s="57"/>
    </row>
    <row r="618" spans="9:9" x14ac:dyDescent="0.25">
      <c r="I618" s="57"/>
    </row>
    <row r="619" spans="9:9" x14ac:dyDescent="0.25">
      <c r="I619" s="57"/>
    </row>
    <row r="620" spans="9:9" x14ac:dyDescent="0.25">
      <c r="I620" s="57"/>
    </row>
    <row r="621" spans="9:9" x14ac:dyDescent="0.25">
      <c r="I621" s="57"/>
    </row>
    <row r="622" spans="9:9" x14ac:dyDescent="0.25">
      <c r="I622" s="57"/>
    </row>
    <row r="623" spans="9:9" x14ac:dyDescent="0.25">
      <c r="I623" s="57"/>
    </row>
    <row r="624" spans="9:9" x14ac:dyDescent="0.25">
      <c r="I624" s="57"/>
    </row>
    <row r="625" spans="9:9" x14ac:dyDescent="0.25">
      <c r="I625" s="57"/>
    </row>
    <row r="626" spans="9:9" x14ac:dyDescent="0.25">
      <c r="I626" s="57"/>
    </row>
    <row r="627" spans="9:9" x14ac:dyDescent="0.25">
      <c r="I627" s="57"/>
    </row>
    <row r="628" spans="9:9" x14ac:dyDescent="0.25">
      <c r="I628" s="57"/>
    </row>
    <row r="629" spans="9:9" x14ac:dyDescent="0.25">
      <c r="I629" s="57"/>
    </row>
    <row r="630" spans="9:9" x14ac:dyDescent="0.25">
      <c r="I630" s="57"/>
    </row>
    <row r="631" spans="9:9" x14ac:dyDescent="0.25">
      <c r="I631" s="57"/>
    </row>
    <row r="632" spans="9:9" x14ac:dyDescent="0.25">
      <c r="I632" s="57"/>
    </row>
    <row r="633" spans="9:9" x14ac:dyDescent="0.25">
      <c r="I633" s="57"/>
    </row>
    <row r="634" spans="9:9" x14ac:dyDescent="0.25">
      <c r="I634" s="57"/>
    </row>
    <row r="635" spans="9:9" x14ac:dyDescent="0.25">
      <c r="I635" s="57"/>
    </row>
    <row r="636" spans="9:9" x14ac:dyDescent="0.25">
      <c r="I636" s="57"/>
    </row>
    <row r="637" spans="9:9" x14ac:dyDescent="0.25">
      <c r="I637" s="57"/>
    </row>
    <row r="638" spans="9:9" x14ac:dyDescent="0.25">
      <c r="I638" s="57"/>
    </row>
    <row r="639" spans="9:9" x14ac:dyDescent="0.25">
      <c r="I639" s="57"/>
    </row>
    <row r="640" spans="9:9" x14ac:dyDescent="0.25">
      <c r="I640" s="57"/>
    </row>
    <row r="641" spans="9:9" x14ac:dyDescent="0.25">
      <c r="I641" s="57"/>
    </row>
    <row r="642" spans="9:9" x14ac:dyDescent="0.25">
      <c r="I642" s="57"/>
    </row>
    <row r="643" spans="9:9" x14ac:dyDescent="0.25">
      <c r="I643" s="57"/>
    </row>
    <row r="644" spans="9:9" x14ac:dyDescent="0.25">
      <c r="I644" s="57"/>
    </row>
    <row r="645" spans="9:9" x14ac:dyDescent="0.25">
      <c r="I645" s="57"/>
    </row>
    <row r="646" spans="9:9" x14ac:dyDescent="0.25">
      <c r="I646" s="57"/>
    </row>
    <row r="647" spans="9:9" x14ac:dyDescent="0.25">
      <c r="I647" s="57"/>
    </row>
    <row r="648" spans="9:9" x14ac:dyDescent="0.25">
      <c r="I648" s="57"/>
    </row>
    <row r="649" spans="9:9" x14ac:dyDescent="0.25">
      <c r="I649" s="57"/>
    </row>
    <row r="650" spans="9:9" x14ac:dyDescent="0.25">
      <c r="I650" s="57"/>
    </row>
    <row r="651" spans="9:9" x14ac:dyDescent="0.25">
      <c r="I651" s="57"/>
    </row>
    <row r="652" spans="9:9" x14ac:dyDescent="0.25">
      <c r="I652" s="57"/>
    </row>
    <row r="653" spans="9:9" x14ac:dyDescent="0.25">
      <c r="I653" s="57"/>
    </row>
    <row r="654" spans="9:9" x14ac:dyDescent="0.25">
      <c r="I654" s="57"/>
    </row>
    <row r="655" spans="9:9" x14ac:dyDescent="0.25">
      <c r="I655" s="57"/>
    </row>
    <row r="656" spans="9:9" x14ac:dyDescent="0.25">
      <c r="I656" s="57"/>
    </row>
    <row r="657" spans="9:9" x14ac:dyDescent="0.25">
      <c r="I657" s="57"/>
    </row>
    <row r="658" spans="9:9" x14ac:dyDescent="0.25">
      <c r="I658" s="57"/>
    </row>
    <row r="659" spans="9:9" x14ac:dyDescent="0.25">
      <c r="I659" s="57"/>
    </row>
    <row r="660" spans="9:9" x14ac:dyDescent="0.25">
      <c r="I660" s="57"/>
    </row>
    <row r="661" spans="9:9" x14ac:dyDescent="0.25">
      <c r="I661" s="57"/>
    </row>
    <row r="662" spans="9:9" x14ac:dyDescent="0.25">
      <c r="I662" s="57"/>
    </row>
    <row r="663" spans="9:9" x14ac:dyDescent="0.25">
      <c r="I663" s="57"/>
    </row>
    <row r="664" spans="9:9" x14ac:dyDescent="0.25">
      <c r="I664" s="57"/>
    </row>
    <row r="665" spans="9:9" x14ac:dyDescent="0.25">
      <c r="I665" s="57"/>
    </row>
    <row r="666" spans="9:9" x14ac:dyDescent="0.25">
      <c r="I666" s="57"/>
    </row>
    <row r="667" spans="9:9" x14ac:dyDescent="0.25">
      <c r="I667" s="57"/>
    </row>
    <row r="668" spans="9:9" x14ac:dyDescent="0.25">
      <c r="I668" s="57"/>
    </row>
    <row r="669" spans="9:9" x14ac:dyDescent="0.25">
      <c r="I669" s="57"/>
    </row>
    <row r="670" spans="9:9" x14ac:dyDescent="0.25">
      <c r="I670" s="57"/>
    </row>
    <row r="671" spans="9:9" x14ac:dyDescent="0.25">
      <c r="I671" s="57"/>
    </row>
    <row r="672" spans="9:9" x14ac:dyDescent="0.25">
      <c r="I672" s="57"/>
    </row>
    <row r="673" spans="9:9" x14ac:dyDescent="0.25">
      <c r="I673" s="57"/>
    </row>
    <row r="674" spans="9:9" x14ac:dyDescent="0.25">
      <c r="I674" s="57"/>
    </row>
    <row r="675" spans="9:9" x14ac:dyDescent="0.25">
      <c r="I675" s="57"/>
    </row>
    <row r="676" spans="9:9" x14ac:dyDescent="0.25">
      <c r="I676" s="57"/>
    </row>
    <row r="677" spans="9:9" x14ac:dyDescent="0.25">
      <c r="I677" s="57"/>
    </row>
    <row r="678" spans="9:9" x14ac:dyDescent="0.25">
      <c r="I678" s="57"/>
    </row>
    <row r="679" spans="9:9" x14ac:dyDescent="0.25">
      <c r="I679" s="57"/>
    </row>
    <row r="680" spans="9:9" x14ac:dyDescent="0.25">
      <c r="I680" s="57"/>
    </row>
    <row r="681" spans="9:9" x14ac:dyDescent="0.25">
      <c r="I681" s="57"/>
    </row>
    <row r="682" spans="9:9" x14ac:dyDescent="0.25">
      <c r="I682" s="57"/>
    </row>
    <row r="683" spans="9:9" x14ac:dyDescent="0.25">
      <c r="I683" s="57"/>
    </row>
    <row r="684" spans="9:9" x14ac:dyDescent="0.25">
      <c r="I684" s="57"/>
    </row>
    <row r="685" spans="9:9" x14ac:dyDescent="0.25">
      <c r="I685" s="57"/>
    </row>
    <row r="686" spans="9:9" x14ac:dyDescent="0.25">
      <c r="I686" s="57"/>
    </row>
    <row r="687" spans="9:9" x14ac:dyDescent="0.25">
      <c r="I687" s="57"/>
    </row>
    <row r="688" spans="9:9" x14ac:dyDescent="0.25">
      <c r="I688" s="57"/>
    </row>
    <row r="689" spans="9:9" x14ac:dyDescent="0.25">
      <c r="I689" s="57"/>
    </row>
    <row r="690" spans="9:9" x14ac:dyDescent="0.25">
      <c r="I690" s="57"/>
    </row>
    <row r="691" spans="9:9" x14ac:dyDescent="0.25">
      <c r="I691" s="57"/>
    </row>
    <row r="692" spans="9:9" x14ac:dyDescent="0.25">
      <c r="I692" s="57"/>
    </row>
    <row r="693" spans="9:9" x14ac:dyDescent="0.25">
      <c r="I693" s="57"/>
    </row>
    <row r="694" spans="9:9" x14ac:dyDescent="0.25">
      <c r="I694" s="57"/>
    </row>
    <row r="695" spans="9:9" x14ac:dyDescent="0.25">
      <c r="I695" s="57"/>
    </row>
    <row r="696" spans="9:9" x14ac:dyDescent="0.25">
      <c r="I696" s="57"/>
    </row>
    <row r="697" spans="9:9" x14ac:dyDescent="0.25">
      <c r="I697" s="57"/>
    </row>
    <row r="698" spans="9:9" x14ac:dyDescent="0.25">
      <c r="I698" s="57"/>
    </row>
    <row r="699" spans="9:9" x14ac:dyDescent="0.25">
      <c r="I699" s="57"/>
    </row>
    <row r="700" spans="9:9" x14ac:dyDescent="0.25">
      <c r="I700" s="57"/>
    </row>
    <row r="701" spans="9:9" x14ac:dyDescent="0.25">
      <c r="I701" s="57"/>
    </row>
    <row r="702" spans="9:9" x14ac:dyDescent="0.25">
      <c r="I702" s="57"/>
    </row>
    <row r="703" spans="9:9" x14ac:dyDescent="0.25">
      <c r="I703" s="57"/>
    </row>
    <row r="704" spans="9:9" x14ac:dyDescent="0.25">
      <c r="I704" s="57"/>
    </row>
    <row r="705" spans="9:9" x14ac:dyDescent="0.25">
      <c r="I705" s="57"/>
    </row>
    <row r="706" spans="9:9" x14ac:dyDescent="0.25">
      <c r="I706" s="57"/>
    </row>
    <row r="707" spans="9:9" x14ac:dyDescent="0.25">
      <c r="I707" s="57"/>
    </row>
    <row r="708" spans="9:9" x14ac:dyDescent="0.25">
      <c r="I708" s="57"/>
    </row>
    <row r="709" spans="9:9" x14ac:dyDescent="0.25">
      <c r="I709" s="57"/>
    </row>
    <row r="710" spans="9:9" x14ac:dyDescent="0.25">
      <c r="I710" s="57"/>
    </row>
    <row r="711" spans="9:9" x14ac:dyDescent="0.25">
      <c r="I711" s="57"/>
    </row>
    <row r="712" spans="9:9" x14ac:dyDescent="0.25">
      <c r="I712" s="57"/>
    </row>
    <row r="713" spans="9:9" x14ac:dyDescent="0.25">
      <c r="I713" s="57"/>
    </row>
    <row r="714" spans="9:9" x14ac:dyDescent="0.25">
      <c r="I714" s="57"/>
    </row>
    <row r="715" spans="9:9" x14ac:dyDescent="0.25">
      <c r="I715" s="57"/>
    </row>
    <row r="716" spans="9:9" x14ac:dyDescent="0.25">
      <c r="I716" s="57"/>
    </row>
    <row r="717" spans="9:9" x14ac:dyDescent="0.25">
      <c r="I717" s="57"/>
    </row>
    <row r="718" spans="9:9" x14ac:dyDescent="0.25">
      <c r="I718" s="57"/>
    </row>
    <row r="719" spans="9:9" x14ac:dyDescent="0.25">
      <c r="I719" s="57"/>
    </row>
    <row r="720" spans="9:9" x14ac:dyDescent="0.25">
      <c r="I720" s="57"/>
    </row>
    <row r="721" spans="9:9" x14ac:dyDescent="0.25">
      <c r="I721" s="57"/>
    </row>
    <row r="722" spans="9:9" x14ac:dyDescent="0.25">
      <c r="I722" s="57"/>
    </row>
    <row r="723" spans="9:9" x14ac:dyDescent="0.25">
      <c r="I723" s="57"/>
    </row>
    <row r="724" spans="9:9" x14ac:dyDescent="0.25">
      <c r="I724" s="57"/>
    </row>
    <row r="725" spans="9:9" x14ac:dyDescent="0.25">
      <c r="I725" s="57"/>
    </row>
    <row r="726" spans="9:9" x14ac:dyDescent="0.25">
      <c r="I726" s="57"/>
    </row>
    <row r="727" spans="9:9" x14ac:dyDescent="0.25">
      <c r="I727" s="57"/>
    </row>
    <row r="728" spans="9:9" x14ac:dyDescent="0.25">
      <c r="I728" s="57"/>
    </row>
    <row r="729" spans="9:9" x14ac:dyDescent="0.25">
      <c r="I729" s="57"/>
    </row>
    <row r="730" spans="9:9" x14ac:dyDescent="0.25">
      <c r="I730" s="57"/>
    </row>
    <row r="731" spans="9:9" x14ac:dyDescent="0.25">
      <c r="I731" s="57"/>
    </row>
    <row r="732" spans="9:9" x14ac:dyDescent="0.25">
      <c r="I732" s="57"/>
    </row>
    <row r="733" spans="9:9" x14ac:dyDescent="0.25">
      <c r="I733" s="57"/>
    </row>
    <row r="734" spans="9:9" x14ac:dyDescent="0.25">
      <c r="I734" s="57"/>
    </row>
    <row r="735" spans="9:9" x14ac:dyDescent="0.25">
      <c r="I735" s="57"/>
    </row>
    <row r="736" spans="9:9" x14ac:dyDescent="0.25">
      <c r="I736" s="57"/>
    </row>
    <row r="737" spans="9:9" x14ac:dyDescent="0.25">
      <c r="I737" s="57"/>
    </row>
    <row r="738" spans="9:9" x14ac:dyDescent="0.25">
      <c r="I738" s="57"/>
    </row>
    <row r="739" spans="9:9" x14ac:dyDescent="0.25">
      <c r="I739" s="57"/>
    </row>
    <row r="740" spans="9:9" x14ac:dyDescent="0.25">
      <c r="I740" s="57"/>
    </row>
    <row r="741" spans="9:9" x14ac:dyDescent="0.25">
      <c r="I741" s="57"/>
    </row>
    <row r="742" spans="9:9" x14ac:dyDescent="0.25">
      <c r="I742" s="57"/>
    </row>
    <row r="743" spans="9:9" x14ac:dyDescent="0.25">
      <c r="I743" s="57"/>
    </row>
    <row r="744" spans="9:9" x14ac:dyDescent="0.25">
      <c r="I744" s="57"/>
    </row>
    <row r="745" spans="9:9" x14ac:dyDescent="0.25">
      <c r="I745" s="57"/>
    </row>
    <row r="746" spans="9:9" x14ac:dyDescent="0.25">
      <c r="I746" s="57"/>
    </row>
    <row r="747" spans="9:9" x14ac:dyDescent="0.25">
      <c r="I747" s="57"/>
    </row>
    <row r="748" spans="9:9" x14ac:dyDescent="0.25">
      <c r="I748" s="57"/>
    </row>
    <row r="749" spans="9:9" x14ac:dyDescent="0.25">
      <c r="I749" s="57"/>
    </row>
    <row r="750" spans="9:9" x14ac:dyDescent="0.25">
      <c r="I750" s="57"/>
    </row>
    <row r="751" spans="9:9" x14ac:dyDescent="0.25">
      <c r="I751" s="57"/>
    </row>
    <row r="752" spans="9:9" x14ac:dyDescent="0.25">
      <c r="I752" s="57"/>
    </row>
    <row r="753" spans="9:9" x14ac:dyDescent="0.25">
      <c r="I753" s="57"/>
    </row>
    <row r="754" spans="9:9" x14ac:dyDescent="0.25">
      <c r="I754" s="57"/>
    </row>
    <row r="755" spans="9:9" x14ac:dyDescent="0.25">
      <c r="I755" s="57"/>
    </row>
    <row r="756" spans="9:9" x14ac:dyDescent="0.25">
      <c r="I756" s="57"/>
    </row>
    <row r="757" spans="9:9" x14ac:dyDescent="0.25">
      <c r="I757" s="57"/>
    </row>
    <row r="758" spans="9:9" x14ac:dyDescent="0.25">
      <c r="I758" s="57"/>
    </row>
    <row r="759" spans="9:9" x14ac:dyDescent="0.25">
      <c r="I759" s="57"/>
    </row>
    <row r="760" spans="9:9" x14ac:dyDescent="0.25">
      <c r="I760" s="57"/>
    </row>
    <row r="761" spans="9:9" x14ac:dyDescent="0.25">
      <c r="I761" s="57"/>
    </row>
    <row r="762" spans="9:9" x14ac:dyDescent="0.25">
      <c r="I762" s="57"/>
    </row>
    <row r="763" spans="9:9" x14ac:dyDescent="0.25">
      <c r="I763" s="57"/>
    </row>
    <row r="764" spans="9:9" x14ac:dyDescent="0.25">
      <c r="I764" s="57"/>
    </row>
    <row r="765" spans="9:9" x14ac:dyDescent="0.25">
      <c r="I765" s="57"/>
    </row>
    <row r="766" spans="9:9" x14ac:dyDescent="0.25">
      <c r="I766" s="57"/>
    </row>
    <row r="767" spans="9:9" x14ac:dyDescent="0.25">
      <c r="I767" s="57"/>
    </row>
    <row r="768" spans="9:9" x14ac:dyDescent="0.25">
      <c r="I768" s="57"/>
    </row>
    <row r="769" spans="9:9" x14ac:dyDescent="0.25">
      <c r="I769" s="57"/>
    </row>
    <row r="770" spans="9:9" x14ac:dyDescent="0.25">
      <c r="I770" s="57"/>
    </row>
    <row r="771" spans="9:9" x14ac:dyDescent="0.25">
      <c r="I771" s="57"/>
    </row>
    <row r="772" spans="9:9" x14ac:dyDescent="0.25">
      <c r="I772" s="57"/>
    </row>
    <row r="773" spans="9:9" x14ac:dyDescent="0.25">
      <c r="I773" s="57"/>
    </row>
    <row r="774" spans="9:9" x14ac:dyDescent="0.25">
      <c r="I774" s="57"/>
    </row>
    <row r="775" spans="9:9" x14ac:dyDescent="0.25">
      <c r="I775" s="57"/>
    </row>
    <row r="776" spans="9:9" x14ac:dyDescent="0.25">
      <c r="I776" s="57"/>
    </row>
    <row r="777" spans="9:9" x14ac:dyDescent="0.25">
      <c r="I777" s="57"/>
    </row>
    <row r="778" spans="9:9" x14ac:dyDescent="0.25">
      <c r="I778" s="57"/>
    </row>
    <row r="779" spans="9:9" x14ac:dyDescent="0.25">
      <c r="I779" s="57"/>
    </row>
    <row r="780" spans="9:9" x14ac:dyDescent="0.25">
      <c r="I780" s="57"/>
    </row>
    <row r="781" spans="9:9" x14ac:dyDescent="0.25">
      <c r="I781" s="57"/>
    </row>
    <row r="782" spans="9:9" x14ac:dyDescent="0.25">
      <c r="I782" s="57"/>
    </row>
    <row r="783" spans="9:9" x14ac:dyDescent="0.25">
      <c r="I783" s="57"/>
    </row>
    <row r="784" spans="9:9" x14ac:dyDescent="0.25">
      <c r="I784" s="57"/>
    </row>
    <row r="785" spans="9:9" x14ac:dyDescent="0.25">
      <c r="I785" s="57"/>
    </row>
    <row r="786" spans="9:9" x14ac:dyDescent="0.25">
      <c r="I786" s="57"/>
    </row>
    <row r="787" spans="9:9" x14ac:dyDescent="0.25">
      <c r="I787" s="57"/>
    </row>
    <row r="788" spans="9:9" x14ac:dyDescent="0.25">
      <c r="I788" s="57"/>
    </row>
    <row r="789" spans="9:9" x14ac:dyDescent="0.25">
      <c r="I789" s="57"/>
    </row>
    <row r="790" spans="9:9" x14ac:dyDescent="0.25">
      <c r="I790" s="57"/>
    </row>
    <row r="791" spans="9:9" x14ac:dyDescent="0.25">
      <c r="I791" s="57"/>
    </row>
    <row r="792" spans="9:9" x14ac:dyDescent="0.25">
      <c r="I792" s="57"/>
    </row>
    <row r="793" spans="9:9" x14ac:dyDescent="0.25">
      <c r="I793" s="57"/>
    </row>
    <row r="794" spans="9:9" x14ac:dyDescent="0.25">
      <c r="I794" s="57"/>
    </row>
    <row r="795" spans="9:9" x14ac:dyDescent="0.25">
      <c r="I795" s="57"/>
    </row>
    <row r="796" spans="9:9" x14ac:dyDescent="0.25">
      <c r="I796" s="57"/>
    </row>
    <row r="797" spans="9:9" x14ac:dyDescent="0.25">
      <c r="I797" s="57"/>
    </row>
    <row r="798" spans="9:9" x14ac:dyDescent="0.25">
      <c r="I798" s="57"/>
    </row>
    <row r="799" spans="9:9" x14ac:dyDescent="0.25">
      <c r="I799" s="57"/>
    </row>
    <row r="800" spans="9:9" x14ac:dyDescent="0.25">
      <c r="I800" s="57"/>
    </row>
    <row r="801" spans="9:9" x14ac:dyDescent="0.25">
      <c r="I801" s="57"/>
    </row>
    <row r="802" spans="9:9" x14ac:dyDescent="0.25">
      <c r="I802" s="57"/>
    </row>
    <row r="803" spans="9:9" x14ac:dyDescent="0.25">
      <c r="I803" s="57"/>
    </row>
    <row r="804" spans="9:9" x14ac:dyDescent="0.25">
      <c r="I804" s="57"/>
    </row>
    <row r="805" spans="9:9" x14ac:dyDescent="0.25">
      <c r="I805" s="57"/>
    </row>
    <row r="806" spans="9:9" x14ac:dyDescent="0.25">
      <c r="I806" s="57"/>
    </row>
    <row r="807" spans="9:9" x14ac:dyDescent="0.25">
      <c r="I807" s="57"/>
    </row>
    <row r="808" spans="9:9" x14ac:dyDescent="0.25">
      <c r="I808" s="57"/>
    </row>
    <row r="809" spans="9:9" x14ac:dyDescent="0.25">
      <c r="I809" s="57"/>
    </row>
    <row r="810" spans="9:9" x14ac:dyDescent="0.25">
      <c r="I810" s="57"/>
    </row>
    <row r="811" spans="9:9" x14ac:dyDescent="0.25">
      <c r="I811" s="57"/>
    </row>
    <row r="812" spans="9:9" x14ac:dyDescent="0.25">
      <c r="I812" s="57"/>
    </row>
    <row r="813" spans="9:9" x14ac:dyDescent="0.25">
      <c r="I813" s="57"/>
    </row>
    <row r="814" spans="9:9" x14ac:dyDescent="0.25">
      <c r="I814" s="57"/>
    </row>
    <row r="815" spans="9:9" x14ac:dyDescent="0.25">
      <c r="I815" s="57"/>
    </row>
    <row r="816" spans="9:9" x14ac:dyDescent="0.25">
      <c r="I816" s="57"/>
    </row>
    <row r="817" spans="9:9" x14ac:dyDescent="0.25">
      <c r="I817" s="57"/>
    </row>
    <row r="818" spans="9:9" x14ac:dyDescent="0.25">
      <c r="I818" s="57"/>
    </row>
    <row r="819" spans="9:9" x14ac:dyDescent="0.25">
      <c r="I819" s="57"/>
    </row>
    <row r="820" spans="9:9" x14ac:dyDescent="0.25">
      <c r="I820" s="57"/>
    </row>
    <row r="821" spans="9:9" x14ac:dyDescent="0.25">
      <c r="I821" s="57"/>
    </row>
    <row r="822" spans="9:9" x14ac:dyDescent="0.25">
      <c r="I822" s="57"/>
    </row>
    <row r="823" spans="9:9" x14ac:dyDescent="0.25">
      <c r="I823" s="57"/>
    </row>
    <row r="824" spans="9:9" x14ac:dyDescent="0.25">
      <c r="I824" s="57"/>
    </row>
    <row r="825" spans="9:9" x14ac:dyDescent="0.25">
      <c r="I825" s="57"/>
    </row>
    <row r="826" spans="9:9" x14ac:dyDescent="0.25">
      <c r="I826" s="57"/>
    </row>
    <row r="827" spans="9:9" x14ac:dyDescent="0.25">
      <c r="I827" s="57"/>
    </row>
    <row r="828" spans="9:9" x14ac:dyDescent="0.25">
      <c r="I828" s="57"/>
    </row>
    <row r="829" spans="9:9" x14ac:dyDescent="0.25">
      <c r="I829" s="57"/>
    </row>
    <row r="830" spans="9:9" x14ac:dyDescent="0.25">
      <c r="I830" s="57"/>
    </row>
    <row r="831" spans="9:9" x14ac:dyDescent="0.25">
      <c r="I831" s="57"/>
    </row>
    <row r="832" spans="9:9" x14ac:dyDescent="0.25">
      <c r="I832" s="57"/>
    </row>
    <row r="833" spans="9:9" x14ac:dyDescent="0.25">
      <c r="I833" s="57"/>
    </row>
    <row r="834" spans="9:9" x14ac:dyDescent="0.25">
      <c r="I834" s="57"/>
    </row>
    <row r="835" spans="9:9" x14ac:dyDescent="0.25">
      <c r="I835" s="57"/>
    </row>
    <row r="836" spans="9:9" x14ac:dyDescent="0.25">
      <c r="I836" s="57"/>
    </row>
    <row r="837" spans="9:9" x14ac:dyDescent="0.25">
      <c r="I837" s="57"/>
    </row>
    <row r="838" spans="9:9" x14ac:dyDescent="0.25">
      <c r="I838" s="57"/>
    </row>
    <row r="839" spans="9:9" x14ac:dyDescent="0.25">
      <c r="I839" s="57"/>
    </row>
    <row r="840" spans="9:9" x14ac:dyDescent="0.25">
      <c r="I840" s="57"/>
    </row>
    <row r="841" spans="9:9" x14ac:dyDescent="0.25">
      <c r="I841" s="57"/>
    </row>
    <row r="842" spans="9:9" x14ac:dyDescent="0.25">
      <c r="I842" s="57"/>
    </row>
    <row r="843" spans="9:9" x14ac:dyDescent="0.25">
      <c r="I843" s="57"/>
    </row>
    <row r="844" spans="9:9" x14ac:dyDescent="0.25">
      <c r="I844" s="57"/>
    </row>
    <row r="845" spans="9:9" x14ac:dyDescent="0.25">
      <c r="I845" s="57"/>
    </row>
    <row r="846" spans="9:9" x14ac:dyDescent="0.25">
      <c r="I846" s="57"/>
    </row>
    <row r="847" spans="9:9" x14ac:dyDescent="0.25">
      <c r="I847" s="57"/>
    </row>
    <row r="848" spans="9:9" x14ac:dyDescent="0.25">
      <c r="I848" s="57"/>
    </row>
    <row r="849" spans="9:9" x14ac:dyDescent="0.25">
      <c r="I849" s="57"/>
    </row>
    <row r="850" spans="9:9" x14ac:dyDescent="0.25">
      <c r="I850" s="57"/>
    </row>
    <row r="851" spans="9:9" x14ac:dyDescent="0.25">
      <c r="I851" s="57"/>
    </row>
    <row r="852" spans="9:9" x14ac:dyDescent="0.25">
      <c r="I852" s="57"/>
    </row>
    <row r="853" spans="9:9" x14ac:dyDescent="0.25">
      <c r="I853" s="57"/>
    </row>
    <row r="854" spans="9:9" x14ac:dyDescent="0.25">
      <c r="I854" s="57"/>
    </row>
    <row r="855" spans="9:9" x14ac:dyDescent="0.25">
      <c r="I855" s="57"/>
    </row>
    <row r="856" spans="9:9" x14ac:dyDescent="0.25">
      <c r="I856" s="57"/>
    </row>
    <row r="857" spans="9:9" x14ac:dyDescent="0.25">
      <c r="I857" s="57"/>
    </row>
    <row r="858" spans="9:9" x14ac:dyDescent="0.25">
      <c r="I858" s="57"/>
    </row>
    <row r="859" spans="9:9" x14ac:dyDescent="0.25">
      <c r="I859" s="57"/>
    </row>
    <row r="860" spans="9:9" x14ac:dyDescent="0.25">
      <c r="I860" s="57"/>
    </row>
    <row r="861" spans="9:9" x14ac:dyDescent="0.25">
      <c r="I861" s="57"/>
    </row>
    <row r="862" spans="9:9" x14ac:dyDescent="0.25">
      <c r="I862" s="57"/>
    </row>
    <row r="863" spans="9:9" x14ac:dyDescent="0.25">
      <c r="I863" s="57"/>
    </row>
    <row r="864" spans="9:9" x14ac:dyDescent="0.25">
      <c r="I864" s="57"/>
    </row>
    <row r="865" spans="9:9" x14ac:dyDescent="0.25">
      <c r="I865" s="57"/>
    </row>
    <row r="866" spans="9:9" x14ac:dyDescent="0.25">
      <c r="I866" s="57"/>
    </row>
    <row r="867" spans="9:9" x14ac:dyDescent="0.25">
      <c r="I867" s="57"/>
    </row>
    <row r="868" spans="9:9" x14ac:dyDescent="0.25">
      <c r="I868" s="57"/>
    </row>
    <row r="869" spans="9:9" x14ac:dyDescent="0.25">
      <c r="I869" s="57"/>
    </row>
    <row r="870" spans="9:9" x14ac:dyDescent="0.25">
      <c r="I870" s="57"/>
    </row>
    <row r="871" spans="9:9" x14ac:dyDescent="0.25">
      <c r="I871" s="57"/>
    </row>
    <row r="872" spans="9:9" x14ac:dyDescent="0.25">
      <c r="I872" s="57"/>
    </row>
    <row r="873" spans="9:9" x14ac:dyDescent="0.25">
      <c r="I873" s="57"/>
    </row>
    <row r="874" spans="9:9" x14ac:dyDescent="0.25">
      <c r="I874" s="57"/>
    </row>
    <row r="875" spans="9:9" x14ac:dyDescent="0.25">
      <c r="I875" s="57"/>
    </row>
    <row r="876" spans="9:9" x14ac:dyDescent="0.25">
      <c r="I876" s="57"/>
    </row>
    <row r="877" spans="9:9" x14ac:dyDescent="0.25">
      <c r="I877" s="57"/>
    </row>
    <row r="878" spans="9:9" x14ac:dyDescent="0.25">
      <c r="I878" s="57"/>
    </row>
    <row r="879" spans="9:9" x14ac:dyDescent="0.25">
      <c r="I879" s="57"/>
    </row>
    <row r="880" spans="9:9" x14ac:dyDescent="0.25">
      <c r="I880" s="57"/>
    </row>
    <row r="881" spans="9:9" x14ac:dyDescent="0.25">
      <c r="I881" s="57"/>
    </row>
    <row r="882" spans="9:9" x14ac:dyDescent="0.25">
      <c r="I882" s="57"/>
    </row>
    <row r="883" spans="9:9" x14ac:dyDescent="0.25">
      <c r="I883" s="57"/>
    </row>
    <row r="884" spans="9:9" x14ac:dyDescent="0.25">
      <c r="I884" s="57"/>
    </row>
    <row r="885" spans="9:9" x14ac:dyDescent="0.25">
      <c r="I885" s="57"/>
    </row>
    <row r="886" spans="9:9" x14ac:dyDescent="0.25">
      <c r="I886" s="57"/>
    </row>
    <row r="887" spans="9:9" x14ac:dyDescent="0.25">
      <c r="I887" s="57"/>
    </row>
    <row r="888" spans="9:9" x14ac:dyDescent="0.25">
      <c r="I888" s="57"/>
    </row>
    <row r="889" spans="9:9" x14ac:dyDescent="0.25">
      <c r="I889" s="57"/>
    </row>
    <row r="890" spans="9:9" x14ac:dyDescent="0.25">
      <c r="I890" s="57"/>
    </row>
    <row r="891" spans="9:9" x14ac:dyDescent="0.25">
      <c r="I891" s="57"/>
    </row>
    <row r="892" spans="9:9" x14ac:dyDescent="0.25">
      <c r="I892" s="57"/>
    </row>
    <row r="893" spans="9:9" x14ac:dyDescent="0.25">
      <c r="I893" s="57"/>
    </row>
    <row r="894" spans="9:9" x14ac:dyDescent="0.25">
      <c r="I894" s="57"/>
    </row>
    <row r="895" spans="9:9" x14ac:dyDescent="0.25">
      <c r="I895" s="57"/>
    </row>
    <row r="896" spans="9:9" x14ac:dyDescent="0.25">
      <c r="I896" s="57"/>
    </row>
    <row r="897" spans="9:9" x14ac:dyDescent="0.25">
      <c r="I897" s="57"/>
    </row>
    <row r="898" spans="9:9" x14ac:dyDescent="0.25">
      <c r="I898" s="57"/>
    </row>
    <row r="899" spans="9:9" x14ac:dyDescent="0.25">
      <c r="I899" s="57"/>
    </row>
    <row r="900" spans="9:9" x14ac:dyDescent="0.25">
      <c r="I900" s="57"/>
    </row>
    <row r="901" spans="9:9" x14ac:dyDescent="0.25">
      <c r="I901" s="57"/>
    </row>
    <row r="902" spans="9:9" x14ac:dyDescent="0.25">
      <c r="I902" s="57"/>
    </row>
    <row r="903" spans="9:9" x14ac:dyDescent="0.25">
      <c r="I903" s="57"/>
    </row>
    <row r="904" spans="9:9" x14ac:dyDescent="0.25">
      <c r="I904" s="57"/>
    </row>
    <row r="905" spans="9:9" x14ac:dyDescent="0.25">
      <c r="I905" s="57"/>
    </row>
    <row r="906" spans="9:9" x14ac:dyDescent="0.25">
      <c r="I906" s="57"/>
    </row>
    <row r="907" spans="9:9" x14ac:dyDescent="0.25">
      <c r="I907" s="57"/>
    </row>
    <row r="908" spans="9:9" x14ac:dyDescent="0.25">
      <c r="I908" s="57"/>
    </row>
    <row r="909" spans="9:9" x14ac:dyDescent="0.25">
      <c r="I909" s="57"/>
    </row>
    <row r="910" spans="9:9" x14ac:dyDescent="0.25">
      <c r="I910" s="57"/>
    </row>
    <row r="911" spans="9:9" x14ac:dyDescent="0.25">
      <c r="I911" s="57"/>
    </row>
    <row r="912" spans="9:9" x14ac:dyDescent="0.25">
      <c r="I912" s="57"/>
    </row>
    <row r="913" spans="9:9" x14ac:dyDescent="0.25">
      <c r="I913" s="57"/>
    </row>
    <row r="914" spans="9:9" x14ac:dyDescent="0.25">
      <c r="I914" s="57"/>
    </row>
    <row r="915" spans="9:9" x14ac:dyDescent="0.25">
      <c r="I915" s="57"/>
    </row>
    <row r="916" spans="9:9" x14ac:dyDescent="0.25">
      <c r="I916" s="57"/>
    </row>
    <row r="917" spans="9:9" x14ac:dyDescent="0.25">
      <c r="I917" s="57"/>
    </row>
    <row r="918" spans="9:9" x14ac:dyDescent="0.25">
      <c r="I918" s="57"/>
    </row>
    <row r="919" spans="9:9" x14ac:dyDescent="0.25">
      <c r="I919" s="57"/>
    </row>
    <row r="920" spans="9:9" x14ac:dyDescent="0.25">
      <c r="I920" s="57"/>
    </row>
    <row r="921" spans="9:9" x14ac:dyDescent="0.25">
      <c r="I921" s="57"/>
    </row>
    <row r="922" spans="9:9" x14ac:dyDescent="0.25">
      <c r="I922" s="57"/>
    </row>
    <row r="923" spans="9:9" x14ac:dyDescent="0.25">
      <c r="I923" s="57"/>
    </row>
    <row r="924" spans="9:9" x14ac:dyDescent="0.25">
      <c r="I924" s="57"/>
    </row>
    <row r="925" spans="9:9" x14ac:dyDescent="0.25">
      <c r="I925" s="57"/>
    </row>
    <row r="926" spans="9:9" x14ac:dyDescent="0.25">
      <c r="I926" s="57"/>
    </row>
    <row r="927" spans="9:9" x14ac:dyDescent="0.25">
      <c r="I927" s="57"/>
    </row>
    <row r="928" spans="9:9" x14ac:dyDescent="0.25">
      <c r="I928" s="57"/>
    </row>
    <row r="929" spans="9:9" x14ac:dyDescent="0.25">
      <c r="I929" s="57"/>
    </row>
    <row r="930" spans="9:9" x14ac:dyDescent="0.25">
      <c r="I930" s="57"/>
    </row>
    <row r="931" spans="9:9" x14ac:dyDescent="0.25">
      <c r="I931" s="57"/>
    </row>
    <row r="932" spans="9:9" x14ac:dyDescent="0.25">
      <c r="I932" s="57"/>
    </row>
    <row r="933" spans="9:9" x14ac:dyDescent="0.25">
      <c r="I933" s="57"/>
    </row>
    <row r="934" spans="9:9" x14ac:dyDescent="0.25">
      <c r="I934" s="57"/>
    </row>
    <row r="935" spans="9:9" x14ac:dyDescent="0.25">
      <c r="I935" s="57"/>
    </row>
    <row r="936" spans="9:9" x14ac:dyDescent="0.25">
      <c r="I936" s="57"/>
    </row>
    <row r="937" spans="9:9" x14ac:dyDescent="0.25">
      <c r="I937" s="57"/>
    </row>
    <row r="938" spans="9:9" x14ac:dyDescent="0.25">
      <c r="I938" s="57"/>
    </row>
    <row r="939" spans="9:9" x14ac:dyDescent="0.25">
      <c r="I939" s="57"/>
    </row>
    <row r="940" spans="9:9" x14ac:dyDescent="0.25">
      <c r="I940" s="57"/>
    </row>
    <row r="941" spans="9:9" x14ac:dyDescent="0.25">
      <c r="I941" s="57"/>
    </row>
    <row r="942" spans="9:9" x14ac:dyDescent="0.25">
      <c r="I942" s="57"/>
    </row>
    <row r="943" spans="9:9" x14ac:dyDescent="0.25">
      <c r="I943" s="57"/>
    </row>
    <row r="944" spans="9:9" x14ac:dyDescent="0.25">
      <c r="I944" s="57"/>
    </row>
    <row r="945" spans="9:9" x14ac:dyDescent="0.25">
      <c r="I945" s="57"/>
    </row>
    <row r="946" spans="9:9" x14ac:dyDescent="0.25">
      <c r="I946" s="57"/>
    </row>
    <row r="947" spans="9:9" x14ac:dyDescent="0.25">
      <c r="I947" s="57"/>
    </row>
    <row r="948" spans="9:9" x14ac:dyDescent="0.25">
      <c r="I948" s="57"/>
    </row>
    <row r="949" spans="9:9" x14ac:dyDescent="0.25">
      <c r="I949" s="57"/>
    </row>
    <row r="950" spans="9:9" x14ac:dyDescent="0.25">
      <c r="I950" s="57"/>
    </row>
    <row r="951" spans="9:9" x14ac:dyDescent="0.25">
      <c r="I951" s="57"/>
    </row>
    <row r="952" spans="9:9" x14ac:dyDescent="0.25">
      <c r="I952" s="57"/>
    </row>
    <row r="953" spans="9:9" x14ac:dyDescent="0.25">
      <c r="I953" s="57"/>
    </row>
    <row r="954" spans="9:9" x14ac:dyDescent="0.25">
      <c r="I954" s="57"/>
    </row>
    <row r="955" spans="9:9" x14ac:dyDescent="0.25">
      <c r="I955" s="57"/>
    </row>
    <row r="956" spans="9:9" x14ac:dyDescent="0.25">
      <c r="I956" s="57"/>
    </row>
    <row r="957" spans="9:9" x14ac:dyDescent="0.25">
      <c r="I957" s="57"/>
    </row>
    <row r="958" spans="9:9" x14ac:dyDescent="0.25">
      <c r="I958" s="57"/>
    </row>
    <row r="959" spans="9:9" x14ac:dyDescent="0.25">
      <c r="I959" s="57"/>
    </row>
    <row r="960" spans="9:9" x14ac:dyDescent="0.25">
      <c r="I960" s="57"/>
    </row>
    <row r="961" spans="9:9" x14ac:dyDescent="0.25">
      <c r="I961" s="57"/>
    </row>
    <row r="962" spans="9:9" x14ac:dyDescent="0.25">
      <c r="I962" s="57"/>
    </row>
    <row r="963" spans="9:9" x14ac:dyDescent="0.25">
      <c r="I963" s="57"/>
    </row>
    <row r="964" spans="9:9" x14ac:dyDescent="0.25">
      <c r="I964" s="57"/>
    </row>
    <row r="965" spans="9:9" x14ac:dyDescent="0.25">
      <c r="I965" s="57"/>
    </row>
    <row r="966" spans="9:9" x14ac:dyDescent="0.25">
      <c r="I966" s="57"/>
    </row>
    <row r="967" spans="9:9" x14ac:dyDescent="0.25">
      <c r="I967" s="57"/>
    </row>
    <row r="968" spans="9:9" x14ac:dyDescent="0.25">
      <c r="I968" s="57"/>
    </row>
    <row r="969" spans="9:9" x14ac:dyDescent="0.25">
      <c r="I969" s="57"/>
    </row>
    <row r="970" spans="9:9" x14ac:dyDescent="0.25">
      <c r="I970" s="57"/>
    </row>
    <row r="971" spans="9:9" x14ac:dyDescent="0.25">
      <c r="I971" s="57"/>
    </row>
    <row r="972" spans="9:9" x14ac:dyDescent="0.25">
      <c r="I972" s="57"/>
    </row>
    <row r="973" spans="9:9" x14ac:dyDescent="0.25">
      <c r="I973" s="57"/>
    </row>
    <row r="974" spans="9:9" x14ac:dyDescent="0.25">
      <c r="I974" s="57"/>
    </row>
    <row r="975" spans="9:9" x14ac:dyDescent="0.25">
      <c r="I975" s="57"/>
    </row>
    <row r="976" spans="9:9" x14ac:dyDescent="0.25">
      <c r="I976" s="57"/>
    </row>
    <row r="977" spans="9:9" x14ac:dyDescent="0.25">
      <c r="I977" s="57"/>
    </row>
    <row r="978" spans="9:9" x14ac:dyDescent="0.25">
      <c r="I978" s="57"/>
    </row>
    <row r="979" spans="9:9" x14ac:dyDescent="0.25">
      <c r="I979" s="57"/>
    </row>
    <row r="980" spans="9:9" x14ac:dyDescent="0.25">
      <c r="I980" s="57"/>
    </row>
    <row r="981" spans="9:9" x14ac:dyDescent="0.25">
      <c r="I981" s="57"/>
    </row>
    <row r="982" spans="9:9" x14ac:dyDescent="0.25">
      <c r="I982" s="57"/>
    </row>
    <row r="983" spans="9:9" x14ac:dyDescent="0.25">
      <c r="I983" s="57"/>
    </row>
    <row r="984" spans="9:9" x14ac:dyDescent="0.25">
      <c r="I984" s="57"/>
    </row>
    <row r="985" spans="9:9" x14ac:dyDescent="0.25">
      <c r="I985" s="57"/>
    </row>
    <row r="986" spans="9:9" x14ac:dyDescent="0.25">
      <c r="I986" s="57"/>
    </row>
    <row r="987" spans="9:9" x14ac:dyDescent="0.25">
      <c r="I987" s="57"/>
    </row>
    <row r="988" spans="9:9" x14ac:dyDescent="0.25">
      <c r="I988" s="57"/>
    </row>
    <row r="989" spans="9:9" x14ac:dyDescent="0.25">
      <c r="I989" s="57"/>
    </row>
    <row r="990" spans="9:9" x14ac:dyDescent="0.25">
      <c r="I990" s="57"/>
    </row>
    <row r="991" spans="9:9" x14ac:dyDescent="0.25">
      <c r="I991" s="57"/>
    </row>
    <row r="992" spans="9:9" x14ac:dyDescent="0.25">
      <c r="I992" s="57"/>
    </row>
    <row r="993" spans="9:9" x14ac:dyDescent="0.25">
      <c r="I993" s="57"/>
    </row>
    <row r="994" spans="9:9" x14ac:dyDescent="0.25">
      <c r="I994" s="57"/>
    </row>
    <row r="995" spans="9:9" x14ac:dyDescent="0.25">
      <c r="I995" s="57"/>
    </row>
    <row r="996" spans="9:9" x14ac:dyDescent="0.25">
      <c r="I996" s="57"/>
    </row>
    <row r="997" spans="9:9" x14ac:dyDescent="0.25">
      <c r="I997" s="57"/>
    </row>
    <row r="998" spans="9:9" x14ac:dyDescent="0.25">
      <c r="I998" s="57"/>
    </row>
    <row r="999" spans="9:9" x14ac:dyDescent="0.25">
      <c r="I999" s="57"/>
    </row>
    <row r="1000" spans="9:9" x14ac:dyDescent="0.25">
      <c r="I1000" s="57"/>
    </row>
    <row r="1001" spans="9:9" x14ac:dyDescent="0.25">
      <c r="I1001" s="57"/>
    </row>
    <row r="1002" spans="9:9" x14ac:dyDescent="0.25">
      <c r="I1002" s="57"/>
    </row>
    <row r="1003" spans="9:9" x14ac:dyDescent="0.25">
      <c r="I1003" s="57"/>
    </row>
    <row r="1004" spans="9:9" x14ac:dyDescent="0.25">
      <c r="I1004" s="57"/>
    </row>
  </sheetData>
  <mergeCells count="8">
    <mergeCell ref="A69:H69"/>
    <mergeCell ref="A1:H1"/>
    <mergeCell ref="A3:H3"/>
    <mergeCell ref="A14:H14"/>
    <mergeCell ref="A39:H39"/>
    <mergeCell ref="A49:H49"/>
    <mergeCell ref="A65:H65"/>
    <mergeCell ref="A27:H27"/>
  </mergeCells>
  <conditionalFormatting sqref="D12">
    <cfRule type="cellIs" dxfId="127" priority="16" operator="lessThan">
      <formula>0</formula>
    </cfRule>
    <cfRule type="cellIs" dxfId="126" priority="17" operator="greaterThan">
      <formula>0</formula>
    </cfRule>
    <cfRule type="cellIs" dxfId="125" priority="18" operator="equal">
      <formula>0</formula>
    </cfRule>
  </conditionalFormatting>
  <conditionalFormatting sqref="D37">
    <cfRule type="cellIs" dxfId="124" priority="13" operator="lessThan">
      <formula>0</formula>
    </cfRule>
    <cfRule type="cellIs" dxfId="123" priority="14" operator="greaterThan">
      <formula>0</formula>
    </cfRule>
    <cfRule type="cellIs" dxfId="122" priority="15" operator="equal">
      <formula>0</formula>
    </cfRule>
  </conditionalFormatting>
  <conditionalFormatting sqref="D47 D59 D63 D67 D80 D82">
    <cfRule type="cellIs" dxfId="121" priority="10" operator="lessThan">
      <formula>0</formula>
    </cfRule>
    <cfRule type="cellIs" dxfId="120" priority="11" operator="greaterThan">
      <formula>0</formula>
    </cfRule>
    <cfRule type="cellIs" dxfId="119" priority="12" operator="equal">
      <formula>0</formula>
    </cfRule>
  </conditionalFormatting>
  <conditionalFormatting sqref="D62">
    <cfRule type="expression" dxfId="118" priority="4">
      <formula>D62&lt;H62</formula>
    </cfRule>
    <cfRule type="expression" dxfId="117" priority="5">
      <formula>D62&gt;H62</formula>
    </cfRule>
    <cfRule type="expression" dxfId="116" priority="6">
      <formula>D62=H62</formula>
    </cfRule>
  </conditionalFormatting>
  <conditionalFormatting sqref="D73">
    <cfRule type="cellIs" dxfId="115" priority="1" operator="lessThan">
      <formula>0</formula>
    </cfRule>
    <cfRule type="cellIs" dxfId="114" priority="2" operator="greaterThan">
      <formula>0</formula>
    </cfRule>
    <cfRule type="cellIs" dxfId="113" priority="3" operator="equal">
      <formula>0</formula>
    </cfRule>
  </conditionalFormatting>
  <conditionalFormatting sqref="E4:E13 E15:E26 E28:E38 E40:E48 E50:E61 E63:E1048576">
    <cfRule type="expression" dxfId="112" priority="7">
      <formula>E4&lt;H4</formula>
    </cfRule>
    <cfRule type="expression" dxfId="111" priority="8">
      <formula>E4&gt;H4</formula>
    </cfRule>
    <cfRule type="expression" dxfId="110" priority="9">
      <formula>E4=H4</formula>
    </cfRule>
  </conditionalFormatting>
  <printOptions horizontalCentered="1"/>
  <pageMargins left="0.25" right="0.25" top="0.75" bottom="0.75" header="0.3" footer="0.3"/>
  <pageSetup scale="97" fitToHeight="0" orientation="landscape" r:id="rId1"/>
  <rowBreaks count="3" manualBreakCount="3">
    <brk id="26" max="7" man="1"/>
    <brk id="48" max="7" man="1"/>
    <brk id="68" max="7"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39997558519241921"/>
  </sheetPr>
  <dimension ref="A1:AC357"/>
  <sheetViews>
    <sheetView topLeftCell="F1" zoomScale="103" zoomScaleNormal="103" zoomScaleSheetLayoutView="90" workbookViewId="0">
      <pane ySplit="2" topLeftCell="A3" activePane="bottomLeft" state="frozen"/>
      <selection activeCell="A24" sqref="A24:H25"/>
      <selection pane="bottomLeft" activeCell="R351" sqref="R351"/>
    </sheetView>
  </sheetViews>
  <sheetFormatPr defaultColWidth="14.42578125" defaultRowHeight="15" customHeight="1" x14ac:dyDescent="0.25"/>
  <cols>
    <col min="1" max="1" width="7.7109375" bestFit="1" customWidth="1"/>
    <col min="2" max="2" width="22.42578125" customWidth="1"/>
    <col min="3" max="3" width="6.7109375" bestFit="1" customWidth="1"/>
    <col min="4" max="4" width="67.28515625" customWidth="1"/>
    <col min="5" max="5" width="11" customWidth="1"/>
    <col min="6" max="6" width="12.28515625" customWidth="1"/>
    <col min="7" max="7" width="9.42578125" customWidth="1"/>
    <col min="8" max="8" width="15" customWidth="1"/>
    <col min="9" max="9" width="15.140625" style="109" bestFit="1" customWidth="1"/>
    <col min="10" max="10" width="10.85546875" style="34" hidden="1" customWidth="1"/>
    <col min="11" max="11" width="13.7109375" style="34" hidden="1" customWidth="1"/>
    <col min="12" max="12" width="18.5703125" customWidth="1"/>
    <col min="13" max="13" width="14.7109375" customWidth="1"/>
    <col min="14" max="14" width="15.140625" customWidth="1"/>
    <col min="15" max="15" width="11.5703125" hidden="1" customWidth="1"/>
    <col min="16" max="16" width="13.28515625" hidden="1" customWidth="1"/>
    <col min="17" max="17" width="3.85546875" customWidth="1"/>
    <col min="18" max="18" width="93.28515625" style="738" customWidth="1"/>
    <col min="19" max="27" width="13.28515625" customWidth="1"/>
    <col min="28" max="29" width="15.140625" customWidth="1"/>
  </cols>
  <sheetData>
    <row r="1" spans="1:18" ht="26.25" x14ac:dyDescent="0.4">
      <c r="B1" s="1104" t="s">
        <v>724</v>
      </c>
      <c r="C1" s="1104"/>
      <c r="D1" s="1104"/>
      <c r="E1" s="1104"/>
      <c r="F1" s="1104"/>
      <c r="G1" s="1104"/>
      <c r="H1" s="1104"/>
      <c r="I1" s="1104"/>
      <c r="J1" s="1104"/>
      <c r="K1" s="1104"/>
      <c r="L1" s="1104"/>
    </row>
    <row r="2" spans="1:18" ht="30" x14ac:dyDescent="0.25">
      <c r="A2" s="912"/>
      <c r="B2" s="913"/>
      <c r="C2" s="913" t="s">
        <v>215</v>
      </c>
      <c r="D2" s="912" t="s">
        <v>77</v>
      </c>
      <c r="E2" s="914" t="s">
        <v>216</v>
      </c>
      <c r="F2" s="914" t="s">
        <v>217</v>
      </c>
      <c r="G2" s="914" t="s">
        <v>218</v>
      </c>
      <c r="H2" s="912" t="s">
        <v>219</v>
      </c>
      <c r="I2" s="912" t="s">
        <v>723</v>
      </c>
      <c r="J2" s="912" t="s">
        <v>79</v>
      </c>
      <c r="K2" s="912" t="s">
        <v>80</v>
      </c>
      <c r="L2" s="912" t="s">
        <v>220</v>
      </c>
      <c r="M2" s="912" t="s">
        <v>80</v>
      </c>
      <c r="Q2" s="229"/>
      <c r="R2" s="921" t="s">
        <v>221</v>
      </c>
    </row>
    <row r="3" spans="1:18" ht="19.5" x14ac:dyDescent="0.3">
      <c r="A3" s="1116" t="s">
        <v>222</v>
      </c>
      <c r="B3" s="1116"/>
      <c r="C3" s="1116"/>
      <c r="D3" s="1116"/>
      <c r="E3" s="1116"/>
      <c r="F3" s="1116"/>
      <c r="G3" s="1116"/>
      <c r="H3" s="1116"/>
      <c r="I3" s="1116"/>
      <c r="J3" s="1116"/>
      <c r="K3" s="1116"/>
      <c r="L3" s="1116"/>
      <c r="O3" s="121" t="s">
        <v>223</v>
      </c>
      <c r="P3" t="s">
        <v>224</v>
      </c>
      <c r="Q3" s="229"/>
    </row>
    <row r="4" spans="1:18" ht="15" customHeight="1" x14ac:dyDescent="0.25">
      <c r="A4" s="930"/>
      <c r="B4" s="931"/>
      <c r="C4" s="932" t="str">
        <f>LEFT($A$3,4)&amp;"-1"</f>
        <v>6110-1</v>
      </c>
      <c r="D4" s="930" t="s">
        <v>225</v>
      </c>
      <c r="E4" s="933"/>
      <c r="F4" s="934"/>
      <c r="G4" s="935">
        <v>1</v>
      </c>
      <c r="H4" s="936">
        <v>125</v>
      </c>
      <c r="I4" s="482">
        <f t="shared" ref="I4:I14" si="0">(E4+F4+G4)*H4</f>
        <v>125</v>
      </c>
      <c r="J4" s="482">
        <f t="shared" ref="J4:J14" ca="1" si="1">(-SUMIF(INDIRECT(LEFT($A$3,4)&amp;"!i3:i200"),"="&amp;C4&amp;" *",INDIRECT(LEFT($A$3,4)&amp;"!k3:k200")))</f>
        <v>0</v>
      </c>
      <c r="K4" s="482">
        <f ca="1">SUM(I4:J4)</f>
        <v>125</v>
      </c>
      <c r="L4" s="482">
        <v>100</v>
      </c>
      <c r="M4" s="51">
        <f>I4-L4</f>
        <v>25</v>
      </c>
      <c r="N4" t="s">
        <v>226</v>
      </c>
      <c r="O4" s="59">
        <f t="shared" ref="O4:O15" si="2">I4-L4</f>
        <v>25</v>
      </c>
      <c r="P4" s="305">
        <f t="shared" ref="P4:P15" si="3">O4/L4</f>
        <v>0.25</v>
      </c>
      <c r="Q4" s="229"/>
    </row>
    <row r="5" spans="1:18" ht="15" customHeight="1" x14ac:dyDescent="0.25">
      <c r="A5" s="937"/>
      <c r="B5" s="938" t="s">
        <v>227</v>
      </c>
      <c r="C5" s="939" t="str">
        <f>LEFT($C4,4)&amp;"-"&amp;VALUE(MID($C4,FIND("-",$C4)+1,256))+1</f>
        <v>6110-2</v>
      </c>
      <c r="D5" s="937" t="s">
        <v>228</v>
      </c>
      <c r="E5" s="940"/>
      <c r="F5" s="941"/>
      <c r="G5" s="940">
        <v>2</v>
      </c>
      <c r="H5" s="942">
        <v>490</v>
      </c>
      <c r="I5" s="485">
        <f t="shared" si="0"/>
        <v>980</v>
      </c>
      <c r="J5" s="486">
        <f t="shared" ca="1" si="1"/>
        <v>0</v>
      </c>
      <c r="K5" s="486">
        <f t="shared" ref="K5:K14" ca="1" si="4">SUM(I5:J5)</f>
        <v>980</v>
      </c>
      <c r="L5" s="486">
        <v>0</v>
      </c>
      <c r="M5" s="51">
        <f t="shared" ref="M5:M68" si="5">I5-L5</f>
        <v>980</v>
      </c>
      <c r="N5" s="3" t="s">
        <v>229</v>
      </c>
      <c r="O5" s="59">
        <f>I5-L5</f>
        <v>980</v>
      </c>
      <c r="P5" s="305" t="e">
        <f t="shared" si="3"/>
        <v>#DIV/0!</v>
      </c>
      <c r="Q5" s="229"/>
      <c r="R5" s="738" t="s">
        <v>230</v>
      </c>
    </row>
    <row r="6" spans="1:18" ht="15" customHeight="1" x14ac:dyDescent="0.25">
      <c r="A6" s="930"/>
      <c r="B6" s="931" t="s">
        <v>231</v>
      </c>
      <c r="C6" s="943" t="str">
        <f t="shared" ref="C6:C14" si="6">LEFT($C5,4)&amp;"-"&amp;VALUE(MID($C5,FIND("-",$C5)+1,256))+1</f>
        <v>6110-3</v>
      </c>
      <c r="D6" s="944" t="s">
        <v>232</v>
      </c>
      <c r="E6" s="945"/>
      <c r="F6" s="946"/>
      <c r="G6" s="945">
        <v>6</v>
      </c>
      <c r="H6" s="947">
        <v>65</v>
      </c>
      <c r="I6" s="482">
        <f t="shared" si="0"/>
        <v>390</v>
      </c>
      <c r="J6" s="482">
        <f t="shared" ca="1" si="1"/>
        <v>0</v>
      </c>
      <c r="K6" s="482">
        <f t="shared" ca="1" si="4"/>
        <v>390</v>
      </c>
      <c r="L6" s="482">
        <v>0</v>
      </c>
      <c r="M6" s="51">
        <f t="shared" si="5"/>
        <v>390</v>
      </c>
      <c r="N6" s="3" t="s">
        <v>229</v>
      </c>
      <c r="O6" s="59">
        <f t="shared" si="2"/>
        <v>390</v>
      </c>
      <c r="P6" s="305" t="e">
        <f t="shared" si="3"/>
        <v>#DIV/0!</v>
      </c>
      <c r="Q6" s="229"/>
      <c r="R6" s="855" t="s">
        <v>233</v>
      </c>
    </row>
    <row r="7" spans="1:18" ht="15" customHeight="1" x14ac:dyDescent="0.25">
      <c r="A7" s="948"/>
      <c r="B7" s="949"/>
      <c r="C7" s="939" t="str">
        <f t="shared" si="6"/>
        <v>6110-4</v>
      </c>
      <c r="D7" s="948" t="s">
        <v>234</v>
      </c>
      <c r="E7" s="950">
        <v>30</v>
      </c>
      <c r="F7" s="951"/>
      <c r="G7" s="950"/>
      <c r="H7" s="952">
        <v>30</v>
      </c>
      <c r="I7" s="485">
        <f t="shared" si="0"/>
        <v>900</v>
      </c>
      <c r="J7" s="785">
        <f t="shared" ca="1" si="1"/>
        <v>0</v>
      </c>
      <c r="K7" s="785">
        <f t="shared" ca="1" si="4"/>
        <v>900</v>
      </c>
      <c r="L7" s="785">
        <v>900</v>
      </c>
      <c r="M7" s="51">
        <f t="shared" si="5"/>
        <v>0</v>
      </c>
      <c r="N7" s="3" t="s">
        <v>229</v>
      </c>
      <c r="O7" s="59">
        <f t="shared" si="2"/>
        <v>0</v>
      </c>
      <c r="P7" s="786">
        <f t="shared" si="3"/>
        <v>0</v>
      </c>
      <c r="Q7" s="229"/>
      <c r="R7" s="738" t="s">
        <v>235</v>
      </c>
    </row>
    <row r="8" spans="1:18" ht="15" customHeight="1" x14ac:dyDescent="0.25">
      <c r="A8" s="930"/>
      <c r="B8" s="953"/>
      <c r="C8" s="932" t="str">
        <f t="shared" si="6"/>
        <v>6110-5</v>
      </c>
      <c r="D8" s="954" t="s">
        <v>236</v>
      </c>
      <c r="E8" s="955"/>
      <c r="F8" s="956"/>
      <c r="G8" s="955">
        <v>60</v>
      </c>
      <c r="H8" s="957">
        <v>47</v>
      </c>
      <c r="I8" s="482">
        <f t="shared" si="0"/>
        <v>2820</v>
      </c>
      <c r="J8" s="493">
        <f t="shared" ca="1" si="1"/>
        <v>0</v>
      </c>
      <c r="K8" s="493">
        <f t="shared" ca="1" si="4"/>
        <v>2820</v>
      </c>
      <c r="L8" s="493">
        <v>2820</v>
      </c>
      <c r="M8" s="51">
        <f t="shared" si="5"/>
        <v>0</v>
      </c>
      <c r="N8" s="3" t="s">
        <v>226</v>
      </c>
      <c r="O8" s="59">
        <f t="shared" si="2"/>
        <v>0</v>
      </c>
      <c r="P8" s="305">
        <f t="shared" si="3"/>
        <v>0</v>
      </c>
      <c r="Q8" s="229"/>
    </row>
    <row r="9" spans="1:18" ht="15" customHeight="1" x14ac:dyDescent="0.25">
      <c r="A9" s="937"/>
      <c r="B9" s="958"/>
      <c r="C9" s="939" t="str">
        <f t="shared" si="6"/>
        <v>6110-6</v>
      </c>
      <c r="D9" s="959" t="s">
        <v>237</v>
      </c>
      <c r="E9" s="960"/>
      <c r="F9" s="961"/>
      <c r="G9" s="960">
        <v>4</v>
      </c>
      <c r="H9" s="962">
        <v>100</v>
      </c>
      <c r="I9" s="485">
        <f t="shared" si="0"/>
        <v>400</v>
      </c>
      <c r="J9" s="485">
        <f t="shared" ca="1" si="1"/>
        <v>0</v>
      </c>
      <c r="K9" s="485">
        <f t="shared" ca="1" si="4"/>
        <v>400</v>
      </c>
      <c r="L9" s="485">
        <v>400</v>
      </c>
      <c r="M9" s="51">
        <f t="shared" si="5"/>
        <v>0</v>
      </c>
      <c r="N9" s="3" t="s">
        <v>226</v>
      </c>
      <c r="O9" s="59">
        <f t="shared" si="2"/>
        <v>0</v>
      </c>
      <c r="P9" s="305">
        <f t="shared" si="3"/>
        <v>0</v>
      </c>
      <c r="Q9" s="229"/>
    </row>
    <row r="10" spans="1:18" ht="15" customHeight="1" x14ac:dyDescent="0.25">
      <c r="A10" s="930"/>
      <c r="B10" s="931"/>
      <c r="C10" s="932" t="str">
        <f>LEFT($C9,4)&amp;"-"&amp;VALUE(MID($C9,FIND("-",$C9)+1,256))+1</f>
        <v>6110-7</v>
      </c>
      <c r="D10" s="944" t="s">
        <v>238</v>
      </c>
      <c r="E10" s="945">
        <v>24</v>
      </c>
      <c r="F10" s="963"/>
      <c r="G10" s="964"/>
      <c r="H10" s="947">
        <v>60</v>
      </c>
      <c r="I10" s="482">
        <f t="shared" si="0"/>
        <v>1440</v>
      </c>
      <c r="J10" s="482">
        <f t="shared" ca="1" si="1"/>
        <v>0</v>
      </c>
      <c r="K10" s="482">
        <f t="shared" ca="1" si="4"/>
        <v>1440</v>
      </c>
      <c r="L10" s="482">
        <v>1440</v>
      </c>
      <c r="M10" s="51">
        <f t="shared" si="5"/>
        <v>0</v>
      </c>
      <c r="N10" s="121" t="s">
        <v>239</v>
      </c>
      <c r="O10" s="59">
        <f t="shared" si="2"/>
        <v>0</v>
      </c>
      <c r="P10" s="305">
        <f t="shared" si="3"/>
        <v>0</v>
      </c>
      <c r="Q10" s="229"/>
      <c r="R10" s="573" t="s">
        <v>731</v>
      </c>
    </row>
    <row r="11" spans="1:18" ht="15" customHeight="1" x14ac:dyDescent="0.25">
      <c r="A11" s="937"/>
      <c r="B11" s="938"/>
      <c r="C11" s="939" t="str">
        <f t="shared" si="6"/>
        <v>6110-8</v>
      </c>
      <c r="D11" s="937" t="s">
        <v>673</v>
      </c>
      <c r="E11" s="940"/>
      <c r="F11" s="941"/>
      <c r="G11" s="940">
        <v>1</v>
      </c>
      <c r="H11" s="942">
        <v>10000</v>
      </c>
      <c r="I11" s="485">
        <f t="shared" si="0"/>
        <v>10000</v>
      </c>
      <c r="J11" s="494">
        <f t="shared" ca="1" si="1"/>
        <v>0</v>
      </c>
      <c r="K11" s="494">
        <f t="shared" ca="1" si="4"/>
        <v>10000</v>
      </c>
      <c r="L11" s="494">
        <v>10000</v>
      </c>
      <c r="M11" s="51">
        <f t="shared" si="5"/>
        <v>0</v>
      </c>
      <c r="N11" s="3" t="s">
        <v>226</v>
      </c>
      <c r="O11" s="59">
        <f t="shared" si="2"/>
        <v>0</v>
      </c>
      <c r="P11" s="305">
        <f t="shared" si="3"/>
        <v>0</v>
      </c>
      <c r="Q11" s="229"/>
    </row>
    <row r="12" spans="1:18" ht="15" customHeight="1" x14ac:dyDescent="0.25">
      <c r="A12" s="930"/>
      <c r="B12" s="965"/>
      <c r="C12" s="932" t="str">
        <f t="shared" si="6"/>
        <v>6110-9</v>
      </c>
      <c r="D12" s="944" t="s">
        <v>240</v>
      </c>
      <c r="E12" s="945"/>
      <c r="F12" s="946">
        <v>2</v>
      </c>
      <c r="G12" s="945"/>
      <c r="H12" s="947">
        <v>225</v>
      </c>
      <c r="I12" s="981">
        <f t="shared" si="0"/>
        <v>450</v>
      </c>
      <c r="J12" s="482">
        <f t="shared" ca="1" si="1"/>
        <v>0</v>
      </c>
      <c r="K12" s="482">
        <f t="shared" ca="1" si="4"/>
        <v>450</v>
      </c>
      <c r="L12" s="482">
        <v>350</v>
      </c>
      <c r="M12" s="51">
        <f t="shared" si="5"/>
        <v>100</v>
      </c>
      <c r="N12" s="3" t="s">
        <v>241</v>
      </c>
      <c r="O12" s="59">
        <f t="shared" si="2"/>
        <v>100</v>
      </c>
      <c r="P12" s="305">
        <f t="shared" si="3"/>
        <v>0.2857142857142857</v>
      </c>
      <c r="Q12" s="302"/>
      <c r="R12" s="738" t="s">
        <v>242</v>
      </c>
    </row>
    <row r="13" spans="1:18" ht="15" customHeight="1" x14ac:dyDescent="0.25">
      <c r="A13" s="937"/>
      <c r="B13" s="938"/>
      <c r="C13" s="939" t="str">
        <f t="shared" si="6"/>
        <v>6110-10</v>
      </c>
      <c r="D13" s="966" t="s">
        <v>243</v>
      </c>
      <c r="E13" s="967"/>
      <c r="F13" s="968">
        <v>1</v>
      </c>
      <c r="G13" s="967"/>
      <c r="H13" s="969">
        <v>35</v>
      </c>
      <c r="I13" s="485">
        <f>(E13+F13+G13)*H13</f>
        <v>35</v>
      </c>
      <c r="J13" s="494">
        <f t="shared" ca="1" si="1"/>
        <v>0</v>
      </c>
      <c r="K13" s="494">
        <f t="shared" ca="1" si="4"/>
        <v>35</v>
      </c>
      <c r="L13" s="494">
        <v>35</v>
      </c>
      <c r="M13" s="51">
        <f t="shared" si="5"/>
        <v>0</v>
      </c>
      <c r="N13" s="3" t="s">
        <v>241</v>
      </c>
      <c r="O13" s="59">
        <f t="shared" si="2"/>
        <v>0</v>
      </c>
      <c r="P13" s="305">
        <f t="shared" si="3"/>
        <v>0</v>
      </c>
      <c r="Q13" s="302"/>
    </row>
    <row r="14" spans="1:18" ht="15" customHeight="1" x14ac:dyDescent="0.25">
      <c r="A14" s="1085"/>
      <c r="B14" s="1086"/>
      <c r="C14" s="1087" t="str">
        <f t="shared" si="6"/>
        <v>6110-11</v>
      </c>
      <c r="D14" s="1088" t="s">
        <v>244</v>
      </c>
      <c r="E14" s="1089"/>
      <c r="F14" s="1090">
        <v>50</v>
      </c>
      <c r="G14" s="1089"/>
      <c r="H14" s="1091">
        <v>8</v>
      </c>
      <c r="I14" s="981">
        <f t="shared" si="0"/>
        <v>400</v>
      </c>
      <c r="J14" s="981">
        <f t="shared" ca="1" si="1"/>
        <v>0</v>
      </c>
      <c r="K14" s="981">
        <f t="shared" ca="1" si="4"/>
        <v>400</v>
      </c>
      <c r="L14" s="981">
        <v>500</v>
      </c>
      <c r="M14" s="51">
        <f t="shared" si="5"/>
        <v>-100</v>
      </c>
      <c r="N14" s="3" t="s">
        <v>245</v>
      </c>
      <c r="O14" s="59">
        <f t="shared" si="2"/>
        <v>-100</v>
      </c>
      <c r="P14" s="305">
        <f>O14/L14</f>
        <v>-0.2</v>
      </c>
      <c r="Q14" s="229"/>
    </row>
    <row r="15" spans="1:18" ht="15" customHeight="1" thickBot="1" x14ac:dyDescent="0.3">
      <c r="B15" s="573"/>
      <c r="C15" s="64"/>
      <c r="D15" s="497" t="s">
        <v>106</v>
      </c>
      <c r="E15" s="498"/>
      <c r="F15" s="498"/>
      <c r="G15" s="397"/>
      <c r="H15" s="499">
        <f>(I15-L15)/L15</f>
        <v>8.4315503173164094E-2</v>
      </c>
      <c r="I15" s="500">
        <f>SUM(I4:I14)</f>
        <v>17940</v>
      </c>
      <c r="J15" s="501">
        <f ca="1">SUM(J4:J14)</f>
        <v>0</v>
      </c>
      <c r="K15" s="501">
        <f ca="1">SUM(K4:K14)</f>
        <v>17940</v>
      </c>
      <c r="L15" s="501">
        <f>SUM(L4:L14)</f>
        <v>16545</v>
      </c>
      <c r="M15" s="51">
        <f t="shared" si="5"/>
        <v>1395</v>
      </c>
      <c r="O15" s="59">
        <f t="shared" si="2"/>
        <v>1395</v>
      </c>
      <c r="P15" s="305">
        <f t="shared" si="3"/>
        <v>8.4315503173164094E-2</v>
      </c>
      <c r="Q15" s="229"/>
    </row>
    <row r="16" spans="1:18" ht="9.75" customHeight="1" thickTop="1" x14ac:dyDescent="0.25">
      <c r="B16" s="479"/>
      <c r="C16" s="47"/>
      <c r="D16" s="497"/>
      <c r="E16" s="498"/>
      <c r="F16" s="498"/>
      <c r="G16" s="498"/>
      <c r="H16" s="502"/>
      <c r="I16" s="503"/>
      <c r="J16" s="503"/>
      <c r="K16" s="503"/>
      <c r="L16" s="503"/>
      <c r="M16" s="51">
        <f t="shared" si="5"/>
        <v>0</v>
      </c>
      <c r="O16" s="51"/>
      <c r="P16" s="305"/>
      <c r="Q16" s="229"/>
    </row>
    <row r="17" spans="1:18" ht="19.5" customHeight="1" x14ac:dyDescent="0.3">
      <c r="A17" s="1116" t="s">
        <v>246</v>
      </c>
      <c r="B17" s="1116"/>
      <c r="C17" s="1116"/>
      <c r="D17" s="1116"/>
      <c r="E17" s="1116"/>
      <c r="F17" s="1116"/>
      <c r="G17" s="1116"/>
      <c r="H17" s="1116"/>
      <c r="I17" s="1116"/>
      <c r="J17" s="1116"/>
      <c r="K17" s="1116"/>
      <c r="L17" s="1116"/>
      <c r="M17" s="51">
        <f t="shared" si="5"/>
        <v>0</v>
      </c>
      <c r="O17" s="59"/>
      <c r="P17" s="305"/>
      <c r="Q17" s="229"/>
    </row>
    <row r="18" spans="1:18" ht="15" customHeight="1" x14ac:dyDescent="0.25">
      <c r="A18" s="504"/>
      <c r="B18" s="639"/>
      <c r="C18" s="63" t="str">
        <f>LEFT($A$17,4)&amp;"-1"</f>
        <v>6120-1</v>
      </c>
      <c r="D18" s="504" t="s">
        <v>247</v>
      </c>
      <c r="E18" s="707"/>
      <c r="F18" s="705">
        <v>294288</v>
      </c>
      <c r="G18" s="707"/>
      <c r="H18" s="482">
        <v>0.62</v>
      </c>
      <c r="I18" s="493">
        <f>(E18+F18+G18)*H18</f>
        <v>182458.56</v>
      </c>
      <c r="J18" s="482">
        <f t="shared" ref="J18:J36" ca="1" si="7">-(SUMIF(INDIRECT(LEFT($A$17,4)&amp;"!i3:i200"),"="&amp;C18&amp;" *",INDIRECT(LEFT($A$17,4)&amp;"!k3:k200")))</f>
        <v>0</v>
      </c>
      <c r="K18" s="482">
        <f ca="1">SUM(I18:J18)</f>
        <v>182458.56</v>
      </c>
      <c r="L18" s="482">
        <v>172383.56</v>
      </c>
      <c r="M18" s="51">
        <f t="shared" si="5"/>
        <v>10075</v>
      </c>
      <c r="N18" s="3" t="s">
        <v>248</v>
      </c>
      <c r="O18" s="59">
        <f t="shared" ref="O18:O39" si="8">I18-L18</f>
        <v>10075</v>
      </c>
      <c r="P18" s="305">
        <f t="shared" ref="P18:P40" si="9">O18/L18</f>
        <v>5.8445248491213429E-2</v>
      </c>
      <c r="Q18" s="229"/>
      <c r="R18" s="743"/>
    </row>
    <row r="19" spans="1:18" s="983" customFormat="1" ht="15" customHeight="1" x14ac:dyDescent="0.25">
      <c r="A19" s="495"/>
      <c r="B19" s="577" t="s">
        <v>663</v>
      </c>
      <c r="C19" s="106" t="str">
        <f>LEFT($C18,4)&amp;"-"&amp;VALUE(MID($C18,FIND("-",$C18)+1,256))+1</f>
        <v>6120-2</v>
      </c>
      <c r="D19" s="495" t="s">
        <v>249</v>
      </c>
      <c r="E19" s="702"/>
      <c r="F19" s="702">
        <v>75</v>
      </c>
      <c r="G19" s="787"/>
      <c r="H19" s="496">
        <v>6.29</v>
      </c>
      <c r="I19" s="494">
        <f>(E19+F19+G19)*H19</f>
        <v>471.75</v>
      </c>
      <c r="J19" s="494">
        <f t="shared" ca="1" si="7"/>
        <v>0</v>
      </c>
      <c r="K19" s="494">
        <f t="shared" ref="K19:K20" ca="1" si="10">SUM(I19:J19)</f>
        <v>471.75</v>
      </c>
      <c r="L19" s="494">
        <v>3000</v>
      </c>
      <c r="M19" s="1018">
        <f t="shared" si="5"/>
        <v>-2528.25</v>
      </c>
      <c r="N19" s="984" t="s">
        <v>250</v>
      </c>
      <c r="O19" s="985">
        <f t="shared" si="8"/>
        <v>-2528.25</v>
      </c>
      <c r="P19" s="305">
        <f t="shared" si="9"/>
        <v>-0.84275</v>
      </c>
      <c r="Q19" s="986"/>
      <c r="R19" s="993"/>
    </row>
    <row r="20" spans="1:18" ht="15" customHeight="1" x14ac:dyDescent="0.25">
      <c r="A20" s="504"/>
      <c r="B20" s="573"/>
      <c r="C20" s="63" t="str">
        <f t="shared" ref="C20:C38" si="11">LEFT($C19,4)&amp;"-"&amp;VALUE(MID($C19,FIND("-",$C19)+1,256))+1</f>
        <v>6120-3</v>
      </c>
      <c r="D20" s="504" t="s">
        <v>251</v>
      </c>
      <c r="E20" s="707"/>
      <c r="F20" s="705">
        <v>2000</v>
      </c>
      <c r="G20" s="707"/>
      <c r="H20" s="488">
        <v>0.91</v>
      </c>
      <c r="I20" s="493">
        <f t="shared" ref="I20:I38" si="12">(E20+F20+G20)*H20</f>
        <v>1820</v>
      </c>
      <c r="J20" s="482">
        <f t="shared" ca="1" si="7"/>
        <v>0</v>
      </c>
      <c r="K20" s="482">
        <f t="shared" ca="1" si="10"/>
        <v>1820</v>
      </c>
      <c r="L20" s="482">
        <v>2670</v>
      </c>
      <c r="M20" s="51">
        <f t="shared" si="5"/>
        <v>-850</v>
      </c>
      <c r="N20" s="121" t="s">
        <v>252</v>
      </c>
      <c r="O20" s="59">
        <f t="shared" si="8"/>
        <v>-850</v>
      </c>
      <c r="P20" s="305">
        <f t="shared" si="9"/>
        <v>-0.31835205992509363</v>
      </c>
      <c r="R20" s="738" t="s">
        <v>253</v>
      </c>
    </row>
    <row r="21" spans="1:18" ht="15" customHeight="1" x14ac:dyDescent="0.25">
      <c r="A21" s="495"/>
      <c r="B21" s="795"/>
      <c r="C21" s="122" t="str">
        <f t="shared" si="11"/>
        <v>6120-4</v>
      </c>
      <c r="D21" s="514" t="s">
        <v>254</v>
      </c>
      <c r="E21" s="725">
        <v>1300</v>
      </c>
      <c r="F21" s="702">
        <v>1020</v>
      </c>
      <c r="G21" s="725"/>
      <c r="H21" s="496">
        <v>6.29</v>
      </c>
      <c r="I21" s="494">
        <f>(E21+F21+G21)*H21</f>
        <v>14592.8</v>
      </c>
      <c r="J21" s="494">
        <f t="shared" ca="1" si="7"/>
        <v>0</v>
      </c>
      <c r="K21" s="494">
        <f t="shared" ref="K21:K36" ca="1" si="13">SUM(I21:J21)</f>
        <v>14592.8</v>
      </c>
      <c r="L21" s="494">
        <v>10773.800000000001</v>
      </c>
      <c r="M21" s="51">
        <f t="shared" si="5"/>
        <v>3818.9999999999982</v>
      </c>
      <c r="N21" s="121" t="s">
        <v>252</v>
      </c>
      <c r="O21" s="59">
        <f t="shared" si="8"/>
        <v>3818.9999999999982</v>
      </c>
      <c r="P21" s="305">
        <f>O21/L21</f>
        <v>0.35447103157660231</v>
      </c>
      <c r="Q21" s="303"/>
      <c r="R21" s="738" t="s">
        <v>255</v>
      </c>
    </row>
    <row r="22" spans="1:18" ht="15" customHeight="1" x14ac:dyDescent="0.25">
      <c r="A22" s="504"/>
      <c r="B22" s="576"/>
      <c r="C22" s="131" t="str">
        <f t="shared" si="11"/>
        <v>6120-5</v>
      </c>
      <c r="D22" s="491" t="s">
        <v>256</v>
      </c>
      <c r="E22" s="705"/>
      <c r="F22" s="705">
        <v>20</v>
      </c>
      <c r="G22" s="703">
        <v>10</v>
      </c>
      <c r="H22" s="492">
        <v>10.64</v>
      </c>
      <c r="I22" s="493">
        <f t="shared" si="12"/>
        <v>319.20000000000005</v>
      </c>
      <c r="J22" s="493">
        <f t="shared" ca="1" si="7"/>
        <v>0</v>
      </c>
      <c r="K22" s="493">
        <f t="shared" ca="1" si="13"/>
        <v>319.20000000000005</v>
      </c>
      <c r="L22" s="493">
        <v>84</v>
      </c>
      <c r="M22" s="51">
        <f t="shared" si="5"/>
        <v>235.20000000000005</v>
      </c>
      <c r="N22" s="121" t="s">
        <v>252</v>
      </c>
      <c r="O22" s="59">
        <f t="shared" si="8"/>
        <v>235.20000000000005</v>
      </c>
      <c r="P22" s="305">
        <f t="shared" si="9"/>
        <v>2.8000000000000007</v>
      </c>
      <c r="Q22" s="302"/>
      <c r="R22" s="739" t="s">
        <v>255</v>
      </c>
    </row>
    <row r="23" spans="1:18" ht="15" customHeight="1" x14ac:dyDescent="0.25">
      <c r="A23" s="505"/>
      <c r="B23" s="577"/>
      <c r="C23" s="675" t="str">
        <f t="shared" si="11"/>
        <v>6120-6</v>
      </c>
      <c r="D23" s="676" t="s">
        <v>257</v>
      </c>
      <c r="E23" s="722"/>
      <c r="F23" s="723">
        <v>5003</v>
      </c>
      <c r="G23" s="722">
        <v>0</v>
      </c>
      <c r="H23" s="677">
        <v>0.85</v>
      </c>
      <c r="I23" s="494">
        <f t="shared" si="12"/>
        <v>4252.55</v>
      </c>
      <c r="J23" s="494">
        <f t="shared" ca="1" si="7"/>
        <v>0</v>
      </c>
      <c r="K23" s="494">
        <f t="shared" ca="1" si="13"/>
        <v>4252.55</v>
      </c>
      <c r="L23" s="590">
        <v>3272.5</v>
      </c>
      <c r="M23" s="51">
        <f t="shared" si="5"/>
        <v>980.05000000000018</v>
      </c>
      <c r="N23" s="3" t="s">
        <v>258</v>
      </c>
      <c r="O23" s="59">
        <f t="shared" si="8"/>
        <v>980.05000000000018</v>
      </c>
      <c r="P23" s="305">
        <f t="shared" si="9"/>
        <v>0.29948051948051951</v>
      </c>
      <c r="Q23" s="229"/>
      <c r="R23" s="738" t="s">
        <v>259</v>
      </c>
    </row>
    <row r="24" spans="1:18" ht="15" customHeight="1" x14ac:dyDescent="0.25">
      <c r="A24" s="504"/>
      <c r="B24" s="576"/>
      <c r="C24" s="131" t="str">
        <f t="shared" si="11"/>
        <v>6120-7</v>
      </c>
      <c r="D24" s="491" t="s">
        <v>260</v>
      </c>
      <c r="E24" s="714"/>
      <c r="F24" s="701">
        <v>18675</v>
      </c>
      <c r="G24" s="705">
        <v>0</v>
      </c>
      <c r="H24" s="492">
        <v>0.42</v>
      </c>
      <c r="I24" s="493">
        <f t="shared" si="12"/>
        <v>7843.5</v>
      </c>
      <c r="J24" s="493">
        <f t="shared" ca="1" si="7"/>
        <v>0</v>
      </c>
      <c r="K24" s="493">
        <f t="shared" ca="1" si="13"/>
        <v>7843.5</v>
      </c>
      <c r="L24" s="493">
        <v>7329</v>
      </c>
      <c r="M24" s="51">
        <f t="shared" si="5"/>
        <v>514.5</v>
      </c>
      <c r="N24" s="3" t="s">
        <v>258</v>
      </c>
      <c r="O24" s="59">
        <f t="shared" si="8"/>
        <v>514.5</v>
      </c>
      <c r="P24" s="305">
        <f t="shared" si="9"/>
        <v>7.0200573065902577E-2</v>
      </c>
      <c r="Q24" s="229"/>
      <c r="R24" s="738" t="s">
        <v>259</v>
      </c>
    </row>
    <row r="25" spans="1:18" ht="15" customHeight="1" x14ac:dyDescent="0.25">
      <c r="A25" s="505"/>
      <c r="B25" s="735"/>
      <c r="C25" s="122" t="str">
        <f t="shared" si="11"/>
        <v>6120-8</v>
      </c>
      <c r="D25" s="483" t="s">
        <v>261</v>
      </c>
      <c r="E25" s="724"/>
      <c r="F25" s="702">
        <v>32700</v>
      </c>
      <c r="G25" s="706">
        <v>0</v>
      </c>
      <c r="H25" s="484">
        <v>0.7</v>
      </c>
      <c r="I25" s="494">
        <f t="shared" si="12"/>
        <v>22890</v>
      </c>
      <c r="J25" s="494">
        <f t="shared" ca="1" si="7"/>
        <v>0</v>
      </c>
      <c r="K25" s="494"/>
      <c r="L25" s="494">
        <v>21388.5</v>
      </c>
      <c r="M25" s="51">
        <f t="shared" si="5"/>
        <v>1501.5</v>
      </c>
      <c r="N25" s="3" t="s">
        <v>258</v>
      </c>
      <c r="O25" s="59">
        <f>I25-L25</f>
        <v>1501.5</v>
      </c>
      <c r="P25" s="305">
        <f>O25/L25</f>
        <v>7.0201276386843398E-2</v>
      </c>
      <c r="Q25" s="229"/>
      <c r="R25" s="739" t="s">
        <v>259</v>
      </c>
    </row>
    <row r="26" spans="1:18" ht="15" customHeight="1" x14ac:dyDescent="0.25">
      <c r="A26" s="504"/>
      <c r="B26" s="576"/>
      <c r="C26" s="131" t="str">
        <f t="shared" si="11"/>
        <v>6120-9</v>
      </c>
      <c r="D26" s="491" t="s">
        <v>262</v>
      </c>
      <c r="E26" s="714">
        <v>1450</v>
      </c>
      <c r="F26" s="705"/>
      <c r="G26" s="705"/>
      <c r="H26" s="492">
        <v>1</v>
      </c>
      <c r="I26" s="493">
        <f t="shared" si="12"/>
        <v>1450</v>
      </c>
      <c r="J26" s="493">
        <f t="shared" ca="1" si="7"/>
        <v>0</v>
      </c>
      <c r="K26" s="493">
        <f t="shared" ca="1" si="13"/>
        <v>1450</v>
      </c>
      <c r="L26" s="493">
        <v>822.5</v>
      </c>
      <c r="M26" s="51">
        <f t="shared" si="5"/>
        <v>627.5</v>
      </c>
      <c r="N26" s="3" t="s">
        <v>263</v>
      </c>
      <c r="O26" s="59">
        <f>I26-L26</f>
        <v>627.5</v>
      </c>
      <c r="P26" s="305">
        <f t="shared" si="9"/>
        <v>0.76291793313069911</v>
      </c>
      <c r="Q26" s="302"/>
      <c r="R26" s="738" t="s">
        <v>604</v>
      </c>
    </row>
    <row r="27" spans="1:18" ht="15" customHeight="1" x14ac:dyDescent="0.25">
      <c r="A27" s="505"/>
      <c r="B27" s="577"/>
      <c r="C27" s="122" t="str">
        <f t="shared" si="11"/>
        <v>6120-10</v>
      </c>
      <c r="D27" s="514" t="s">
        <v>674</v>
      </c>
      <c r="E27" s="725">
        <v>2300</v>
      </c>
      <c r="F27" s="702">
        <v>2472</v>
      </c>
      <c r="G27" s="725"/>
      <c r="H27" s="496">
        <v>0.85</v>
      </c>
      <c r="I27" s="494">
        <f t="shared" si="12"/>
        <v>4056.2</v>
      </c>
      <c r="J27" s="494">
        <f t="shared" ca="1" si="7"/>
        <v>0</v>
      </c>
      <c r="K27" s="494">
        <f t="shared" ca="1" si="13"/>
        <v>4056.2</v>
      </c>
      <c r="L27" s="494">
        <v>1617</v>
      </c>
      <c r="M27" s="51">
        <f t="shared" si="5"/>
        <v>2439.1999999999998</v>
      </c>
      <c r="N27" s="3" t="s">
        <v>252</v>
      </c>
      <c r="O27" s="59">
        <f t="shared" si="8"/>
        <v>2439.1999999999998</v>
      </c>
      <c r="P27" s="305">
        <f t="shared" si="9"/>
        <v>1.5084724799010512</v>
      </c>
      <c r="Q27" s="229"/>
      <c r="R27" s="738" t="s">
        <v>255</v>
      </c>
    </row>
    <row r="28" spans="1:18" ht="15" customHeight="1" x14ac:dyDescent="0.25">
      <c r="A28" s="504"/>
      <c r="B28" s="573"/>
      <c r="C28" s="63" t="str">
        <f t="shared" si="11"/>
        <v>6120-11</v>
      </c>
      <c r="D28" s="480" t="s">
        <v>265</v>
      </c>
      <c r="E28" s="708">
        <v>300</v>
      </c>
      <c r="F28" s="701"/>
      <c r="G28" s="708"/>
      <c r="H28" s="481">
        <v>2.4</v>
      </c>
      <c r="I28" s="493">
        <f t="shared" si="12"/>
        <v>720</v>
      </c>
      <c r="J28" s="482">
        <f t="shared" ca="1" si="7"/>
        <v>0</v>
      </c>
      <c r="K28" s="482">
        <f t="shared" ca="1" si="13"/>
        <v>720</v>
      </c>
      <c r="L28" s="482">
        <v>740</v>
      </c>
      <c r="M28" s="51">
        <f t="shared" si="5"/>
        <v>-20</v>
      </c>
      <c r="N28" s="3" t="s">
        <v>252</v>
      </c>
      <c r="O28" s="59">
        <f t="shared" si="8"/>
        <v>-20</v>
      </c>
      <c r="P28" s="305">
        <f t="shared" si="9"/>
        <v>-2.7027027027027029E-2</v>
      </c>
      <c r="Q28" s="229"/>
      <c r="R28" s="738" t="s">
        <v>253</v>
      </c>
    </row>
    <row r="29" spans="1:18" ht="15" customHeight="1" x14ac:dyDescent="0.25">
      <c r="A29" s="505"/>
      <c r="B29" s="575"/>
      <c r="C29" s="106" t="str">
        <f t="shared" si="11"/>
        <v>6120-12</v>
      </c>
      <c r="D29" s="512" t="s">
        <v>675</v>
      </c>
      <c r="E29" s="718"/>
      <c r="F29" s="706">
        <v>2</v>
      </c>
      <c r="G29" s="720"/>
      <c r="H29" s="513">
        <v>350</v>
      </c>
      <c r="I29" s="494">
        <f t="shared" si="12"/>
        <v>700</v>
      </c>
      <c r="J29" s="485">
        <f t="shared" ca="1" si="7"/>
        <v>0</v>
      </c>
      <c r="K29" s="485">
        <f t="shared" ca="1" si="13"/>
        <v>700</v>
      </c>
      <c r="L29" s="485">
        <v>0</v>
      </c>
      <c r="M29" s="51">
        <f t="shared" si="5"/>
        <v>700</v>
      </c>
      <c r="N29" s="3" t="s">
        <v>241</v>
      </c>
      <c r="O29" s="59">
        <f t="shared" si="8"/>
        <v>700</v>
      </c>
      <c r="P29" s="305" t="e">
        <f t="shared" si="9"/>
        <v>#DIV/0!</v>
      </c>
      <c r="Q29" s="302"/>
      <c r="R29" s="738" t="s">
        <v>627</v>
      </c>
    </row>
    <row r="30" spans="1:18" ht="15" customHeight="1" x14ac:dyDescent="0.25">
      <c r="A30" s="504"/>
      <c r="B30" s="576"/>
      <c r="C30" s="63" t="str">
        <f t="shared" si="11"/>
        <v>6120-13</v>
      </c>
      <c r="D30" s="515" t="s">
        <v>266</v>
      </c>
      <c r="E30" s="717"/>
      <c r="F30" s="701"/>
      <c r="G30" s="701">
        <v>1</v>
      </c>
      <c r="H30" s="516">
        <v>500</v>
      </c>
      <c r="I30" s="980">
        <f t="shared" si="12"/>
        <v>500</v>
      </c>
      <c r="J30" s="482">
        <f t="shared" ca="1" si="7"/>
        <v>0</v>
      </c>
      <c r="K30" s="482">
        <f t="shared" ca="1" si="13"/>
        <v>500</v>
      </c>
      <c r="L30" s="493">
        <v>500</v>
      </c>
      <c r="M30" s="51">
        <f t="shared" si="5"/>
        <v>0</v>
      </c>
      <c r="N30" s="3" t="s">
        <v>252</v>
      </c>
      <c r="O30" s="59">
        <f t="shared" si="8"/>
        <v>0</v>
      </c>
      <c r="P30" s="305">
        <f t="shared" si="9"/>
        <v>0</v>
      </c>
      <c r="Q30" s="229"/>
      <c r="R30" s="738" t="s">
        <v>253</v>
      </c>
    </row>
    <row r="31" spans="1:18" ht="15" customHeight="1" x14ac:dyDescent="0.25">
      <c r="A31" s="505"/>
      <c r="B31" s="575"/>
      <c r="C31" s="106" t="str">
        <f t="shared" si="11"/>
        <v>6120-14</v>
      </c>
      <c r="D31" s="489" t="s">
        <v>267</v>
      </c>
      <c r="E31" s="716"/>
      <c r="F31" s="702">
        <v>1</v>
      </c>
      <c r="G31" s="700"/>
      <c r="H31" s="490">
        <v>1750</v>
      </c>
      <c r="I31" s="494">
        <f t="shared" si="12"/>
        <v>1750</v>
      </c>
      <c r="J31" s="494">
        <f t="shared" ca="1" si="7"/>
        <v>0</v>
      </c>
      <c r="K31" s="494">
        <f t="shared" ca="1" si="13"/>
        <v>1750</v>
      </c>
      <c r="L31" s="485">
        <v>1750</v>
      </c>
      <c r="M31" s="51">
        <f t="shared" si="5"/>
        <v>0</v>
      </c>
      <c r="N31" s="3" t="s">
        <v>241</v>
      </c>
      <c r="O31" s="59">
        <f t="shared" si="8"/>
        <v>0</v>
      </c>
      <c r="P31" s="305">
        <f t="shared" si="9"/>
        <v>0</v>
      </c>
      <c r="Q31" s="229"/>
    </row>
    <row r="32" spans="1:18" ht="15" customHeight="1" x14ac:dyDescent="0.25">
      <c r="A32" s="504"/>
      <c r="B32" s="576"/>
      <c r="C32" s="63" t="str">
        <f t="shared" si="11"/>
        <v>6120-15</v>
      </c>
      <c r="D32" s="491" t="s">
        <v>268</v>
      </c>
      <c r="E32" s="714"/>
      <c r="F32" s="701">
        <v>1</v>
      </c>
      <c r="G32" s="705"/>
      <c r="H32" s="492">
        <v>500</v>
      </c>
      <c r="I32" s="980">
        <f t="shared" si="12"/>
        <v>500</v>
      </c>
      <c r="J32" s="482">
        <f t="shared" ca="1" si="7"/>
        <v>0</v>
      </c>
      <c r="K32" s="482">
        <f t="shared" ca="1" si="13"/>
        <v>500</v>
      </c>
      <c r="L32" s="493">
        <v>1000</v>
      </c>
      <c r="M32" s="51">
        <f t="shared" si="5"/>
        <v>-500</v>
      </c>
      <c r="N32" s="3" t="s">
        <v>241</v>
      </c>
      <c r="O32" s="59">
        <f t="shared" si="8"/>
        <v>-500</v>
      </c>
      <c r="P32" s="305">
        <f t="shared" si="9"/>
        <v>-0.5</v>
      </c>
      <c r="Q32" s="229"/>
    </row>
    <row r="33" spans="1:18" ht="15" customHeight="1" x14ac:dyDescent="0.25">
      <c r="A33" s="489"/>
      <c r="B33" s="489"/>
      <c r="C33" s="106" t="str">
        <f t="shared" si="11"/>
        <v>6120-16</v>
      </c>
      <c r="D33" s="514" t="s">
        <v>269</v>
      </c>
      <c r="E33" s="725">
        <v>18000</v>
      </c>
      <c r="F33" s="702"/>
      <c r="G33" s="725"/>
      <c r="H33" s="494">
        <v>0.7</v>
      </c>
      <c r="I33" s="494">
        <f t="shared" si="12"/>
        <v>12600</v>
      </c>
      <c r="J33" s="494">
        <f t="shared" ca="1" si="7"/>
        <v>0</v>
      </c>
      <c r="K33" s="494">
        <f t="shared" ca="1" si="13"/>
        <v>12600</v>
      </c>
      <c r="L33" s="494">
        <v>12600</v>
      </c>
      <c r="M33" s="51">
        <f t="shared" si="5"/>
        <v>0</v>
      </c>
      <c r="N33" s="3" t="s">
        <v>229</v>
      </c>
      <c r="O33" s="59">
        <f t="shared" si="8"/>
        <v>0</v>
      </c>
      <c r="P33" s="305">
        <f>O33/L33</f>
        <v>0</v>
      </c>
      <c r="Q33" s="229"/>
      <c r="R33" s="738" t="s">
        <v>235</v>
      </c>
    </row>
    <row r="34" spans="1:18" ht="15" customHeight="1" x14ac:dyDescent="0.25">
      <c r="A34" s="504"/>
      <c r="B34" s="576"/>
      <c r="C34" s="131" t="str">
        <f t="shared" si="11"/>
        <v>6120-17</v>
      </c>
      <c r="D34" s="526" t="s">
        <v>270</v>
      </c>
      <c r="E34" s="703">
        <v>3800</v>
      </c>
      <c r="F34" s="701"/>
      <c r="G34" s="719"/>
      <c r="H34" s="492">
        <v>0.7</v>
      </c>
      <c r="I34" s="482">
        <f>(E34+F34+G34)*H34</f>
        <v>2660</v>
      </c>
      <c r="J34" s="493">
        <f t="shared" ca="1" si="7"/>
        <v>0</v>
      </c>
      <c r="K34" s="493">
        <f t="shared" ca="1" si="13"/>
        <v>2660</v>
      </c>
      <c r="L34" s="493">
        <v>5250</v>
      </c>
      <c r="M34" s="51">
        <f t="shared" si="5"/>
        <v>-2590</v>
      </c>
      <c r="N34" s="3" t="s">
        <v>271</v>
      </c>
      <c r="O34" s="59">
        <f t="shared" si="8"/>
        <v>-2590</v>
      </c>
      <c r="P34" s="305">
        <f t="shared" si="9"/>
        <v>-0.49333333333333335</v>
      </c>
      <c r="Q34" s="229"/>
      <c r="R34" s="743" t="s">
        <v>272</v>
      </c>
    </row>
    <row r="35" spans="1:18" ht="15" customHeight="1" x14ac:dyDescent="0.25">
      <c r="A35" s="495"/>
      <c r="B35" s="577"/>
      <c r="C35" s="122" t="str">
        <f t="shared" si="11"/>
        <v>6120-18</v>
      </c>
      <c r="D35" s="514" t="s">
        <v>273</v>
      </c>
      <c r="E35" s="725">
        <v>550</v>
      </c>
      <c r="F35" s="702"/>
      <c r="G35" s="725"/>
      <c r="H35" s="496">
        <v>0.96</v>
      </c>
      <c r="I35" s="485">
        <f>(E35+F35+G35)*H35</f>
        <v>528</v>
      </c>
      <c r="J35" s="494">
        <f t="shared" ca="1" si="7"/>
        <v>0</v>
      </c>
      <c r="K35" s="494">
        <f t="shared" ca="1" si="13"/>
        <v>528</v>
      </c>
      <c r="L35" s="494">
        <v>495</v>
      </c>
      <c r="M35" s="51">
        <f t="shared" si="5"/>
        <v>33</v>
      </c>
      <c r="N35" s="3" t="s">
        <v>241</v>
      </c>
      <c r="O35" s="59">
        <f t="shared" si="8"/>
        <v>33</v>
      </c>
      <c r="P35" s="305">
        <f t="shared" si="9"/>
        <v>6.6666666666666666E-2</v>
      </c>
      <c r="Q35" s="229"/>
    </row>
    <row r="36" spans="1:18" ht="15" customHeight="1" x14ac:dyDescent="0.25">
      <c r="A36" s="515"/>
      <c r="B36" s="576"/>
      <c r="C36" s="131" t="str">
        <f t="shared" si="11"/>
        <v>6120-19</v>
      </c>
      <c r="D36" s="491" t="s">
        <v>274</v>
      </c>
      <c r="E36" s="714"/>
      <c r="F36" s="705"/>
      <c r="G36" s="705">
        <v>2500</v>
      </c>
      <c r="H36" s="492">
        <v>0.7</v>
      </c>
      <c r="I36" s="493">
        <f t="shared" si="12"/>
        <v>1750</v>
      </c>
      <c r="J36" s="493">
        <f t="shared" ca="1" si="7"/>
        <v>0</v>
      </c>
      <c r="K36" s="493">
        <f t="shared" ca="1" si="13"/>
        <v>1750</v>
      </c>
      <c r="L36" s="493">
        <v>1750</v>
      </c>
      <c r="M36" s="51">
        <f t="shared" si="5"/>
        <v>0</v>
      </c>
      <c r="N36" s="3" t="s">
        <v>226</v>
      </c>
      <c r="O36" s="59">
        <f t="shared" si="8"/>
        <v>0</v>
      </c>
      <c r="P36" s="305">
        <f t="shared" si="9"/>
        <v>0</v>
      </c>
      <c r="Q36" s="229"/>
    </row>
    <row r="37" spans="1:18" ht="15" customHeight="1" x14ac:dyDescent="0.25">
      <c r="A37" s="495"/>
      <c r="B37" s="577"/>
      <c r="C37" s="122" t="str">
        <f t="shared" si="11"/>
        <v>6120-20</v>
      </c>
      <c r="D37" s="514" t="s">
        <v>275</v>
      </c>
      <c r="E37" s="725">
        <v>1500</v>
      </c>
      <c r="F37" s="702"/>
      <c r="G37" s="725"/>
      <c r="H37" s="496">
        <v>6.29</v>
      </c>
      <c r="I37" s="485">
        <f t="shared" si="12"/>
        <v>9435</v>
      </c>
      <c r="J37" s="494"/>
      <c r="K37" s="494"/>
      <c r="L37" s="494"/>
      <c r="M37" s="51">
        <f t="shared" si="5"/>
        <v>9435</v>
      </c>
      <c r="N37" s="3" t="s">
        <v>276</v>
      </c>
      <c r="O37" s="59"/>
      <c r="P37" s="305"/>
      <c r="Q37" s="229"/>
      <c r="R37" s="738" t="s">
        <v>277</v>
      </c>
    </row>
    <row r="38" spans="1:18" ht="15" customHeight="1" x14ac:dyDescent="0.25">
      <c r="A38" s="515"/>
      <c r="B38" s="576"/>
      <c r="C38" s="131" t="str">
        <f t="shared" si="11"/>
        <v>6120-21</v>
      </c>
      <c r="D38" s="491" t="s">
        <v>278</v>
      </c>
      <c r="E38" s="714">
        <v>2800</v>
      </c>
      <c r="F38" s="705"/>
      <c r="G38" s="705"/>
      <c r="H38" s="492">
        <v>0.91</v>
      </c>
      <c r="I38" s="482">
        <f t="shared" si="12"/>
        <v>2548</v>
      </c>
      <c r="J38" s="493"/>
      <c r="K38" s="493"/>
      <c r="L38" s="493"/>
      <c r="M38" s="51">
        <f t="shared" si="5"/>
        <v>2548</v>
      </c>
      <c r="N38" s="3" t="s">
        <v>276</v>
      </c>
      <c r="O38" s="59"/>
      <c r="P38" s="305"/>
      <c r="Q38" s="229"/>
      <c r="R38" s="738" t="s">
        <v>279</v>
      </c>
    </row>
    <row r="39" spans="1:18" ht="15" customHeight="1" thickBot="1" x14ac:dyDescent="0.3">
      <c r="B39" s="573"/>
      <c r="C39" s="64"/>
      <c r="D39" s="497" t="s">
        <v>106</v>
      </c>
      <c r="E39" s="498"/>
      <c r="F39" s="498"/>
      <c r="G39" s="397"/>
      <c r="H39" s="499">
        <f>(I39-L39)/L39</f>
        <v>0.10677824864385643</v>
      </c>
      <c r="I39" s="501">
        <f>SUM(I18:I38)</f>
        <v>273845.56</v>
      </c>
      <c r="J39" s="501">
        <f ca="1">SUM(J18:J36)</f>
        <v>0</v>
      </c>
      <c r="K39" s="501">
        <f ca="1">SUM(K18:K36)</f>
        <v>238972.56</v>
      </c>
      <c r="L39" s="501">
        <f>SUM(L18:L36)</f>
        <v>247425.86</v>
      </c>
      <c r="M39" s="51">
        <f t="shared" si="5"/>
        <v>26419.700000000012</v>
      </c>
      <c r="O39" s="59">
        <f t="shared" si="8"/>
        <v>26419.700000000012</v>
      </c>
      <c r="P39" s="305">
        <f t="shared" si="9"/>
        <v>0.10677824864385643</v>
      </c>
      <c r="Q39" s="229"/>
    </row>
    <row r="40" spans="1:18" ht="9.75" customHeight="1" thickTop="1" x14ac:dyDescent="0.25">
      <c r="B40" s="108"/>
      <c r="C40" s="64"/>
      <c r="D40" s="497"/>
      <c r="E40" s="498"/>
      <c r="F40" s="498"/>
      <c r="G40" s="423"/>
      <c r="H40" s="520"/>
      <c r="I40" s="521"/>
      <c r="J40" s="521"/>
      <c r="K40" s="521"/>
      <c r="L40" s="521"/>
      <c r="M40" s="51">
        <f t="shared" si="5"/>
        <v>0</v>
      </c>
      <c r="O40" s="51"/>
      <c r="P40" s="305" t="e">
        <f t="shared" si="9"/>
        <v>#DIV/0!</v>
      </c>
      <c r="Q40" s="229"/>
    </row>
    <row r="41" spans="1:18" ht="19.5" customHeight="1" x14ac:dyDescent="0.3">
      <c r="A41" s="1116" t="s">
        <v>280</v>
      </c>
      <c r="B41" s="1116"/>
      <c r="C41" s="1116"/>
      <c r="D41" s="1116"/>
      <c r="E41" s="1116"/>
      <c r="F41" s="1116"/>
      <c r="G41" s="1116"/>
      <c r="H41" s="1116"/>
      <c r="I41" s="1116"/>
      <c r="J41" s="1116"/>
      <c r="K41" s="1116"/>
      <c r="L41" s="1116"/>
      <c r="M41" s="51">
        <f t="shared" si="5"/>
        <v>0</v>
      </c>
      <c r="O41" s="51"/>
      <c r="P41" s="305"/>
      <c r="Q41" s="229"/>
    </row>
    <row r="42" spans="1:18" ht="15" customHeight="1" x14ac:dyDescent="0.25">
      <c r="A42" s="480"/>
      <c r="B42" s="573" t="s">
        <v>281</v>
      </c>
      <c r="C42" s="131" t="str">
        <f>LEFT($A41,4)&amp;"-1"</f>
        <v>6130-1</v>
      </c>
      <c r="D42" s="480" t="s">
        <v>282</v>
      </c>
      <c r="E42" s="707"/>
      <c r="F42" s="707">
        <v>650233</v>
      </c>
      <c r="G42" s="708"/>
      <c r="H42" s="481">
        <v>5.3999999999999999E-2</v>
      </c>
      <c r="I42" s="482">
        <f>(E42+F42+G42)*H42</f>
        <v>35112.582000000002</v>
      </c>
      <c r="J42" s="482">
        <f t="shared" ref="J42:J60" ca="1" si="14">-(SUMIF(INDIRECT(LEFT($A$41,4)&amp;"!i3:i200"),"="&amp;C42&amp;" *",INDIRECT(LEFT($A$41,4)&amp;"!k3:k200")))</f>
        <v>0</v>
      </c>
      <c r="K42" s="482">
        <f ca="1">SUM(I42:J42)</f>
        <v>35112.582000000002</v>
      </c>
      <c r="L42" s="482">
        <v>30103.4</v>
      </c>
      <c r="M42" s="51">
        <f t="shared" si="5"/>
        <v>5009.1820000000007</v>
      </c>
      <c r="N42" s="3" t="s">
        <v>196</v>
      </c>
      <c r="O42" s="59">
        <f t="shared" ref="O42:O44" si="15">I42-L42</f>
        <v>5009.1820000000007</v>
      </c>
      <c r="P42" s="305">
        <f t="shared" ref="P42:P60" si="16">O42/L42</f>
        <v>0.16639921072038377</v>
      </c>
      <c r="Q42" s="229"/>
      <c r="R42" s="77"/>
    </row>
    <row r="43" spans="1:18" ht="15" customHeight="1" x14ac:dyDescent="0.25">
      <c r="A43" s="508"/>
      <c r="B43" s="584"/>
      <c r="C43" s="106" t="str">
        <f t="shared" ref="C43:C60" si="17">LEFT($C42,4)&amp;"-"&amp;VALUE(MID($C42,FIND("-",$C42)+1,256))+1</f>
        <v>6130-2</v>
      </c>
      <c r="D43" s="508" t="s">
        <v>283</v>
      </c>
      <c r="E43" s="709"/>
      <c r="F43" s="709">
        <v>121000</v>
      </c>
      <c r="G43" s="710"/>
      <c r="H43" s="509">
        <v>5.3999999999999999E-2</v>
      </c>
      <c r="I43" s="486">
        <f>(E43+F43+G43)*H43</f>
        <v>6534</v>
      </c>
      <c r="J43" s="485">
        <f t="shared" ca="1" si="14"/>
        <v>0</v>
      </c>
      <c r="K43" s="486">
        <f t="shared" ref="K43:K44" ca="1" si="18">SUM(I43:J43)</f>
        <v>6534</v>
      </c>
      <c r="L43" s="486">
        <v>5500</v>
      </c>
      <c r="M43" s="51">
        <f t="shared" si="5"/>
        <v>1034</v>
      </c>
      <c r="N43" s="3" t="s">
        <v>196</v>
      </c>
      <c r="O43" s="59">
        <f t="shared" si="15"/>
        <v>1034</v>
      </c>
      <c r="P43" s="305">
        <f t="shared" si="16"/>
        <v>0.188</v>
      </c>
      <c r="Q43" s="229"/>
      <c r="R43" s="800"/>
    </row>
    <row r="44" spans="1:18" ht="15" customHeight="1" x14ac:dyDescent="0.25">
      <c r="A44" s="480"/>
      <c r="B44" s="573"/>
      <c r="C44" s="63" t="str">
        <f t="shared" si="17"/>
        <v>6130-3</v>
      </c>
      <c r="D44" s="480" t="s">
        <v>284</v>
      </c>
      <c r="E44" s="707"/>
      <c r="F44" s="707">
        <v>1</v>
      </c>
      <c r="G44" s="708"/>
      <c r="H44" s="992">
        <v>300</v>
      </c>
      <c r="I44" s="482">
        <f>(E44+F44+G44)*H44</f>
        <v>300</v>
      </c>
      <c r="J44" s="482">
        <f t="shared" ca="1" si="14"/>
        <v>0</v>
      </c>
      <c r="K44" s="482">
        <f t="shared" ca="1" si="18"/>
        <v>300</v>
      </c>
      <c r="L44" s="482">
        <v>300</v>
      </c>
      <c r="M44" s="51">
        <f t="shared" si="5"/>
        <v>0</v>
      </c>
      <c r="N44" s="3" t="s">
        <v>196</v>
      </c>
      <c r="O44" s="59">
        <f t="shared" si="15"/>
        <v>0</v>
      </c>
      <c r="P44" s="305">
        <f t="shared" si="16"/>
        <v>0</v>
      </c>
      <c r="Q44" s="229"/>
      <c r="R44" s="740"/>
    </row>
    <row r="45" spans="1:18" ht="15" customHeight="1" x14ac:dyDescent="0.25">
      <c r="A45" s="508"/>
      <c r="B45" s="585"/>
      <c r="C45" s="224" t="str">
        <f t="shared" si="17"/>
        <v>6130-4</v>
      </c>
      <c r="D45" s="522" t="s">
        <v>285</v>
      </c>
      <c r="E45" s="711"/>
      <c r="F45" s="712">
        <v>305841</v>
      </c>
      <c r="G45" s="713"/>
      <c r="H45" s="523">
        <v>4.2000000000000003E-2</v>
      </c>
      <c r="I45" s="524">
        <f>(E45+F45+G45)*H45</f>
        <v>12845.322</v>
      </c>
      <c r="J45" s="524">
        <f t="shared" ca="1" si="14"/>
        <v>0</v>
      </c>
      <c r="K45" s="507">
        <f t="shared" ref="K45:K60" ca="1" si="19">SUM(I45:J45)</f>
        <v>12845.322</v>
      </c>
      <c r="L45" s="524">
        <v>10565.444</v>
      </c>
      <c r="M45" s="51">
        <f t="shared" si="5"/>
        <v>2279.8780000000006</v>
      </c>
      <c r="N45" s="3" t="s">
        <v>196</v>
      </c>
      <c r="O45" s="59">
        <f t="shared" ref="O45:O61" si="20">I45-L45</f>
        <v>2279.8780000000006</v>
      </c>
      <c r="P45" s="305">
        <f>O45/L45</f>
        <v>0.21578629350550727</v>
      </c>
      <c r="Q45" s="302"/>
      <c r="R45" s="77"/>
    </row>
    <row r="46" spans="1:18" ht="15" customHeight="1" x14ac:dyDescent="0.25">
      <c r="A46" s="480"/>
      <c r="B46" s="576" t="s">
        <v>286</v>
      </c>
      <c r="C46" s="131" t="str">
        <f t="shared" si="17"/>
        <v>6130-5</v>
      </c>
      <c r="D46" s="491" t="s">
        <v>287</v>
      </c>
      <c r="E46" s="714"/>
      <c r="F46" s="715">
        <v>305841</v>
      </c>
      <c r="G46" s="701"/>
      <c r="H46" s="492">
        <v>0.03</v>
      </c>
      <c r="I46" s="482">
        <f>(E46+F46+G46)*H46</f>
        <v>9175.23</v>
      </c>
      <c r="J46" s="482">
        <f t="shared" ca="1" si="14"/>
        <v>0</v>
      </c>
      <c r="K46" s="482">
        <f t="shared" ca="1" si="19"/>
        <v>9175.23</v>
      </c>
      <c r="L46" s="493">
        <v>7089.9689999999991</v>
      </c>
      <c r="M46" s="51">
        <f t="shared" si="5"/>
        <v>2085.2610000000004</v>
      </c>
      <c r="N46" s="3" t="s">
        <v>196</v>
      </c>
      <c r="O46" s="59">
        <f t="shared" si="20"/>
        <v>2085.2610000000004</v>
      </c>
      <c r="P46" s="305">
        <f t="shared" si="16"/>
        <v>0.29411426199465762</v>
      </c>
      <c r="Q46" s="229"/>
      <c r="R46" s="77"/>
    </row>
    <row r="47" spans="1:18" ht="15" customHeight="1" x14ac:dyDescent="0.25">
      <c r="A47" s="517"/>
      <c r="B47" s="577"/>
      <c r="C47" s="122" t="str">
        <f t="shared" si="17"/>
        <v>6130-6</v>
      </c>
      <c r="D47" s="495" t="s">
        <v>288</v>
      </c>
      <c r="E47" s="787"/>
      <c r="F47" s="718">
        <v>305841</v>
      </c>
      <c r="G47" s="702"/>
      <c r="H47" s="496">
        <v>3.5000000000000003E-2</v>
      </c>
      <c r="I47" s="485">
        <f t="shared" ref="I47:I60" si="21">(E47+F47+G47)*H47</f>
        <v>10704.435000000001</v>
      </c>
      <c r="J47" s="485">
        <f t="shared" ca="1" si="14"/>
        <v>0</v>
      </c>
      <c r="K47" s="485">
        <f t="shared" ca="1" si="19"/>
        <v>10704.435000000001</v>
      </c>
      <c r="L47" s="494">
        <v>9731.3300000000017</v>
      </c>
      <c r="M47" s="51">
        <f t="shared" si="5"/>
        <v>973.10499999999956</v>
      </c>
      <c r="N47" s="3" t="s">
        <v>196</v>
      </c>
      <c r="O47" s="59">
        <f t="shared" si="20"/>
        <v>973.10499999999956</v>
      </c>
      <c r="P47" s="305">
        <f t="shared" si="16"/>
        <v>9.9997122695458837E-2</v>
      </c>
      <c r="Q47" s="229"/>
      <c r="R47" s="78"/>
    </row>
    <row r="48" spans="1:18" ht="15" customHeight="1" x14ac:dyDescent="0.25">
      <c r="A48" s="518"/>
      <c r="B48" s="573"/>
      <c r="C48" s="131" t="str">
        <f t="shared" si="17"/>
        <v>6130-7</v>
      </c>
      <c r="D48" s="487" t="s">
        <v>289</v>
      </c>
      <c r="E48" s="715"/>
      <c r="F48" s="715">
        <v>305841</v>
      </c>
      <c r="G48" s="704"/>
      <c r="H48" s="488">
        <v>0.02</v>
      </c>
      <c r="I48" s="482">
        <f t="shared" si="21"/>
        <v>6116.82</v>
      </c>
      <c r="J48" s="482">
        <f t="shared" ca="1" si="14"/>
        <v>0</v>
      </c>
      <c r="K48" s="493">
        <f t="shared" ca="1" si="19"/>
        <v>6116.82</v>
      </c>
      <c r="L48" s="482">
        <v>4170.57</v>
      </c>
      <c r="M48" s="51">
        <f t="shared" si="5"/>
        <v>1946.25</v>
      </c>
      <c r="N48" s="3" t="s">
        <v>196</v>
      </c>
      <c r="O48" s="59">
        <f t="shared" si="20"/>
        <v>1946.25</v>
      </c>
      <c r="P48" s="305">
        <f t="shared" si="16"/>
        <v>0.46666283026061189</v>
      </c>
      <c r="Q48" s="229"/>
      <c r="R48" s="77"/>
    </row>
    <row r="49" spans="1:18" ht="15" customHeight="1" x14ac:dyDescent="0.25">
      <c r="A49" s="517"/>
      <c r="B49" s="877"/>
      <c r="C49" s="880" t="str">
        <f t="shared" si="17"/>
        <v>6130-8</v>
      </c>
      <c r="D49" s="495" t="s">
        <v>676</v>
      </c>
      <c r="E49" s="787"/>
      <c r="F49" s="787">
        <v>4510</v>
      </c>
      <c r="G49" s="702"/>
      <c r="H49" s="496">
        <v>0.5</v>
      </c>
      <c r="I49" s="541">
        <f t="shared" si="21"/>
        <v>2255</v>
      </c>
      <c r="J49" s="541">
        <f t="shared" ca="1" si="14"/>
        <v>0</v>
      </c>
      <c r="K49" s="541">
        <f t="shared" ca="1" si="19"/>
        <v>2255</v>
      </c>
      <c r="L49" s="556">
        <v>2050</v>
      </c>
      <c r="M49" s="51">
        <f t="shared" si="5"/>
        <v>205</v>
      </c>
      <c r="N49" s="121" t="s">
        <v>196</v>
      </c>
      <c r="O49" s="59">
        <f t="shared" si="20"/>
        <v>205</v>
      </c>
      <c r="P49" s="305">
        <f t="shared" si="16"/>
        <v>0.1</v>
      </c>
      <c r="Q49" s="229"/>
      <c r="R49" s="78"/>
    </row>
    <row r="50" spans="1:18" ht="15" customHeight="1" x14ac:dyDescent="0.25">
      <c r="A50" s="518"/>
      <c r="B50" s="573"/>
      <c r="C50" s="131" t="str">
        <f t="shared" si="17"/>
        <v>6130-9</v>
      </c>
      <c r="D50" s="525" t="s">
        <v>290</v>
      </c>
      <c r="E50" s="845"/>
      <c r="F50" s="845">
        <v>1</v>
      </c>
      <c r="G50" s="704"/>
      <c r="H50" s="481">
        <v>76</v>
      </c>
      <c r="I50" s="482">
        <f t="shared" si="21"/>
        <v>76</v>
      </c>
      <c r="J50" s="482">
        <f t="shared" ca="1" si="14"/>
        <v>0</v>
      </c>
      <c r="K50" s="493">
        <f t="shared" ca="1" si="19"/>
        <v>76</v>
      </c>
      <c r="L50" s="482">
        <v>76</v>
      </c>
      <c r="M50" s="51">
        <f t="shared" si="5"/>
        <v>0</v>
      </c>
      <c r="N50" s="3" t="s">
        <v>196</v>
      </c>
      <c r="O50" s="59">
        <f t="shared" si="20"/>
        <v>0</v>
      </c>
      <c r="P50" s="305">
        <f t="shared" si="16"/>
        <v>0</v>
      </c>
      <c r="Q50" s="229"/>
      <c r="R50" s="78"/>
    </row>
    <row r="51" spans="1:18" ht="15" customHeight="1" x14ac:dyDescent="0.25">
      <c r="A51" s="517"/>
      <c r="B51" s="575"/>
      <c r="C51" s="122" t="str">
        <f t="shared" si="17"/>
        <v>6130-10</v>
      </c>
      <c r="D51" s="489" t="s">
        <v>291</v>
      </c>
      <c r="E51" s="716"/>
      <c r="F51" s="716">
        <v>33200</v>
      </c>
      <c r="G51" s="700"/>
      <c r="H51" s="490">
        <v>0.109</v>
      </c>
      <c r="I51" s="485">
        <f t="shared" si="21"/>
        <v>3618.8</v>
      </c>
      <c r="J51" s="485">
        <f t="shared" ca="1" si="14"/>
        <v>0</v>
      </c>
      <c r="K51" s="485">
        <f ca="1">SUM(I51:J51)</f>
        <v>3618.8</v>
      </c>
      <c r="L51" s="485">
        <v>3291.8</v>
      </c>
      <c r="M51" s="51">
        <f t="shared" si="5"/>
        <v>327</v>
      </c>
      <c r="N51" s="3" t="s">
        <v>258</v>
      </c>
      <c r="O51" s="59">
        <f>I51-L51</f>
        <v>327</v>
      </c>
      <c r="P51" s="305">
        <f>O51/L51</f>
        <v>9.9337748344370855E-2</v>
      </c>
      <c r="Q51" s="229"/>
      <c r="R51" s="78" t="s">
        <v>259</v>
      </c>
    </row>
    <row r="52" spans="1:18" ht="15" customHeight="1" x14ac:dyDescent="0.25">
      <c r="A52" s="518"/>
      <c r="B52" s="573"/>
      <c r="C52" s="131" t="str">
        <f t="shared" si="17"/>
        <v>6130-11</v>
      </c>
      <c r="D52" s="525" t="s">
        <v>292</v>
      </c>
      <c r="E52" s="704"/>
      <c r="F52" s="704"/>
      <c r="G52" s="704">
        <v>16800</v>
      </c>
      <c r="H52" s="481">
        <v>0.09</v>
      </c>
      <c r="I52" s="482">
        <f t="shared" si="21"/>
        <v>1512</v>
      </c>
      <c r="J52" s="482">
        <f t="shared" ca="1" si="14"/>
        <v>0</v>
      </c>
      <c r="K52" s="493">
        <f t="shared" ca="1" si="19"/>
        <v>1512</v>
      </c>
      <c r="L52" s="482">
        <v>1513.8</v>
      </c>
      <c r="M52" s="51">
        <f t="shared" si="5"/>
        <v>-1.7999999999999545</v>
      </c>
      <c r="N52" s="3" t="s">
        <v>226</v>
      </c>
      <c r="O52" s="59">
        <f t="shared" si="20"/>
        <v>-1.7999999999999545</v>
      </c>
      <c r="P52" s="305">
        <f t="shared" si="16"/>
        <v>-1.1890606420927167E-3</v>
      </c>
      <c r="Q52" s="229"/>
      <c r="R52" s="78"/>
    </row>
    <row r="53" spans="1:18" ht="15" customHeight="1" x14ac:dyDescent="0.25">
      <c r="A53" s="517"/>
      <c r="B53" s="735"/>
      <c r="C53" s="122" t="str">
        <f t="shared" si="17"/>
        <v>6130-12</v>
      </c>
      <c r="D53" s="554" t="s">
        <v>293</v>
      </c>
      <c r="E53" s="802"/>
      <c r="F53" s="706"/>
      <c r="G53" s="700">
        <v>22000</v>
      </c>
      <c r="H53" s="484">
        <v>0.08</v>
      </c>
      <c r="I53" s="485">
        <f t="shared" si="21"/>
        <v>1760</v>
      </c>
      <c r="J53" s="485">
        <f t="shared" ca="1" si="14"/>
        <v>0</v>
      </c>
      <c r="K53" s="485">
        <f t="shared" ca="1" si="19"/>
        <v>1760</v>
      </c>
      <c r="L53" s="494">
        <v>1760</v>
      </c>
      <c r="M53" s="51">
        <f t="shared" si="5"/>
        <v>0</v>
      </c>
      <c r="N53" s="3" t="s">
        <v>226</v>
      </c>
      <c r="O53" s="59">
        <f t="shared" si="20"/>
        <v>0</v>
      </c>
      <c r="P53" s="305">
        <f t="shared" si="16"/>
        <v>0</v>
      </c>
      <c r="Q53" s="302"/>
      <c r="R53" s="77"/>
    </row>
    <row r="54" spans="1:18" ht="15" customHeight="1" x14ac:dyDescent="0.25">
      <c r="A54" s="518"/>
      <c r="B54" s="573"/>
      <c r="C54" s="131" t="str">
        <f t="shared" si="17"/>
        <v>6130-13</v>
      </c>
      <c r="D54" s="487" t="s">
        <v>294</v>
      </c>
      <c r="E54" s="715"/>
      <c r="F54" s="699"/>
      <c r="G54" s="699">
        <v>4800</v>
      </c>
      <c r="H54" s="488">
        <v>0.13500000000000001</v>
      </c>
      <c r="I54" s="482">
        <f t="shared" si="21"/>
        <v>648</v>
      </c>
      <c r="J54" s="482">
        <f t="shared" ca="1" si="14"/>
        <v>0</v>
      </c>
      <c r="K54" s="493">
        <f t="shared" ca="1" si="19"/>
        <v>648</v>
      </c>
      <c r="L54" s="482">
        <v>675</v>
      </c>
      <c r="M54" s="51">
        <f t="shared" si="5"/>
        <v>-27</v>
      </c>
      <c r="N54" s="3" t="s">
        <v>226</v>
      </c>
      <c r="O54" s="59">
        <f t="shared" si="20"/>
        <v>-27</v>
      </c>
      <c r="P54" s="305">
        <f t="shared" si="16"/>
        <v>-0.04</v>
      </c>
      <c r="Q54" s="229"/>
      <c r="R54" s="77"/>
    </row>
    <row r="55" spans="1:18" ht="15" customHeight="1" x14ac:dyDescent="0.25">
      <c r="A55" s="517"/>
      <c r="B55" s="577"/>
      <c r="C55" s="122" t="str">
        <f t="shared" si="17"/>
        <v>6130-14</v>
      </c>
      <c r="D55" s="483" t="s">
        <v>295</v>
      </c>
      <c r="E55" s="724"/>
      <c r="F55" s="706">
        <v>18650</v>
      </c>
      <c r="G55" s="706"/>
      <c r="H55" s="484">
        <v>0.08</v>
      </c>
      <c r="I55" s="485">
        <f t="shared" si="21"/>
        <v>1492</v>
      </c>
      <c r="J55" s="485">
        <f t="shared" ca="1" si="14"/>
        <v>0</v>
      </c>
      <c r="K55" s="485">
        <f t="shared" ca="1" si="19"/>
        <v>1492</v>
      </c>
      <c r="L55" s="494">
        <v>1394.4</v>
      </c>
      <c r="M55" s="51">
        <f t="shared" si="5"/>
        <v>97.599999999999909</v>
      </c>
      <c r="N55" s="3" t="s">
        <v>258</v>
      </c>
      <c r="O55" s="59">
        <f t="shared" si="20"/>
        <v>97.599999999999909</v>
      </c>
      <c r="P55" s="305">
        <f t="shared" si="16"/>
        <v>6.9994262765347037E-2</v>
      </c>
      <c r="Q55" s="229"/>
      <c r="R55" s="77" t="s">
        <v>259</v>
      </c>
    </row>
    <row r="56" spans="1:18" ht="15" customHeight="1" x14ac:dyDescent="0.25">
      <c r="A56" s="518"/>
      <c r="B56" s="998"/>
      <c r="C56" s="999" t="str">
        <f t="shared" si="17"/>
        <v>6130-15</v>
      </c>
      <c r="D56" s="1000" t="s">
        <v>296</v>
      </c>
      <c r="E56" s="1001">
        <v>1175</v>
      </c>
      <c r="F56" s="1002"/>
      <c r="G56" s="1002"/>
      <c r="H56" s="1003">
        <v>0.41</v>
      </c>
      <c r="I56" s="981">
        <f t="shared" si="21"/>
        <v>481.74999999999994</v>
      </c>
      <c r="J56" s="981">
        <f t="shared" ca="1" si="14"/>
        <v>0</v>
      </c>
      <c r="K56" s="981">
        <f t="shared" ref="K56" ca="1" si="22">SUM(I56:J56)</f>
        <v>481.74999999999994</v>
      </c>
      <c r="L56" s="981">
        <v>481.74999999999994</v>
      </c>
      <c r="M56" s="51">
        <f t="shared" si="5"/>
        <v>0</v>
      </c>
      <c r="N56" s="3" t="s">
        <v>263</v>
      </c>
      <c r="O56" s="59"/>
      <c r="P56" s="305">
        <f t="shared" si="16"/>
        <v>0</v>
      </c>
      <c r="Q56" s="229"/>
      <c r="R56" s="738" t="s">
        <v>605</v>
      </c>
    </row>
    <row r="57" spans="1:18" ht="15" customHeight="1" x14ac:dyDescent="0.25">
      <c r="A57" s="517"/>
      <c r="B57" s="577"/>
      <c r="C57" s="122" t="str">
        <f t="shared" si="17"/>
        <v>6130-16</v>
      </c>
      <c r="D57" s="793" t="s">
        <v>677</v>
      </c>
      <c r="E57" s="706"/>
      <c r="F57" s="706"/>
      <c r="G57" s="706">
        <v>1</v>
      </c>
      <c r="H57" s="484">
        <v>1300</v>
      </c>
      <c r="I57" s="485">
        <f t="shared" si="21"/>
        <v>1300</v>
      </c>
      <c r="J57" s="485">
        <f t="shared" ca="1" si="14"/>
        <v>0</v>
      </c>
      <c r="K57" s="494">
        <f ca="1">SUM(I57:J57)</f>
        <v>1300</v>
      </c>
      <c r="L57" s="494">
        <v>1300</v>
      </c>
      <c r="M57" s="51">
        <f t="shared" si="5"/>
        <v>0</v>
      </c>
      <c r="N57" s="3" t="s">
        <v>226</v>
      </c>
      <c r="O57" s="59">
        <f>I57-L57</f>
        <v>0</v>
      </c>
      <c r="P57" s="305">
        <f t="shared" si="16"/>
        <v>0</v>
      </c>
      <c r="Q57" s="229"/>
    </row>
    <row r="58" spans="1:18" ht="15" customHeight="1" x14ac:dyDescent="0.25">
      <c r="A58" s="518"/>
      <c r="B58" s="573"/>
      <c r="C58" s="131" t="str">
        <f t="shared" si="17"/>
        <v>6130-17</v>
      </c>
      <c r="D58" s="487" t="s">
        <v>297</v>
      </c>
      <c r="E58" s="699">
        <v>13000</v>
      </c>
      <c r="F58" s="699"/>
      <c r="G58" s="715"/>
      <c r="H58" s="488">
        <v>0.41</v>
      </c>
      <c r="I58" s="482">
        <f t="shared" si="21"/>
        <v>5330</v>
      </c>
      <c r="J58" s="482">
        <f t="shared" ca="1" si="14"/>
        <v>0</v>
      </c>
      <c r="K58" s="482">
        <f t="shared" ca="1" si="19"/>
        <v>5330</v>
      </c>
      <c r="L58" s="482">
        <v>5330</v>
      </c>
      <c r="M58" s="51">
        <f t="shared" si="5"/>
        <v>0</v>
      </c>
      <c r="N58" s="3" t="s">
        <v>229</v>
      </c>
      <c r="O58" s="59">
        <f t="shared" si="20"/>
        <v>0</v>
      </c>
      <c r="P58" s="305">
        <f t="shared" si="16"/>
        <v>0</v>
      </c>
      <c r="Q58" s="229"/>
      <c r="R58" s="77" t="s">
        <v>235</v>
      </c>
    </row>
    <row r="59" spans="1:18" ht="15" customHeight="1" x14ac:dyDescent="0.25">
      <c r="A59" s="514"/>
      <c r="B59" s="575"/>
      <c r="C59" s="122" t="str">
        <f t="shared" si="17"/>
        <v>6130-18</v>
      </c>
      <c r="D59" s="512" t="s">
        <v>298</v>
      </c>
      <c r="E59" s="720">
        <v>3800</v>
      </c>
      <c r="F59" s="720"/>
      <c r="G59" s="718"/>
      <c r="H59" s="513">
        <v>0.41</v>
      </c>
      <c r="I59" s="485">
        <f t="shared" si="21"/>
        <v>1558</v>
      </c>
      <c r="J59" s="485"/>
      <c r="K59" s="485"/>
      <c r="L59" s="485">
        <v>3075</v>
      </c>
      <c r="M59" s="51">
        <f t="shared" si="5"/>
        <v>-1517</v>
      </c>
      <c r="N59" s="3"/>
      <c r="O59" s="59"/>
      <c r="P59" s="305"/>
      <c r="Q59" s="229"/>
      <c r="R59" s="77" t="s">
        <v>272</v>
      </c>
    </row>
    <row r="60" spans="1:18" ht="15" customHeight="1" x14ac:dyDescent="0.25">
      <c r="A60" s="518"/>
      <c r="B60" s="573"/>
      <c r="C60" s="131" t="str">
        <f t="shared" si="17"/>
        <v>6130-19</v>
      </c>
      <c r="D60" s="525" t="s">
        <v>299</v>
      </c>
      <c r="E60" s="845"/>
      <c r="F60" s="704">
        <v>5000</v>
      </c>
      <c r="G60" s="704"/>
      <c r="H60" s="481">
        <v>0.12</v>
      </c>
      <c r="I60" s="482">
        <f t="shared" si="21"/>
        <v>600</v>
      </c>
      <c r="J60" s="482">
        <f t="shared" ca="1" si="14"/>
        <v>0</v>
      </c>
      <c r="K60" s="482">
        <f t="shared" ca="1" si="19"/>
        <v>600</v>
      </c>
      <c r="L60" s="482">
        <v>600</v>
      </c>
      <c r="M60" s="51">
        <f t="shared" si="5"/>
        <v>0</v>
      </c>
      <c r="N60" s="3" t="s">
        <v>196</v>
      </c>
      <c r="O60" s="59">
        <f t="shared" si="20"/>
        <v>0</v>
      </c>
      <c r="P60" s="305">
        <f t="shared" si="16"/>
        <v>0</v>
      </c>
      <c r="Q60" s="229"/>
      <c r="R60" s="78"/>
    </row>
    <row r="61" spans="1:18" ht="15" customHeight="1" thickBot="1" x14ac:dyDescent="0.3">
      <c r="B61" s="573"/>
      <c r="D61" s="497" t="s">
        <v>106</v>
      </c>
      <c r="E61" s="498"/>
      <c r="F61" s="498"/>
      <c r="G61" s="397"/>
      <c r="H61" s="499">
        <f>(I61-L61)/L61</f>
        <v>0.13944152703771562</v>
      </c>
      <c r="I61" s="500">
        <f>SUM(I42:I60)</f>
        <v>101419.939</v>
      </c>
      <c r="J61" s="500">
        <f ca="1">SUM(J42:J60)</f>
        <v>0</v>
      </c>
      <c r="K61" s="500">
        <f ca="1">SUM(K42:K60)</f>
        <v>99861.938999999998</v>
      </c>
      <c r="L61" s="501">
        <f>SUM(L42:L60)</f>
        <v>89008.462999999989</v>
      </c>
      <c r="M61" s="51">
        <f t="shared" si="5"/>
        <v>12411.47600000001</v>
      </c>
      <c r="O61" s="59">
        <f t="shared" si="20"/>
        <v>12411.47600000001</v>
      </c>
      <c r="P61" s="305"/>
      <c r="Q61" s="229"/>
    </row>
    <row r="62" spans="1:18" ht="10.5" customHeight="1" thickTop="1" x14ac:dyDescent="0.25">
      <c r="B62" s="479"/>
      <c r="C62" s="47"/>
      <c r="D62" s="497"/>
      <c r="E62" s="498"/>
      <c r="F62" s="498"/>
      <c r="G62" s="423"/>
      <c r="H62" s="528"/>
      <c r="I62" s="521"/>
      <c r="J62" s="521"/>
      <c r="K62" s="521"/>
      <c r="L62" s="521"/>
      <c r="M62" s="51">
        <f t="shared" si="5"/>
        <v>0</v>
      </c>
      <c r="O62" s="51"/>
      <c r="P62" s="305"/>
      <c r="Q62" s="229"/>
    </row>
    <row r="63" spans="1:18" ht="19.5" customHeight="1" x14ac:dyDescent="0.3">
      <c r="A63" s="1116" t="s">
        <v>300</v>
      </c>
      <c r="B63" s="1116"/>
      <c r="C63" s="1116"/>
      <c r="D63" s="1116"/>
      <c r="E63" s="1116"/>
      <c r="F63" s="1116"/>
      <c r="G63" s="1116"/>
      <c r="H63" s="1116"/>
      <c r="I63" s="1116"/>
      <c r="J63" s="1116"/>
      <c r="K63" s="1116"/>
      <c r="L63" s="1116"/>
      <c r="M63" s="51">
        <f t="shared" si="5"/>
        <v>0</v>
      </c>
      <c r="O63" s="51"/>
      <c r="P63" s="305"/>
      <c r="Q63" s="229"/>
    </row>
    <row r="64" spans="1:18" ht="15" customHeight="1" x14ac:dyDescent="0.25">
      <c r="B64" s="570"/>
      <c r="C64" s="85" t="str">
        <f>LEFT($A63,4)&amp;"-1"</f>
        <v>6140-1</v>
      </c>
      <c r="D64" s="504" t="s">
        <v>301</v>
      </c>
      <c r="E64" s="529"/>
      <c r="F64" s="699">
        <v>13</v>
      </c>
      <c r="G64" s="529"/>
      <c r="H64" s="488">
        <v>650</v>
      </c>
      <c r="I64" s="530">
        <f>(E64+F64+G64)*H64</f>
        <v>8450</v>
      </c>
      <c r="J64" s="530">
        <f ca="1">-(SUMIF(INDIRECT(LEFT($A$63,4)&amp;"!i3:i200"),"="&amp;C64&amp;" *",INDIRECT(LEFT($A$63,4)&amp;"!k3:k200")))</f>
        <v>0</v>
      </c>
      <c r="K64" s="530">
        <f ca="1">SUM(I64:J64)</f>
        <v>8450</v>
      </c>
      <c r="L64" s="482">
        <v>7800</v>
      </c>
      <c r="M64" s="51">
        <f t="shared" si="5"/>
        <v>650</v>
      </c>
      <c r="N64" s="3" t="s">
        <v>245</v>
      </c>
      <c r="O64" s="59">
        <f t="shared" ref="O64" si="23">I64-L64</f>
        <v>650</v>
      </c>
      <c r="P64" s="305"/>
      <c r="Q64" s="229"/>
    </row>
    <row r="65" spans="1:18" ht="15" customHeight="1" thickBot="1" x14ac:dyDescent="0.3">
      <c r="B65" s="583"/>
      <c r="C65" s="131"/>
      <c r="D65" s="497" t="s">
        <v>106</v>
      </c>
      <c r="E65" s="498"/>
      <c r="F65" s="498"/>
      <c r="G65" s="397"/>
      <c r="H65" s="499">
        <f>(I65-L65)/L65</f>
        <v>8.3333333333333329E-2</v>
      </c>
      <c r="I65" s="531">
        <f>SUM(I64)</f>
        <v>8450</v>
      </c>
      <c r="J65" s="531">
        <f t="shared" ref="J65:K65" ca="1" si="24">SUM(J64)</f>
        <v>0</v>
      </c>
      <c r="K65" s="531">
        <f t="shared" ca="1" si="24"/>
        <v>8450</v>
      </c>
      <c r="L65" s="501">
        <f>SUM(L64)</f>
        <v>7800</v>
      </c>
      <c r="M65" s="51">
        <f t="shared" si="5"/>
        <v>650</v>
      </c>
      <c r="O65" s="59"/>
      <c r="P65" s="305"/>
      <c r="Q65" s="229"/>
    </row>
    <row r="66" spans="1:18" ht="9.75" customHeight="1" thickTop="1" x14ac:dyDescent="0.25">
      <c r="B66" s="479"/>
      <c r="C66" s="47"/>
      <c r="D66" s="68"/>
      <c r="E66" s="69"/>
      <c r="F66" s="69"/>
      <c r="G66" s="69"/>
      <c r="H66" s="52"/>
      <c r="I66" s="36"/>
      <c r="J66" s="36"/>
      <c r="K66" s="36"/>
      <c r="L66" s="36"/>
      <c r="M66" s="51">
        <f t="shared" si="5"/>
        <v>0</v>
      </c>
      <c r="O66" s="59"/>
      <c r="P66" s="305"/>
      <c r="Q66" s="229"/>
    </row>
    <row r="67" spans="1:18" ht="19.5" customHeight="1" x14ac:dyDescent="0.3">
      <c r="A67" s="1118" t="s">
        <v>302</v>
      </c>
      <c r="B67" s="1118"/>
      <c r="C67" s="1118"/>
      <c r="D67" s="1118"/>
      <c r="E67" s="1118"/>
      <c r="F67" s="1118"/>
      <c r="G67" s="1118"/>
      <c r="H67" s="1118"/>
      <c r="I67" s="1118"/>
      <c r="J67" s="1118"/>
      <c r="K67" s="1118"/>
      <c r="L67" s="1118"/>
      <c r="M67" s="51">
        <f t="shared" si="5"/>
        <v>0</v>
      </c>
      <c r="O67" s="59"/>
      <c r="P67" s="305"/>
      <c r="Q67" s="229"/>
    </row>
    <row r="68" spans="1:18" ht="15" customHeight="1" x14ac:dyDescent="0.25">
      <c r="A68" s="480"/>
      <c r="B68" s="573"/>
      <c r="C68" s="63" t="str">
        <f>LEFT($A67,4)&amp;"-1"</f>
        <v>6150-1</v>
      </c>
      <c r="D68" s="534" t="s">
        <v>303</v>
      </c>
      <c r="E68" s="535"/>
      <c r="F68" s="699">
        <v>22</v>
      </c>
      <c r="G68" s="536"/>
      <c r="H68" s="488">
        <v>250</v>
      </c>
      <c r="I68" s="482">
        <f t="shared" ref="I68:I77" si="25">(E68+F68+G68)*H68</f>
        <v>5500</v>
      </c>
      <c r="J68" s="482">
        <f t="shared" ref="J68:J78" ca="1" si="26">-(SUMIF(INDIRECT(LEFT($A$67,4)&amp;"!i3:i200"),"="&amp;C68&amp;" *",INDIRECT(LEFT($A$67,4)&amp;"!k3:k200")))</f>
        <v>0</v>
      </c>
      <c r="K68" s="482">
        <f t="shared" ref="K68" ca="1" si="27">SUM(I68:J68)</f>
        <v>5500</v>
      </c>
      <c r="L68" s="395">
        <v>5500</v>
      </c>
      <c r="M68" s="51">
        <f t="shared" si="5"/>
        <v>0</v>
      </c>
      <c r="N68" s="3" t="s">
        <v>245</v>
      </c>
      <c r="O68" s="59">
        <f t="shared" ref="O68" si="28">I68-L68</f>
        <v>0</v>
      </c>
      <c r="P68" s="305">
        <f t="shared" ref="P68:P78" si="29">O68/L68</f>
        <v>0</v>
      </c>
      <c r="Q68" s="84"/>
    </row>
    <row r="69" spans="1:18" ht="15" customHeight="1" x14ac:dyDescent="0.25">
      <c r="A69" s="508"/>
      <c r="B69" s="579"/>
      <c r="C69" s="106" t="str">
        <f>LEFT($C68,4)&amp;"-"&amp;VALUE(MID($C68,FIND("-",$C68)+1,256))+1</f>
        <v>6150-2</v>
      </c>
      <c r="D69" s="483" t="s">
        <v>304</v>
      </c>
      <c r="E69" s="564"/>
      <c r="F69" s="706">
        <v>10</v>
      </c>
      <c r="G69" s="564"/>
      <c r="H69" s="484">
        <v>320</v>
      </c>
      <c r="I69" s="485">
        <f t="shared" si="25"/>
        <v>3200</v>
      </c>
      <c r="J69" s="494">
        <f t="shared" ca="1" si="26"/>
        <v>0</v>
      </c>
      <c r="K69" s="494">
        <f t="shared" ref="K69:K78" ca="1" si="30">SUM(I69:J69)</f>
        <v>3200</v>
      </c>
      <c r="L69" s="556">
        <v>2240</v>
      </c>
      <c r="M69" s="51">
        <f t="shared" ref="M69:M132" si="31">I69-L69</f>
        <v>960</v>
      </c>
      <c r="N69" s="3" t="s">
        <v>245</v>
      </c>
      <c r="O69" s="59">
        <f t="shared" ref="O69:O79" si="32">I69-L69</f>
        <v>960</v>
      </c>
      <c r="P69" s="305">
        <f t="shared" si="29"/>
        <v>0.42857142857142855</v>
      </c>
      <c r="Q69" s="229"/>
      <c r="R69" s="740"/>
    </row>
    <row r="70" spans="1:18" ht="15" customHeight="1" x14ac:dyDescent="0.25">
      <c r="A70" s="480"/>
      <c r="B70" s="570"/>
      <c r="C70" s="63" t="str">
        <f t="shared" ref="C70:C78" si="33">LEFT($C69,4)&amp;"-"&amp;VALUE(MID($C69,FIND("-",$C69)+1,256))+1</f>
        <v>6150-3</v>
      </c>
      <c r="D70" s="525" t="s">
        <v>305</v>
      </c>
      <c r="E70" s="542"/>
      <c r="F70" s="704">
        <v>2</v>
      </c>
      <c r="G70" s="542"/>
      <c r="H70" s="488">
        <v>2000</v>
      </c>
      <c r="I70" s="482">
        <f t="shared" si="25"/>
        <v>4000</v>
      </c>
      <c r="J70" s="482">
        <f t="shared" ca="1" si="26"/>
        <v>0</v>
      </c>
      <c r="K70" s="482">
        <f t="shared" ca="1" si="30"/>
        <v>4000</v>
      </c>
      <c r="L70" s="395">
        <v>4000</v>
      </c>
      <c r="M70" s="51">
        <f t="shared" si="31"/>
        <v>0</v>
      </c>
      <c r="N70" s="3" t="s">
        <v>306</v>
      </c>
      <c r="O70" s="59">
        <f t="shared" si="32"/>
        <v>0</v>
      </c>
      <c r="P70" s="305">
        <f t="shared" si="29"/>
        <v>0</v>
      </c>
      <c r="Q70" s="121"/>
    </row>
    <row r="71" spans="1:18" ht="15" customHeight="1" x14ac:dyDescent="0.25">
      <c r="A71" s="508"/>
      <c r="B71" s="581"/>
      <c r="C71" s="106" t="str">
        <f t="shared" si="33"/>
        <v>6150-4</v>
      </c>
      <c r="D71" s="543" t="s">
        <v>307</v>
      </c>
      <c r="E71" s="545"/>
      <c r="F71" s="700">
        <v>10</v>
      </c>
      <c r="G71" s="540"/>
      <c r="H71" s="513">
        <v>2000</v>
      </c>
      <c r="I71" s="485">
        <f t="shared" si="25"/>
        <v>20000</v>
      </c>
      <c r="J71" s="494">
        <f t="shared" ca="1" si="26"/>
        <v>0</v>
      </c>
      <c r="K71" s="494">
        <f t="shared" ca="1" si="30"/>
        <v>20000</v>
      </c>
      <c r="L71" s="541">
        <v>18000</v>
      </c>
      <c r="M71" s="51">
        <f t="shared" si="31"/>
        <v>2000</v>
      </c>
      <c r="N71" s="3" t="s">
        <v>306</v>
      </c>
      <c r="O71" s="59">
        <f>I71-L71</f>
        <v>2000</v>
      </c>
      <c r="P71" s="305">
        <f t="shared" si="29"/>
        <v>0.1111111111111111</v>
      </c>
      <c r="R71" s="229" t="s">
        <v>308</v>
      </c>
    </row>
    <row r="72" spans="1:18" ht="15" customHeight="1" x14ac:dyDescent="0.25">
      <c r="A72" s="480"/>
      <c r="B72" s="638"/>
      <c r="C72" s="63" t="str">
        <f t="shared" si="33"/>
        <v>6150-5</v>
      </c>
      <c r="D72" s="613" t="s">
        <v>309</v>
      </c>
      <c r="E72" s="688"/>
      <c r="F72" s="704">
        <v>7</v>
      </c>
      <c r="G72" s="542"/>
      <c r="H72" s="488">
        <v>2500</v>
      </c>
      <c r="I72" s="482">
        <f t="shared" si="25"/>
        <v>17500</v>
      </c>
      <c r="J72" s="493">
        <f t="shared" ca="1" si="26"/>
        <v>0</v>
      </c>
      <c r="K72" s="493">
        <f t="shared" ca="1" si="30"/>
        <v>17500</v>
      </c>
      <c r="L72" s="395">
        <v>17500</v>
      </c>
      <c r="M72" s="51">
        <f t="shared" si="31"/>
        <v>0</v>
      </c>
      <c r="N72" s="121" t="s">
        <v>245</v>
      </c>
      <c r="O72" s="59">
        <f t="shared" si="32"/>
        <v>0</v>
      </c>
      <c r="P72" s="305">
        <f t="shared" si="29"/>
        <v>0</v>
      </c>
      <c r="Q72" s="301"/>
    </row>
    <row r="73" spans="1:18" ht="15" customHeight="1" x14ac:dyDescent="0.25">
      <c r="A73" s="508"/>
      <c r="B73" s="579"/>
      <c r="C73" s="106" t="str">
        <f t="shared" si="33"/>
        <v>6150-6</v>
      </c>
      <c r="D73" s="495" t="s">
        <v>678</v>
      </c>
      <c r="E73" s="558"/>
      <c r="F73" s="702">
        <v>1</v>
      </c>
      <c r="G73" s="558"/>
      <c r="H73" s="484">
        <v>5000</v>
      </c>
      <c r="I73" s="485">
        <f t="shared" si="25"/>
        <v>5000</v>
      </c>
      <c r="J73" s="485">
        <f t="shared" ca="1" si="26"/>
        <v>0</v>
      </c>
      <c r="K73" s="485">
        <f t="shared" ca="1" si="30"/>
        <v>5000</v>
      </c>
      <c r="L73" s="556">
        <v>5000</v>
      </c>
      <c r="M73" s="51">
        <f t="shared" si="31"/>
        <v>0</v>
      </c>
      <c r="N73" s="3" t="s">
        <v>245</v>
      </c>
      <c r="O73" s="59">
        <f t="shared" si="32"/>
        <v>0</v>
      </c>
      <c r="P73" s="305">
        <f t="shared" si="29"/>
        <v>0</v>
      </c>
      <c r="Q73" s="229"/>
    </row>
    <row r="74" spans="1:18" ht="15" customHeight="1" x14ac:dyDescent="0.25">
      <c r="A74" s="480"/>
      <c r="B74" s="570"/>
      <c r="C74" s="63" t="str">
        <f t="shared" si="33"/>
        <v>6150-7</v>
      </c>
      <c r="D74" s="487" t="s">
        <v>310</v>
      </c>
      <c r="E74" s="689"/>
      <c r="F74" s="699">
        <v>3</v>
      </c>
      <c r="G74" s="690"/>
      <c r="H74" s="488">
        <v>2500</v>
      </c>
      <c r="I74" s="482">
        <f t="shared" si="25"/>
        <v>7500</v>
      </c>
      <c r="J74" s="493">
        <f t="shared" ca="1" si="26"/>
        <v>0</v>
      </c>
      <c r="K74" s="493">
        <f t="shared" ca="1" si="30"/>
        <v>7500</v>
      </c>
      <c r="L74" s="482">
        <v>7500</v>
      </c>
      <c r="M74" s="51">
        <f t="shared" si="31"/>
        <v>0</v>
      </c>
      <c r="N74" s="3" t="s">
        <v>245</v>
      </c>
      <c r="O74" s="59">
        <f t="shared" si="32"/>
        <v>0</v>
      </c>
      <c r="P74" s="305">
        <f t="shared" si="29"/>
        <v>0</v>
      </c>
      <c r="Q74" s="229"/>
      <c r="R74" s="229"/>
    </row>
    <row r="75" spans="1:18" ht="15" customHeight="1" x14ac:dyDescent="0.25">
      <c r="A75" s="508"/>
      <c r="B75" s="579"/>
      <c r="C75" s="106" t="str">
        <f t="shared" si="33"/>
        <v>6150-8</v>
      </c>
      <c r="D75" s="483" t="s">
        <v>311</v>
      </c>
      <c r="E75" s="564"/>
      <c r="F75" s="706">
        <v>19</v>
      </c>
      <c r="G75" s="691"/>
      <c r="H75" s="484">
        <v>1300</v>
      </c>
      <c r="I75" s="485">
        <f t="shared" si="25"/>
        <v>24700</v>
      </c>
      <c r="J75" s="485">
        <f t="shared" ca="1" si="26"/>
        <v>0</v>
      </c>
      <c r="K75" s="485">
        <f t="shared" ca="1" si="30"/>
        <v>24700</v>
      </c>
      <c r="L75" s="556">
        <v>24700</v>
      </c>
      <c r="M75" s="51">
        <f t="shared" si="31"/>
        <v>0</v>
      </c>
      <c r="N75" s="3" t="s">
        <v>245</v>
      </c>
      <c r="O75" s="59">
        <f t="shared" si="32"/>
        <v>0</v>
      </c>
      <c r="P75" s="305">
        <f t="shared" si="29"/>
        <v>0</v>
      </c>
      <c r="Q75" s="229"/>
    </row>
    <row r="76" spans="1:18" ht="15" customHeight="1" x14ac:dyDescent="0.25">
      <c r="A76" s="480"/>
      <c r="B76" s="570"/>
      <c r="C76" s="63" t="str">
        <f>LEFT($C75,4)&amp;"-"&amp;VALUE(MID($C75,FIND("-",$C75)+1,256))+1</f>
        <v>6150-9</v>
      </c>
      <c r="D76" s="487" t="s">
        <v>312</v>
      </c>
      <c r="E76" s="529"/>
      <c r="F76" s="699">
        <v>5</v>
      </c>
      <c r="G76" s="546"/>
      <c r="H76" s="488">
        <v>300</v>
      </c>
      <c r="I76" s="482">
        <f t="shared" si="25"/>
        <v>1500</v>
      </c>
      <c r="J76" s="493">
        <f t="shared" ca="1" si="26"/>
        <v>0</v>
      </c>
      <c r="K76" s="493">
        <f t="shared" ca="1" si="30"/>
        <v>1500</v>
      </c>
      <c r="L76" s="395">
        <v>1500</v>
      </c>
      <c r="M76" s="51">
        <f t="shared" si="31"/>
        <v>0</v>
      </c>
      <c r="N76" s="3" t="s">
        <v>245</v>
      </c>
      <c r="O76" s="59">
        <f t="shared" si="32"/>
        <v>0</v>
      </c>
      <c r="P76" s="305">
        <f t="shared" si="29"/>
        <v>0</v>
      </c>
      <c r="Q76" s="229"/>
    </row>
    <row r="77" spans="1:18" ht="15" customHeight="1" x14ac:dyDescent="0.25">
      <c r="A77" s="508"/>
      <c r="B77" s="579"/>
      <c r="C77" s="106" t="str">
        <f>LEFT($C76,4)&amp;"-"&amp;VALUE(MID($C76,FIND("-",$C76)+1,256))+1</f>
        <v>6150-10</v>
      </c>
      <c r="D77" s="635" t="s">
        <v>313</v>
      </c>
      <c r="E77" s="564"/>
      <c r="F77" s="706">
        <v>4</v>
      </c>
      <c r="G77" s="555"/>
      <c r="H77" s="484">
        <v>750</v>
      </c>
      <c r="I77" s="485">
        <f t="shared" si="25"/>
        <v>3000</v>
      </c>
      <c r="J77" s="485">
        <f t="shared" ca="1" si="26"/>
        <v>0</v>
      </c>
      <c r="K77" s="485">
        <f t="shared" ca="1" si="30"/>
        <v>3000</v>
      </c>
      <c r="L77" s="556">
        <v>3000</v>
      </c>
      <c r="M77" s="51">
        <f t="shared" si="31"/>
        <v>0</v>
      </c>
      <c r="N77" s="3" t="s">
        <v>245</v>
      </c>
      <c r="O77" s="59">
        <f t="shared" si="32"/>
        <v>0</v>
      </c>
      <c r="P77" s="305">
        <f t="shared" si="29"/>
        <v>0</v>
      </c>
      <c r="Q77" s="229"/>
      <c r="R77" s="740"/>
    </row>
    <row r="78" spans="1:18" ht="15" customHeight="1" x14ac:dyDescent="0.25">
      <c r="A78" s="480"/>
      <c r="B78" s="638"/>
      <c r="C78" s="63" t="str">
        <f t="shared" si="33"/>
        <v>6150-11</v>
      </c>
      <c r="D78" s="613" t="s">
        <v>314</v>
      </c>
      <c r="E78" s="529"/>
      <c r="F78" s="704">
        <v>20</v>
      </c>
      <c r="G78" s="542"/>
      <c r="H78" s="488">
        <v>250</v>
      </c>
      <c r="I78" s="482">
        <f>(E78+F78+G78)*H78</f>
        <v>5000</v>
      </c>
      <c r="J78" s="493">
        <f t="shared" ca="1" si="26"/>
        <v>0</v>
      </c>
      <c r="K78" s="493">
        <f t="shared" ca="1" si="30"/>
        <v>5000</v>
      </c>
      <c r="L78" s="395">
        <v>5000</v>
      </c>
      <c r="M78" s="51">
        <f t="shared" si="31"/>
        <v>0</v>
      </c>
      <c r="N78" s="3" t="s">
        <v>245</v>
      </c>
      <c r="O78" s="59">
        <f t="shared" si="32"/>
        <v>0</v>
      </c>
      <c r="P78" s="305">
        <f t="shared" si="29"/>
        <v>0</v>
      </c>
      <c r="Q78" s="301"/>
    </row>
    <row r="79" spans="1:18" ht="15" customHeight="1" thickBot="1" x14ac:dyDescent="0.3">
      <c r="B79" s="573"/>
      <c r="D79" s="497" t="s">
        <v>106</v>
      </c>
      <c r="E79" s="498"/>
      <c r="F79" s="498"/>
      <c r="G79" s="397"/>
      <c r="H79" s="499">
        <f>(I79-L79)/L79</f>
        <v>3.1509474132424956E-2</v>
      </c>
      <c r="I79" s="500">
        <f>SUM(I68:I78)</f>
        <v>96900</v>
      </c>
      <c r="J79" s="500">
        <f ca="1">SUM(J68:J78)</f>
        <v>0</v>
      </c>
      <c r="K79" s="500">
        <f ca="1">SUM(K68:K78)</f>
        <v>96900</v>
      </c>
      <c r="L79" s="549">
        <f>SUM(L68:L78)</f>
        <v>93940</v>
      </c>
      <c r="M79" s="51">
        <f t="shared" si="31"/>
        <v>2960</v>
      </c>
      <c r="O79" s="59">
        <f t="shared" si="32"/>
        <v>2960</v>
      </c>
      <c r="P79" s="305"/>
      <c r="Q79" s="229"/>
    </row>
    <row r="80" spans="1:18" ht="9.75" customHeight="1" thickTop="1" x14ac:dyDescent="0.25">
      <c r="B80" s="108"/>
      <c r="D80" s="65"/>
      <c r="E80" s="66"/>
      <c r="F80" s="66"/>
      <c r="G80" s="18"/>
      <c r="H80" s="49"/>
      <c r="I80" s="82"/>
      <c r="J80" s="82"/>
      <c r="K80" s="82"/>
      <c r="L80" s="87"/>
      <c r="M80" s="51">
        <f t="shared" si="31"/>
        <v>0</v>
      </c>
      <c r="O80" s="51"/>
      <c r="P80" s="305"/>
      <c r="Q80" s="229"/>
    </row>
    <row r="81" spans="1:18" ht="19.5" customHeight="1" x14ac:dyDescent="0.3">
      <c r="A81" s="1116" t="s">
        <v>315</v>
      </c>
      <c r="B81" s="1116"/>
      <c r="C81" s="1116"/>
      <c r="D81" s="1116"/>
      <c r="E81" s="1116"/>
      <c r="F81" s="1116"/>
      <c r="G81" s="1116"/>
      <c r="H81" s="1116"/>
      <c r="I81" s="1116"/>
      <c r="J81" s="1116"/>
      <c r="K81" s="1116"/>
      <c r="L81" s="1116"/>
      <c r="M81" s="51">
        <f t="shared" si="31"/>
        <v>0</v>
      </c>
      <c r="O81" s="51"/>
      <c r="P81" s="305"/>
      <c r="Q81" s="229"/>
    </row>
    <row r="82" spans="1:18" ht="15" customHeight="1" x14ac:dyDescent="0.25">
      <c r="A82" s="480"/>
      <c r="B82" s="570"/>
      <c r="C82" s="133" t="str">
        <f>LEFT($A81,4)&amp;"-1"</f>
        <v>6160-1</v>
      </c>
      <c r="D82" s="487" t="s">
        <v>316</v>
      </c>
      <c r="E82" s="550"/>
      <c r="F82" s="699">
        <v>1</v>
      </c>
      <c r="G82" s="550"/>
      <c r="H82" s="488">
        <v>250</v>
      </c>
      <c r="I82" s="482">
        <f t="shared" ref="I82:I90" si="34">(E82+F82+G82)*H82</f>
        <v>250</v>
      </c>
      <c r="J82" s="482">
        <f t="shared" ref="J82:J90" ca="1" si="35">-(SUMIF(INDIRECT(LEFT($A$81,4)&amp;"!i3:i200"),"="&amp;C82&amp;" *",INDIRECT(LEFT($A$81,4)&amp;"!k3:k200")))</f>
        <v>0</v>
      </c>
      <c r="K82" s="482">
        <f t="shared" ref="K82" ca="1" si="36">SUM(I82:J82)</f>
        <v>250</v>
      </c>
      <c r="L82" s="395">
        <v>250</v>
      </c>
      <c r="M82" s="51">
        <f t="shared" si="31"/>
        <v>0</v>
      </c>
      <c r="N82" s="3" t="s">
        <v>245</v>
      </c>
      <c r="O82" s="59">
        <f t="shared" ref="O82:O91" si="37">I82-L82</f>
        <v>0</v>
      </c>
      <c r="P82" s="305">
        <f t="shared" ref="P82:P90" si="38">O82/L82</f>
        <v>0</v>
      </c>
      <c r="Q82" s="229"/>
    </row>
    <row r="83" spans="1:18" ht="15" customHeight="1" x14ac:dyDescent="0.25">
      <c r="A83" s="508"/>
      <c r="B83" s="579"/>
      <c r="C83" s="107" t="str">
        <f>LEFT($C82,4)&amp;"-"&amp;VALUE(MID($C82,FIND("-",$C82)+1,256))+1</f>
        <v>6160-2</v>
      </c>
      <c r="D83" s="495" t="s">
        <v>317</v>
      </c>
      <c r="E83" s="558"/>
      <c r="F83" s="702">
        <v>1</v>
      </c>
      <c r="G83" s="608"/>
      <c r="H83" s="484">
        <v>500</v>
      </c>
      <c r="I83" s="485">
        <f t="shared" si="34"/>
        <v>500</v>
      </c>
      <c r="J83" s="485">
        <f t="shared" ca="1" si="35"/>
        <v>0</v>
      </c>
      <c r="K83" s="485">
        <f t="shared" ref="K83:K90" ca="1" si="39">SUM(I83:J83)</f>
        <v>500</v>
      </c>
      <c r="L83" s="556">
        <v>500</v>
      </c>
      <c r="M83" s="51">
        <f t="shared" si="31"/>
        <v>0</v>
      </c>
      <c r="N83" s="3" t="s">
        <v>306</v>
      </c>
      <c r="O83" s="59">
        <f t="shared" si="37"/>
        <v>0</v>
      </c>
      <c r="P83" s="305">
        <f t="shared" si="38"/>
        <v>0</v>
      </c>
      <c r="Q83" s="229"/>
    </row>
    <row r="84" spans="1:18" ht="15" customHeight="1" x14ac:dyDescent="0.25">
      <c r="A84" s="480"/>
      <c r="B84" s="573"/>
      <c r="C84" s="85" t="str">
        <f t="shared" ref="C84:C90" si="40">LEFT($C83,4)&amp;"-"&amp;VALUE(MID($C83,FIND("-",$C83)+1,256))+1</f>
        <v>6160-3</v>
      </c>
      <c r="D84" s="599" t="s">
        <v>318</v>
      </c>
      <c r="E84" s="498"/>
      <c r="F84" s="699">
        <v>5</v>
      </c>
      <c r="G84" s="423"/>
      <c r="H84" s="492">
        <v>1200</v>
      </c>
      <c r="I84" s="482">
        <f t="shared" si="34"/>
        <v>6000</v>
      </c>
      <c r="J84" s="482">
        <f t="shared" ca="1" si="35"/>
        <v>0</v>
      </c>
      <c r="K84" s="482">
        <f t="shared" ca="1" si="39"/>
        <v>6000</v>
      </c>
      <c r="L84" s="395">
        <v>4800</v>
      </c>
      <c r="M84" s="51">
        <f t="shared" si="31"/>
        <v>1200</v>
      </c>
      <c r="N84" s="3" t="s">
        <v>245</v>
      </c>
      <c r="O84" s="59">
        <f>I84-L84</f>
        <v>1200</v>
      </c>
      <c r="P84" s="305">
        <f t="shared" si="38"/>
        <v>0.25</v>
      </c>
      <c r="Q84" s="229"/>
    </row>
    <row r="85" spans="1:18" ht="15" customHeight="1" x14ac:dyDescent="0.25">
      <c r="A85" s="508"/>
      <c r="B85" s="580"/>
      <c r="C85" s="107" t="str">
        <f t="shared" si="40"/>
        <v>6160-4</v>
      </c>
      <c r="D85" s="489" t="s">
        <v>319</v>
      </c>
      <c r="E85" s="553"/>
      <c r="F85" s="700">
        <v>1</v>
      </c>
      <c r="G85" s="553"/>
      <c r="H85" s="513">
        <v>300</v>
      </c>
      <c r="I85" s="485">
        <f t="shared" si="34"/>
        <v>300</v>
      </c>
      <c r="J85" s="485">
        <f t="shared" ca="1" si="35"/>
        <v>0</v>
      </c>
      <c r="K85" s="485">
        <f t="shared" ca="1" si="39"/>
        <v>300</v>
      </c>
      <c r="L85" s="541">
        <v>300</v>
      </c>
      <c r="M85" s="51">
        <f t="shared" si="31"/>
        <v>0</v>
      </c>
      <c r="N85" s="3" t="s">
        <v>245</v>
      </c>
      <c r="O85" s="59">
        <f t="shared" si="37"/>
        <v>0</v>
      </c>
      <c r="P85" s="305"/>
      <c r="Q85" s="229"/>
    </row>
    <row r="86" spans="1:18" ht="15" customHeight="1" x14ac:dyDescent="0.25">
      <c r="A86" s="480"/>
      <c r="B86" s="574"/>
      <c r="C86" s="85" t="str">
        <f t="shared" si="40"/>
        <v>6160-5</v>
      </c>
      <c r="D86" s="515" t="s">
        <v>679</v>
      </c>
      <c r="E86" s="544"/>
      <c r="F86" s="703">
        <v>1</v>
      </c>
      <c r="G86" s="552"/>
      <c r="H86" s="492">
        <v>5000</v>
      </c>
      <c r="I86" s="482">
        <f t="shared" si="34"/>
        <v>5000</v>
      </c>
      <c r="J86" s="482">
        <f t="shared" ca="1" si="35"/>
        <v>0</v>
      </c>
      <c r="K86" s="482">
        <f t="shared" ca="1" si="39"/>
        <v>5000</v>
      </c>
      <c r="L86" s="539">
        <v>5000</v>
      </c>
      <c r="M86" s="51">
        <f t="shared" si="31"/>
        <v>0</v>
      </c>
      <c r="N86" s="3" t="s">
        <v>245</v>
      </c>
      <c r="O86" s="59">
        <f t="shared" si="37"/>
        <v>0</v>
      </c>
      <c r="P86" s="305">
        <f t="shared" si="38"/>
        <v>0</v>
      </c>
      <c r="Q86" s="229"/>
    </row>
    <row r="87" spans="1:18" ht="15" customHeight="1" x14ac:dyDescent="0.25">
      <c r="A87" s="508"/>
      <c r="B87" s="580"/>
      <c r="C87" s="107" t="str">
        <f t="shared" si="40"/>
        <v>6160-6</v>
      </c>
      <c r="D87" s="489" t="s">
        <v>320</v>
      </c>
      <c r="E87" s="553"/>
      <c r="F87" s="700">
        <v>1</v>
      </c>
      <c r="G87" s="553"/>
      <c r="H87" s="513">
        <v>1200</v>
      </c>
      <c r="I87" s="485">
        <f t="shared" si="34"/>
        <v>1200</v>
      </c>
      <c r="J87" s="485">
        <f t="shared" ca="1" si="35"/>
        <v>0</v>
      </c>
      <c r="K87" s="485">
        <f t="shared" ca="1" si="39"/>
        <v>1200</v>
      </c>
      <c r="L87" s="541">
        <v>1200</v>
      </c>
      <c r="M87" s="51">
        <f t="shared" si="31"/>
        <v>0</v>
      </c>
      <c r="N87" s="3" t="s">
        <v>306</v>
      </c>
      <c r="O87" s="59">
        <f t="shared" si="37"/>
        <v>0</v>
      </c>
      <c r="P87" s="305">
        <f t="shared" si="38"/>
        <v>0</v>
      </c>
      <c r="Q87" s="229"/>
    </row>
    <row r="88" spans="1:18" ht="15" customHeight="1" x14ac:dyDescent="0.25">
      <c r="A88" s="480"/>
      <c r="B88" s="570"/>
      <c r="C88" s="85" t="str">
        <f t="shared" si="40"/>
        <v>6160-7</v>
      </c>
      <c r="D88" s="525" t="s">
        <v>321</v>
      </c>
      <c r="E88" s="609"/>
      <c r="F88" s="704">
        <v>20</v>
      </c>
      <c r="G88" s="609"/>
      <c r="H88" s="488">
        <v>10</v>
      </c>
      <c r="I88" s="482">
        <f t="shared" si="34"/>
        <v>200</v>
      </c>
      <c r="J88" s="482">
        <f t="shared" ca="1" si="35"/>
        <v>0</v>
      </c>
      <c r="K88" s="482">
        <f ca="1">SUM(I88:J88)</f>
        <v>200</v>
      </c>
      <c r="L88" s="395">
        <v>200</v>
      </c>
      <c r="M88" s="51">
        <f t="shared" si="31"/>
        <v>0</v>
      </c>
      <c r="N88" s="3" t="s">
        <v>245</v>
      </c>
      <c r="O88" s="59">
        <f>I88-L88</f>
        <v>0</v>
      </c>
      <c r="P88" s="305">
        <f>O88/L88</f>
        <v>0</v>
      </c>
      <c r="Q88" s="229"/>
    </row>
    <row r="89" spans="1:18" ht="15" customHeight="1" x14ac:dyDescent="0.25">
      <c r="A89" s="508"/>
      <c r="B89" s="580"/>
      <c r="C89" s="107" t="str">
        <f t="shared" si="40"/>
        <v>6160-8</v>
      </c>
      <c r="D89" s="489" t="s">
        <v>322</v>
      </c>
      <c r="E89" s="553"/>
      <c r="F89" s="700">
        <v>30</v>
      </c>
      <c r="G89" s="540"/>
      <c r="H89" s="513">
        <v>7</v>
      </c>
      <c r="I89" s="485">
        <f t="shared" si="34"/>
        <v>210</v>
      </c>
      <c r="J89" s="485">
        <f t="shared" ca="1" si="35"/>
        <v>0</v>
      </c>
      <c r="K89" s="485">
        <f t="shared" ca="1" si="39"/>
        <v>210</v>
      </c>
      <c r="L89" s="541">
        <v>210</v>
      </c>
      <c r="M89" s="51">
        <f t="shared" si="31"/>
        <v>0</v>
      </c>
      <c r="N89" s="3" t="s">
        <v>245</v>
      </c>
      <c r="O89" s="59">
        <f t="shared" si="37"/>
        <v>0</v>
      </c>
      <c r="P89" s="305">
        <f t="shared" si="38"/>
        <v>0</v>
      </c>
      <c r="Q89" s="229"/>
    </row>
    <row r="90" spans="1:18" ht="15" customHeight="1" x14ac:dyDescent="0.25">
      <c r="A90" s="480"/>
      <c r="B90" s="574"/>
      <c r="C90" s="85" t="str">
        <f t="shared" si="40"/>
        <v>6160-9</v>
      </c>
      <c r="D90" s="526" t="s">
        <v>323</v>
      </c>
      <c r="E90" s="548"/>
      <c r="F90" s="705">
        <v>4</v>
      </c>
      <c r="G90" s="548"/>
      <c r="H90" s="492">
        <v>1000</v>
      </c>
      <c r="I90" s="482">
        <f t="shared" si="34"/>
        <v>4000</v>
      </c>
      <c r="J90" s="482">
        <f t="shared" ca="1" si="35"/>
        <v>0</v>
      </c>
      <c r="K90" s="482">
        <f t="shared" ca="1" si="39"/>
        <v>4000</v>
      </c>
      <c r="L90" s="539">
        <v>4000</v>
      </c>
      <c r="M90" s="51">
        <f t="shared" si="31"/>
        <v>0</v>
      </c>
      <c r="N90" s="3" t="s">
        <v>245</v>
      </c>
      <c r="O90" s="59">
        <f t="shared" si="37"/>
        <v>0</v>
      </c>
      <c r="P90" s="305">
        <f t="shared" si="38"/>
        <v>0</v>
      </c>
      <c r="Q90" s="229"/>
      <c r="R90" s="783"/>
    </row>
    <row r="91" spans="1:18" ht="15" customHeight="1" thickBot="1" x14ac:dyDescent="0.3">
      <c r="B91" s="573"/>
      <c r="C91" s="133"/>
      <c r="D91" s="497" t="s">
        <v>106</v>
      </c>
      <c r="E91" s="498"/>
      <c r="F91" s="498"/>
      <c r="G91" s="397"/>
      <c r="H91" s="499">
        <f>(I91-L91)/L91</f>
        <v>7.2904009720534624E-2</v>
      </c>
      <c r="I91" s="500">
        <f>SUM(I82:I90)</f>
        <v>17660</v>
      </c>
      <c r="J91" s="500">
        <f ca="1">SUM(J82:J90)</f>
        <v>0</v>
      </c>
      <c r="K91" s="500">
        <f ca="1">SUM(K82:K90)</f>
        <v>17660</v>
      </c>
      <c r="L91" s="549">
        <f>SUM(L82:L90)</f>
        <v>16460</v>
      </c>
      <c r="M91" s="51">
        <f t="shared" si="31"/>
        <v>1200</v>
      </c>
      <c r="O91" s="59">
        <f t="shared" si="37"/>
        <v>1200</v>
      </c>
      <c r="P91" s="305"/>
      <c r="Q91" s="229"/>
    </row>
    <row r="92" spans="1:18" ht="9.75" customHeight="1" thickTop="1" x14ac:dyDescent="0.25">
      <c r="B92" s="573"/>
      <c r="C92" s="85"/>
      <c r="D92" s="68"/>
      <c r="E92" s="69"/>
      <c r="F92" s="69"/>
      <c r="G92" s="69"/>
      <c r="H92" s="52"/>
      <c r="I92" s="36"/>
      <c r="J92" s="36"/>
      <c r="K92" s="36"/>
      <c r="L92" s="36"/>
      <c r="M92" s="51">
        <f t="shared" si="31"/>
        <v>0</v>
      </c>
      <c r="O92" s="51"/>
      <c r="P92" s="305"/>
      <c r="Q92" s="229"/>
    </row>
    <row r="93" spans="1:18" ht="19.5" customHeight="1" x14ac:dyDescent="0.3">
      <c r="A93" s="1116" t="s">
        <v>324</v>
      </c>
      <c r="B93" s="1116"/>
      <c r="C93" s="1116"/>
      <c r="D93" s="1116"/>
      <c r="E93" s="1116"/>
      <c r="F93" s="1116"/>
      <c r="G93" s="1116"/>
      <c r="H93" s="1116"/>
      <c r="I93" s="1116"/>
      <c r="J93" s="1116"/>
      <c r="K93" s="1116"/>
      <c r="L93" s="1116"/>
      <c r="M93" s="51">
        <f t="shared" si="31"/>
        <v>0</v>
      </c>
      <c r="N93" s="3"/>
      <c r="O93" s="51"/>
      <c r="P93" s="305"/>
      <c r="Q93" s="229"/>
    </row>
    <row r="94" spans="1:18" ht="15" customHeight="1" x14ac:dyDescent="0.25">
      <c r="A94" s="480"/>
      <c r="B94" s="574"/>
      <c r="C94" s="133" t="str">
        <f>LEFT($A93,4)&amp;"-1"</f>
        <v>6210-1</v>
      </c>
      <c r="D94" s="527" t="s">
        <v>325</v>
      </c>
      <c r="E94" s="719"/>
      <c r="F94" s="705">
        <v>1</v>
      </c>
      <c r="G94" s="719"/>
      <c r="H94" s="492">
        <v>450</v>
      </c>
      <c r="I94" s="981">
        <f t="shared" ref="I94:I102" si="41">SUM((E94+F94+G94)*H94)</f>
        <v>450</v>
      </c>
      <c r="J94" s="482">
        <f t="shared" ref="J94:J129" ca="1" si="42">-(SUMIF(INDIRECT(LEFT($A$93,4)&amp;"!i3:i200"),"="&amp;C94&amp;" *",INDIRECT(LEFT($A$93,4)&amp;"!k3:k200")))</f>
        <v>0</v>
      </c>
      <c r="K94" s="482">
        <f t="shared" ref="K94" ca="1" si="43">SUM(I94:J94)</f>
        <v>450</v>
      </c>
      <c r="L94" s="905">
        <v>300</v>
      </c>
      <c r="M94" s="51">
        <f t="shared" si="31"/>
        <v>150</v>
      </c>
      <c r="N94" s="3" t="s">
        <v>197</v>
      </c>
      <c r="O94" s="59">
        <f t="shared" ref="O94:O106" si="44">I94-L94</f>
        <v>150</v>
      </c>
      <c r="P94" s="305">
        <f t="shared" ref="P94:P158" si="45">O94/L94</f>
        <v>0.5</v>
      </c>
      <c r="Q94" s="229"/>
    </row>
    <row r="95" spans="1:18" ht="15" customHeight="1" x14ac:dyDescent="0.25">
      <c r="A95" s="514"/>
      <c r="B95" s="575" t="s">
        <v>636</v>
      </c>
      <c r="C95" s="107" t="str">
        <f>LEFT($C94,4)&amp;"-"&amp;VALUE(MID($C94,FIND("-",$C94)+1,256))+1</f>
        <v>6210-2</v>
      </c>
      <c r="D95" s="489" t="s">
        <v>326</v>
      </c>
      <c r="E95" s="716"/>
      <c r="F95" s="700"/>
      <c r="G95" s="700">
        <v>1</v>
      </c>
      <c r="H95" s="490">
        <v>500</v>
      </c>
      <c r="I95" s="485">
        <f t="shared" si="41"/>
        <v>500</v>
      </c>
      <c r="J95" s="485">
        <f t="shared" ref="J95" si="46">SUM((F95+G95+H95)*I95)</f>
        <v>250500</v>
      </c>
      <c r="K95" s="485">
        <f t="shared" ref="K95" si="47">SUM((G95+H95+I95)*J95)</f>
        <v>250750500</v>
      </c>
      <c r="L95" s="541">
        <v>500</v>
      </c>
      <c r="M95" s="51">
        <f t="shared" si="31"/>
        <v>0</v>
      </c>
      <c r="N95" s="3" t="s">
        <v>226</v>
      </c>
      <c r="O95" s="59">
        <f t="shared" si="44"/>
        <v>0</v>
      </c>
      <c r="P95" s="305">
        <f t="shared" si="45"/>
        <v>0</v>
      </c>
      <c r="Q95" s="229"/>
    </row>
    <row r="96" spans="1:18" ht="15" customHeight="1" x14ac:dyDescent="0.25">
      <c r="A96" s="480"/>
      <c r="B96" s="576"/>
      <c r="C96" s="133" t="str">
        <f t="shared" ref="C96:C128" si="48">LEFT($C95,4)&amp;"-"&amp;VALUE(MID($C95,FIND("-",$C95)+1,256))+1</f>
        <v>6210-3</v>
      </c>
      <c r="D96" s="491" t="s">
        <v>327</v>
      </c>
      <c r="E96" s="714"/>
      <c r="F96" s="705"/>
      <c r="G96" s="705">
        <v>1</v>
      </c>
      <c r="H96" s="516">
        <v>3000</v>
      </c>
      <c r="I96" s="482">
        <f t="shared" si="41"/>
        <v>3000</v>
      </c>
      <c r="J96" s="482">
        <f t="shared" ca="1" si="42"/>
        <v>0</v>
      </c>
      <c r="K96" s="482">
        <f t="shared" ref="K96:K129" ca="1" si="49">SUM(I96:J96)</f>
        <v>3000</v>
      </c>
      <c r="L96" s="539">
        <v>3000</v>
      </c>
      <c r="M96" s="51">
        <f t="shared" si="31"/>
        <v>0</v>
      </c>
      <c r="N96" s="3" t="s">
        <v>226</v>
      </c>
      <c r="O96" s="59">
        <f t="shared" si="44"/>
        <v>0</v>
      </c>
      <c r="P96" s="305">
        <f t="shared" si="45"/>
        <v>0</v>
      </c>
      <c r="Q96" s="229"/>
      <c r="R96" s="741"/>
    </row>
    <row r="97" spans="1:18" ht="15" customHeight="1" x14ac:dyDescent="0.25">
      <c r="A97" s="508"/>
      <c r="B97" s="575"/>
      <c r="C97" s="107" t="str">
        <f>LEFT($C96,4)&amp;"-"&amp;VALUE(MID($C96,FIND("-",$C96)+1,256))+1</f>
        <v>6210-4</v>
      </c>
      <c r="D97" s="489" t="s">
        <v>328</v>
      </c>
      <c r="E97" s="700"/>
      <c r="F97" s="700">
        <v>1</v>
      </c>
      <c r="G97" s="700"/>
      <c r="H97" s="490">
        <v>3500</v>
      </c>
      <c r="I97" s="485">
        <f t="shared" si="41"/>
        <v>3500</v>
      </c>
      <c r="J97" s="485">
        <f t="shared" ca="1" si="42"/>
        <v>0</v>
      </c>
      <c r="K97" s="485">
        <f t="shared" ca="1" si="49"/>
        <v>3500</v>
      </c>
      <c r="L97" s="541">
        <v>7000</v>
      </c>
      <c r="M97" s="51">
        <f t="shared" si="31"/>
        <v>-3500</v>
      </c>
      <c r="N97" s="3" t="s">
        <v>196</v>
      </c>
      <c r="O97" s="59">
        <f t="shared" si="44"/>
        <v>-3500</v>
      </c>
      <c r="P97" s="305">
        <f t="shared" si="45"/>
        <v>-0.5</v>
      </c>
      <c r="Q97" s="229"/>
    </row>
    <row r="98" spans="1:18" ht="15" customHeight="1" x14ac:dyDescent="0.25">
      <c r="A98" s="480"/>
      <c r="B98" s="573"/>
      <c r="C98" s="85" t="str">
        <f t="shared" si="48"/>
        <v>6210-5</v>
      </c>
      <c r="D98" s="487" t="s">
        <v>329</v>
      </c>
      <c r="E98" s="707"/>
      <c r="F98" s="699">
        <v>2</v>
      </c>
      <c r="G98" s="707"/>
      <c r="H98" s="481">
        <v>2500</v>
      </c>
      <c r="I98" s="482">
        <f t="shared" si="41"/>
        <v>5000</v>
      </c>
      <c r="J98" s="482">
        <f t="shared" ca="1" si="42"/>
        <v>0</v>
      </c>
      <c r="K98" s="482">
        <f t="shared" ca="1" si="49"/>
        <v>5000</v>
      </c>
      <c r="L98" s="395">
        <v>5000</v>
      </c>
      <c r="M98" s="51">
        <f t="shared" si="31"/>
        <v>0</v>
      </c>
      <c r="N98" s="3" t="s">
        <v>330</v>
      </c>
      <c r="O98" s="59">
        <f t="shared" si="44"/>
        <v>0</v>
      </c>
      <c r="P98" s="305">
        <f t="shared" si="45"/>
        <v>0</v>
      </c>
      <c r="Q98" s="229"/>
    </row>
    <row r="99" spans="1:18" ht="15" customHeight="1" x14ac:dyDescent="0.25">
      <c r="A99" s="508"/>
      <c r="B99" s="577"/>
      <c r="C99" s="129" t="str">
        <f t="shared" si="48"/>
        <v>6210-6</v>
      </c>
      <c r="D99" s="495" t="s">
        <v>331</v>
      </c>
      <c r="E99" s="702"/>
      <c r="F99" s="702"/>
      <c r="G99" s="702">
        <v>3</v>
      </c>
      <c r="H99" s="496">
        <v>1000</v>
      </c>
      <c r="I99" s="485">
        <f t="shared" si="41"/>
        <v>3000</v>
      </c>
      <c r="J99" s="485">
        <f t="shared" ca="1" si="42"/>
        <v>0</v>
      </c>
      <c r="K99" s="485">
        <f t="shared" ca="1" si="49"/>
        <v>3000</v>
      </c>
      <c r="L99" s="556">
        <v>3000</v>
      </c>
      <c r="M99" s="51">
        <f t="shared" si="31"/>
        <v>0</v>
      </c>
      <c r="N99" s="3" t="s">
        <v>226</v>
      </c>
      <c r="O99" s="59">
        <f t="shared" si="44"/>
        <v>0</v>
      </c>
      <c r="P99" s="305">
        <f t="shared" si="45"/>
        <v>0</v>
      </c>
      <c r="Q99" s="229"/>
    </row>
    <row r="100" spans="1:18" ht="15" customHeight="1" x14ac:dyDescent="0.25">
      <c r="A100" s="480"/>
      <c r="B100" s="570"/>
      <c r="C100" s="85" t="str">
        <f t="shared" si="48"/>
        <v>6210-7</v>
      </c>
      <c r="D100" s="525" t="s">
        <v>332</v>
      </c>
      <c r="E100" s="708"/>
      <c r="F100" s="704"/>
      <c r="G100" s="708">
        <v>2</v>
      </c>
      <c r="H100" s="481">
        <v>4000</v>
      </c>
      <c r="I100" s="482">
        <f t="shared" si="41"/>
        <v>8000</v>
      </c>
      <c r="J100" s="482">
        <f t="shared" ca="1" si="42"/>
        <v>0</v>
      </c>
      <c r="K100" s="482">
        <f t="shared" ca="1" si="49"/>
        <v>8000</v>
      </c>
      <c r="L100" s="395">
        <v>8000</v>
      </c>
      <c r="M100" s="51">
        <f t="shared" si="31"/>
        <v>0</v>
      </c>
      <c r="N100" s="3" t="s">
        <v>226</v>
      </c>
      <c r="O100" s="59">
        <f t="shared" si="44"/>
        <v>0</v>
      </c>
      <c r="P100" s="305">
        <f t="shared" si="45"/>
        <v>0</v>
      </c>
      <c r="Q100" s="229"/>
    </row>
    <row r="101" spans="1:18" ht="15" customHeight="1" x14ac:dyDescent="0.25">
      <c r="A101" s="514"/>
      <c r="B101" s="804"/>
      <c r="C101" s="107" t="str">
        <f t="shared" si="48"/>
        <v>6210-8</v>
      </c>
      <c r="D101" s="514" t="s">
        <v>333</v>
      </c>
      <c r="E101" s="725">
        <v>0</v>
      </c>
      <c r="F101" s="702"/>
      <c r="G101" s="725">
        <v>2</v>
      </c>
      <c r="H101" s="496">
        <v>2500</v>
      </c>
      <c r="I101" s="485">
        <f t="shared" si="41"/>
        <v>5000</v>
      </c>
      <c r="J101" s="485">
        <f t="shared" ca="1" si="42"/>
        <v>0</v>
      </c>
      <c r="K101" s="485">
        <f t="shared" ca="1" si="49"/>
        <v>5000</v>
      </c>
      <c r="L101" s="556">
        <v>6750</v>
      </c>
      <c r="M101" s="51">
        <f t="shared" si="31"/>
        <v>-1750</v>
      </c>
      <c r="N101" s="3" t="s">
        <v>334</v>
      </c>
      <c r="O101" s="59">
        <f t="shared" si="44"/>
        <v>-1750</v>
      </c>
      <c r="P101" s="305">
        <f t="shared" si="45"/>
        <v>-0.25925925925925924</v>
      </c>
      <c r="Q101" s="229"/>
      <c r="R101" s="1023"/>
    </row>
    <row r="102" spans="1:18" ht="15" customHeight="1" x14ac:dyDescent="0.25">
      <c r="A102" s="480"/>
      <c r="B102" s="900"/>
      <c r="C102" s="133" t="str">
        <f t="shared" si="48"/>
        <v>6210-9</v>
      </c>
      <c r="D102" s="480" t="s">
        <v>335</v>
      </c>
      <c r="E102" s="708"/>
      <c r="F102" s="704"/>
      <c r="G102" s="708">
        <v>1</v>
      </c>
      <c r="H102" s="481">
        <v>1500</v>
      </c>
      <c r="I102" s="482">
        <f t="shared" si="41"/>
        <v>1500</v>
      </c>
      <c r="J102" s="482">
        <f t="shared" ca="1" si="42"/>
        <v>0</v>
      </c>
      <c r="K102" s="482">
        <f t="shared" ca="1" si="49"/>
        <v>1500</v>
      </c>
      <c r="L102" s="395">
        <v>1500</v>
      </c>
      <c r="M102" s="51">
        <f t="shared" si="31"/>
        <v>0</v>
      </c>
      <c r="N102" s="3" t="s">
        <v>334</v>
      </c>
      <c r="O102" s="59">
        <f t="shared" si="44"/>
        <v>0</v>
      </c>
      <c r="P102" s="305">
        <f t="shared" si="45"/>
        <v>0</v>
      </c>
      <c r="Q102" s="229"/>
    </row>
    <row r="103" spans="1:18" ht="15" customHeight="1" x14ac:dyDescent="0.25">
      <c r="A103" s="508"/>
      <c r="B103" s="577"/>
      <c r="C103" s="107" t="str">
        <f t="shared" si="48"/>
        <v>6210-10</v>
      </c>
      <c r="D103" s="514" t="s">
        <v>336</v>
      </c>
      <c r="E103" s="725">
        <v>20</v>
      </c>
      <c r="F103" s="702">
        <v>5</v>
      </c>
      <c r="G103" s="725">
        <v>2</v>
      </c>
      <c r="H103" s="496">
        <v>250</v>
      </c>
      <c r="I103" s="485">
        <f>SUM((E103+F103+G103)*H103)+(170*11)+(85*3)+(80*3)+(50*6)</f>
        <v>9415</v>
      </c>
      <c r="J103" s="485">
        <f t="shared" ca="1" si="42"/>
        <v>0</v>
      </c>
      <c r="K103" s="485">
        <f t="shared" ca="1" si="49"/>
        <v>9415</v>
      </c>
      <c r="L103" s="556">
        <v>8915</v>
      </c>
      <c r="M103" s="51">
        <f t="shared" si="31"/>
        <v>500</v>
      </c>
      <c r="N103" s="3" t="s">
        <v>226</v>
      </c>
      <c r="O103" s="59">
        <f t="shared" si="44"/>
        <v>500</v>
      </c>
      <c r="P103" s="305">
        <f t="shared" si="45"/>
        <v>5.6085249579360626E-2</v>
      </c>
      <c r="Q103" s="229"/>
    </row>
    <row r="104" spans="1:18" ht="15" customHeight="1" x14ac:dyDescent="0.25">
      <c r="A104" s="480"/>
      <c r="B104" s="570"/>
      <c r="C104" s="85" t="str">
        <f t="shared" si="48"/>
        <v>6210-11</v>
      </c>
      <c r="D104" s="487" t="s">
        <v>337</v>
      </c>
      <c r="E104" s="703">
        <v>6</v>
      </c>
      <c r="F104" s="699">
        <v>2</v>
      </c>
      <c r="G104" s="699"/>
      <c r="H104" s="481">
        <v>600</v>
      </c>
      <c r="I104" s="482">
        <f>SUM((E104+F104+G104)*H104)</f>
        <v>4800</v>
      </c>
      <c r="J104" s="482">
        <f t="shared" ca="1" si="42"/>
        <v>0</v>
      </c>
      <c r="K104" s="482">
        <f t="shared" ca="1" si="49"/>
        <v>4800</v>
      </c>
      <c r="L104" s="395">
        <v>6000</v>
      </c>
      <c r="M104" s="51">
        <f t="shared" si="31"/>
        <v>-1200</v>
      </c>
      <c r="N104" s="3" t="s">
        <v>338</v>
      </c>
      <c r="O104" s="59">
        <f t="shared" si="44"/>
        <v>-1200</v>
      </c>
      <c r="P104" s="305">
        <f t="shared" si="45"/>
        <v>-0.2</v>
      </c>
      <c r="Q104" s="301"/>
    </row>
    <row r="105" spans="1:18" ht="15" customHeight="1" x14ac:dyDescent="0.25">
      <c r="A105" s="712"/>
      <c r="B105" s="712"/>
      <c r="C105" s="107" t="str">
        <f t="shared" si="48"/>
        <v>6210-12</v>
      </c>
      <c r="D105" s="514" t="s">
        <v>339</v>
      </c>
      <c r="E105" s="712">
        <v>1</v>
      </c>
      <c r="F105" s="712">
        <v>1</v>
      </c>
      <c r="G105" s="712"/>
      <c r="H105" s="712">
        <v>1500</v>
      </c>
      <c r="I105" s="485">
        <f>SUM((E105+F105+G105)*H105)</f>
        <v>3000</v>
      </c>
      <c r="J105" s="712">
        <f t="shared" ca="1" si="42"/>
        <v>0</v>
      </c>
      <c r="K105" s="712">
        <f t="shared" ca="1" si="49"/>
        <v>3000</v>
      </c>
      <c r="L105" s="541">
        <v>3000</v>
      </c>
      <c r="M105" s="51">
        <f t="shared" si="31"/>
        <v>0</v>
      </c>
      <c r="N105" s="3" t="s">
        <v>338</v>
      </c>
      <c r="O105" s="59">
        <f t="shared" si="44"/>
        <v>0</v>
      </c>
      <c r="P105" s="305">
        <f t="shared" si="45"/>
        <v>0</v>
      </c>
      <c r="Q105" s="229"/>
    </row>
    <row r="106" spans="1:18" ht="15" customHeight="1" x14ac:dyDescent="0.25">
      <c r="A106" s="480"/>
      <c r="B106" s="796"/>
      <c r="C106" s="85" t="str">
        <f t="shared" si="48"/>
        <v>6210-13</v>
      </c>
      <c r="D106" s="525" t="s">
        <v>340</v>
      </c>
      <c r="E106" s="704"/>
      <c r="F106" s="704">
        <v>2</v>
      </c>
      <c r="G106" s="704"/>
      <c r="H106" s="481">
        <v>295</v>
      </c>
      <c r="I106" s="482">
        <f t="shared" ref="I106:I121" si="50">SUM((E106+F106+G106)*H106)</f>
        <v>590</v>
      </c>
      <c r="J106" s="482">
        <f t="shared" ca="1" si="42"/>
        <v>0</v>
      </c>
      <c r="K106" s="482">
        <f t="shared" ca="1" si="49"/>
        <v>590</v>
      </c>
      <c r="L106" s="395">
        <v>295</v>
      </c>
      <c r="M106" s="51">
        <f t="shared" si="31"/>
        <v>295</v>
      </c>
      <c r="N106" s="3" t="s">
        <v>680</v>
      </c>
      <c r="O106" s="59">
        <f t="shared" si="44"/>
        <v>295</v>
      </c>
      <c r="P106" s="305">
        <f t="shared" si="45"/>
        <v>1</v>
      </c>
      <c r="Q106" s="229"/>
    </row>
    <row r="107" spans="1:18" ht="15" customHeight="1" x14ac:dyDescent="0.25">
      <c r="A107" s="514"/>
      <c r="B107" s="579"/>
      <c r="C107" s="107" t="str">
        <f t="shared" si="48"/>
        <v>6210-14</v>
      </c>
      <c r="D107" s="483" t="s">
        <v>341</v>
      </c>
      <c r="E107" s="724"/>
      <c r="F107" s="706">
        <v>1</v>
      </c>
      <c r="G107" s="706"/>
      <c r="H107" s="496">
        <v>2800</v>
      </c>
      <c r="I107" s="485">
        <f t="shared" si="50"/>
        <v>2800</v>
      </c>
      <c r="J107" s="485">
        <f t="shared" ca="1" si="42"/>
        <v>0</v>
      </c>
      <c r="K107" s="485">
        <f t="shared" ca="1" si="49"/>
        <v>2800</v>
      </c>
      <c r="L107" s="556">
        <v>2800</v>
      </c>
      <c r="M107" s="51">
        <f t="shared" si="31"/>
        <v>0</v>
      </c>
      <c r="N107" s="3" t="s">
        <v>252</v>
      </c>
      <c r="O107" s="59">
        <f t="shared" ref="O107:O109" si="51">I107-L107</f>
        <v>0</v>
      </c>
      <c r="P107" s="305">
        <f t="shared" si="45"/>
        <v>0</v>
      </c>
      <c r="Q107" s="229"/>
    </row>
    <row r="108" spans="1:18" ht="15" customHeight="1" x14ac:dyDescent="0.25">
      <c r="A108" s="480"/>
      <c r="B108" s="574"/>
      <c r="C108" s="85" t="str">
        <f t="shared" si="48"/>
        <v>6210-15</v>
      </c>
      <c r="D108" s="491" t="s">
        <v>342</v>
      </c>
      <c r="E108" s="705"/>
      <c r="F108" s="705">
        <v>4</v>
      </c>
      <c r="G108" s="705"/>
      <c r="H108" s="516">
        <v>2800</v>
      </c>
      <c r="I108" s="482">
        <f t="shared" si="50"/>
        <v>11200</v>
      </c>
      <c r="J108" s="482">
        <f t="shared" ca="1" si="42"/>
        <v>0</v>
      </c>
      <c r="K108" s="482">
        <f t="shared" ca="1" si="49"/>
        <v>11200</v>
      </c>
      <c r="L108" s="539">
        <v>11200</v>
      </c>
      <c r="M108" s="51">
        <f t="shared" si="31"/>
        <v>0</v>
      </c>
      <c r="N108" s="3" t="s">
        <v>245</v>
      </c>
      <c r="O108" s="59">
        <f t="shared" si="51"/>
        <v>0</v>
      </c>
      <c r="P108" s="305">
        <f t="shared" si="45"/>
        <v>0</v>
      </c>
      <c r="Q108" s="229"/>
    </row>
    <row r="109" spans="1:18" x14ac:dyDescent="0.25">
      <c r="A109" s="508"/>
      <c r="B109" s="575"/>
      <c r="C109" s="107" t="str">
        <f t="shared" si="48"/>
        <v>6210-16</v>
      </c>
      <c r="D109" s="512" t="s">
        <v>681</v>
      </c>
      <c r="E109" s="727"/>
      <c r="F109" s="720"/>
      <c r="G109" s="727">
        <v>1</v>
      </c>
      <c r="H109" s="490">
        <v>5750</v>
      </c>
      <c r="I109" s="485">
        <f t="shared" si="50"/>
        <v>5750</v>
      </c>
      <c r="J109" s="485">
        <f t="shared" ca="1" si="42"/>
        <v>0</v>
      </c>
      <c r="K109" s="485">
        <f t="shared" ca="1" si="49"/>
        <v>5750</v>
      </c>
      <c r="L109" s="541">
        <v>5750</v>
      </c>
      <c r="M109" s="51">
        <f t="shared" si="31"/>
        <v>0</v>
      </c>
      <c r="N109" s="3" t="s">
        <v>226</v>
      </c>
      <c r="O109" s="59">
        <f t="shared" si="51"/>
        <v>0</v>
      </c>
      <c r="P109" s="305">
        <f t="shared" si="45"/>
        <v>0</v>
      </c>
      <c r="Q109" s="229"/>
    </row>
    <row r="110" spans="1:18" ht="15" customHeight="1" x14ac:dyDescent="0.25">
      <c r="A110" s="480"/>
      <c r="B110" s="574"/>
      <c r="C110" s="85" t="str">
        <f t="shared" si="48"/>
        <v>6210-17</v>
      </c>
      <c r="D110" s="515" t="s">
        <v>682</v>
      </c>
      <c r="E110" s="701"/>
      <c r="F110" s="701"/>
      <c r="G110" s="701">
        <v>1</v>
      </c>
      <c r="H110" s="516">
        <v>1500</v>
      </c>
      <c r="I110" s="482">
        <f t="shared" si="50"/>
        <v>1500</v>
      </c>
      <c r="J110" s="482">
        <f t="shared" ca="1" si="42"/>
        <v>0</v>
      </c>
      <c r="K110" s="482">
        <f t="shared" ca="1" si="49"/>
        <v>1500</v>
      </c>
      <c r="L110" s="539">
        <v>1500</v>
      </c>
      <c r="M110" s="51">
        <f t="shared" si="31"/>
        <v>0</v>
      </c>
      <c r="N110" s="3" t="s">
        <v>226</v>
      </c>
      <c r="O110" s="59">
        <f t="shared" ref="O110:O113" si="52">I110-L110</f>
        <v>0</v>
      </c>
      <c r="P110" s="305">
        <f t="shared" si="45"/>
        <v>0</v>
      </c>
      <c r="Q110" s="229"/>
    </row>
    <row r="111" spans="1:18" ht="15" customHeight="1" x14ac:dyDescent="0.25">
      <c r="A111" s="508"/>
      <c r="B111" s="580"/>
      <c r="C111" s="107" t="str">
        <f t="shared" si="48"/>
        <v>6210-18</v>
      </c>
      <c r="D111" s="489" t="s">
        <v>683</v>
      </c>
      <c r="E111" s="712"/>
      <c r="F111" s="700"/>
      <c r="G111" s="712">
        <v>1</v>
      </c>
      <c r="H111" s="490">
        <v>2000</v>
      </c>
      <c r="I111" s="485">
        <f t="shared" si="50"/>
        <v>2000</v>
      </c>
      <c r="J111" s="485">
        <f t="shared" ca="1" si="42"/>
        <v>0</v>
      </c>
      <c r="K111" s="485">
        <f t="shared" ca="1" si="49"/>
        <v>2000</v>
      </c>
      <c r="L111" s="541">
        <v>2000</v>
      </c>
      <c r="M111" s="51">
        <f t="shared" si="31"/>
        <v>0</v>
      </c>
      <c r="N111" s="3" t="s">
        <v>226</v>
      </c>
      <c r="O111" s="59">
        <f t="shared" si="52"/>
        <v>0</v>
      </c>
      <c r="P111" s="305">
        <f t="shared" si="45"/>
        <v>0</v>
      </c>
      <c r="Q111" s="229"/>
    </row>
    <row r="112" spans="1:18" ht="15" customHeight="1" x14ac:dyDescent="0.25">
      <c r="A112" s="480"/>
      <c r="B112" s="574"/>
      <c r="C112" s="85" t="str">
        <f t="shared" si="48"/>
        <v>6210-19</v>
      </c>
      <c r="D112" s="518" t="s">
        <v>343</v>
      </c>
      <c r="E112" s="703"/>
      <c r="F112" s="701"/>
      <c r="G112" s="703">
        <v>6</v>
      </c>
      <c r="H112" s="516">
        <v>120</v>
      </c>
      <c r="I112" s="482">
        <f t="shared" si="50"/>
        <v>720</v>
      </c>
      <c r="J112" s="482">
        <f t="shared" ca="1" si="42"/>
        <v>0</v>
      </c>
      <c r="K112" s="482">
        <f t="shared" ca="1" si="49"/>
        <v>720</v>
      </c>
      <c r="L112" s="539">
        <v>840</v>
      </c>
      <c r="M112" s="51">
        <f t="shared" si="31"/>
        <v>-120</v>
      </c>
      <c r="N112" s="3" t="s">
        <v>226</v>
      </c>
      <c r="O112" s="59">
        <f t="shared" si="52"/>
        <v>-120</v>
      </c>
      <c r="P112" s="305">
        <f t="shared" si="45"/>
        <v>-0.14285714285714285</v>
      </c>
      <c r="Q112" s="229"/>
    </row>
    <row r="113" spans="1:18" ht="15" customHeight="1" x14ac:dyDescent="0.25">
      <c r="A113" s="514"/>
      <c r="B113" s="580"/>
      <c r="C113" s="107" t="str">
        <f t="shared" si="48"/>
        <v>6210-20</v>
      </c>
      <c r="D113" s="517" t="s">
        <v>344</v>
      </c>
      <c r="E113" s="712">
        <v>3</v>
      </c>
      <c r="F113" s="700">
        <v>3</v>
      </c>
      <c r="G113" s="712">
        <v>2</v>
      </c>
      <c r="H113" s="490">
        <v>1000</v>
      </c>
      <c r="I113" s="485">
        <f t="shared" si="50"/>
        <v>8000</v>
      </c>
      <c r="J113" s="485">
        <f t="shared" ca="1" si="42"/>
        <v>0</v>
      </c>
      <c r="K113" s="485">
        <f t="shared" ca="1" si="49"/>
        <v>8000</v>
      </c>
      <c r="L113" s="541">
        <v>8000</v>
      </c>
      <c r="M113" s="51">
        <f t="shared" si="31"/>
        <v>0</v>
      </c>
      <c r="N113" s="3" t="s">
        <v>334</v>
      </c>
      <c r="O113" s="59">
        <f t="shared" si="52"/>
        <v>0</v>
      </c>
      <c r="P113" s="305">
        <f t="shared" si="45"/>
        <v>0</v>
      </c>
      <c r="Q113" s="229"/>
    </row>
    <row r="114" spans="1:18" ht="15" customHeight="1" x14ac:dyDescent="0.25">
      <c r="A114" s="480"/>
      <c r="B114" s="574"/>
      <c r="C114" s="85" t="str">
        <f t="shared" si="48"/>
        <v>6210-21</v>
      </c>
      <c r="D114" s="518" t="s">
        <v>345</v>
      </c>
      <c r="E114" s="703">
        <v>5</v>
      </c>
      <c r="F114" s="701">
        <v>5</v>
      </c>
      <c r="G114" s="703">
        <v>4</v>
      </c>
      <c r="H114" s="516">
        <v>450</v>
      </c>
      <c r="I114" s="482">
        <f t="shared" si="50"/>
        <v>6300</v>
      </c>
      <c r="J114" s="482">
        <f t="shared" ca="1" si="42"/>
        <v>0</v>
      </c>
      <c r="K114" s="482">
        <f t="shared" ca="1" si="49"/>
        <v>6300</v>
      </c>
      <c r="L114" s="539">
        <v>6300</v>
      </c>
      <c r="M114" s="51">
        <f t="shared" si="31"/>
        <v>0</v>
      </c>
      <c r="N114" s="3" t="s">
        <v>334</v>
      </c>
      <c r="O114" s="59">
        <f t="shared" ref="O114:O122" si="53">I114-L114</f>
        <v>0</v>
      </c>
      <c r="P114" s="305">
        <f t="shared" si="45"/>
        <v>0</v>
      </c>
      <c r="Q114" s="229"/>
    </row>
    <row r="115" spans="1:18" ht="15" customHeight="1" x14ac:dyDescent="0.25">
      <c r="A115" s="508"/>
      <c r="B115" s="578"/>
      <c r="C115" s="107" t="str">
        <f t="shared" si="48"/>
        <v>6210-22</v>
      </c>
      <c r="D115" s="560" t="s">
        <v>346</v>
      </c>
      <c r="E115" s="726">
        <v>20</v>
      </c>
      <c r="F115" s="721">
        <v>5</v>
      </c>
      <c r="G115" s="726">
        <v>2</v>
      </c>
      <c r="H115" s="506">
        <v>25</v>
      </c>
      <c r="I115" s="524">
        <f t="shared" si="50"/>
        <v>675</v>
      </c>
      <c r="J115" s="524">
        <f t="shared" ca="1" si="42"/>
        <v>0</v>
      </c>
      <c r="K115" s="485">
        <f t="shared" ca="1" si="49"/>
        <v>675</v>
      </c>
      <c r="L115" s="562">
        <v>575</v>
      </c>
      <c r="M115" s="51">
        <f t="shared" si="31"/>
        <v>100</v>
      </c>
      <c r="N115" s="3" t="s">
        <v>226</v>
      </c>
      <c r="O115" s="59"/>
      <c r="P115" s="305"/>
      <c r="Q115" s="229"/>
    </row>
    <row r="116" spans="1:18" ht="15" customHeight="1" x14ac:dyDescent="0.25">
      <c r="A116" s="480"/>
      <c r="B116" s="570"/>
      <c r="C116" s="85" t="str">
        <f t="shared" si="48"/>
        <v>6210-23</v>
      </c>
      <c r="D116" s="487" t="s">
        <v>347</v>
      </c>
      <c r="E116" s="886">
        <v>2</v>
      </c>
      <c r="F116" s="699">
        <v>2</v>
      </c>
      <c r="G116" s="699">
        <v>5</v>
      </c>
      <c r="H116" s="481">
        <v>700</v>
      </c>
      <c r="I116" s="482">
        <f t="shared" si="50"/>
        <v>6300</v>
      </c>
      <c r="J116" s="482">
        <f t="shared" ca="1" si="42"/>
        <v>0</v>
      </c>
      <c r="K116" s="482">
        <f t="shared" ca="1" si="49"/>
        <v>6300</v>
      </c>
      <c r="L116" s="395">
        <v>6300</v>
      </c>
      <c r="M116" s="51">
        <f t="shared" si="31"/>
        <v>0</v>
      </c>
      <c r="N116" s="3" t="s">
        <v>334</v>
      </c>
      <c r="O116" s="59">
        <f t="shared" si="53"/>
        <v>0</v>
      </c>
      <c r="P116" s="305"/>
      <c r="Q116" s="229"/>
      <c r="R116" s="739"/>
    </row>
    <row r="117" spans="1:18" ht="15" customHeight="1" x14ac:dyDescent="0.25">
      <c r="A117" s="508"/>
      <c r="B117" s="578"/>
      <c r="C117" s="107" t="str">
        <f t="shared" si="48"/>
        <v>6210-24</v>
      </c>
      <c r="D117" s="567" t="s">
        <v>348</v>
      </c>
      <c r="E117" s="728"/>
      <c r="F117" s="729"/>
      <c r="G117" s="729">
        <v>1</v>
      </c>
      <c r="H117" s="506">
        <v>2500</v>
      </c>
      <c r="I117" s="524">
        <f t="shared" si="50"/>
        <v>2500</v>
      </c>
      <c r="J117" s="524">
        <f t="shared" ca="1" si="42"/>
        <v>0</v>
      </c>
      <c r="K117" s="524">
        <f t="shared" ca="1" si="49"/>
        <v>2500</v>
      </c>
      <c r="L117" s="562">
        <v>2500</v>
      </c>
      <c r="M117" s="51">
        <f t="shared" si="31"/>
        <v>0</v>
      </c>
      <c r="N117" s="3" t="s">
        <v>226</v>
      </c>
      <c r="O117" s="59">
        <f t="shared" si="53"/>
        <v>0</v>
      </c>
      <c r="P117" s="305">
        <f t="shared" si="45"/>
        <v>0</v>
      </c>
      <c r="Q117" s="229"/>
    </row>
    <row r="118" spans="1:18" ht="15" customHeight="1" x14ac:dyDescent="0.25">
      <c r="A118" s="1005"/>
      <c r="B118" s="1006"/>
      <c r="C118" s="1004" t="str">
        <f t="shared" si="48"/>
        <v>6210-25</v>
      </c>
      <c r="D118" s="1000" t="s">
        <v>651</v>
      </c>
      <c r="E118" s="1002"/>
      <c r="F118" s="1002"/>
      <c r="G118" s="1002"/>
      <c r="H118" s="992">
        <v>500</v>
      </c>
      <c r="I118" s="981">
        <f t="shared" si="50"/>
        <v>0</v>
      </c>
      <c r="J118" s="981">
        <f t="shared" ca="1" si="42"/>
        <v>0</v>
      </c>
      <c r="K118" s="981">
        <f t="shared" ca="1" si="49"/>
        <v>0</v>
      </c>
      <c r="L118" s="1007">
        <v>2500</v>
      </c>
      <c r="M118" s="51">
        <f t="shared" si="31"/>
        <v>-2500</v>
      </c>
      <c r="N118" s="3" t="s">
        <v>229</v>
      </c>
      <c r="O118" s="59">
        <f t="shared" si="53"/>
        <v>-2500</v>
      </c>
      <c r="P118" s="305">
        <f t="shared" si="45"/>
        <v>-1</v>
      </c>
      <c r="Q118" s="229"/>
      <c r="R118" s="738" t="s">
        <v>349</v>
      </c>
    </row>
    <row r="119" spans="1:18" s="480" customFormat="1" ht="15" customHeight="1" x14ac:dyDescent="0.25">
      <c r="A119" s="517"/>
      <c r="B119" s="517"/>
      <c r="C119" s="107" t="str">
        <f t="shared" si="48"/>
        <v>6210-26</v>
      </c>
      <c r="D119" s="517" t="s">
        <v>350</v>
      </c>
      <c r="E119" s="517">
        <v>3</v>
      </c>
      <c r="F119" s="517">
        <v>0</v>
      </c>
      <c r="G119" s="517"/>
      <c r="H119" s="496">
        <v>700</v>
      </c>
      <c r="I119" s="485">
        <f t="shared" si="50"/>
        <v>2100</v>
      </c>
      <c r="J119" s="485">
        <f t="shared" ca="1" si="42"/>
        <v>0</v>
      </c>
      <c r="K119" s="485">
        <f t="shared" ca="1" si="49"/>
        <v>2100</v>
      </c>
      <c r="L119" s="556">
        <v>4200</v>
      </c>
      <c r="M119" s="51">
        <f t="shared" si="31"/>
        <v>-2100</v>
      </c>
      <c r="N119" s="480" t="s">
        <v>338</v>
      </c>
      <c r="O119" s="480">
        <f t="shared" si="53"/>
        <v>-2100</v>
      </c>
      <c r="P119" s="480">
        <f t="shared" si="45"/>
        <v>-0.5</v>
      </c>
    </row>
    <row r="120" spans="1:18" ht="15" customHeight="1" x14ac:dyDescent="0.25">
      <c r="A120" s="1005"/>
      <c r="B120" s="1092"/>
      <c r="C120" s="1004" t="str">
        <f t="shared" si="48"/>
        <v>6210-27</v>
      </c>
      <c r="D120" s="1000" t="s">
        <v>351</v>
      </c>
      <c r="E120" s="1002">
        <v>88</v>
      </c>
      <c r="F120" s="1002">
        <v>8</v>
      </c>
      <c r="G120" s="1002">
        <v>2</v>
      </c>
      <c r="H120" s="992">
        <v>300</v>
      </c>
      <c r="I120" s="981">
        <f t="shared" si="50"/>
        <v>29400</v>
      </c>
      <c r="J120" s="981">
        <f t="shared" ca="1" si="42"/>
        <v>0</v>
      </c>
      <c r="K120" s="981">
        <f t="shared" ca="1" si="49"/>
        <v>29400</v>
      </c>
      <c r="L120" s="1007">
        <v>27600</v>
      </c>
      <c r="M120" s="51">
        <f t="shared" si="31"/>
        <v>1800</v>
      </c>
      <c r="N120" s="3" t="s">
        <v>338</v>
      </c>
      <c r="O120" s="59">
        <f t="shared" si="53"/>
        <v>1800</v>
      </c>
      <c r="P120" s="305">
        <f t="shared" si="45"/>
        <v>6.5217391304347824E-2</v>
      </c>
      <c r="Q120" s="302"/>
      <c r="R120" s="739"/>
    </row>
    <row r="121" spans="1:18" s="480" customFormat="1" ht="15" customHeight="1" x14ac:dyDescent="0.25">
      <c r="A121" s="517"/>
      <c r="B121" s="517"/>
      <c r="C121" s="107" t="str">
        <f t="shared" si="48"/>
        <v>6210-28</v>
      </c>
      <c r="D121" s="517" t="s">
        <v>352</v>
      </c>
      <c r="E121" s="517">
        <v>2</v>
      </c>
      <c r="F121" s="517"/>
      <c r="G121" s="517"/>
      <c r="H121" s="496">
        <v>1000</v>
      </c>
      <c r="I121" s="485">
        <f t="shared" si="50"/>
        <v>2000</v>
      </c>
      <c r="J121" s="485">
        <f t="shared" ca="1" si="42"/>
        <v>0</v>
      </c>
      <c r="K121" s="485">
        <f t="shared" ca="1" si="49"/>
        <v>2000</v>
      </c>
      <c r="L121" s="541">
        <v>2000</v>
      </c>
      <c r="M121" s="51">
        <f t="shared" si="31"/>
        <v>0</v>
      </c>
      <c r="N121" s="480" t="s">
        <v>338</v>
      </c>
      <c r="O121" s="480">
        <f t="shared" si="53"/>
        <v>0</v>
      </c>
      <c r="P121" s="480">
        <f t="shared" si="45"/>
        <v>0</v>
      </c>
    </row>
    <row r="122" spans="1:18" ht="15" customHeight="1" x14ac:dyDescent="0.25">
      <c r="A122" s="480"/>
      <c r="B122" s="570"/>
      <c r="C122" s="85" t="str">
        <f t="shared" si="48"/>
        <v>6210-29</v>
      </c>
      <c r="D122" s="487" t="s">
        <v>353</v>
      </c>
      <c r="E122" s="707">
        <v>3</v>
      </c>
      <c r="F122" s="699">
        <v>3</v>
      </c>
      <c r="G122" s="707">
        <v>3</v>
      </c>
      <c r="H122" s="481">
        <v>90</v>
      </c>
      <c r="I122" s="482">
        <f>SUM((E122+F122+G122)*H122)+(15*4)</f>
        <v>870</v>
      </c>
      <c r="J122" s="482">
        <f t="shared" ca="1" si="42"/>
        <v>0</v>
      </c>
      <c r="K122" s="482">
        <f t="shared" ca="1" si="49"/>
        <v>870</v>
      </c>
      <c r="L122" s="395">
        <v>870</v>
      </c>
      <c r="M122" s="51">
        <f t="shared" si="31"/>
        <v>0</v>
      </c>
      <c r="N122" s="3" t="s">
        <v>334</v>
      </c>
      <c r="O122" s="59">
        <f t="shared" si="53"/>
        <v>0</v>
      </c>
      <c r="P122" s="305">
        <f t="shared" si="45"/>
        <v>0</v>
      </c>
      <c r="Q122" s="229"/>
    </row>
    <row r="123" spans="1:18" ht="15" customHeight="1" x14ac:dyDescent="0.25">
      <c r="A123" s="514"/>
      <c r="B123" s="579"/>
      <c r="C123" s="107" t="str">
        <f t="shared" si="48"/>
        <v>6210-30</v>
      </c>
      <c r="D123" s="495" t="s">
        <v>354</v>
      </c>
      <c r="E123" s="702"/>
      <c r="F123" s="702"/>
      <c r="G123" s="702">
        <v>2</v>
      </c>
      <c r="H123" s="496">
        <v>1000</v>
      </c>
      <c r="I123" s="485">
        <f>SUM((E123+F123+G123)*H123)</f>
        <v>2000</v>
      </c>
      <c r="J123" s="485">
        <f t="shared" ca="1" si="42"/>
        <v>0</v>
      </c>
      <c r="K123" s="485">
        <f t="shared" ca="1" si="49"/>
        <v>2000</v>
      </c>
      <c r="L123" s="556">
        <v>2000</v>
      </c>
      <c r="M123" s="51">
        <f t="shared" si="31"/>
        <v>0</v>
      </c>
      <c r="N123" s="3" t="s">
        <v>334</v>
      </c>
      <c r="O123" s="59">
        <f t="shared" ref="O123:O127" si="54">I123-L123</f>
        <v>0</v>
      </c>
      <c r="P123" s="305">
        <f t="shared" si="45"/>
        <v>0</v>
      </c>
      <c r="Q123" s="229"/>
    </row>
    <row r="124" spans="1:18" ht="15" customHeight="1" x14ac:dyDescent="0.25">
      <c r="A124" s="480"/>
      <c r="B124" s="570"/>
      <c r="C124" s="85" t="str">
        <f t="shared" si="48"/>
        <v>6210-31</v>
      </c>
      <c r="D124" s="525" t="s">
        <v>355</v>
      </c>
      <c r="E124" s="708"/>
      <c r="F124" s="704"/>
      <c r="G124" s="708">
        <v>2</v>
      </c>
      <c r="H124" s="481">
        <v>350</v>
      </c>
      <c r="I124" s="482">
        <f>SUM((E124+F124+G124)*H124)</f>
        <v>700</v>
      </c>
      <c r="J124" s="482">
        <f t="shared" ca="1" si="42"/>
        <v>0</v>
      </c>
      <c r="K124" s="482">
        <f t="shared" ca="1" si="49"/>
        <v>700</v>
      </c>
      <c r="L124" s="395">
        <v>700</v>
      </c>
      <c r="M124" s="51">
        <f t="shared" si="31"/>
        <v>0</v>
      </c>
      <c r="N124" s="3" t="s">
        <v>226</v>
      </c>
      <c r="O124" s="59">
        <f t="shared" si="54"/>
        <v>0</v>
      </c>
      <c r="P124" s="305">
        <f t="shared" si="45"/>
        <v>0</v>
      </c>
      <c r="Q124" s="229"/>
    </row>
    <row r="125" spans="1:18" ht="15" customHeight="1" x14ac:dyDescent="0.25">
      <c r="A125" s="1093"/>
      <c r="B125" s="579"/>
      <c r="C125" s="107" t="str">
        <f t="shared" si="48"/>
        <v>6210-32</v>
      </c>
      <c r="D125" s="514" t="s">
        <v>356</v>
      </c>
      <c r="E125" s="725">
        <v>44</v>
      </c>
      <c r="F125" s="702">
        <v>2</v>
      </c>
      <c r="G125" s="725">
        <v>4</v>
      </c>
      <c r="H125" s="496">
        <v>60</v>
      </c>
      <c r="I125" s="485">
        <f>SUM((E125+F125+G125)*H125)+(125*2)</f>
        <v>3250</v>
      </c>
      <c r="J125" s="485">
        <f t="shared" ca="1" si="42"/>
        <v>0</v>
      </c>
      <c r="K125" s="485">
        <f t="shared" ca="1" si="49"/>
        <v>3250</v>
      </c>
      <c r="L125" s="556">
        <v>3010</v>
      </c>
      <c r="M125" s="51">
        <f t="shared" si="31"/>
        <v>240</v>
      </c>
      <c r="N125" s="3" t="s">
        <v>226</v>
      </c>
      <c r="O125" s="59">
        <f t="shared" si="54"/>
        <v>240</v>
      </c>
      <c r="P125" s="305">
        <f t="shared" si="45"/>
        <v>7.9734219269102985E-2</v>
      </c>
      <c r="Q125" s="229"/>
    </row>
    <row r="126" spans="1:18" ht="15" customHeight="1" x14ac:dyDescent="0.25">
      <c r="A126" s="1005"/>
      <c r="B126" s="1006"/>
      <c r="C126" s="1004" t="str">
        <f t="shared" si="48"/>
        <v>6210-33</v>
      </c>
      <c r="D126" s="1005" t="s">
        <v>357</v>
      </c>
      <c r="E126" s="1008">
        <v>9</v>
      </c>
      <c r="F126" s="1002"/>
      <c r="G126" s="1008"/>
      <c r="H126" s="992">
        <v>450</v>
      </c>
      <c r="I126" s="981">
        <f>(E126+F126+G126)*H126</f>
        <v>4050</v>
      </c>
      <c r="J126" s="981">
        <f t="shared" ca="1" si="42"/>
        <v>0</v>
      </c>
      <c r="K126" s="981">
        <f t="shared" ca="1" si="49"/>
        <v>4050</v>
      </c>
      <c r="L126" s="1007">
        <v>4050</v>
      </c>
      <c r="M126" s="51">
        <f t="shared" si="31"/>
        <v>0</v>
      </c>
      <c r="N126" s="3" t="s">
        <v>338</v>
      </c>
      <c r="O126" s="59">
        <f t="shared" si="54"/>
        <v>0</v>
      </c>
      <c r="P126" s="305">
        <f t="shared" si="45"/>
        <v>0</v>
      </c>
      <c r="Q126" s="229"/>
    </row>
    <row r="127" spans="1:18" ht="15" customHeight="1" x14ac:dyDescent="0.25">
      <c r="A127" s="514"/>
      <c r="B127" s="579"/>
      <c r="C127" s="107" t="str">
        <f t="shared" si="48"/>
        <v>6210-34</v>
      </c>
      <c r="D127" s="514" t="s">
        <v>358</v>
      </c>
      <c r="E127" s="725">
        <v>2</v>
      </c>
      <c r="F127" s="702">
        <v>2</v>
      </c>
      <c r="G127" s="725">
        <v>2</v>
      </c>
      <c r="H127" s="496">
        <v>2000</v>
      </c>
      <c r="I127" s="485">
        <f>SUM((E127+F127+G127)*H127)</f>
        <v>12000</v>
      </c>
      <c r="J127" s="485">
        <f t="shared" ca="1" si="42"/>
        <v>0</v>
      </c>
      <c r="K127" s="485">
        <f t="shared" ca="1" si="49"/>
        <v>12000</v>
      </c>
      <c r="L127" s="556">
        <v>10000</v>
      </c>
      <c r="M127" s="51">
        <f t="shared" si="31"/>
        <v>2000</v>
      </c>
      <c r="N127" s="3" t="s">
        <v>334</v>
      </c>
      <c r="O127" s="59">
        <f t="shared" si="54"/>
        <v>2000</v>
      </c>
      <c r="P127" s="305">
        <f t="shared" si="45"/>
        <v>0.2</v>
      </c>
    </row>
    <row r="128" spans="1:18" ht="15" customHeight="1" x14ac:dyDescent="0.25">
      <c r="A128" s="480"/>
      <c r="B128" s="576"/>
      <c r="C128" s="85" t="str">
        <f t="shared" si="48"/>
        <v>6210-35</v>
      </c>
      <c r="D128" s="491" t="s">
        <v>359</v>
      </c>
      <c r="E128" s="703"/>
      <c r="F128" s="705"/>
      <c r="G128" s="705">
        <v>1</v>
      </c>
      <c r="H128" s="516">
        <v>5000</v>
      </c>
      <c r="I128" s="482">
        <f>SUM((E128+F128+G128)*H128)</f>
        <v>5000</v>
      </c>
      <c r="J128" s="482"/>
      <c r="K128" s="482"/>
      <c r="L128" s="539">
        <v>5000</v>
      </c>
      <c r="M128" s="51">
        <f t="shared" si="31"/>
        <v>0</v>
      </c>
      <c r="N128" s="3" t="s">
        <v>334</v>
      </c>
      <c r="O128" s="59"/>
      <c r="P128" s="305"/>
      <c r="Q128" s="229"/>
      <c r="R128" s="741"/>
    </row>
    <row r="129" spans="1:18" s="525" customFormat="1" ht="15" customHeight="1" x14ac:dyDescent="0.25">
      <c r="A129" s="489"/>
      <c r="B129" s="489"/>
      <c r="C129" s="808" t="str">
        <f>LEFT($C128,4)&amp;"-"&amp;VALUE(MID($C128,FIND("-",$C128)+1,256))+1</f>
        <v>6210-36</v>
      </c>
      <c r="D129" s="489" t="s">
        <v>360</v>
      </c>
      <c r="E129" s="725">
        <v>2</v>
      </c>
      <c r="F129" s="489"/>
      <c r="G129" s="489"/>
      <c r="H129" s="496">
        <v>75</v>
      </c>
      <c r="I129" s="485">
        <f t="shared" ref="I129:I130" si="55">SUM((E129+F129+G129)*H129)</f>
        <v>150</v>
      </c>
      <c r="J129" s="485">
        <f t="shared" ca="1" si="42"/>
        <v>0</v>
      </c>
      <c r="K129" s="485">
        <f t="shared" ca="1" si="49"/>
        <v>150</v>
      </c>
      <c r="L129" s="556">
        <v>150</v>
      </c>
      <c r="M129" s="51">
        <f t="shared" si="31"/>
        <v>0</v>
      </c>
      <c r="N129" s="525" t="s">
        <v>361</v>
      </c>
      <c r="O129" s="525">
        <f t="shared" ref="O129:O131" si="56">I129-L129</f>
        <v>0</v>
      </c>
      <c r="P129" s="525">
        <f t="shared" si="45"/>
        <v>0</v>
      </c>
    </row>
    <row r="130" spans="1:18" s="525" customFormat="1" ht="15" customHeight="1" x14ac:dyDescent="0.25">
      <c r="C130" s="881" t="s">
        <v>362</v>
      </c>
      <c r="D130" s="525" t="s">
        <v>363</v>
      </c>
      <c r="E130" s="703"/>
      <c r="F130" s="882">
        <v>2</v>
      </c>
      <c r="H130" s="516">
        <v>1000</v>
      </c>
      <c r="I130" s="482">
        <f t="shared" si="55"/>
        <v>2000</v>
      </c>
      <c r="J130" s="482"/>
      <c r="K130" s="482"/>
      <c r="L130" s="539">
        <v>2000</v>
      </c>
      <c r="M130" s="51">
        <f t="shared" si="31"/>
        <v>0</v>
      </c>
      <c r="N130" s="525" t="s">
        <v>196</v>
      </c>
    </row>
    <row r="131" spans="1:18" ht="15" customHeight="1" thickBot="1" x14ac:dyDescent="0.3">
      <c r="B131" s="573"/>
      <c r="C131" s="133"/>
      <c r="D131" s="497" t="s">
        <v>364</v>
      </c>
      <c r="E131" s="498"/>
      <c r="F131" s="498"/>
      <c r="G131" s="397"/>
      <c r="H131" s="499">
        <f>(I131-L131)/L131</f>
        <v>-3.6855334484116167E-2</v>
      </c>
      <c r="I131" s="500">
        <f>SUM(I94:I130)</f>
        <v>159020</v>
      </c>
      <c r="J131" s="500">
        <f ca="1">SUM(J94:J129)</f>
        <v>250500</v>
      </c>
      <c r="K131" s="500">
        <f ca="1">SUM(K94:K129)</f>
        <v>250902020</v>
      </c>
      <c r="L131" s="549">
        <f>SUM(L94:L130)</f>
        <v>165105</v>
      </c>
      <c r="M131" s="51">
        <f t="shared" si="31"/>
        <v>-6085</v>
      </c>
      <c r="O131" s="59">
        <f t="shared" si="56"/>
        <v>-6085</v>
      </c>
      <c r="P131" s="305">
        <f t="shared" si="45"/>
        <v>-3.6855334484116167E-2</v>
      </c>
      <c r="Q131" s="229"/>
    </row>
    <row r="132" spans="1:18" ht="0.75" customHeight="1" thickTop="1" x14ac:dyDescent="0.3">
      <c r="B132" s="219"/>
      <c r="C132" s="133"/>
      <c r="D132" s="219"/>
      <c r="E132" s="219"/>
      <c r="F132" s="219"/>
      <c r="G132" s="219"/>
      <c r="H132" s="219"/>
      <c r="I132" s="220"/>
      <c r="J132" s="220"/>
      <c r="K132" s="220"/>
      <c r="L132" s="219"/>
      <c r="M132" s="51">
        <f t="shared" si="31"/>
        <v>0</v>
      </c>
      <c r="O132" s="51"/>
      <c r="P132" s="305" t="e">
        <f t="shared" si="45"/>
        <v>#DIV/0!</v>
      </c>
      <c r="Q132" s="229"/>
    </row>
    <row r="133" spans="1:18" ht="19.5" customHeight="1" x14ac:dyDescent="0.3">
      <c r="A133" s="1116" t="s">
        <v>365</v>
      </c>
      <c r="B133" s="1116"/>
      <c r="C133" s="1116"/>
      <c r="D133" s="1116"/>
      <c r="E133" s="1116"/>
      <c r="F133" s="1116"/>
      <c r="G133" s="1116"/>
      <c r="H133" s="1116"/>
      <c r="I133" s="1116"/>
      <c r="J133" s="1116"/>
      <c r="K133" s="1116"/>
      <c r="L133" s="1116"/>
      <c r="M133" s="51">
        <f t="shared" ref="M133:M196" si="57">I133-L133</f>
        <v>0</v>
      </c>
      <c r="O133" s="51"/>
      <c r="P133" s="305"/>
      <c r="Q133" s="229"/>
    </row>
    <row r="134" spans="1:18" ht="15" customHeight="1" x14ac:dyDescent="0.25">
      <c r="A134" s="480"/>
      <c r="B134" s="570" t="s">
        <v>366</v>
      </c>
      <c r="C134" s="85" t="str">
        <f>LEFT($A133,4)&amp;"-1"</f>
        <v>6215-1</v>
      </c>
      <c r="D134" s="487" t="s">
        <v>367</v>
      </c>
      <c r="E134" s="715"/>
      <c r="F134" s="699">
        <v>12</v>
      </c>
      <c r="G134" s="699"/>
      <c r="H134" s="481">
        <v>250</v>
      </c>
      <c r="I134" s="482">
        <f t="shared" ref="I134:I140" si="58">((E134+F134+G134)*H134)</f>
        <v>3000</v>
      </c>
      <c r="J134" s="482">
        <f t="shared" ref="J134:J135" ca="1" si="59">-(SUMIF(INDIRECT(LEFT($A$133,4)&amp;"!i3:i500"),"="&amp;C134&amp;" *",INDIRECT(LEFT($A$133,4)&amp;"!k3:k500")))</f>
        <v>0</v>
      </c>
      <c r="K134" s="482">
        <f t="shared" ref="K134:K144" ca="1" si="60">SUM(I134:J134)</f>
        <v>3000</v>
      </c>
      <c r="L134" s="482">
        <v>3000</v>
      </c>
      <c r="M134" s="51">
        <f t="shared" si="57"/>
        <v>0</v>
      </c>
      <c r="N134" s="3" t="s">
        <v>245</v>
      </c>
      <c r="O134" s="59">
        <f t="shared" ref="O134:O141" si="61">I134-L134</f>
        <v>0</v>
      </c>
      <c r="P134" s="305">
        <f t="shared" si="45"/>
        <v>0</v>
      </c>
      <c r="Q134" s="229"/>
    </row>
    <row r="135" spans="1:18" ht="15" customHeight="1" x14ac:dyDescent="0.25">
      <c r="A135" s="508"/>
      <c r="B135" s="571" t="s">
        <v>368</v>
      </c>
      <c r="C135" s="122" t="str">
        <f>LEFT($C134,4)&amp;"-"&amp;VALUE(MID($C134,FIND("-",$C134)+1,256))+1</f>
        <v>6215-2</v>
      </c>
      <c r="D135" s="586" t="s">
        <v>369</v>
      </c>
      <c r="E135" s="730"/>
      <c r="F135" s="731">
        <v>4</v>
      </c>
      <c r="G135" s="731"/>
      <c r="H135" s="509">
        <v>1550</v>
      </c>
      <c r="I135" s="485">
        <f t="shared" si="58"/>
        <v>6200</v>
      </c>
      <c r="J135" s="486">
        <f t="shared" ca="1" si="59"/>
        <v>0</v>
      </c>
      <c r="K135" s="486">
        <f t="shared" ca="1" si="60"/>
        <v>6200</v>
      </c>
      <c r="L135" s="970">
        <v>6200</v>
      </c>
      <c r="M135" s="51">
        <f t="shared" si="57"/>
        <v>0</v>
      </c>
      <c r="N135" s="3" t="s">
        <v>241</v>
      </c>
      <c r="O135" s="59">
        <f t="shared" si="61"/>
        <v>0</v>
      </c>
      <c r="P135" s="305">
        <f t="shared" si="45"/>
        <v>0</v>
      </c>
      <c r="Q135" s="302"/>
    </row>
    <row r="136" spans="1:18" ht="15" customHeight="1" x14ac:dyDescent="0.25">
      <c r="A136" s="480"/>
      <c r="B136" s="570" t="s">
        <v>370</v>
      </c>
      <c r="C136" s="63" t="str">
        <f t="shared" ref="C136:C140" si="62">LEFT($C135,4)&amp;"-"&amp;VALUE(MID($C135,FIND("-",$C135)+1,256))+1</f>
        <v>6215-3</v>
      </c>
      <c r="D136" s="504" t="s">
        <v>371</v>
      </c>
      <c r="E136" s="707"/>
      <c r="F136" s="699">
        <v>4</v>
      </c>
      <c r="G136" s="707"/>
      <c r="H136" s="481">
        <v>2360</v>
      </c>
      <c r="I136" s="981">
        <f t="shared" si="58"/>
        <v>9440</v>
      </c>
      <c r="J136" s="482">
        <f ca="1">-(SUMIF(INDIRECT(LEFT($A$133,4)&amp;"!i3:i500"),"="&amp;C136&amp;" *",INDIRECT(LEFT($A$133,4)&amp;"!k3:k500")))</f>
        <v>0</v>
      </c>
      <c r="K136" s="482">
        <f t="shared" ref="K136:K140" ca="1" si="63">SUM(I136:J136)</f>
        <v>9440</v>
      </c>
      <c r="L136" s="482">
        <v>5717.88</v>
      </c>
      <c r="M136" s="51">
        <f t="shared" si="57"/>
        <v>3722.12</v>
      </c>
      <c r="N136" s="3" t="s">
        <v>241</v>
      </c>
      <c r="O136" s="59">
        <f t="shared" si="61"/>
        <v>3722.12</v>
      </c>
      <c r="P136" s="305">
        <f t="shared" si="45"/>
        <v>0.6509615451880767</v>
      </c>
      <c r="Q136" s="302"/>
    </row>
    <row r="137" spans="1:18" ht="15" customHeight="1" x14ac:dyDescent="0.25">
      <c r="A137" s="508"/>
      <c r="B137" s="572" t="s">
        <v>366</v>
      </c>
      <c r="C137" s="129" t="str">
        <f t="shared" si="62"/>
        <v>6215-4</v>
      </c>
      <c r="D137" s="588" t="s">
        <v>372</v>
      </c>
      <c r="E137" s="732"/>
      <c r="F137" s="722">
        <v>12</v>
      </c>
      <c r="G137" s="723"/>
      <c r="H137" s="589">
        <f>1292+345</f>
        <v>1637</v>
      </c>
      <c r="I137" s="590">
        <f t="shared" si="58"/>
        <v>19644</v>
      </c>
      <c r="J137" s="486">
        <f ca="1">-(SUMIF(INDIRECT(LEFT($A$133,4)&amp;"!i3:i500"),"="&amp;C137&amp;" *",INDIRECT(LEFT($A$133,4)&amp;"!k3:k500")))</f>
        <v>0</v>
      </c>
      <c r="K137" s="486">
        <f t="shared" ca="1" si="63"/>
        <v>19644</v>
      </c>
      <c r="L137" s="590">
        <v>19644</v>
      </c>
      <c r="M137" s="51">
        <f t="shared" si="57"/>
        <v>0</v>
      </c>
      <c r="N137" s="3" t="s">
        <v>245</v>
      </c>
      <c r="O137" s="59">
        <f t="shared" si="61"/>
        <v>0</v>
      </c>
      <c r="P137" s="305">
        <f t="shared" si="45"/>
        <v>0</v>
      </c>
      <c r="Q137" s="229"/>
    </row>
    <row r="138" spans="1:18" ht="15" customHeight="1" x14ac:dyDescent="0.25">
      <c r="A138" s="518"/>
      <c r="B138" s="883"/>
      <c r="C138" s="133" t="str">
        <f t="shared" si="62"/>
        <v>6215-5</v>
      </c>
      <c r="D138" s="515" t="s">
        <v>373</v>
      </c>
      <c r="E138" s="717"/>
      <c r="F138" s="719">
        <v>12</v>
      </c>
      <c r="G138" s="701"/>
      <c r="H138" s="516">
        <v>100</v>
      </c>
      <c r="I138" s="493">
        <f t="shared" si="58"/>
        <v>1200</v>
      </c>
      <c r="J138" s="493"/>
      <c r="K138" s="493"/>
      <c r="L138" s="493">
        <v>1200</v>
      </c>
      <c r="M138" s="51">
        <f t="shared" si="57"/>
        <v>0</v>
      </c>
      <c r="N138" s="3" t="s">
        <v>245</v>
      </c>
      <c r="O138" s="59"/>
      <c r="P138" s="305"/>
      <c r="Q138" s="229"/>
    </row>
    <row r="139" spans="1:18" ht="15" customHeight="1" x14ac:dyDescent="0.25">
      <c r="A139" s="517"/>
      <c r="B139" s="580"/>
      <c r="C139" s="129" t="str">
        <f t="shared" si="62"/>
        <v>6215-6</v>
      </c>
      <c r="D139" s="519" t="s">
        <v>374</v>
      </c>
      <c r="E139" s="727"/>
      <c r="F139" s="720">
        <v>1</v>
      </c>
      <c r="G139" s="727"/>
      <c r="H139" s="490">
        <v>2500</v>
      </c>
      <c r="I139" s="485">
        <f t="shared" si="58"/>
        <v>2500</v>
      </c>
      <c r="J139" s="485">
        <f ca="1">-(SUMIF(INDIRECT(LEFT($A$133,4)&amp;"!i3:i500"),"="&amp;C139&amp;" *",INDIRECT(LEFT($A$133,4)&amp;"!k3:k500")))</f>
        <v>0</v>
      </c>
      <c r="K139" s="485">
        <f t="shared" ca="1" si="63"/>
        <v>2500</v>
      </c>
      <c r="L139" s="485">
        <v>2500</v>
      </c>
      <c r="M139" s="51">
        <f t="shared" si="57"/>
        <v>0</v>
      </c>
      <c r="N139" s="3" t="s">
        <v>245</v>
      </c>
      <c r="O139" s="59">
        <f t="shared" si="61"/>
        <v>0</v>
      </c>
      <c r="P139" s="305">
        <f t="shared" si="45"/>
        <v>0</v>
      </c>
      <c r="Q139" s="229"/>
    </row>
    <row r="140" spans="1:18" ht="15" customHeight="1" x14ac:dyDescent="0.25">
      <c r="A140" s="974"/>
      <c r="B140" s="975"/>
      <c r="C140" s="990" t="str">
        <f t="shared" si="62"/>
        <v>6215-7</v>
      </c>
      <c r="D140" s="976" t="s">
        <v>375</v>
      </c>
      <c r="E140" s="1094"/>
      <c r="F140" s="1095">
        <v>0</v>
      </c>
      <c r="G140" s="1095"/>
      <c r="H140" s="979">
        <v>428.56</v>
      </c>
      <c r="I140" s="980">
        <f t="shared" si="58"/>
        <v>0</v>
      </c>
      <c r="J140" s="980">
        <f ca="1">-(SUMIF(INDIRECT(LEFT($A$133,4)&amp;"!i3:i500"),"="&amp;C140&amp;" *",INDIRECT(LEFT($A$133,4)&amp;"!k3:k500")))</f>
        <v>0</v>
      </c>
      <c r="K140" s="980">
        <f t="shared" ca="1" si="63"/>
        <v>0</v>
      </c>
      <c r="L140" s="980">
        <v>5142.72</v>
      </c>
      <c r="M140" s="51">
        <f t="shared" si="57"/>
        <v>-5142.72</v>
      </c>
      <c r="N140" s="3" t="s">
        <v>245</v>
      </c>
      <c r="O140" s="59">
        <f t="shared" si="61"/>
        <v>-5142.72</v>
      </c>
      <c r="P140" s="305">
        <f t="shared" si="45"/>
        <v>-1</v>
      </c>
      <c r="Q140" s="229"/>
    </row>
    <row r="141" spans="1:18" ht="15" customHeight="1" thickBot="1" x14ac:dyDescent="0.3">
      <c r="B141" s="573"/>
      <c r="C141" s="133"/>
      <c r="D141" s="497" t="s">
        <v>106</v>
      </c>
      <c r="E141" s="498"/>
      <c r="F141" s="498"/>
      <c r="G141" s="397"/>
      <c r="H141" s="499">
        <f>(I141-L141)/L141</f>
        <v>-3.2729249895172528E-2</v>
      </c>
      <c r="I141" s="501">
        <f>SUM(I134:I140)</f>
        <v>41984</v>
      </c>
      <c r="J141" s="501">
        <f t="shared" ref="J141:K141" ca="1" si="64">SUM(J134:J140)</f>
        <v>0</v>
      </c>
      <c r="K141" s="501">
        <f t="shared" ca="1" si="64"/>
        <v>40784</v>
      </c>
      <c r="L141" s="501">
        <f>SUM(L134:L140)</f>
        <v>43404.600000000006</v>
      </c>
      <c r="M141" s="51">
        <f t="shared" si="57"/>
        <v>-1420.6000000000058</v>
      </c>
      <c r="O141" s="59">
        <f t="shared" si="61"/>
        <v>-1420.6000000000058</v>
      </c>
      <c r="P141" s="305">
        <f t="shared" si="45"/>
        <v>-3.2729249895172528E-2</v>
      </c>
      <c r="Q141" s="229"/>
    </row>
    <row r="142" spans="1:18" ht="10.5" customHeight="1" thickTop="1" x14ac:dyDescent="0.3">
      <c r="B142" s="569"/>
      <c r="C142" s="63"/>
      <c r="D142" s="591"/>
      <c r="E142" s="591"/>
      <c r="F142" s="591"/>
      <c r="G142" s="591"/>
      <c r="H142" s="591"/>
      <c r="I142" s="592"/>
      <c r="J142" s="592"/>
      <c r="K142" s="592"/>
      <c r="L142" s="591"/>
      <c r="M142" s="51">
        <f t="shared" si="57"/>
        <v>0</v>
      </c>
      <c r="O142" s="51"/>
      <c r="P142" s="305"/>
      <c r="Q142" s="229"/>
    </row>
    <row r="143" spans="1:18" ht="19.5" customHeight="1" x14ac:dyDescent="0.3">
      <c r="A143" s="1116" t="s">
        <v>376</v>
      </c>
      <c r="B143" s="1116"/>
      <c r="C143" s="1116"/>
      <c r="D143" s="1116"/>
      <c r="E143" s="1116"/>
      <c r="F143" s="1116"/>
      <c r="G143" s="1116"/>
      <c r="H143" s="1116"/>
      <c r="I143" s="1116"/>
      <c r="J143" s="1116"/>
      <c r="K143" s="1116"/>
      <c r="L143" s="1116"/>
      <c r="M143" s="51">
        <f t="shared" si="57"/>
        <v>0</v>
      </c>
      <c r="O143" s="51"/>
      <c r="P143" s="305"/>
      <c r="Q143" s="229"/>
    </row>
    <row r="144" spans="1:18" x14ac:dyDescent="0.25">
      <c r="A144" s="480"/>
      <c r="B144" s="573"/>
      <c r="C144" s="63" t="str">
        <f>LEFT($A143,4)&amp;"-1"</f>
        <v>6220-1</v>
      </c>
      <c r="D144" s="504" t="s">
        <v>377</v>
      </c>
      <c r="E144" s="707"/>
      <c r="F144" s="699">
        <v>12</v>
      </c>
      <c r="G144" s="707"/>
      <c r="H144" s="481">
        <f>ROUNDUP(29777.56/12,-2)</f>
        <v>2500</v>
      </c>
      <c r="I144" s="482">
        <f>(E144+F144+G144)*H144</f>
        <v>30000</v>
      </c>
      <c r="J144" s="482">
        <f t="shared" ref="J144:J150" ca="1" si="65">-(SUMIF(INDIRECT(LEFT($A$143,4)&amp;"!i3:i500"),"="&amp;C144&amp;" *",INDIRECT(LEFT($A$143,4)&amp;"!k3:k500")))</f>
        <v>0</v>
      </c>
      <c r="K144" s="482">
        <f t="shared" ca="1" si="60"/>
        <v>30000</v>
      </c>
      <c r="L144" s="482">
        <v>30000</v>
      </c>
      <c r="M144" s="51">
        <f t="shared" si="57"/>
        <v>0</v>
      </c>
      <c r="N144" s="121" t="s">
        <v>245</v>
      </c>
      <c r="O144" s="59">
        <f>I144-L144</f>
        <v>0</v>
      </c>
      <c r="P144" s="305">
        <f t="shared" si="45"/>
        <v>0</v>
      </c>
      <c r="Q144" s="229"/>
      <c r="R144" s="739"/>
    </row>
    <row r="145" spans="1:21" ht="15" customHeight="1" x14ac:dyDescent="0.25">
      <c r="A145" s="508"/>
      <c r="B145" s="532"/>
      <c r="C145" s="228" t="str">
        <f>LEFT($C144,4)&amp;"-"&amp;VALUE(MID($C144,FIND("-",$C144)+1,256))+1</f>
        <v>6220-2</v>
      </c>
      <c r="D145" s="519" t="s">
        <v>378</v>
      </c>
      <c r="E145" s="727"/>
      <c r="F145" s="720">
        <v>12</v>
      </c>
      <c r="G145" s="727"/>
      <c r="H145" s="490">
        <f>ROUNDUP(17932.43/12,-2)</f>
        <v>1500</v>
      </c>
      <c r="I145" s="524">
        <f>(E145+F145+G145)*H145</f>
        <v>18000</v>
      </c>
      <c r="J145" s="485">
        <f t="shared" ca="1" si="65"/>
        <v>0</v>
      </c>
      <c r="K145" s="485">
        <f t="shared" ref="K145:K146" ca="1" si="66">SUM(I145:J145)</f>
        <v>18000</v>
      </c>
      <c r="L145" s="485">
        <v>18000</v>
      </c>
      <c r="M145" s="51">
        <f t="shared" si="57"/>
        <v>0</v>
      </c>
      <c r="N145" s="121" t="s">
        <v>245</v>
      </c>
      <c r="O145" s="59">
        <f t="shared" ref="O145:O151" si="67">I145-L145</f>
        <v>0</v>
      </c>
      <c r="P145" s="305">
        <f t="shared" si="45"/>
        <v>0</v>
      </c>
      <c r="Q145" s="229"/>
    </row>
    <row r="146" spans="1:21" ht="15" customHeight="1" x14ac:dyDescent="0.25">
      <c r="A146" s="518"/>
      <c r="B146" s="884"/>
      <c r="C146" s="227" t="str">
        <f>LEFT($C145,4)&amp;"-"&amp;VALUE(MID($C145,FIND("-",$C145)+1,256))+1</f>
        <v>6220-3</v>
      </c>
      <c r="D146" s="518" t="s">
        <v>379</v>
      </c>
      <c r="E146" s="703"/>
      <c r="F146" s="701">
        <v>12</v>
      </c>
      <c r="G146" s="703"/>
      <c r="H146" s="516">
        <f>ROUNDUP(5337.88/12,-2)</f>
        <v>500</v>
      </c>
      <c r="I146" s="493">
        <f>SUM((E146+F146+G146)*H146)</f>
        <v>6000</v>
      </c>
      <c r="J146" s="482">
        <f t="shared" ref="J146" ca="1" si="68">-(SUMIF(INDIRECT(LEFT($A$143,4)&amp;"!i3:i500"),"="&amp;C146&amp;" *",INDIRECT(LEFT($A$143,4)&amp;"!k3:k500")))</f>
        <v>0</v>
      </c>
      <c r="K146" s="482">
        <f t="shared" ca="1" si="66"/>
        <v>6000</v>
      </c>
      <c r="L146" s="493">
        <v>6000</v>
      </c>
      <c r="M146" s="51">
        <f t="shared" si="57"/>
        <v>0</v>
      </c>
      <c r="N146" s="121" t="s">
        <v>245</v>
      </c>
      <c r="O146" s="59">
        <f>I146-L146</f>
        <v>0</v>
      </c>
      <c r="P146" s="305">
        <f t="shared" si="45"/>
        <v>0</v>
      </c>
      <c r="U146" s="301"/>
    </row>
    <row r="147" spans="1:21" ht="15" customHeight="1" x14ac:dyDescent="0.25">
      <c r="A147" s="517"/>
      <c r="B147" s="760"/>
      <c r="C147" s="228" t="str">
        <f>LEFT($C145,4)&amp;"-"&amp;VALUE(MID($C146,FIND("-",$C146)+1,256))+1</f>
        <v>6220-4</v>
      </c>
      <c r="D147" s="519" t="s">
        <v>380</v>
      </c>
      <c r="E147" s="727"/>
      <c r="F147" s="720">
        <v>12</v>
      </c>
      <c r="G147" s="727"/>
      <c r="H147" s="490">
        <f>ROUNDUP(59655.17/12,-2)</f>
        <v>5000</v>
      </c>
      <c r="I147" s="485">
        <f>SUM((E147+F147+G147)*H147)</f>
        <v>60000</v>
      </c>
      <c r="J147" s="485">
        <f t="shared" ca="1" si="65"/>
        <v>0</v>
      </c>
      <c r="K147" s="485">
        <f t="shared" ref="K147:K150" ca="1" si="69">SUM(I147:J147)</f>
        <v>60000</v>
      </c>
      <c r="L147" s="485">
        <v>60000</v>
      </c>
      <c r="M147" s="51">
        <f t="shared" si="57"/>
        <v>0</v>
      </c>
      <c r="N147" s="121" t="s">
        <v>245</v>
      </c>
      <c r="O147" s="59">
        <f t="shared" si="67"/>
        <v>0</v>
      </c>
      <c r="P147" s="305">
        <f t="shared" si="45"/>
        <v>0</v>
      </c>
      <c r="Q147" s="229"/>
    </row>
    <row r="148" spans="1:21" ht="15" customHeight="1" x14ac:dyDescent="0.25">
      <c r="A148" s="480"/>
      <c r="B148" s="533"/>
      <c r="C148" s="227" t="str">
        <f t="shared" ref="C148:C150" si="70">LEFT($C146,4)&amp;"-"&amp;VALUE(MID($C147,FIND("-",$C147)+1,256))+1</f>
        <v>6220-5</v>
      </c>
      <c r="D148" s="515" t="s">
        <v>381</v>
      </c>
      <c r="E148" s="701"/>
      <c r="F148" s="701">
        <v>12</v>
      </c>
      <c r="G148" s="701"/>
      <c r="H148" s="516">
        <f>ROUNDUP(39124.13/12,-2)</f>
        <v>3300</v>
      </c>
      <c r="I148" s="493">
        <f>SUM((E148+F148+G148)*H148)</f>
        <v>39600</v>
      </c>
      <c r="J148" s="482">
        <f t="shared" ca="1" si="65"/>
        <v>0</v>
      </c>
      <c r="K148" s="482">
        <f t="shared" ca="1" si="69"/>
        <v>39600</v>
      </c>
      <c r="L148" s="493">
        <v>39600</v>
      </c>
      <c r="M148" s="51">
        <f t="shared" si="57"/>
        <v>0</v>
      </c>
      <c r="N148" s="121" t="s">
        <v>245</v>
      </c>
      <c r="O148" s="59">
        <f>I148-L148</f>
        <v>0</v>
      </c>
      <c r="P148" s="305">
        <f t="shared" ref="P148:P151" si="71">O148/L148</f>
        <v>0</v>
      </c>
      <c r="Q148" s="229"/>
      <c r="R148" s="742"/>
    </row>
    <row r="149" spans="1:21" ht="15" customHeight="1" x14ac:dyDescent="0.25">
      <c r="A149" s="514"/>
      <c r="B149" s="760"/>
      <c r="C149" s="228" t="str">
        <f t="shared" si="70"/>
        <v>6220-6</v>
      </c>
      <c r="D149" s="517" t="s">
        <v>382</v>
      </c>
      <c r="E149" s="712"/>
      <c r="F149" s="700">
        <v>2</v>
      </c>
      <c r="G149" s="712"/>
      <c r="H149" s="490">
        <v>150</v>
      </c>
      <c r="I149" s="494">
        <f>SUM((E149+F149+G149)*H149)</f>
        <v>300</v>
      </c>
      <c r="J149" s="485">
        <f t="shared" ca="1" si="65"/>
        <v>0</v>
      </c>
      <c r="K149" s="485">
        <f t="shared" ca="1" si="69"/>
        <v>300</v>
      </c>
      <c r="L149" s="485">
        <v>300</v>
      </c>
      <c r="M149" s="51">
        <f t="shared" si="57"/>
        <v>0</v>
      </c>
      <c r="N149" s="121" t="s">
        <v>245</v>
      </c>
      <c r="O149" s="59">
        <f>I149-L149</f>
        <v>0</v>
      </c>
      <c r="P149" s="305">
        <f t="shared" si="71"/>
        <v>0</v>
      </c>
      <c r="Q149" s="229"/>
    </row>
    <row r="150" spans="1:21" x14ac:dyDescent="0.25">
      <c r="A150" s="480"/>
      <c r="B150" s="573"/>
      <c r="C150" s="227" t="str">
        <f t="shared" si="70"/>
        <v>6220-7</v>
      </c>
      <c r="D150" s="487" t="s">
        <v>383</v>
      </c>
      <c r="E150" s="715"/>
      <c r="F150" s="699">
        <v>12</v>
      </c>
      <c r="G150" s="699"/>
      <c r="H150" s="481">
        <v>6400</v>
      </c>
      <c r="I150" s="493">
        <f>SUM((E150+F150+G150)*H150)</f>
        <v>76800</v>
      </c>
      <c r="J150" s="482">
        <f t="shared" ca="1" si="65"/>
        <v>0</v>
      </c>
      <c r="K150" s="482">
        <f t="shared" ca="1" si="69"/>
        <v>76800</v>
      </c>
      <c r="L150" s="482">
        <v>70800</v>
      </c>
      <c r="M150" s="51">
        <f t="shared" si="57"/>
        <v>6000</v>
      </c>
      <c r="N150" s="121" t="s">
        <v>226</v>
      </c>
      <c r="O150" s="59">
        <f>I150-L150</f>
        <v>6000</v>
      </c>
      <c r="P150" s="305">
        <f t="shared" si="71"/>
        <v>8.4745762711864403E-2</v>
      </c>
      <c r="Q150" s="229"/>
    </row>
    <row r="151" spans="1:21" ht="15" customHeight="1" thickBot="1" x14ac:dyDescent="0.3">
      <c r="B151" s="479"/>
      <c r="C151" s="47"/>
      <c r="D151" s="497" t="s">
        <v>106</v>
      </c>
      <c r="E151" s="546"/>
      <c r="F151" s="529"/>
      <c r="G151" s="397"/>
      <c r="H151" s="499">
        <f>(I151-L151)/L151</f>
        <v>2.67022696929239E-2</v>
      </c>
      <c r="I151" s="501">
        <f>SUM(I144:I150)</f>
        <v>230700</v>
      </c>
      <c r="J151" s="501">
        <f ca="1">SUM(J144:J150)</f>
        <v>0</v>
      </c>
      <c r="K151" s="501">
        <f ca="1">SUM(K144:K150)</f>
        <v>230700</v>
      </c>
      <c r="L151" s="501">
        <f>SUM(L144:L150)</f>
        <v>224700</v>
      </c>
      <c r="M151" s="51">
        <f t="shared" si="57"/>
        <v>6000</v>
      </c>
      <c r="O151" s="59">
        <f t="shared" si="67"/>
        <v>6000</v>
      </c>
      <c r="P151" s="305">
        <f t="shared" si="71"/>
        <v>2.67022696929239E-2</v>
      </c>
      <c r="Q151" s="229"/>
    </row>
    <row r="152" spans="1:21" ht="9.75" customHeight="1" thickTop="1" x14ac:dyDescent="0.3">
      <c r="C152" s="131"/>
      <c r="D152" s="89"/>
      <c r="E152" s="89"/>
      <c r="F152" s="89"/>
      <c r="G152" s="89"/>
      <c r="H152" s="89"/>
      <c r="I152" s="135"/>
      <c r="J152" s="135"/>
      <c r="K152" s="135"/>
      <c r="L152" s="89"/>
      <c r="M152" s="51">
        <f t="shared" si="57"/>
        <v>0</v>
      </c>
      <c r="O152" s="51"/>
      <c r="P152" s="305"/>
      <c r="Q152" s="229"/>
    </row>
    <row r="153" spans="1:21" ht="19.5" customHeight="1" x14ac:dyDescent="0.3">
      <c r="A153" s="1116" t="s">
        <v>384</v>
      </c>
      <c r="B153" s="1116"/>
      <c r="C153" s="1116"/>
      <c r="D153" s="1116"/>
      <c r="E153" s="1116"/>
      <c r="F153" s="1116"/>
      <c r="G153" s="1116"/>
      <c r="H153" s="1116"/>
      <c r="I153" s="1116"/>
      <c r="J153" s="1116"/>
      <c r="K153" s="1116"/>
      <c r="L153" s="1116"/>
      <c r="M153" s="51">
        <f t="shared" si="57"/>
        <v>0</v>
      </c>
      <c r="O153" s="51"/>
      <c r="P153" s="305"/>
      <c r="Q153" s="229"/>
    </row>
    <row r="154" spans="1:21" ht="15" customHeight="1" x14ac:dyDescent="0.25">
      <c r="A154" s="480"/>
      <c r="B154" s="570"/>
      <c r="C154" s="85" t="str">
        <f>LEFT($A153,4)&amp;"-1"</f>
        <v>6225-1</v>
      </c>
      <c r="D154" s="504" t="s">
        <v>684</v>
      </c>
      <c r="E154" s="707"/>
      <c r="F154" s="699">
        <v>12</v>
      </c>
      <c r="G154" s="707"/>
      <c r="H154" s="481">
        <v>1200</v>
      </c>
      <c r="I154" s="493">
        <f t="shared" ref="I154:I179" si="72">SUM(E154+F154+G154)*H154</f>
        <v>14400</v>
      </c>
      <c r="J154" s="482">
        <f t="shared" ref="J154:J179" ca="1" si="73">-(SUMIF(INDIRECT(LEFT($A$153,4)&amp;"!i3:i200"),"="&amp;C154&amp;" *",INDIRECT(LEFT($A$153,4)&amp;"!k3:k200")))</f>
        <v>0</v>
      </c>
      <c r="K154" s="482">
        <f t="shared" ref="K154:K155" ca="1" si="74">SUM(I154:J154)</f>
        <v>14400</v>
      </c>
      <c r="L154" s="395">
        <v>14400</v>
      </c>
      <c r="M154" s="51">
        <f t="shared" si="57"/>
        <v>0</v>
      </c>
      <c r="N154" s="3" t="s">
        <v>245</v>
      </c>
      <c r="O154" s="59">
        <f t="shared" ref="O154:O158" si="75">I154-L154</f>
        <v>0</v>
      </c>
      <c r="P154" s="305">
        <f t="shared" si="45"/>
        <v>0</v>
      </c>
      <c r="Q154" s="229"/>
    </row>
    <row r="155" spans="1:21" ht="15" customHeight="1" x14ac:dyDescent="0.25">
      <c r="A155" s="508"/>
      <c r="B155" s="571"/>
      <c r="C155" s="132" t="str">
        <f t="shared" ref="C155:C179" si="76">LEFT($C154,4)&amp;"-"&amp;VALUE(MID($C154,FIND("-",$C154)+1,256))+1</f>
        <v>6225-2</v>
      </c>
      <c r="D155" s="508" t="s">
        <v>385</v>
      </c>
      <c r="E155" s="710"/>
      <c r="F155" s="731">
        <v>3</v>
      </c>
      <c r="G155" s="710"/>
      <c r="H155" s="509">
        <v>5400</v>
      </c>
      <c r="I155" s="494">
        <f t="shared" si="72"/>
        <v>16200</v>
      </c>
      <c r="J155" s="486">
        <f t="shared" ca="1" si="73"/>
        <v>0</v>
      </c>
      <c r="K155" s="486">
        <f t="shared" ca="1" si="74"/>
        <v>16200</v>
      </c>
      <c r="L155" s="396">
        <v>16200</v>
      </c>
      <c r="M155" s="51">
        <f t="shared" si="57"/>
        <v>0</v>
      </c>
      <c r="N155" s="3" t="s">
        <v>245</v>
      </c>
      <c r="O155" s="59">
        <f t="shared" si="75"/>
        <v>0</v>
      </c>
      <c r="P155" s="305">
        <f t="shared" si="45"/>
        <v>0</v>
      </c>
      <c r="Q155" s="221"/>
    </row>
    <row r="156" spans="1:21" ht="15" customHeight="1" x14ac:dyDescent="0.25">
      <c r="A156" s="480"/>
      <c r="B156" s="573"/>
      <c r="C156" s="85" t="str">
        <f t="shared" si="76"/>
        <v>6225-3</v>
      </c>
      <c r="D156" s="525" t="s">
        <v>386</v>
      </c>
      <c r="E156" s="708"/>
      <c r="F156" s="704">
        <v>3</v>
      </c>
      <c r="G156" s="708"/>
      <c r="H156" s="481">
        <v>190</v>
      </c>
      <c r="I156" s="493">
        <f t="shared" si="72"/>
        <v>570</v>
      </c>
      <c r="J156" s="482">
        <f t="shared" ca="1" si="73"/>
        <v>0</v>
      </c>
      <c r="K156" s="482">
        <f t="shared" ref="K156:K179" ca="1" si="77">SUM(I156:J156)</f>
        <v>570</v>
      </c>
      <c r="L156" s="395">
        <v>570</v>
      </c>
      <c r="M156" s="51">
        <f t="shared" si="57"/>
        <v>0</v>
      </c>
      <c r="N156" s="3" t="s">
        <v>245</v>
      </c>
      <c r="O156" s="59">
        <f t="shared" si="75"/>
        <v>0</v>
      </c>
      <c r="P156" s="305">
        <f t="shared" si="45"/>
        <v>0</v>
      </c>
      <c r="Q156" s="229"/>
    </row>
    <row r="157" spans="1:21" ht="15" customHeight="1" x14ac:dyDescent="0.25">
      <c r="A157" s="508"/>
      <c r="B157" s="584"/>
      <c r="C157" s="132" t="str">
        <f t="shared" si="76"/>
        <v>6225-4</v>
      </c>
      <c r="D157" s="510" t="s">
        <v>387</v>
      </c>
      <c r="E157" s="709"/>
      <c r="F157" s="733">
        <v>1</v>
      </c>
      <c r="G157" s="709"/>
      <c r="H157" s="509">
        <v>900</v>
      </c>
      <c r="I157" s="494">
        <f t="shared" si="72"/>
        <v>900</v>
      </c>
      <c r="J157" s="486">
        <f t="shared" ca="1" si="73"/>
        <v>0</v>
      </c>
      <c r="K157" s="486">
        <f t="shared" ca="1" si="77"/>
        <v>900</v>
      </c>
      <c r="L157" s="396">
        <v>900</v>
      </c>
      <c r="M157" s="51">
        <f t="shared" si="57"/>
        <v>0</v>
      </c>
      <c r="N157" s="3" t="s">
        <v>245</v>
      </c>
      <c r="O157" s="59">
        <f t="shared" si="75"/>
        <v>0</v>
      </c>
      <c r="P157" s="305">
        <f t="shared" si="45"/>
        <v>0</v>
      </c>
      <c r="Q157" s="229"/>
    </row>
    <row r="158" spans="1:21" ht="15" customHeight="1" x14ac:dyDescent="0.25">
      <c r="A158" s="480"/>
      <c r="B158" s="573"/>
      <c r="C158" s="85" t="str">
        <f t="shared" si="76"/>
        <v>6225-5</v>
      </c>
      <c r="D158" s="487" t="s">
        <v>388</v>
      </c>
      <c r="E158" s="707"/>
      <c r="F158" s="699">
        <v>1.1000000000000001</v>
      </c>
      <c r="G158" s="707"/>
      <c r="H158" s="481">
        <v>6500</v>
      </c>
      <c r="I158" s="493">
        <f t="shared" si="72"/>
        <v>7150.0000000000009</v>
      </c>
      <c r="J158" s="482">
        <f t="shared" ca="1" si="73"/>
        <v>0</v>
      </c>
      <c r="K158" s="482">
        <f t="shared" ca="1" si="77"/>
        <v>7150.0000000000009</v>
      </c>
      <c r="L158" s="395">
        <v>6500</v>
      </c>
      <c r="M158" s="51">
        <f t="shared" si="57"/>
        <v>650.00000000000091</v>
      </c>
      <c r="N158" s="3" t="s">
        <v>245</v>
      </c>
      <c r="O158" s="59">
        <f t="shared" si="75"/>
        <v>650.00000000000091</v>
      </c>
      <c r="P158" s="305">
        <f t="shared" si="45"/>
        <v>0.10000000000000014</v>
      </c>
      <c r="Q158" s="229"/>
      <c r="R158" s="738" t="s">
        <v>389</v>
      </c>
    </row>
    <row r="159" spans="1:21" ht="15" customHeight="1" x14ac:dyDescent="0.25">
      <c r="A159" s="508"/>
      <c r="B159" s="580"/>
      <c r="C159" s="132" t="str">
        <f t="shared" si="76"/>
        <v>6225-6</v>
      </c>
      <c r="D159" s="512" t="s">
        <v>390</v>
      </c>
      <c r="E159" s="727"/>
      <c r="F159" s="720">
        <v>12</v>
      </c>
      <c r="G159" s="727"/>
      <c r="H159" s="490">
        <v>3100</v>
      </c>
      <c r="I159" s="494">
        <f t="shared" si="72"/>
        <v>37200</v>
      </c>
      <c r="J159" s="486">
        <f t="shared" ca="1" si="73"/>
        <v>0</v>
      </c>
      <c r="K159" s="486">
        <f t="shared" ca="1" si="77"/>
        <v>37200</v>
      </c>
      <c r="L159" s="541">
        <v>37200</v>
      </c>
      <c r="M159" s="51">
        <f t="shared" si="57"/>
        <v>0</v>
      </c>
      <c r="N159" s="3" t="s">
        <v>245</v>
      </c>
      <c r="O159" s="59">
        <f t="shared" ref="O159:O172" si="78">I159-L159</f>
        <v>0</v>
      </c>
      <c r="P159" s="305">
        <f t="shared" ref="P159:P218" si="79">O159/L159</f>
        <v>0</v>
      </c>
      <c r="Q159" s="315"/>
    </row>
    <row r="160" spans="1:21" ht="15" customHeight="1" x14ac:dyDescent="0.25">
      <c r="A160" s="480"/>
      <c r="B160" s="576"/>
      <c r="C160" s="85" t="str">
        <f t="shared" si="76"/>
        <v>6225-7</v>
      </c>
      <c r="D160" s="515" t="s">
        <v>391</v>
      </c>
      <c r="E160" s="703"/>
      <c r="F160" s="701">
        <v>1</v>
      </c>
      <c r="G160" s="703"/>
      <c r="H160" s="516">
        <v>7500</v>
      </c>
      <c r="I160" s="493">
        <f t="shared" si="72"/>
        <v>7500</v>
      </c>
      <c r="J160" s="482">
        <f t="shared" ca="1" si="73"/>
        <v>0</v>
      </c>
      <c r="K160" s="482">
        <f t="shared" ca="1" si="77"/>
        <v>7500</v>
      </c>
      <c r="L160" s="539">
        <v>7500</v>
      </c>
      <c r="M160" s="51">
        <f t="shared" si="57"/>
        <v>0</v>
      </c>
      <c r="N160" s="3" t="s">
        <v>245</v>
      </c>
      <c r="O160" s="59">
        <f t="shared" si="78"/>
        <v>0</v>
      </c>
      <c r="P160" s="305">
        <f t="shared" si="79"/>
        <v>0</v>
      </c>
      <c r="Q160" s="229"/>
    </row>
    <row r="161" spans="1:18" ht="15" customHeight="1" x14ac:dyDescent="0.25">
      <c r="A161" s="508"/>
      <c r="B161" s="580"/>
      <c r="C161" s="761" t="str">
        <f t="shared" si="76"/>
        <v>6225-8</v>
      </c>
      <c r="D161" s="489" t="s">
        <v>392</v>
      </c>
      <c r="E161" s="712"/>
      <c r="F161" s="700">
        <v>1</v>
      </c>
      <c r="G161" s="712"/>
      <c r="H161" s="490">
        <v>4200</v>
      </c>
      <c r="I161" s="494">
        <f t="shared" si="72"/>
        <v>4200</v>
      </c>
      <c r="J161" s="590">
        <f t="shared" ca="1" si="73"/>
        <v>0</v>
      </c>
      <c r="K161" s="590">
        <f t="shared" ca="1" si="77"/>
        <v>4200</v>
      </c>
      <c r="L161" s="541">
        <v>4200</v>
      </c>
      <c r="M161" s="51">
        <f t="shared" si="57"/>
        <v>0</v>
      </c>
      <c r="N161" s="3" t="s">
        <v>245</v>
      </c>
      <c r="O161" s="59">
        <f t="shared" si="78"/>
        <v>0</v>
      </c>
      <c r="P161" s="305">
        <f t="shared" si="79"/>
        <v>0</v>
      </c>
      <c r="Q161" s="229"/>
    </row>
    <row r="162" spans="1:18" ht="15" customHeight="1" x14ac:dyDescent="0.25">
      <c r="A162" s="480"/>
      <c r="B162" s="574"/>
      <c r="C162" s="85" t="str">
        <f t="shared" si="76"/>
        <v>6225-9</v>
      </c>
      <c r="D162" s="491" t="s">
        <v>393</v>
      </c>
      <c r="E162" s="719"/>
      <c r="F162" s="705">
        <v>1</v>
      </c>
      <c r="G162" s="719"/>
      <c r="H162" s="516">
        <v>700</v>
      </c>
      <c r="I162" s="493">
        <f t="shared" si="72"/>
        <v>700</v>
      </c>
      <c r="J162" s="482">
        <f t="shared" ca="1" si="73"/>
        <v>0</v>
      </c>
      <c r="K162" s="482">
        <f t="shared" ca="1" si="77"/>
        <v>700</v>
      </c>
      <c r="L162" s="539">
        <v>700</v>
      </c>
      <c r="M162" s="51">
        <f t="shared" si="57"/>
        <v>0</v>
      </c>
      <c r="N162" s="3" t="s">
        <v>245</v>
      </c>
      <c r="O162" s="59">
        <f t="shared" si="78"/>
        <v>0</v>
      </c>
      <c r="P162" s="305">
        <f t="shared" si="79"/>
        <v>0</v>
      </c>
      <c r="Q162" s="229"/>
    </row>
    <row r="163" spans="1:18" ht="15" customHeight="1" x14ac:dyDescent="0.25">
      <c r="A163" s="508"/>
      <c r="B163" s="580"/>
      <c r="C163" s="132" t="str">
        <f t="shared" si="76"/>
        <v>6225-10</v>
      </c>
      <c r="D163" s="489" t="s">
        <v>394</v>
      </c>
      <c r="E163" s="712"/>
      <c r="F163" s="700">
        <v>2</v>
      </c>
      <c r="G163" s="712"/>
      <c r="H163" s="490">
        <v>20</v>
      </c>
      <c r="I163" s="494">
        <f t="shared" si="72"/>
        <v>40</v>
      </c>
      <c r="J163" s="486">
        <f t="shared" ca="1" si="73"/>
        <v>0</v>
      </c>
      <c r="K163" s="486">
        <f t="shared" ca="1" si="77"/>
        <v>40</v>
      </c>
      <c r="L163" s="541">
        <v>40</v>
      </c>
      <c r="M163" s="51">
        <f t="shared" si="57"/>
        <v>0</v>
      </c>
      <c r="N163" s="3" t="s">
        <v>245</v>
      </c>
      <c r="O163" s="59">
        <f t="shared" si="78"/>
        <v>0</v>
      </c>
      <c r="P163" s="305">
        <f t="shared" si="79"/>
        <v>0</v>
      </c>
      <c r="Q163" s="229"/>
    </row>
    <row r="164" spans="1:18" ht="15" customHeight="1" x14ac:dyDescent="0.25">
      <c r="A164" s="480"/>
      <c r="B164" s="574"/>
      <c r="C164" s="85" t="str">
        <f t="shared" si="76"/>
        <v>6225-11</v>
      </c>
      <c r="D164" s="491" t="s">
        <v>395</v>
      </c>
      <c r="E164" s="719"/>
      <c r="F164" s="705">
        <v>1</v>
      </c>
      <c r="G164" s="719"/>
      <c r="H164" s="516">
        <v>4000</v>
      </c>
      <c r="I164" s="493">
        <f t="shared" si="72"/>
        <v>4000</v>
      </c>
      <c r="J164" s="482">
        <f t="shared" ca="1" si="73"/>
        <v>0</v>
      </c>
      <c r="K164" s="482">
        <f t="shared" ca="1" si="77"/>
        <v>4000</v>
      </c>
      <c r="L164" s="539">
        <v>4000</v>
      </c>
      <c r="M164" s="51">
        <f t="shared" si="57"/>
        <v>0</v>
      </c>
      <c r="N164" s="3" t="s">
        <v>245</v>
      </c>
      <c r="O164" s="59">
        <f t="shared" si="78"/>
        <v>0</v>
      </c>
      <c r="P164" s="305">
        <f t="shared" si="79"/>
        <v>0</v>
      </c>
      <c r="Q164" s="229"/>
    </row>
    <row r="165" spans="1:18" ht="15" customHeight="1" x14ac:dyDescent="0.25">
      <c r="A165" s="514"/>
      <c r="B165" s="580" t="s">
        <v>396</v>
      </c>
      <c r="C165" s="129" t="str">
        <f t="shared" si="76"/>
        <v>6225-12</v>
      </c>
      <c r="D165" s="489" t="s">
        <v>397</v>
      </c>
      <c r="E165" s="712"/>
      <c r="F165" s="700">
        <v>0</v>
      </c>
      <c r="G165" s="712"/>
      <c r="H165" s="490">
        <v>45</v>
      </c>
      <c r="I165" s="494">
        <f t="shared" si="72"/>
        <v>0</v>
      </c>
      <c r="J165" s="494">
        <f t="shared" ca="1" si="73"/>
        <v>0</v>
      </c>
      <c r="K165" s="494">
        <f t="shared" ca="1" si="77"/>
        <v>0</v>
      </c>
      <c r="L165" s="541">
        <v>0</v>
      </c>
      <c r="M165" s="51">
        <f t="shared" si="57"/>
        <v>0</v>
      </c>
      <c r="N165" s="3" t="s">
        <v>245</v>
      </c>
      <c r="O165" s="59">
        <f t="shared" si="78"/>
        <v>0</v>
      </c>
      <c r="P165" s="305"/>
      <c r="Q165" s="229"/>
    </row>
    <row r="166" spans="1:18" ht="15" customHeight="1" x14ac:dyDescent="0.25">
      <c r="A166" s="480"/>
      <c r="B166" s="573"/>
      <c r="C166" s="133" t="str">
        <f t="shared" si="76"/>
        <v>6225-13</v>
      </c>
      <c r="D166" s="487" t="s">
        <v>398</v>
      </c>
      <c r="E166" s="707"/>
      <c r="F166" s="699">
        <v>1</v>
      </c>
      <c r="G166" s="707"/>
      <c r="H166" s="481">
        <v>2100</v>
      </c>
      <c r="I166" s="493">
        <f>SUM(E166+F166+G166)*H166</f>
        <v>2100</v>
      </c>
      <c r="J166" s="482"/>
      <c r="K166" s="482"/>
      <c r="L166" s="395">
        <v>2100</v>
      </c>
      <c r="M166" s="51">
        <f t="shared" si="57"/>
        <v>0</v>
      </c>
      <c r="N166" s="3" t="s">
        <v>245</v>
      </c>
      <c r="O166" s="59">
        <f>I166-L166</f>
        <v>0</v>
      </c>
      <c r="P166" s="305">
        <f>O166/L166</f>
        <v>0</v>
      </c>
      <c r="Q166" s="301"/>
    </row>
    <row r="167" spans="1:18" ht="15" customHeight="1" x14ac:dyDescent="0.25">
      <c r="A167" s="517"/>
      <c r="B167" s="579"/>
      <c r="C167" s="129" t="str">
        <f t="shared" si="76"/>
        <v>6225-14</v>
      </c>
      <c r="D167" s="483" t="s">
        <v>399</v>
      </c>
      <c r="E167" s="802"/>
      <c r="F167" s="706">
        <v>14</v>
      </c>
      <c r="G167" s="802"/>
      <c r="H167" s="496">
        <f>1200+135</f>
        <v>1335</v>
      </c>
      <c r="I167" s="494">
        <f t="shared" si="72"/>
        <v>18690</v>
      </c>
      <c r="J167" s="485">
        <f t="shared" ca="1" si="73"/>
        <v>0</v>
      </c>
      <c r="K167" s="485">
        <f t="shared" ca="1" si="77"/>
        <v>18690</v>
      </c>
      <c r="L167" s="556">
        <v>18690</v>
      </c>
      <c r="M167" s="51">
        <f t="shared" si="57"/>
        <v>0</v>
      </c>
      <c r="N167" s="3" t="s">
        <v>245</v>
      </c>
      <c r="O167" s="59">
        <f t="shared" si="78"/>
        <v>0</v>
      </c>
      <c r="P167" s="305">
        <f t="shared" si="79"/>
        <v>0</v>
      </c>
      <c r="Q167" s="229"/>
    </row>
    <row r="168" spans="1:18" ht="15" customHeight="1" x14ac:dyDescent="0.25">
      <c r="A168" s="518"/>
      <c r="B168" s="573"/>
      <c r="C168" s="133" t="str">
        <f t="shared" si="76"/>
        <v>6225-15</v>
      </c>
      <c r="D168" s="525" t="s">
        <v>400</v>
      </c>
      <c r="E168" s="708"/>
      <c r="F168" s="704">
        <v>1</v>
      </c>
      <c r="G168" s="708"/>
      <c r="H168" s="481">
        <v>500</v>
      </c>
      <c r="I168" s="493">
        <f t="shared" si="72"/>
        <v>500</v>
      </c>
      <c r="J168" s="493">
        <f t="shared" ca="1" si="73"/>
        <v>0</v>
      </c>
      <c r="K168" s="493">
        <f t="shared" ca="1" si="77"/>
        <v>500</v>
      </c>
      <c r="L168" s="395">
        <v>1000</v>
      </c>
      <c r="M168" s="51">
        <f t="shared" si="57"/>
        <v>-500</v>
      </c>
      <c r="N168" s="3" t="s">
        <v>245</v>
      </c>
      <c r="O168" s="59">
        <f t="shared" si="78"/>
        <v>-500</v>
      </c>
      <c r="P168" s="305">
        <f t="shared" si="79"/>
        <v>-0.5</v>
      </c>
      <c r="Q168" s="229"/>
    </row>
    <row r="169" spans="1:18" ht="15" customHeight="1" x14ac:dyDescent="0.25">
      <c r="A169" s="517"/>
      <c r="B169" s="579"/>
      <c r="C169" s="129" t="str">
        <f t="shared" si="76"/>
        <v>6225-16</v>
      </c>
      <c r="D169" s="483" t="s">
        <v>401</v>
      </c>
      <c r="E169" s="803"/>
      <c r="F169" s="706">
        <v>6</v>
      </c>
      <c r="G169" s="724"/>
      <c r="H169" s="496">
        <v>350</v>
      </c>
      <c r="I169" s="494">
        <f t="shared" si="72"/>
        <v>2100</v>
      </c>
      <c r="J169" s="485">
        <f t="shared" ca="1" si="73"/>
        <v>0</v>
      </c>
      <c r="K169" s="485">
        <f t="shared" ca="1" si="77"/>
        <v>2100</v>
      </c>
      <c r="L169" s="496">
        <v>2100</v>
      </c>
      <c r="M169" s="51">
        <f t="shared" si="57"/>
        <v>0</v>
      </c>
      <c r="N169" s="3" t="s">
        <v>245</v>
      </c>
      <c r="O169" s="59">
        <f t="shared" si="78"/>
        <v>0</v>
      </c>
      <c r="P169" s="305">
        <f t="shared" si="79"/>
        <v>0</v>
      </c>
      <c r="Q169" s="229"/>
    </row>
    <row r="170" spans="1:18" ht="15" customHeight="1" x14ac:dyDescent="0.25">
      <c r="A170" s="518"/>
      <c r="B170" s="597"/>
      <c r="C170" s="133" t="str">
        <f t="shared" si="76"/>
        <v>6225-17</v>
      </c>
      <c r="D170" s="525" t="s">
        <v>402</v>
      </c>
      <c r="E170" s="708"/>
      <c r="F170" s="704">
        <v>2</v>
      </c>
      <c r="G170" s="708"/>
      <c r="H170" s="481">
        <v>7800</v>
      </c>
      <c r="I170" s="493">
        <f t="shared" si="72"/>
        <v>15600</v>
      </c>
      <c r="J170" s="493">
        <f t="shared" ca="1" si="73"/>
        <v>0</v>
      </c>
      <c r="K170" s="493">
        <f t="shared" ca="1" si="77"/>
        <v>15600</v>
      </c>
      <c r="L170" s="395">
        <v>15600</v>
      </c>
      <c r="M170" s="51">
        <f t="shared" si="57"/>
        <v>0</v>
      </c>
      <c r="N170" s="3" t="s">
        <v>245</v>
      </c>
      <c r="O170" s="59">
        <f t="shared" si="78"/>
        <v>0</v>
      </c>
      <c r="P170" s="305">
        <f t="shared" si="79"/>
        <v>0</v>
      </c>
      <c r="Q170" s="229"/>
    </row>
    <row r="171" spans="1:18" ht="15" customHeight="1" x14ac:dyDescent="0.25">
      <c r="A171" s="517"/>
      <c r="B171" s="804"/>
      <c r="C171" s="129" t="str">
        <f t="shared" si="76"/>
        <v>6225-18</v>
      </c>
      <c r="D171" s="495" t="s">
        <v>403</v>
      </c>
      <c r="E171" s="725"/>
      <c r="F171" s="702">
        <v>10</v>
      </c>
      <c r="G171" s="725"/>
      <c r="H171" s="496">
        <v>2500</v>
      </c>
      <c r="I171" s="494">
        <f t="shared" si="72"/>
        <v>25000</v>
      </c>
      <c r="J171" s="485">
        <f t="shared" ca="1" si="73"/>
        <v>0</v>
      </c>
      <c r="K171" s="485">
        <f t="shared" ca="1" si="77"/>
        <v>25000</v>
      </c>
      <c r="L171" s="556">
        <v>25000</v>
      </c>
      <c r="M171" s="51">
        <f t="shared" si="57"/>
        <v>0</v>
      </c>
      <c r="N171" s="3" t="s">
        <v>245</v>
      </c>
      <c r="O171" s="59">
        <f t="shared" si="78"/>
        <v>0</v>
      </c>
      <c r="P171" s="305">
        <f t="shared" si="79"/>
        <v>0</v>
      </c>
      <c r="Q171" s="229"/>
      <c r="R171" s="739"/>
    </row>
    <row r="172" spans="1:18" ht="15" customHeight="1" x14ac:dyDescent="0.25">
      <c r="A172" s="518"/>
      <c r="B172" s="573"/>
      <c r="C172" s="133" t="str">
        <f t="shared" si="76"/>
        <v>6225-19</v>
      </c>
      <c r="D172" s="487" t="s">
        <v>404</v>
      </c>
      <c r="E172" s="707"/>
      <c r="F172" s="699">
        <v>1</v>
      </c>
      <c r="G172" s="707"/>
      <c r="H172" s="481">
        <v>2100</v>
      </c>
      <c r="I172" s="493">
        <f t="shared" si="72"/>
        <v>2100</v>
      </c>
      <c r="J172" s="493">
        <f t="shared" ca="1" si="73"/>
        <v>0</v>
      </c>
      <c r="K172" s="493">
        <f t="shared" ca="1" si="77"/>
        <v>2100</v>
      </c>
      <c r="L172" s="395">
        <v>2100</v>
      </c>
      <c r="M172" s="51">
        <f t="shared" si="57"/>
        <v>0</v>
      </c>
      <c r="N172" s="3" t="s">
        <v>245</v>
      </c>
      <c r="O172" s="59">
        <f t="shared" si="78"/>
        <v>0</v>
      </c>
      <c r="P172" s="305">
        <f t="shared" si="79"/>
        <v>0</v>
      </c>
      <c r="Q172" s="229"/>
    </row>
    <row r="173" spans="1:18" ht="15" customHeight="1" x14ac:dyDescent="0.25">
      <c r="A173" s="517"/>
      <c r="B173" s="579"/>
      <c r="C173" s="129" t="str">
        <f t="shared" si="76"/>
        <v>6225-20</v>
      </c>
      <c r="D173" s="495" t="s">
        <v>405</v>
      </c>
      <c r="E173" s="725"/>
      <c r="F173" s="702">
        <v>10</v>
      </c>
      <c r="G173" s="725"/>
      <c r="H173" s="496">
        <v>200</v>
      </c>
      <c r="I173" s="494">
        <f t="shared" si="72"/>
        <v>2000</v>
      </c>
      <c r="J173" s="485">
        <f t="shared" ca="1" si="73"/>
        <v>0</v>
      </c>
      <c r="K173" s="485">
        <f t="shared" ca="1" si="77"/>
        <v>2000</v>
      </c>
      <c r="L173" s="556">
        <v>2000</v>
      </c>
      <c r="M173" s="51">
        <f t="shared" si="57"/>
        <v>0</v>
      </c>
      <c r="N173" s="3" t="s">
        <v>245</v>
      </c>
      <c r="O173" s="59">
        <f t="shared" ref="O173:O175" si="80">I173-L173</f>
        <v>0</v>
      </c>
      <c r="P173" s="305">
        <f t="shared" si="79"/>
        <v>0</v>
      </c>
      <c r="Q173" s="229"/>
    </row>
    <row r="174" spans="1:18" ht="15" customHeight="1" x14ac:dyDescent="0.25">
      <c r="A174" s="518"/>
      <c r="B174" s="573"/>
      <c r="C174" s="133" t="str">
        <f t="shared" si="76"/>
        <v>6225-21</v>
      </c>
      <c r="D174" s="487" t="s">
        <v>406</v>
      </c>
      <c r="E174" s="707"/>
      <c r="F174" s="699">
        <v>1</v>
      </c>
      <c r="G174" s="707"/>
      <c r="H174" s="481">
        <f>8500+1300</f>
        <v>9800</v>
      </c>
      <c r="I174" s="493">
        <f t="shared" si="72"/>
        <v>9800</v>
      </c>
      <c r="J174" s="493">
        <f t="shared" ca="1" si="73"/>
        <v>0</v>
      </c>
      <c r="K174" s="493">
        <f t="shared" ca="1" si="77"/>
        <v>9800</v>
      </c>
      <c r="L174" s="395">
        <v>9800</v>
      </c>
      <c r="M174" s="51">
        <f t="shared" si="57"/>
        <v>0</v>
      </c>
      <c r="N174" s="3" t="s">
        <v>245</v>
      </c>
      <c r="O174" s="59">
        <f t="shared" si="80"/>
        <v>0</v>
      </c>
      <c r="P174" s="305">
        <f t="shared" si="79"/>
        <v>0</v>
      </c>
      <c r="Q174" s="229"/>
    </row>
    <row r="175" spans="1:18" ht="15" customHeight="1" x14ac:dyDescent="0.25">
      <c r="A175" s="517"/>
      <c r="B175" s="579"/>
      <c r="C175" s="129" t="str">
        <f t="shared" si="76"/>
        <v>6225-22</v>
      </c>
      <c r="D175" s="483" t="s">
        <v>407</v>
      </c>
      <c r="E175" s="802"/>
      <c r="F175" s="706">
        <v>1</v>
      </c>
      <c r="G175" s="802"/>
      <c r="H175" s="496">
        <v>2000</v>
      </c>
      <c r="I175" s="494">
        <f t="shared" si="72"/>
        <v>2000</v>
      </c>
      <c r="J175" s="485">
        <f t="shared" ca="1" si="73"/>
        <v>0</v>
      </c>
      <c r="K175" s="485">
        <f t="shared" ca="1" si="77"/>
        <v>2000</v>
      </c>
      <c r="L175" s="556">
        <v>2000</v>
      </c>
      <c r="M175" s="51">
        <f t="shared" si="57"/>
        <v>0</v>
      </c>
      <c r="N175" s="3" t="s">
        <v>245</v>
      </c>
      <c r="O175" s="59">
        <f t="shared" si="80"/>
        <v>0</v>
      </c>
      <c r="P175" s="305">
        <f t="shared" si="79"/>
        <v>0</v>
      </c>
      <c r="Q175" s="229"/>
    </row>
    <row r="176" spans="1:18" ht="15" customHeight="1" x14ac:dyDescent="0.25">
      <c r="A176" s="518"/>
      <c r="B176" s="574"/>
      <c r="C176" s="133" t="str">
        <f t="shared" si="76"/>
        <v>6225-23</v>
      </c>
      <c r="D176" s="518" t="s">
        <v>408</v>
      </c>
      <c r="E176" s="703"/>
      <c r="F176" s="701">
        <v>12</v>
      </c>
      <c r="G176" s="703"/>
      <c r="H176" s="516">
        <v>420</v>
      </c>
      <c r="I176" s="493">
        <f t="shared" si="72"/>
        <v>5040</v>
      </c>
      <c r="J176" s="493">
        <f t="shared" ca="1" si="73"/>
        <v>0</v>
      </c>
      <c r="K176" s="493">
        <f t="shared" ca="1" si="77"/>
        <v>5040</v>
      </c>
      <c r="L176" s="516">
        <v>5040</v>
      </c>
      <c r="M176" s="51">
        <f t="shared" si="57"/>
        <v>0</v>
      </c>
      <c r="N176" s="3" t="s">
        <v>245</v>
      </c>
      <c r="O176" s="59">
        <f t="shared" ref="O176:O180" si="81">I176-L176</f>
        <v>0</v>
      </c>
      <c r="P176" s="305">
        <f t="shared" si="79"/>
        <v>0</v>
      </c>
      <c r="Q176" s="117"/>
    </row>
    <row r="177" spans="1:17" ht="15" customHeight="1" x14ac:dyDescent="0.25">
      <c r="A177" s="517"/>
      <c r="B177" s="580"/>
      <c r="C177" s="129" t="str">
        <f t="shared" si="76"/>
        <v>6225-24</v>
      </c>
      <c r="D177" s="489" t="s">
        <v>409</v>
      </c>
      <c r="E177" s="712"/>
      <c r="F177" s="700">
        <v>1</v>
      </c>
      <c r="G177" s="712"/>
      <c r="H177" s="490">
        <v>2800</v>
      </c>
      <c r="I177" s="494">
        <f t="shared" si="72"/>
        <v>2800</v>
      </c>
      <c r="J177" s="485">
        <f t="shared" ca="1" si="73"/>
        <v>0</v>
      </c>
      <c r="K177" s="485">
        <f t="shared" ca="1" si="77"/>
        <v>2800</v>
      </c>
      <c r="L177" s="541">
        <v>2800</v>
      </c>
      <c r="M177" s="51">
        <f t="shared" si="57"/>
        <v>0</v>
      </c>
      <c r="N177" s="3" t="s">
        <v>245</v>
      </c>
      <c r="O177" s="59">
        <f t="shared" si="81"/>
        <v>0</v>
      </c>
      <c r="P177" s="305">
        <f t="shared" si="79"/>
        <v>0</v>
      </c>
      <c r="Q177" s="229"/>
    </row>
    <row r="178" spans="1:17" ht="15" customHeight="1" x14ac:dyDescent="0.25">
      <c r="A178" s="518"/>
      <c r="B178" s="576"/>
      <c r="C178" s="133" t="str">
        <f t="shared" si="76"/>
        <v>6225-25</v>
      </c>
      <c r="D178" s="491" t="s">
        <v>410</v>
      </c>
      <c r="E178" s="719"/>
      <c r="F178" s="705">
        <v>1</v>
      </c>
      <c r="G178" s="719"/>
      <c r="H178" s="516">
        <v>6800</v>
      </c>
      <c r="I178" s="493">
        <f t="shared" si="72"/>
        <v>6800</v>
      </c>
      <c r="J178" s="493">
        <f t="shared" ca="1" si="73"/>
        <v>0</v>
      </c>
      <c r="K178" s="493">
        <f t="shared" ca="1" si="77"/>
        <v>6800</v>
      </c>
      <c r="L178" s="539">
        <v>6800</v>
      </c>
      <c r="M178" s="51">
        <f t="shared" si="57"/>
        <v>0</v>
      </c>
      <c r="N178" s="3" t="s">
        <v>245</v>
      </c>
      <c r="O178" s="59">
        <f t="shared" si="81"/>
        <v>0</v>
      </c>
      <c r="P178" s="305">
        <f t="shared" si="79"/>
        <v>0</v>
      </c>
      <c r="Q178" s="229"/>
    </row>
    <row r="179" spans="1:17" ht="15" customHeight="1" x14ac:dyDescent="0.25">
      <c r="A179" s="517"/>
      <c r="B179" s="575"/>
      <c r="C179" s="129" t="str">
        <f t="shared" si="76"/>
        <v>6225-26</v>
      </c>
      <c r="D179" s="512" t="s">
        <v>411</v>
      </c>
      <c r="E179" s="727"/>
      <c r="F179" s="720">
        <v>1</v>
      </c>
      <c r="G179" s="727"/>
      <c r="H179" s="490">
        <v>2120</v>
      </c>
      <c r="I179" s="494">
        <f t="shared" si="72"/>
        <v>2120</v>
      </c>
      <c r="J179" s="485">
        <f t="shared" ca="1" si="73"/>
        <v>0</v>
      </c>
      <c r="K179" s="485">
        <f t="shared" ca="1" si="77"/>
        <v>2120</v>
      </c>
      <c r="L179" s="541">
        <v>2120</v>
      </c>
      <c r="M179" s="51">
        <f t="shared" si="57"/>
        <v>0</v>
      </c>
      <c r="N179" s="3" t="s">
        <v>245</v>
      </c>
      <c r="O179" s="59">
        <f t="shared" si="81"/>
        <v>0</v>
      </c>
      <c r="P179" s="305">
        <f t="shared" si="79"/>
        <v>0</v>
      </c>
      <c r="Q179" s="301"/>
    </row>
    <row r="180" spans="1:17" ht="15" customHeight="1" thickBot="1" x14ac:dyDescent="0.3">
      <c r="B180" s="583"/>
      <c r="C180" s="85"/>
      <c r="D180" s="497" t="s">
        <v>106</v>
      </c>
      <c r="E180" s="498"/>
      <c r="F180" s="498"/>
      <c r="G180" s="397"/>
      <c r="H180" s="499">
        <f>(I180-L180)/L180</f>
        <v>7.9214195183776931E-4</v>
      </c>
      <c r="I180" s="501">
        <f>SUM(I154:I179)</f>
        <v>189510</v>
      </c>
      <c r="J180" s="501">
        <f ca="1">SUM(J154:J179)</f>
        <v>0</v>
      </c>
      <c r="K180" s="501">
        <f ca="1">SUM(K154:K179)</f>
        <v>187410</v>
      </c>
      <c r="L180" s="549">
        <f>SUM(L154:L179)</f>
        <v>189360</v>
      </c>
      <c r="M180" s="51">
        <f t="shared" si="57"/>
        <v>150</v>
      </c>
      <c r="O180" s="59">
        <f t="shared" si="81"/>
        <v>150</v>
      </c>
      <c r="P180" s="305">
        <f t="shared" si="79"/>
        <v>7.9214195183776931E-4</v>
      </c>
      <c r="Q180" s="229"/>
    </row>
    <row r="181" spans="1:17" ht="10.5" customHeight="1" thickTop="1" x14ac:dyDescent="0.25">
      <c r="B181" s="47"/>
      <c r="C181" s="133"/>
      <c r="D181" s="65"/>
      <c r="E181" s="66"/>
      <c r="F181" s="66"/>
      <c r="G181" s="18"/>
      <c r="H181" s="90"/>
      <c r="I181" s="82"/>
      <c r="J181" s="82"/>
      <c r="K181" s="82"/>
      <c r="L181" s="87"/>
      <c r="M181" s="51">
        <f t="shared" si="57"/>
        <v>0</v>
      </c>
      <c r="O181" s="51"/>
      <c r="P181" s="305"/>
      <c r="Q181" s="229"/>
    </row>
    <row r="182" spans="1:17" ht="19.5" customHeight="1" x14ac:dyDescent="0.3">
      <c r="A182" s="1116" t="s">
        <v>412</v>
      </c>
      <c r="B182" s="1116"/>
      <c r="C182" s="1116"/>
      <c r="D182" s="1116"/>
      <c r="E182" s="1116"/>
      <c r="F182" s="1116"/>
      <c r="G182" s="1116"/>
      <c r="H182" s="1116"/>
      <c r="I182" s="1116"/>
      <c r="J182" s="1116"/>
      <c r="K182" s="1116"/>
      <c r="L182" s="1116"/>
      <c r="M182" s="51">
        <f t="shared" si="57"/>
        <v>0</v>
      </c>
      <c r="O182" s="51"/>
      <c r="P182" s="305"/>
      <c r="Q182" s="229"/>
    </row>
    <row r="183" spans="1:17" ht="15" customHeight="1" x14ac:dyDescent="0.25">
      <c r="A183" s="480"/>
      <c r="B183" s="597" t="s">
        <v>413</v>
      </c>
      <c r="C183" s="131" t="str">
        <f>LEFT($A182,4)&amp;"-1"</f>
        <v>6235-1</v>
      </c>
      <c r="D183" s="414" t="s">
        <v>414</v>
      </c>
      <c r="E183" s="759"/>
      <c r="F183" s="488"/>
      <c r="G183" s="546">
        <v>12</v>
      </c>
      <c r="H183" s="488">
        <v>1500</v>
      </c>
      <c r="I183" s="482">
        <f>SUM((E183+F183+G183)*H183)</f>
        <v>18000</v>
      </c>
      <c r="J183" s="488">
        <f ca="1">-(SUMIF(INDIRECT(LEFT($A$182,4)&amp;"!i3:i200"),"="&amp;C183&amp;" *",INDIRECT(LEFT($A$182,4)&amp;"!k3:k200")))</f>
        <v>0</v>
      </c>
      <c r="K183" s="596">
        <f t="shared" ref="K183:K184" ca="1" si="82">SUM(I183:J183)</f>
        <v>18000</v>
      </c>
      <c r="L183" s="482">
        <v>16500</v>
      </c>
      <c r="M183" s="51">
        <f t="shared" si="57"/>
        <v>1500</v>
      </c>
      <c r="O183" s="59">
        <f t="shared" ref="O183:O185" si="83">I183-L183</f>
        <v>1500</v>
      </c>
      <c r="P183" s="305">
        <f t="shared" si="79"/>
        <v>9.0909090909090912E-2</v>
      </c>
      <c r="Q183" s="229"/>
    </row>
    <row r="184" spans="1:17" ht="15" customHeight="1" x14ac:dyDescent="0.25">
      <c r="A184" s="508"/>
      <c r="B184" s="760" t="s">
        <v>415</v>
      </c>
      <c r="C184" s="107" t="str">
        <f t="shared" ref="C184" si="84">LEFT($C183,4)&amp;"-"&amp;VALUE(MID($C183,FIND("-",$C183)+1,256))+1</f>
        <v>6235-2</v>
      </c>
      <c r="D184" s="634" t="s">
        <v>416</v>
      </c>
      <c r="E184" s="555"/>
      <c r="F184" s="564"/>
      <c r="G184" s="634">
        <v>1</v>
      </c>
      <c r="H184" s="484">
        <v>1000</v>
      </c>
      <c r="I184" s="494">
        <f>SUM((E184+F184+G184)*H184)</f>
        <v>1000</v>
      </c>
      <c r="J184" s="494">
        <f ca="1">-(SUMIF(INDIRECT(LEFT($A$182,4)&amp;"!i3:i200"),"="&amp;C184&amp;" *",INDIRECT(LEFT($A$182,4)&amp;"!k3:k200")))</f>
        <v>0</v>
      </c>
      <c r="K184" s="494">
        <f t="shared" ca="1" si="82"/>
        <v>1000</v>
      </c>
      <c r="L184" s="556">
        <v>1000</v>
      </c>
      <c r="M184" s="51">
        <f t="shared" si="57"/>
        <v>0</v>
      </c>
      <c r="O184" s="59">
        <f t="shared" si="83"/>
        <v>0</v>
      </c>
      <c r="P184" s="305">
        <f t="shared" si="79"/>
        <v>0</v>
      </c>
      <c r="Q184" s="229"/>
    </row>
    <row r="185" spans="1:17" ht="15" customHeight="1" thickBot="1" x14ac:dyDescent="0.3">
      <c r="B185" s="108"/>
      <c r="C185" s="133"/>
      <c r="D185" s="497" t="s">
        <v>106</v>
      </c>
      <c r="E185" s="546"/>
      <c r="F185" s="529"/>
      <c r="G185" s="397"/>
      <c r="H185" s="499">
        <f>(I185-L185)/L185</f>
        <v>8.5714285714285715E-2</v>
      </c>
      <c r="I185" s="501">
        <f>SUM(I183:I184)</f>
        <v>19000</v>
      </c>
      <c r="J185" s="501">
        <f ca="1">SUM(J183:J184)</f>
        <v>0</v>
      </c>
      <c r="K185" s="501">
        <f ca="1">SUM(K183:K184)</f>
        <v>19000</v>
      </c>
      <c r="L185" s="501">
        <f>SUM(L183:L184)</f>
        <v>17500</v>
      </c>
      <c r="M185" s="51">
        <f t="shared" si="57"/>
        <v>1500</v>
      </c>
      <c r="O185" s="59">
        <f t="shared" si="83"/>
        <v>1500</v>
      </c>
      <c r="P185" s="305">
        <f t="shared" si="79"/>
        <v>8.5714285714285715E-2</v>
      </c>
      <c r="Q185" s="229"/>
    </row>
    <row r="186" spans="1:17" ht="10.5" customHeight="1" thickTop="1" x14ac:dyDescent="0.25">
      <c r="B186" s="108"/>
      <c r="C186" s="133"/>
      <c r="D186" s="497"/>
      <c r="E186" s="546"/>
      <c r="F186" s="529"/>
      <c r="G186" s="423"/>
      <c r="H186" s="481"/>
      <c r="I186" s="521"/>
      <c r="J186" s="521"/>
      <c r="K186" s="521"/>
      <c r="L186" s="521"/>
      <c r="M186" s="51">
        <f t="shared" si="57"/>
        <v>0</v>
      </c>
      <c r="O186" s="51"/>
      <c r="P186" s="305"/>
      <c r="Q186" s="229"/>
    </row>
    <row r="187" spans="1:17" ht="19.5" customHeight="1" x14ac:dyDescent="0.3">
      <c r="A187" s="1116" t="s">
        <v>417</v>
      </c>
      <c r="B187" s="1116"/>
      <c r="C187" s="1116"/>
      <c r="D187" s="1116"/>
      <c r="E187" s="1116"/>
      <c r="F187" s="1116"/>
      <c r="G187" s="1116"/>
      <c r="H187" s="1116"/>
      <c r="I187" s="1116"/>
      <c r="J187" s="1116"/>
      <c r="K187" s="1116"/>
      <c r="L187" s="1116"/>
      <c r="M187" s="51">
        <f t="shared" si="57"/>
        <v>0</v>
      </c>
      <c r="O187" s="51"/>
      <c r="P187" s="305"/>
      <c r="Q187" s="229"/>
    </row>
    <row r="188" spans="1:17" ht="26.25" customHeight="1" x14ac:dyDescent="0.25">
      <c r="B188" s="597"/>
      <c r="C188" s="133" t="str">
        <f>LEFT($A187,4)&amp;"-1"</f>
        <v>6236-1</v>
      </c>
      <c r="D188" s="599" t="s">
        <v>685</v>
      </c>
      <c r="E188" s="599"/>
      <c r="F188" s="599"/>
      <c r="G188" s="600">
        <v>9</v>
      </c>
      <c r="H188" s="596">
        <v>1000</v>
      </c>
      <c r="I188" s="482">
        <f>SUM(E188+F188+G188)*H188</f>
        <v>9000</v>
      </c>
      <c r="J188" s="482">
        <f ca="1">-(SUMIF(INDIRECT(LEFT($A$187,4)&amp;"!i3:i200"),"="&amp;C188&amp;" *",INDIRECT(LEFT($A$187,4)&amp;"!k3:k200")))</f>
        <v>0</v>
      </c>
      <c r="K188" s="482">
        <f ca="1">SUM(I188:J188)</f>
        <v>9000</v>
      </c>
      <c r="L188" s="482">
        <v>9000</v>
      </c>
      <c r="M188" s="51">
        <f t="shared" si="57"/>
        <v>0</v>
      </c>
      <c r="O188" s="59">
        <f>I188-L188</f>
        <v>0</v>
      </c>
      <c r="P188" s="305">
        <f t="shared" si="79"/>
        <v>0</v>
      </c>
      <c r="Q188" s="229"/>
    </row>
    <row r="189" spans="1:17" ht="23.25" x14ac:dyDescent="0.25">
      <c r="A189" s="801"/>
      <c r="B189" s="833" t="s">
        <v>418</v>
      </c>
      <c r="C189" s="129" t="str">
        <f>LEFT($C188,4)&amp;"-"&amp;VALUE(MID($C188,FIND("-",$C188)+1,256))+1</f>
        <v>6236-2</v>
      </c>
      <c r="D189" s="834" t="s">
        <v>419</v>
      </c>
      <c r="E189" s="834"/>
      <c r="F189" s="834"/>
      <c r="G189" s="835">
        <v>1</v>
      </c>
      <c r="H189" s="836">
        <v>175000</v>
      </c>
      <c r="I189" s="485">
        <f>SUM(E189+F189+G189)*H189</f>
        <v>175000</v>
      </c>
      <c r="J189" s="485"/>
      <c r="K189" s="485"/>
      <c r="L189" s="485">
        <v>175000</v>
      </c>
      <c r="M189" s="51">
        <f t="shared" si="57"/>
        <v>0</v>
      </c>
      <c r="O189" s="59"/>
      <c r="P189" s="305"/>
      <c r="Q189" s="229"/>
    </row>
    <row r="190" spans="1:17" ht="15" customHeight="1" thickBot="1" x14ac:dyDescent="0.3">
      <c r="B190" s="598"/>
      <c r="C190" s="85"/>
      <c r="D190" s="599"/>
      <c r="E190" s="599"/>
      <c r="F190" s="599"/>
      <c r="G190" s="397"/>
      <c r="H190" s="499">
        <f>(I190-L190)/L190</f>
        <v>0</v>
      </c>
      <c r="I190" s="501">
        <f>SUM(I188:I189)</f>
        <v>184000</v>
      </c>
      <c r="J190" s="501">
        <f t="shared" ref="J190:K190" ca="1" si="85">SUM(J188)</f>
        <v>0</v>
      </c>
      <c r="K190" s="501">
        <f t="shared" ca="1" si="85"/>
        <v>9000</v>
      </c>
      <c r="L190" s="601">
        <f>SUM(L188:L189)</f>
        <v>184000</v>
      </c>
      <c r="M190" s="51">
        <f t="shared" si="57"/>
        <v>0</v>
      </c>
      <c r="O190" s="59"/>
      <c r="P190" s="305">
        <f t="shared" si="79"/>
        <v>0</v>
      </c>
      <c r="Q190" s="229"/>
    </row>
    <row r="191" spans="1:17" ht="9.75" customHeight="1" thickTop="1" x14ac:dyDescent="0.25">
      <c r="B191" s="583"/>
      <c r="C191" s="131"/>
      <c r="D191" s="534"/>
      <c r="E191" s="546"/>
      <c r="F191" s="529"/>
      <c r="G191" s="546"/>
      <c r="H191" s="488"/>
      <c r="I191" s="482"/>
      <c r="J191" s="482"/>
      <c r="K191" s="482"/>
      <c r="L191" s="482"/>
      <c r="M191" s="51">
        <f t="shared" si="57"/>
        <v>0</v>
      </c>
      <c r="O191" s="59"/>
      <c r="P191" s="305"/>
      <c r="Q191" s="229"/>
    </row>
    <row r="192" spans="1:17" ht="19.5" customHeight="1" x14ac:dyDescent="0.3">
      <c r="A192" s="1116" t="s">
        <v>420</v>
      </c>
      <c r="B192" s="1116"/>
      <c r="C192" s="1116"/>
      <c r="D192" s="1116"/>
      <c r="E192" s="1116"/>
      <c r="F192" s="1116"/>
      <c r="G192" s="1116"/>
      <c r="H192" s="1116"/>
      <c r="I192" s="1116"/>
      <c r="J192" s="1116"/>
      <c r="K192" s="1116"/>
      <c r="L192" s="1116"/>
      <c r="M192" s="51">
        <f t="shared" si="57"/>
        <v>0</v>
      </c>
      <c r="O192" s="59"/>
      <c r="P192" s="305"/>
      <c r="Q192" s="229"/>
    </row>
    <row r="193" spans="1:19" s="983" customFormat="1" ht="15" customHeight="1" x14ac:dyDescent="0.25">
      <c r="A193" s="1005"/>
      <c r="B193" s="1006" t="s">
        <v>662</v>
      </c>
      <c r="C193" s="1009" t="str">
        <f>LEFT($A192,4)&amp;"-1"</f>
        <v>6240-1</v>
      </c>
      <c r="D193" s="1010" t="s">
        <v>421</v>
      </c>
      <c r="E193" s="1011">
        <v>1</v>
      </c>
      <c r="F193" s="1012"/>
      <c r="G193" s="1011"/>
      <c r="H193" s="992">
        <v>895</v>
      </c>
      <c r="I193" s="981">
        <f t="shared" ref="I193:I206" si="86">(E193+F193+G193)*H193</f>
        <v>895</v>
      </c>
      <c r="J193" s="981">
        <f t="shared" ref="J193:J198" ca="1" si="87">-(SUMIF(INDIRECT(LEFT($A$192,4)&amp;"!i3:i200"),"="&amp;C193&amp;" *",INDIRECT(LEFT($A$192,4)&amp;"!k3:k200")))</f>
        <v>0</v>
      </c>
      <c r="K193" s="981">
        <f ca="1">SUM(I193:J193)</f>
        <v>895</v>
      </c>
      <c r="L193" s="1007">
        <v>400</v>
      </c>
      <c r="M193" s="51">
        <f t="shared" si="57"/>
        <v>495</v>
      </c>
      <c r="N193" s="984" t="s">
        <v>229</v>
      </c>
      <c r="O193" s="985">
        <f t="shared" ref="O193:O228" si="88">I193-L193</f>
        <v>495</v>
      </c>
      <c r="P193" s="305">
        <f t="shared" si="79"/>
        <v>1.2375</v>
      </c>
      <c r="Q193" s="986"/>
      <c r="R193" s="993" t="s">
        <v>652</v>
      </c>
    </row>
    <row r="194" spans="1:19" s="983" customFormat="1" ht="15" customHeight="1" x14ac:dyDescent="0.25">
      <c r="A194" s="514"/>
      <c r="B194" s="579"/>
      <c r="C194" s="129" t="str">
        <f t="shared" ref="C194:C224" si="89">LEFT($C193,4)&amp;"-"&amp;VALUE(MID($C193,FIND("-",$C193)+1,256))+1</f>
        <v>6240-2</v>
      </c>
      <c r="D194" s="495" t="s">
        <v>422</v>
      </c>
      <c r="E194" s="563">
        <v>1</v>
      </c>
      <c r="F194" s="558"/>
      <c r="G194" s="563"/>
      <c r="H194" s="496">
        <v>100</v>
      </c>
      <c r="I194" s="494">
        <f t="shared" si="86"/>
        <v>100</v>
      </c>
      <c r="J194" s="485">
        <f t="shared" ca="1" si="87"/>
        <v>0</v>
      </c>
      <c r="K194" s="485">
        <f ca="1">SUM(I194:J194)</f>
        <v>100</v>
      </c>
      <c r="L194" s="556">
        <v>100</v>
      </c>
      <c r="M194" s="51">
        <f t="shared" si="57"/>
        <v>0</v>
      </c>
      <c r="N194" s="984" t="s">
        <v>229</v>
      </c>
      <c r="O194" s="985">
        <f t="shared" si="88"/>
        <v>0</v>
      </c>
      <c r="P194" s="305">
        <f t="shared" si="79"/>
        <v>0</v>
      </c>
      <c r="Q194" s="986"/>
      <c r="R194" s="993" t="s">
        <v>652</v>
      </c>
    </row>
    <row r="195" spans="1:19" ht="15" customHeight="1" x14ac:dyDescent="0.25">
      <c r="A195" s="480"/>
      <c r="B195" s="574"/>
      <c r="C195" s="133" t="str">
        <f t="shared" si="89"/>
        <v>6240-3</v>
      </c>
      <c r="D195" s="515" t="s">
        <v>423</v>
      </c>
      <c r="E195" s="566">
        <v>1</v>
      </c>
      <c r="F195" s="544"/>
      <c r="G195" s="566"/>
      <c r="H195" s="516">
        <v>4620</v>
      </c>
      <c r="I195" s="493">
        <f>(E195+F195+G195)*H195</f>
        <v>4620</v>
      </c>
      <c r="J195" s="482">
        <f t="shared" ca="1" si="87"/>
        <v>0</v>
      </c>
      <c r="K195" s="482">
        <f ca="1">SUM(I195:J195)</f>
        <v>4620</v>
      </c>
      <c r="L195" s="539">
        <v>4200</v>
      </c>
      <c r="M195" s="51">
        <f t="shared" si="57"/>
        <v>420</v>
      </c>
      <c r="N195" s="121" t="s">
        <v>263</v>
      </c>
      <c r="O195" s="59">
        <f>I195-L195</f>
        <v>420</v>
      </c>
      <c r="P195" s="305"/>
      <c r="R195" s="738" t="s">
        <v>606</v>
      </c>
    </row>
    <row r="196" spans="1:19" ht="15" customHeight="1" x14ac:dyDescent="0.25">
      <c r="A196" s="508"/>
      <c r="B196" s="582"/>
      <c r="C196" s="132" t="str">
        <f t="shared" si="89"/>
        <v>6240-4</v>
      </c>
      <c r="D196" s="604" t="s">
        <v>424</v>
      </c>
      <c r="E196" s="605"/>
      <c r="F196" s="606"/>
      <c r="G196" s="605">
        <v>1</v>
      </c>
      <c r="H196" s="607">
        <v>200</v>
      </c>
      <c r="I196" s="524">
        <f t="shared" si="86"/>
        <v>200</v>
      </c>
      <c r="J196" s="524">
        <f t="shared" ca="1" si="87"/>
        <v>0</v>
      </c>
      <c r="K196" s="524">
        <f t="shared" ref="K196:K224" ca="1" si="90">SUM(I196:J196)</f>
        <v>200</v>
      </c>
      <c r="L196" s="547">
        <v>200</v>
      </c>
      <c r="M196" s="51">
        <f t="shared" si="57"/>
        <v>0</v>
      </c>
      <c r="N196" s="121" t="s">
        <v>226</v>
      </c>
      <c r="O196" s="59">
        <f t="shared" si="88"/>
        <v>0</v>
      </c>
      <c r="P196" s="305">
        <f t="shared" si="79"/>
        <v>0</v>
      </c>
      <c r="Q196" s="229"/>
    </row>
    <row r="197" spans="1:19" ht="15" customHeight="1" x14ac:dyDescent="0.25">
      <c r="A197" s="480"/>
      <c r="B197" s="574"/>
      <c r="C197" s="133" t="str">
        <f t="shared" si="89"/>
        <v>6240-5</v>
      </c>
      <c r="D197" s="526" t="s">
        <v>425</v>
      </c>
      <c r="E197" s="546"/>
      <c r="F197" s="538"/>
      <c r="G197" s="548">
        <v>1</v>
      </c>
      <c r="H197" s="516">
        <v>200</v>
      </c>
      <c r="I197" s="493">
        <f t="shared" si="86"/>
        <v>200</v>
      </c>
      <c r="J197" s="482">
        <f t="shared" ca="1" si="87"/>
        <v>0</v>
      </c>
      <c r="K197" s="482">
        <f t="shared" ca="1" si="90"/>
        <v>200</v>
      </c>
      <c r="L197" s="539">
        <v>200</v>
      </c>
      <c r="M197" s="51">
        <f t="shared" ref="M197:M262" si="91">I197-L197</f>
        <v>0</v>
      </c>
      <c r="N197" s="121" t="s">
        <v>226</v>
      </c>
      <c r="O197" s="59">
        <f t="shared" si="88"/>
        <v>0</v>
      </c>
      <c r="P197" s="305"/>
      <c r="Q197" s="229"/>
    </row>
    <row r="198" spans="1:19" ht="15" customHeight="1" x14ac:dyDescent="0.25">
      <c r="A198" s="541"/>
      <c r="B198" s="541"/>
      <c r="C198" s="541" t="str">
        <f t="shared" si="89"/>
        <v>6240-6</v>
      </c>
      <c r="D198" s="541" t="s">
        <v>686</v>
      </c>
      <c r="E198" s="1017">
        <v>3</v>
      </c>
      <c r="F198" s="541"/>
      <c r="G198" s="541"/>
      <c r="H198" s="541">
        <v>5000</v>
      </c>
      <c r="I198" s="494">
        <f t="shared" si="86"/>
        <v>15000</v>
      </c>
      <c r="J198" s="541">
        <f t="shared" ca="1" si="87"/>
        <v>0</v>
      </c>
      <c r="K198" s="541">
        <f t="shared" ca="1" si="90"/>
        <v>15000</v>
      </c>
      <c r="L198" s="541">
        <v>10000</v>
      </c>
      <c r="M198" s="51">
        <f t="shared" si="91"/>
        <v>5000</v>
      </c>
      <c r="N198" s="121" t="s">
        <v>361</v>
      </c>
      <c r="O198" s="59"/>
      <c r="P198" s="305"/>
      <c r="Q198" s="229"/>
      <c r="R198" s="743"/>
    </row>
    <row r="199" spans="1:19" ht="15" customHeight="1" x14ac:dyDescent="0.25">
      <c r="A199" s="1022"/>
      <c r="B199" s="1022"/>
      <c r="C199" s="990" t="str">
        <f t="shared" si="89"/>
        <v>6240-7</v>
      </c>
      <c r="D199" s="974" t="s">
        <v>426</v>
      </c>
      <c r="E199" s="1013">
        <v>8</v>
      </c>
      <c r="F199" s="1014"/>
      <c r="G199" s="1013">
        <v>2</v>
      </c>
      <c r="H199" s="979">
        <f>(514.51*12)*103%</f>
        <v>6359.3436000000002</v>
      </c>
      <c r="I199" s="980">
        <f t="shared" si="86"/>
        <v>63593.436000000002</v>
      </c>
      <c r="J199" s="981">
        <f ca="1">-(SUMIF(INDIRECT(LEFT($A$192,4)&amp;"!i3:i200"),"="&amp;C199&amp;" *",INDIRECT(LEFT($A$192,4)&amp;"!k3:k200")))</f>
        <v>0</v>
      </c>
      <c r="K199" s="981">
        <f t="shared" ca="1" si="90"/>
        <v>63593.436000000002</v>
      </c>
      <c r="L199" s="982">
        <v>47031.32</v>
      </c>
      <c r="M199" s="51">
        <f t="shared" si="91"/>
        <v>16562.116000000002</v>
      </c>
      <c r="N199" s="121" t="s">
        <v>263</v>
      </c>
      <c r="O199" s="59">
        <f>I199-L199</f>
        <v>16562.116000000002</v>
      </c>
      <c r="P199" s="305">
        <f t="shared" si="79"/>
        <v>0.35215077952309232</v>
      </c>
      <c r="Q199" s="301"/>
      <c r="R199" s="739" t="s">
        <v>621</v>
      </c>
      <c r="S199" s="988" t="s">
        <v>622</v>
      </c>
    </row>
    <row r="200" spans="1:19" ht="15" customHeight="1" x14ac:dyDescent="0.25">
      <c r="A200" s="517"/>
      <c r="B200" s="603"/>
      <c r="C200" s="129" t="str">
        <f t="shared" si="89"/>
        <v>6240-8</v>
      </c>
      <c r="D200" s="514" t="s">
        <v>427</v>
      </c>
      <c r="E200" s="563">
        <v>1</v>
      </c>
      <c r="F200" s="558"/>
      <c r="G200" s="563"/>
      <c r="H200" s="496">
        <v>3339</v>
      </c>
      <c r="I200" s="494">
        <f t="shared" si="86"/>
        <v>3339</v>
      </c>
      <c r="J200" s="485">
        <f ca="1">-(SUMIF(INDIRECT(LEFT($A$192,4)&amp;"!i3:i200"),"="&amp;C200&amp;" *",INDIRECT(LEFT($A$192,4)&amp;"!k3:k200")))</f>
        <v>0</v>
      </c>
      <c r="K200" s="485">
        <f t="shared" ca="1" si="90"/>
        <v>3339</v>
      </c>
      <c r="L200" s="556">
        <v>3049.5</v>
      </c>
      <c r="M200" s="51">
        <f t="shared" si="91"/>
        <v>289.5</v>
      </c>
      <c r="N200" s="121" t="s">
        <v>263</v>
      </c>
      <c r="O200" s="59"/>
      <c r="P200" s="305"/>
      <c r="Q200" s="301"/>
      <c r="R200" s="739" t="s">
        <v>607</v>
      </c>
    </row>
    <row r="201" spans="1:19" ht="15" customHeight="1" x14ac:dyDescent="0.25">
      <c r="A201" s="518"/>
      <c r="B201" s="573"/>
      <c r="C201" s="133" t="str">
        <f t="shared" si="89"/>
        <v>6240-9</v>
      </c>
      <c r="D201" s="487" t="s">
        <v>428</v>
      </c>
      <c r="E201" s="529"/>
      <c r="F201" s="847"/>
      <c r="G201" s="848">
        <v>1</v>
      </c>
      <c r="H201" s="481">
        <v>3000</v>
      </c>
      <c r="I201" s="482">
        <f t="shared" si="86"/>
        <v>3000</v>
      </c>
      <c r="J201" s="482">
        <f ca="1">-(SUMIF(INDIRECT(LEFT($A$192,4)&amp;"!i3:i200"),"="&amp;C201&amp;" *",INDIRECT(LEFT($A$192,4)&amp;"!k3:k200")))</f>
        <v>0</v>
      </c>
      <c r="K201" s="482">
        <f t="shared" ca="1" si="90"/>
        <v>3000</v>
      </c>
      <c r="L201" s="395">
        <v>3000</v>
      </c>
      <c r="M201" s="51">
        <f t="shared" si="91"/>
        <v>0</v>
      </c>
      <c r="N201" s="121" t="s">
        <v>226</v>
      </c>
      <c r="O201" s="59">
        <f t="shared" si="88"/>
        <v>0</v>
      </c>
      <c r="P201" s="305">
        <f t="shared" si="79"/>
        <v>0</v>
      </c>
      <c r="Q201" s="229"/>
    </row>
    <row r="202" spans="1:19" ht="15" customHeight="1" x14ac:dyDescent="0.25">
      <c r="A202" s="517"/>
      <c r="B202" s="579"/>
      <c r="C202" s="129" t="str">
        <f t="shared" si="89"/>
        <v>6240-10</v>
      </c>
      <c r="D202" s="483" t="s">
        <v>429</v>
      </c>
      <c r="E202" s="564">
        <v>1</v>
      </c>
      <c r="F202" s="564"/>
      <c r="G202" s="555"/>
      <c r="H202" s="496">
        <v>3450</v>
      </c>
      <c r="I202" s="485">
        <f t="shared" si="86"/>
        <v>3450</v>
      </c>
      <c r="J202" s="485">
        <f ca="1">-(SUMIF(INDIRECT(LEFT($A$192,4)&amp;"!i3:i200"),"="&amp;C202&amp;" *",INDIRECT(LEFT($A$192,4)&amp;"!k3:k200")))</f>
        <v>0</v>
      </c>
      <c r="K202" s="485">
        <f t="shared" ca="1" si="90"/>
        <v>3450</v>
      </c>
      <c r="L202" s="556">
        <v>3450</v>
      </c>
      <c r="M202" s="51">
        <f t="shared" si="91"/>
        <v>0</v>
      </c>
      <c r="N202" s="121" t="s">
        <v>263</v>
      </c>
      <c r="O202" s="59"/>
      <c r="P202" s="305"/>
      <c r="Q202" s="229"/>
      <c r="R202" s="738" t="s">
        <v>608</v>
      </c>
    </row>
    <row r="203" spans="1:19" ht="15" customHeight="1" x14ac:dyDescent="0.25">
      <c r="A203" s="518"/>
      <c r="B203" s="576" t="s">
        <v>430</v>
      </c>
      <c r="C203" s="133" t="str">
        <f t="shared" si="89"/>
        <v>6240-11</v>
      </c>
      <c r="D203" s="491" t="s">
        <v>431</v>
      </c>
      <c r="E203" s="538">
        <v>1</v>
      </c>
      <c r="F203" s="538"/>
      <c r="G203" s="849"/>
      <c r="H203" s="516">
        <v>6005</v>
      </c>
      <c r="I203" s="493">
        <f t="shared" si="86"/>
        <v>6005</v>
      </c>
      <c r="J203" s="482">
        <f t="shared" ref="J203:J219" ca="1" si="92">-(SUMIF(INDIRECT(LEFT($A$192,4)&amp;"!i3:i200"),"="&amp;C203&amp;" *",INDIRECT(LEFT($A$192,4)&amp;"!k3:k200")))</f>
        <v>0</v>
      </c>
      <c r="K203" s="482">
        <f t="shared" ca="1" si="90"/>
        <v>6005</v>
      </c>
      <c r="L203" s="539">
        <v>5250</v>
      </c>
      <c r="M203" s="51">
        <f t="shared" si="91"/>
        <v>755</v>
      </c>
      <c r="N203" s="121" t="s">
        <v>229</v>
      </c>
      <c r="O203" s="59">
        <f t="shared" si="88"/>
        <v>755</v>
      </c>
      <c r="P203" s="305">
        <f t="shared" si="79"/>
        <v>0.1438095238095238</v>
      </c>
      <c r="Q203" s="229"/>
      <c r="R203" s="738" t="s">
        <v>432</v>
      </c>
    </row>
    <row r="204" spans="1:19" ht="15" customHeight="1" x14ac:dyDescent="0.25">
      <c r="A204" s="514"/>
      <c r="B204" s="602"/>
      <c r="C204" s="129" t="str">
        <f t="shared" si="89"/>
        <v>6240-12</v>
      </c>
      <c r="D204" s="517" t="s">
        <v>433</v>
      </c>
      <c r="E204" s="551"/>
      <c r="F204" s="540">
        <v>1</v>
      </c>
      <c r="G204" s="551"/>
      <c r="H204" s="490">
        <v>100</v>
      </c>
      <c r="I204" s="494">
        <f t="shared" si="86"/>
        <v>100</v>
      </c>
      <c r="J204" s="485">
        <f t="shared" ca="1" si="92"/>
        <v>0</v>
      </c>
      <c r="K204" s="485">
        <f t="shared" ca="1" si="90"/>
        <v>100</v>
      </c>
      <c r="L204" s="541">
        <v>100</v>
      </c>
      <c r="M204" s="51">
        <f t="shared" si="91"/>
        <v>0</v>
      </c>
      <c r="N204" s="3" t="s">
        <v>245</v>
      </c>
      <c r="O204" s="59">
        <f t="shared" si="88"/>
        <v>0</v>
      </c>
      <c r="P204" s="305">
        <f t="shared" si="79"/>
        <v>0</v>
      </c>
      <c r="Q204" s="229"/>
    </row>
    <row r="205" spans="1:19" ht="15" customHeight="1" x14ac:dyDescent="0.25">
      <c r="A205" s="480"/>
      <c r="B205" s="574"/>
      <c r="C205" s="133" t="str">
        <f t="shared" si="89"/>
        <v>6240-13</v>
      </c>
      <c r="D205" s="515" t="s">
        <v>434</v>
      </c>
      <c r="E205" s="544"/>
      <c r="F205" s="544"/>
      <c r="G205" s="544">
        <v>4</v>
      </c>
      <c r="H205" s="516">
        <v>400</v>
      </c>
      <c r="I205" s="493">
        <f t="shared" si="86"/>
        <v>1600</v>
      </c>
      <c r="J205" s="482">
        <f t="shared" ca="1" si="92"/>
        <v>0</v>
      </c>
      <c r="K205" s="482">
        <f t="shared" ca="1" si="90"/>
        <v>1600</v>
      </c>
      <c r="L205" s="539">
        <v>1600</v>
      </c>
      <c r="M205" s="51">
        <f t="shared" si="91"/>
        <v>0</v>
      </c>
      <c r="N205" s="121" t="s">
        <v>226</v>
      </c>
      <c r="O205" s="59">
        <f t="shared" si="88"/>
        <v>0</v>
      </c>
      <c r="P205" s="305">
        <f t="shared" si="79"/>
        <v>0</v>
      </c>
      <c r="Q205" s="229"/>
    </row>
    <row r="206" spans="1:19" ht="15" customHeight="1" x14ac:dyDescent="0.25">
      <c r="A206" s="514"/>
      <c r="B206" s="575" t="s">
        <v>435</v>
      </c>
      <c r="C206" s="129" t="str">
        <f t="shared" si="89"/>
        <v>6240-14</v>
      </c>
      <c r="D206" s="512" t="s">
        <v>436</v>
      </c>
      <c r="E206" s="545">
        <v>1</v>
      </c>
      <c r="F206" s="545"/>
      <c r="G206" s="594"/>
      <c r="H206" s="490">
        <v>82</v>
      </c>
      <c r="I206" s="485">
        <f t="shared" si="86"/>
        <v>82</v>
      </c>
      <c r="J206" s="485">
        <f t="shared" ca="1" si="92"/>
        <v>0</v>
      </c>
      <c r="K206" s="485">
        <f t="shared" ca="1" si="90"/>
        <v>82</v>
      </c>
      <c r="L206" s="541">
        <v>82</v>
      </c>
      <c r="M206" s="51">
        <f t="shared" si="91"/>
        <v>0</v>
      </c>
      <c r="N206" s="121" t="s">
        <v>229</v>
      </c>
      <c r="O206" s="59">
        <f t="shared" si="88"/>
        <v>0</v>
      </c>
      <c r="P206" s="305"/>
      <c r="Q206" s="229"/>
      <c r="R206" s="738" t="s">
        <v>235</v>
      </c>
    </row>
    <row r="207" spans="1:19" ht="15" customHeight="1" x14ac:dyDescent="0.25">
      <c r="A207" s="480"/>
      <c r="B207" s="574"/>
      <c r="C207" s="133" t="str">
        <f t="shared" si="89"/>
        <v>6240-15</v>
      </c>
      <c r="D207" s="491" t="s">
        <v>437</v>
      </c>
      <c r="E207" s="538"/>
      <c r="F207" s="538"/>
      <c r="G207" s="538">
        <v>1</v>
      </c>
      <c r="H207" s="516">
        <v>700</v>
      </c>
      <c r="I207" s="493">
        <f t="shared" ref="I207" si="93">(E207+F207+G207)*H207</f>
        <v>700</v>
      </c>
      <c r="J207" s="482">
        <f t="shared" ca="1" si="92"/>
        <v>0</v>
      </c>
      <c r="K207" s="482">
        <f t="shared" ca="1" si="90"/>
        <v>700</v>
      </c>
      <c r="L207" s="539">
        <v>700</v>
      </c>
      <c r="M207" s="51">
        <f t="shared" si="91"/>
        <v>0</v>
      </c>
      <c r="N207" s="121" t="s">
        <v>226</v>
      </c>
      <c r="O207" s="59">
        <f t="shared" si="88"/>
        <v>0</v>
      </c>
      <c r="P207" s="305">
        <f t="shared" si="79"/>
        <v>0</v>
      </c>
      <c r="Q207" s="229"/>
    </row>
    <row r="208" spans="1:19" ht="15" customHeight="1" x14ac:dyDescent="0.25">
      <c r="A208" s="514"/>
      <c r="B208" s="692"/>
      <c r="C208" s="129" t="str">
        <f t="shared" si="89"/>
        <v>6240-16</v>
      </c>
      <c r="D208" s="512" t="s">
        <v>438</v>
      </c>
      <c r="E208" s="545"/>
      <c r="F208" s="545">
        <v>1</v>
      </c>
      <c r="G208" s="693"/>
      <c r="H208" s="490">
        <v>250</v>
      </c>
      <c r="I208" s="485">
        <f>(E208+F208+G208)*H208</f>
        <v>250</v>
      </c>
      <c r="J208" s="485">
        <f t="shared" ca="1" si="92"/>
        <v>0</v>
      </c>
      <c r="K208" s="485">
        <f t="shared" ca="1" si="90"/>
        <v>250</v>
      </c>
      <c r="L208" s="541">
        <v>250</v>
      </c>
      <c r="M208" s="51">
        <f t="shared" si="91"/>
        <v>0</v>
      </c>
      <c r="N208" s="3" t="s">
        <v>245</v>
      </c>
      <c r="O208" s="59">
        <f t="shared" si="88"/>
        <v>0</v>
      </c>
      <c r="P208" s="305">
        <f t="shared" si="79"/>
        <v>0</v>
      </c>
      <c r="Q208" s="229"/>
    </row>
    <row r="209" spans="1:18" ht="30" x14ac:dyDescent="0.25">
      <c r="A209" s="480"/>
      <c r="B209" s="846"/>
      <c r="C209" s="133" t="str">
        <f t="shared" si="89"/>
        <v>6240-17</v>
      </c>
      <c r="D209" s="518" t="s">
        <v>439</v>
      </c>
      <c r="E209" s="566">
        <v>1</v>
      </c>
      <c r="F209" s="544"/>
      <c r="G209" s="566"/>
      <c r="H209" s="516">
        <v>14300</v>
      </c>
      <c r="I209" s="482">
        <f>(E209+F209+G209)*H209</f>
        <v>14300</v>
      </c>
      <c r="J209" s="482">
        <f t="shared" ca="1" si="92"/>
        <v>0</v>
      </c>
      <c r="K209" s="482">
        <f t="shared" ca="1" si="90"/>
        <v>14300</v>
      </c>
      <c r="L209" s="539">
        <v>14300</v>
      </c>
      <c r="M209" s="51">
        <f t="shared" si="91"/>
        <v>0</v>
      </c>
      <c r="N209" s="121" t="s">
        <v>263</v>
      </c>
      <c r="O209" s="59">
        <f t="shared" si="88"/>
        <v>0</v>
      </c>
      <c r="P209" s="305">
        <f t="shared" si="79"/>
        <v>0</v>
      </c>
      <c r="Q209" s="229"/>
      <c r="R209" s="972" t="s">
        <v>609</v>
      </c>
    </row>
    <row r="210" spans="1:18" ht="15" customHeight="1" x14ac:dyDescent="0.25">
      <c r="A210" s="514"/>
      <c r="B210" s="580"/>
      <c r="C210" s="129" t="str">
        <f t="shared" si="89"/>
        <v>6240-18</v>
      </c>
      <c r="D210" s="614" t="s">
        <v>687</v>
      </c>
      <c r="E210" s="593"/>
      <c r="F210" s="545"/>
      <c r="G210" s="593">
        <v>1</v>
      </c>
      <c r="H210" s="490">
        <v>4125</v>
      </c>
      <c r="I210" s="485">
        <f>(E210+F210+G210)*H210</f>
        <v>4125</v>
      </c>
      <c r="J210" s="485">
        <f t="shared" ca="1" si="92"/>
        <v>0</v>
      </c>
      <c r="K210" s="485">
        <f t="shared" ca="1" si="90"/>
        <v>4125</v>
      </c>
      <c r="L210" s="541">
        <v>4125</v>
      </c>
      <c r="M210" s="51">
        <f t="shared" si="91"/>
        <v>0</v>
      </c>
      <c r="N210" s="121" t="s">
        <v>226</v>
      </c>
      <c r="O210" s="59">
        <f t="shared" si="88"/>
        <v>0</v>
      </c>
      <c r="P210" s="305">
        <f t="shared" si="79"/>
        <v>0</v>
      </c>
      <c r="Q210" s="229"/>
    </row>
    <row r="211" spans="1:18" ht="15" customHeight="1" x14ac:dyDescent="0.25">
      <c r="A211" s="1005"/>
      <c r="B211" s="1022" t="s">
        <v>710</v>
      </c>
      <c r="C211" s="990" t="str">
        <f t="shared" si="89"/>
        <v>6240-19</v>
      </c>
      <c r="D211" s="1024" t="s">
        <v>440</v>
      </c>
      <c r="E211" s="978">
        <f>18+4</f>
        <v>22</v>
      </c>
      <c r="F211" s="977"/>
      <c r="G211" s="978"/>
      <c r="H211" s="979">
        <v>215</v>
      </c>
      <c r="I211" s="981">
        <f>(E211+F211+G211)*H211</f>
        <v>4730</v>
      </c>
      <c r="J211" s="981">
        <f t="shared" ca="1" si="92"/>
        <v>0</v>
      </c>
      <c r="K211" s="981">
        <f t="shared" ca="1" si="90"/>
        <v>4730</v>
      </c>
      <c r="L211" s="982">
        <v>4300</v>
      </c>
      <c r="M211" s="51">
        <f t="shared" si="91"/>
        <v>430</v>
      </c>
      <c r="N211" s="121" t="s">
        <v>239</v>
      </c>
      <c r="O211" s="59">
        <f t="shared" si="88"/>
        <v>430</v>
      </c>
      <c r="P211" s="305">
        <f t="shared" si="79"/>
        <v>0.1</v>
      </c>
      <c r="Q211" s="229"/>
      <c r="R211" s="743" t="s">
        <v>730</v>
      </c>
    </row>
    <row r="212" spans="1:18" ht="15" customHeight="1" x14ac:dyDescent="0.25">
      <c r="A212" s="514"/>
      <c r="B212" s="580"/>
      <c r="C212" s="129" t="str">
        <f t="shared" si="89"/>
        <v>6240-20</v>
      </c>
      <c r="D212" s="512" t="s">
        <v>441</v>
      </c>
      <c r="E212" s="545">
        <v>1</v>
      </c>
      <c r="F212" s="545"/>
      <c r="G212" s="594"/>
      <c r="H212" s="490">
        <v>40</v>
      </c>
      <c r="I212" s="485">
        <f t="shared" ref="I212" si="94">(E212+F212+G212)*H212</f>
        <v>40</v>
      </c>
      <c r="J212" s="485">
        <f t="shared" ca="1" si="92"/>
        <v>0</v>
      </c>
      <c r="K212" s="485">
        <f t="shared" ca="1" si="90"/>
        <v>40</v>
      </c>
      <c r="L212" s="541">
        <v>40</v>
      </c>
      <c r="M212" s="51">
        <f t="shared" si="91"/>
        <v>0</v>
      </c>
      <c r="N212" s="121" t="s">
        <v>229</v>
      </c>
      <c r="O212" s="59">
        <f t="shared" si="88"/>
        <v>0</v>
      </c>
      <c r="P212" s="305">
        <f t="shared" si="79"/>
        <v>0</v>
      </c>
      <c r="Q212" s="229"/>
      <c r="R212" s="738" t="s">
        <v>235</v>
      </c>
    </row>
    <row r="213" spans="1:18" ht="15" customHeight="1" x14ac:dyDescent="0.25">
      <c r="A213" s="480"/>
      <c r="B213" s="570"/>
      <c r="C213" s="133" t="str">
        <f t="shared" si="89"/>
        <v>6240-21</v>
      </c>
      <c r="D213" s="487" t="s">
        <v>442</v>
      </c>
      <c r="E213" s="529">
        <v>1</v>
      </c>
      <c r="F213" s="529"/>
      <c r="G213" s="550"/>
      <c r="H213" s="481">
        <v>100</v>
      </c>
      <c r="I213" s="482">
        <f t="shared" ref="I213:I222" si="95">(E213+F213+G213)*H213</f>
        <v>100</v>
      </c>
      <c r="J213" s="482">
        <f t="shared" ca="1" si="92"/>
        <v>0</v>
      </c>
      <c r="K213" s="482">
        <f t="shared" ca="1" si="90"/>
        <v>100</v>
      </c>
      <c r="L213" s="395">
        <v>100</v>
      </c>
      <c r="M213" s="51">
        <f t="shared" si="91"/>
        <v>0</v>
      </c>
      <c r="N213" s="121" t="s">
        <v>229</v>
      </c>
      <c r="O213" s="59">
        <f t="shared" si="88"/>
        <v>0</v>
      </c>
      <c r="P213" s="305">
        <f t="shared" si="79"/>
        <v>0</v>
      </c>
      <c r="Q213" s="229"/>
      <c r="R213" s="738" t="s">
        <v>235</v>
      </c>
    </row>
    <row r="214" spans="1:18" ht="15" customHeight="1" x14ac:dyDescent="0.25">
      <c r="A214" s="514"/>
      <c r="B214" s="579"/>
      <c r="C214" s="129" t="str">
        <f t="shared" si="89"/>
        <v>6240-22</v>
      </c>
      <c r="D214" s="495" t="s">
        <v>443</v>
      </c>
      <c r="E214" s="558">
        <v>1</v>
      </c>
      <c r="F214" s="558"/>
      <c r="G214" s="608"/>
      <c r="H214" s="496">
        <v>85</v>
      </c>
      <c r="I214" s="494">
        <f t="shared" si="95"/>
        <v>85</v>
      </c>
      <c r="J214" s="485">
        <f t="shared" ca="1" si="92"/>
        <v>0</v>
      </c>
      <c r="K214" s="485">
        <f t="shared" ca="1" si="90"/>
        <v>85</v>
      </c>
      <c r="L214" s="556">
        <v>85</v>
      </c>
      <c r="M214" s="51">
        <f t="shared" si="91"/>
        <v>0</v>
      </c>
      <c r="N214" s="121" t="s">
        <v>229</v>
      </c>
      <c r="O214" s="59">
        <f t="shared" si="88"/>
        <v>0</v>
      </c>
      <c r="P214" s="305">
        <f t="shared" si="79"/>
        <v>0</v>
      </c>
      <c r="Q214" s="229"/>
      <c r="R214" s="738" t="s">
        <v>235</v>
      </c>
    </row>
    <row r="215" spans="1:18" ht="15" customHeight="1" x14ac:dyDescent="0.25">
      <c r="A215" s="480"/>
      <c r="B215" s="570"/>
      <c r="C215" s="133" t="str">
        <f t="shared" si="89"/>
        <v>6240-23</v>
      </c>
      <c r="D215" s="525" t="s">
        <v>688</v>
      </c>
      <c r="E215" s="542">
        <v>1</v>
      </c>
      <c r="F215" s="542"/>
      <c r="G215" s="609"/>
      <c r="H215" s="481">
        <v>780</v>
      </c>
      <c r="I215" s="493">
        <f t="shared" si="95"/>
        <v>780</v>
      </c>
      <c r="J215" s="482">
        <f t="shared" ca="1" si="92"/>
        <v>0</v>
      </c>
      <c r="K215" s="482">
        <f t="shared" ca="1" si="90"/>
        <v>780</v>
      </c>
      <c r="L215" s="395">
        <v>750.75</v>
      </c>
      <c r="M215" s="51">
        <f t="shared" si="91"/>
        <v>29.25</v>
      </c>
      <c r="N215" s="121" t="s">
        <v>263</v>
      </c>
      <c r="O215" s="59">
        <f t="shared" si="88"/>
        <v>29.25</v>
      </c>
      <c r="P215" s="305">
        <f t="shared" si="79"/>
        <v>3.896103896103896E-2</v>
      </c>
      <c r="Q215" s="229"/>
      <c r="R215" s="739" t="s">
        <v>611</v>
      </c>
    </row>
    <row r="216" spans="1:18" s="850" customFormat="1" x14ac:dyDescent="0.25">
      <c r="A216" s="854"/>
      <c r="B216" s="603"/>
      <c r="C216" s="129" t="str">
        <f t="shared" si="89"/>
        <v>6240-24</v>
      </c>
      <c r="D216" s="775" t="s">
        <v>444</v>
      </c>
      <c r="E216" s="776">
        <v>1</v>
      </c>
      <c r="F216" s="776"/>
      <c r="G216" s="777"/>
      <c r="H216" s="778">
        <v>1430</v>
      </c>
      <c r="I216" s="779">
        <f t="shared" si="95"/>
        <v>1430</v>
      </c>
      <c r="J216" s="780">
        <f t="shared" ca="1" si="92"/>
        <v>0</v>
      </c>
      <c r="K216" s="780">
        <f t="shared" ca="1" si="90"/>
        <v>1430</v>
      </c>
      <c r="L216" s="781">
        <v>874.50000000000011</v>
      </c>
      <c r="M216" s="51">
        <f t="shared" si="91"/>
        <v>555.49999999999989</v>
      </c>
      <c r="N216" s="851" t="s">
        <v>263</v>
      </c>
      <c r="O216" s="852">
        <f t="shared" si="88"/>
        <v>555.49999999999989</v>
      </c>
      <c r="P216" s="782">
        <f t="shared" si="79"/>
        <v>0.63522012578616327</v>
      </c>
      <c r="Q216" s="853"/>
      <c r="R216" s="973" t="s">
        <v>610</v>
      </c>
    </row>
    <row r="217" spans="1:18" ht="15" customHeight="1" x14ac:dyDescent="0.25">
      <c r="A217" s="480"/>
      <c r="B217" s="570"/>
      <c r="C217" s="133" t="str">
        <f t="shared" si="89"/>
        <v>6240-25</v>
      </c>
      <c r="D217" s="487" t="s">
        <v>445</v>
      </c>
      <c r="E217" s="529">
        <v>1</v>
      </c>
      <c r="F217" s="529"/>
      <c r="G217" s="550"/>
      <c r="H217" s="481">
        <v>330</v>
      </c>
      <c r="I217" s="493">
        <f t="shared" si="95"/>
        <v>330</v>
      </c>
      <c r="J217" s="482">
        <f t="shared" ca="1" si="92"/>
        <v>0</v>
      </c>
      <c r="K217" s="482">
        <f t="shared" ca="1" si="90"/>
        <v>330</v>
      </c>
      <c r="L217" s="395">
        <v>302.5</v>
      </c>
      <c r="M217" s="51">
        <f t="shared" si="91"/>
        <v>27.5</v>
      </c>
      <c r="N217" s="121" t="s">
        <v>263</v>
      </c>
      <c r="O217" s="59">
        <f t="shared" si="88"/>
        <v>27.5</v>
      </c>
      <c r="P217" s="305">
        <f t="shared" si="79"/>
        <v>9.0909090909090912E-2</v>
      </c>
      <c r="Q217" s="229"/>
      <c r="R217" s="739" t="s">
        <v>612</v>
      </c>
    </row>
    <row r="218" spans="1:18" ht="15" customHeight="1" x14ac:dyDescent="0.25">
      <c r="A218" s="514"/>
      <c r="B218" s="579"/>
      <c r="C218" s="129" t="str">
        <f t="shared" si="89"/>
        <v>6240-26</v>
      </c>
      <c r="D218" s="495" t="s">
        <v>446</v>
      </c>
      <c r="E218" s="558">
        <v>1</v>
      </c>
      <c r="F218" s="558"/>
      <c r="G218" s="563"/>
      <c r="H218" s="496">
        <v>300</v>
      </c>
      <c r="I218" s="494">
        <f t="shared" si="95"/>
        <v>300</v>
      </c>
      <c r="J218" s="485">
        <f t="shared" ca="1" si="92"/>
        <v>0</v>
      </c>
      <c r="K218" s="485">
        <f t="shared" ca="1" si="90"/>
        <v>300</v>
      </c>
      <c r="L218" s="556">
        <v>300</v>
      </c>
      <c r="M218" s="51">
        <f t="shared" si="91"/>
        <v>0</v>
      </c>
      <c r="N218" s="121" t="s">
        <v>263</v>
      </c>
      <c r="O218" s="59">
        <f t="shared" si="88"/>
        <v>0</v>
      </c>
      <c r="P218" s="305">
        <f t="shared" si="79"/>
        <v>0</v>
      </c>
      <c r="Q218" s="229"/>
      <c r="R218" s="739" t="s">
        <v>618</v>
      </c>
    </row>
    <row r="219" spans="1:18" ht="15" customHeight="1" x14ac:dyDescent="0.25">
      <c r="A219" s="480"/>
      <c r="B219" s="574" t="s">
        <v>623</v>
      </c>
      <c r="C219" s="133" t="str">
        <f t="shared" si="89"/>
        <v>6240-27</v>
      </c>
      <c r="D219" s="491" t="s">
        <v>447</v>
      </c>
      <c r="E219" s="538">
        <v>0</v>
      </c>
      <c r="F219" s="538"/>
      <c r="G219" s="548"/>
      <c r="H219" s="516">
        <v>715</v>
      </c>
      <c r="I219" s="482">
        <f>(E219+F219+G219)*H219</f>
        <v>0</v>
      </c>
      <c r="J219" s="482">
        <f t="shared" ca="1" si="92"/>
        <v>0</v>
      </c>
      <c r="K219" s="482">
        <f t="shared" ca="1" si="90"/>
        <v>0</v>
      </c>
      <c r="L219" s="539">
        <v>750.75</v>
      </c>
      <c r="M219" s="51">
        <f t="shared" si="91"/>
        <v>-750.75</v>
      </c>
      <c r="N219" s="121" t="s">
        <v>263</v>
      </c>
      <c r="O219" s="59">
        <f>I219-L219</f>
        <v>-750.75</v>
      </c>
      <c r="P219" s="305">
        <f t="shared" ref="P219:P284" si="96">O219/L219</f>
        <v>-1</v>
      </c>
      <c r="Q219" s="229"/>
      <c r="R219" s="739" t="s">
        <v>615</v>
      </c>
    </row>
    <row r="220" spans="1:18" ht="15" customHeight="1" x14ac:dyDescent="0.25">
      <c r="A220" s="514"/>
      <c r="B220" s="579" t="s">
        <v>624</v>
      </c>
      <c r="C220" s="129" t="str">
        <f t="shared" si="89"/>
        <v>6240-28</v>
      </c>
      <c r="D220" s="483" t="s">
        <v>448</v>
      </c>
      <c r="E220" s="564">
        <v>0</v>
      </c>
      <c r="F220" s="564"/>
      <c r="G220" s="555"/>
      <c r="H220" s="496">
        <v>305</v>
      </c>
      <c r="I220" s="494">
        <f t="shared" si="95"/>
        <v>0</v>
      </c>
      <c r="J220" s="485">
        <f ca="1">-(SUMIF(INDIRECT(LEFT($A$192,4)&amp;"!i3:i200"),"="&amp;C220&amp;" *",INDIRECT(LEFT($A$192,4)&amp;"!k3:k200")))</f>
        <v>0</v>
      </c>
      <c r="K220" s="485">
        <f t="shared" ca="1" si="90"/>
        <v>0</v>
      </c>
      <c r="L220" s="556">
        <v>335.5</v>
      </c>
      <c r="M220" s="51">
        <f t="shared" si="91"/>
        <v>-335.5</v>
      </c>
      <c r="N220" s="121" t="s">
        <v>263</v>
      </c>
      <c r="O220" s="59">
        <f t="shared" si="88"/>
        <v>-335.5</v>
      </c>
      <c r="P220" s="305">
        <f t="shared" si="96"/>
        <v>-1</v>
      </c>
      <c r="Q220" s="229"/>
      <c r="R220" s="739" t="s">
        <v>619</v>
      </c>
    </row>
    <row r="221" spans="1:18" ht="15" customHeight="1" x14ac:dyDescent="0.25">
      <c r="A221" s="480"/>
      <c r="B221" s="574"/>
      <c r="C221" s="133" t="str">
        <f t="shared" si="89"/>
        <v>6240-29</v>
      </c>
      <c r="D221" s="491" t="s">
        <v>449</v>
      </c>
      <c r="E221" s="538">
        <v>1</v>
      </c>
      <c r="F221" s="538"/>
      <c r="G221" s="548"/>
      <c r="H221" s="516">
        <v>900</v>
      </c>
      <c r="I221" s="493">
        <f>(E221+F221+G221)*H221</f>
        <v>900</v>
      </c>
      <c r="J221" s="482">
        <f ca="1">-(SUMIF(INDIRECT(LEFT($A$192,4)&amp;"!i3:i200"),"="&amp;C221&amp;" *",INDIRECT(LEFT($A$192,4)&amp;"!k3:k200")))</f>
        <v>0</v>
      </c>
      <c r="K221" s="482">
        <f t="shared" ca="1" si="90"/>
        <v>900</v>
      </c>
      <c r="L221" s="539">
        <v>335.5</v>
      </c>
      <c r="M221" s="51">
        <f t="shared" si="91"/>
        <v>564.5</v>
      </c>
      <c r="N221" s="121" t="s">
        <v>263</v>
      </c>
      <c r="O221" s="59">
        <f>I221-L221</f>
        <v>564.5</v>
      </c>
      <c r="P221" s="305">
        <f t="shared" si="96"/>
        <v>1.6825633383010432</v>
      </c>
      <c r="Q221" s="229"/>
      <c r="R221" s="739" t="s">
        <v>689</v>
      </c>
    </row>
    <row r="222" spans="1:18" ht="15" customHeight="1" x14ac:dyDescent="0.25">
      <c r="A222" s="514"/>
      <c r="B222" s="579"/>
      <c r="C222" s="129" t="str">
        <f t="shared" si="89"/>
        <v>6240-30</v>
      </c>
      <c r="D222" s="483" t="s">
        <v>450</v>
      </c>
      <c r="E222" s="564">
        <v>1</v>
      </c>
      <c r="F222" s="564"/>
      <c r="G222" s="555"/>
      <c r="H222" s="496">
        <v>250</v>
      </c>
      <c r="I222" s="494">
        <f t="shared" si="95"/>
        <v>250</v>
      </c>
      <c r="J222" s="485">
        <f ca="1">-(SUMIF(INDIRECT(LEFT($A$192,4)&amp;"!i3:i200"),"="&amp;C222&amp;" *",INDIRECT(LEFT($A$192,4)&amp;"!k3:k200")))</f>
        <v>0</v>
      </c>
      <c r="K222" s="485">
        <f t="shared" ca="1" si="90"/>
        <v>250</v>
      </c>
      <c r="L222" s="556">
        <v>262.5</v>
      </c>
      <c r="M222" s="51">
        <f t="shared" si="91"/>
        <v>-12.5</v>
      </c>
      <c r="N222" s="121" t="s">
        <v>263</v>
      </c>
      <c r="O222" s="59">
        <f t="shared" si="88"/>
        <v>-12.5</v>
      </c>
      <c r="P222" s="305">
        <f t="shared" si="96"/>
        <v>-4.7619047619047616E-2</v>
      </c>
      <c r="Q222" s="229"/>
      <c r="R222" s="739" t="s">
        <v>616</v>
      </c>
    </row>
    <row r="223" spans="1:18" ht="15" customHeight="1" x14ac:dyDescent="0.25">
      <c r="A223" s="480"/>
      <c r="B223" s="574"/>
      <c r="C223" s="133" t="str">
        <f t="shared" si="89"/>
        <v>6240-31</v>
      </c>
      <c r="D223" s="491" t="s">
        <v>451</v>
      </c>
      <c r="E223" s="538">
        <v>1</v>
      </c>
      <c r="F223" s="538"/>
      <c r="G223" s="548"/>
      <c r="H223" s="516">
        <v>55</v>
      </c>
      <c r="I223" s="493">
        <f>(E223+F223+G223)*H223</f>
        <v>55</v>
      </c>
      <c r="J223" s="482">
        <f ca="1">-(SUMIF(INDIRECT(LEFT($A$192,4)&amp;"!i3:i200"),"="&amp;C223&amp;" *",INDIRECT(LEFT($A$192,4)&amp;"!k3:k200")))</f>
        <v>0</v>
      </c>
      <c r="K223" s="482">
        <f t="shared" ca="1" si="90"/>
        <v>55</v>
      </c>
      <c r="L223" s="539">
        <v>55</v>
      </c>
      <c r="M223" s="51">
        <f t="shared" si="91"/>
        <v>0</v>
      </c>
      <c r="N223" s="121" t="s">
        <v>229</v>
      </c>
      <c r="O223" s="59">
        <f>I223-L223</f>
        <v>0</v>
      </c>
      <c r="P223" s="305">
        <f t="shared" si="96"/>
        <v>0</v>
      </c>
      <c r="Q223" s="229"/>
      <c r="R223" s="738" t="s">
        <v>235</v>
      </c>
    </row>
    <row r="224" spans="1:18" ht="15" customHeight="1" x14ac:dyDescent="0.25">
      <c r="A224" s="514"/>
      <c r="B224" s="579"/>
      <c r="C224" s="129" t="str">
        <f t="shared" si="89"/>
        <v>6240-32</v>
      </c>
      <c r="D224" s="483" t="s">
        <v>452</v>
      </c>
      <c r="E224" s="564">
        <v>12</v>
      </c>
      <c r="F224" s="564"/>
      <c r="G224" s="555"/>
      <c r="H224" s="496">
        <v>3732.8</v>
      </c>
      <c r="I224" s="494">
        <f>(E224+F224+G224)*H224</f>
        <v>44793.600000000006</v>
      </c>
      <c r="J224" s="485">
        <f ca="1">-(SUMIF(INDIRECT(LEFT($A$192,4)&amp;"!i3:i200"),"="&amp;C224&amp;" *",INDIRECT(LEFT($A$192,4)&amp;"!k3:k200")))</f>
        <v>0</v>
      </c>
      <c r="K224" s="485">
        <f t="shared" ca="1" si="90"/>
        <v>44793.600000000006</v>
      </c>
      <c r="L224" s="556">
        <v>39488.28</v>
      </c>
      <c r="M224" s="51">
        <f t="shared" si="91"/>
        <v>5305.320000000007</v>
      </c>
      <c r="N224" s="121" t="s">
        <v>263</v>
      </c>
      <c r="O224" s="59">
        <f>I224-L224</f>
        <v>5305.320000000007</v>
      </c>
      <c r="P224" s="305">
        <f t="shared" si="96"/>
        <v>0.13435176209244887</v>
      </c>
      <c r="Q224" s="229"/>
      <c r="R224" s="739" t="s">
        <v>617</v>
      </c>
    </row>
    <row r="225" spans="1:18" s="983" customFormat="1" ht="15" customHeight="1" x14ac:dyDescent="0.25">
      <c r="A225" s="974"/>
      <c r="B225" s="975" t="s">
        <v>625</v>
      </c>
      <c r="C225" s="990"/>
      <c r="D225" s="976" t="s">
        <v>658</v>
      </c>
      <c r="E225" s="977">
        <v>1</v>
      </c>
      <c r="F225" s="977"/>
      <c r="G225" s="978"/>
      <c r="H225" s="979">
        <v>1850</v>
      </c>
      <c r="I225" s="980">
        <f>(E225+F225+G225)*H225</f>
        <v>1850</v>
      </c>
      <c r="J225" s="981"/>
      <c r="K225" s="981"/>
      <c r="L225" s="982"/>
      <c r="M225" s="51">
        <f t="shared" si="91"/>
        <v>1850</v>
      </c>
      <c r="N225" s="984"/>
      <c r="O225" s="985"/>
      <c r="P225" s="305"/>
      <c r="Q225" s="986"/>
      <c r="R225" s="987"/>
    </row>
    <row r="226" spans="1:18" s="983" customFormat="1" ht="15" customHeight="1" x14ac:dyDescent="0.25">
      <c r="A226" s="514"/>
      <c r="B226" s="579" t="s">
        <v>625</v>
      </c>
      <c r="C226" s="129"/>
      <c r="D226" s="483" t="s">
        <v>626</v>
      </c>
      <c r="E226" s="564">
        <v>1</v>
      </c>
      <c r="F226" s="564"/>
      <c r="G226" s="555"/>
      <c r="H226" s="496">
        <v>2800</v>
      </c>
      <c r="I226" s="494">
        <f>(E226+F226+G226)*H226</f>
        <v>2800</v>
      </c>
      <c r="J226" s="485"/>
      <c r="K226" s="485"/>
      <c r="L226" s="556"/>
      <c r="M226" s="1018">
        <f t="shared" si="91"/>
        <v>2800</v>
      </c>
      <c r="N226" s="984"/>
      <c r="O226" s="985"/>
      <c r="P226" s="305"/>
      <c r="Q226" s="986"/>
      <c r="R226" s="987" t="s">
        <v>690</v>
      </c>
    </row>
    <row r="227" spans="1:18" s="983" customFormat="1" ht="15" customHeight="1" x14ac:dyDescent="0.25">
      <c r="A227" s="974"/>
      <c r="B227" s="975" t="s">
        <v>625</v>
      </c>
      <c r="C227" s="1019"/>
      <c r="D227" s="976" t="s">
        <v>613</v>
      </c>
      <c r="E227" s="977">
        <v>1</v>
      </c>
      <c r="F227" s="977"/>
      <c r="G227" s="978"/>
      <c r="H227" s="979">
        <v>715</v>
      </c>
      <c r="I227" s="980">
        <f>(E227+F227+G227)*H227</f>
        <v>715</v>
      </c>
      <c r="J227" s="981"/>
      <c r="K227" s="981"/>
      <c r="L227" s="982"/>
      <c r="M227" s="1018">
        <f t="shared" si="91"/>
        <v>715</v>
      </c>
      <c r="N227" s="984" t="s">
        <v>263</v>
      </c>
      <c r="O227" s="985"/>
      <c r="P227" s="305"/>
      <c r="Q227" s="986"/>
      <c r="R227" s="987" t="s">
        <v>614</v>
      </c>
    </row>
    <row r="228" spans="1:18" ht="15" customHeight="1" thickBot="1" x14ac:dyDescent="0.3">
      <c r="B228" s="573"/>
      <c r="C228" s="85"/>
      <c r="D228" s="497" t="s">
        <v>106</v>
      </c>
      <c r="E228" s="546"/>
      <c r="F228" s="529"/>
      <c r="G228" s="397"/>
      <c r="H228" s="499">
        <f>(I228-L228)/L228</f>
        <v>0.23764133350591476</v>
      </c>
      <c r="I228" s="501">
        <f>SUM(I193:I227)</f>
        <v>180718.03600000002</v>
      </c>
      <c r="J228" s="501">
        <f ca="1">SUM(J193:J224)</f>
        <v>0</v>
      </c>
      <c r="K228" s="501">
        <f ca="1">SUM(K193:K224)</f>
        <v>175353.03600000002</v>
      </c>
      <c r="L228" s="549">
        <f>SUM(L193:L227)</f>
        <v>146018.1</v>
      </c>
      <c r="M228" s="51">
        <f t="shared" si="91"/>
        <v>34699.936000000016</v>
      </c>
      <c r="O228" s="59">
        <f t="shared" si="88"/>
        <v>34699.936000000016</v>
      </c>
      <c r="P228" s="305">
        <f t="shared" si="96"/>
        <v>0.23764133350591476</v>
      </c>
      <c r="Q228" s="229"/>
    </row>
    <row r="229" spans="1:18" ht="3.6" customHeight="1" thickTop="1" x14ac:dyDescent="0.25">
      <c r="B229" s="47"/>
      <c r="C229" s="133"/>
      <c r="D229" s="68"/>
      <c r="E229" s="92"/>
      <c r="F229" s="53"/>
      <c r="G229" s="92"/>
      <c r="H229" s="54"/>
      <c r="I229" s="70"/>
      <c r="J229" s="70"/>
      <c r="K229" s="70"/>
      <c r="L229" s="70"/>
      <c r="M229" s="51">
        <f t="shared" si="91"/>
        <v>0</v>
      </c>
      <c r="O229" s="51"/>
      <c r="P229" s="305"/>
      <c r="Q229" s="229"/>
    </row>
    <row r="230" spans="1:18" ht="19.5" customHeight="1" x14ac:dyDescent="0.3">
      <c r="A230" s="1116" t="s">
        <v>453</v>
      </c>
      <c r="B230" s="1116"/>
      <c r="C230" s="1116"/>
      <c r="D230" s="1116"/>
      <c r="E230" s="1116"/>
      <c r="F230" s="1116"/>
      <c r="G230" s="1116"/>
      <c r="H230" s="1116"/>
      <c r="I230" s="1116"/>
      <c r="J230" s="1116"/>
      <c r="K230" s="1116"/>
      <c r="L230" s="1116"/>
      <c r="M230" s="51">
        <f t="shared" si="91"/>
        <v>0</v>
      </c>
      <c r="O230" s="51"/>
      <c r="P230" s="305"/>
      <c r="Q230" s="229"/>
    </row>
    <row r="231" spans="1:18" ht="15" customHeight="1" x14ac:dyDescent="0.25">
      <c r="B231" s="568"/>
      <c r="C231" s="85" t="str">
        <f>LEFT($A230,4)&amp;"-1"</f>
        <v>6250-1</v>
      </c>
      <c r="D231" s="504" t="s">
        <v>454</v>
      </c>
      <c r="E231" s="546"/>
      <c r="F231" s="529"/>
      <c r="G231" s="557">
        <v>1</v>
      </c>
      <c r="H231" s="488">
        <v>500</v>
      </c>
      <c r="I231" s="482">
        <f>(E231+F231+G231)*H231</f>
        <v>500</v>
      </c>
      <c r="J231" s="482">
        <f ca="1">-(SUMIF(INDIRECT(LEFT(A230,4)&amp;"!i3:i200"),"="&amp;C231&amp;" *",INDIRECT(LEFT(A230,4)&amp;"!k3:F200")))</f>
        <v>0</v>
      </c>
      <c r="K231" s="482">
        <f t="shared" ref="K231:K236" ca="1" si="97">SUM(I231:J231)</f>
        <v>500</v>
      </c>
      <c r="L231" s="482">
        <v>500</v>
      </c>
      <c r="M231" s="51">
        <f t="shared" si="91"/>
        <v>0</v>
      </c>
      <c r="O231" s="59">
        <f>I231-L231</f>
        <v>0</v>
      </c>
      <c r="P231" s="305">
        <f t="shared" si="96"/>
        <v>0</v>
      </c>
      <c r="Q231" s="229"/>
    </row>
    <row r="232" spans="1:18" ht="15" customHeight="1" thickBot="1" x14ac:dyDescent="0.3">
      <c r="B232" s="36"/>
      <c r="C232" s="134"/>
      <c r="D232" s="497" t="s">
        <v>106</v>
      </c>
      <c r="E232" s="546"/>
      <c r="F232" s="529"/>
      <c r="G232" s="397"/>
      <c r="H232" s="499">
        <f>(I232-L232)/L232</f>
        <v>0</v>
      </c>
      <c r="I232" s="501">
        <f>SUM(I231)</f>
        <v>500</v>
      </c>
      <c r="J232" s="501">
        <f t="shared" ref="J232:K232" ca="1" si="98">SUM(J231)</f>
        <v>0</v>
      </c>
      <c r="K232" s="501">
        <f t="shared" ca="1" si="98"/>
        <v>500</v>
      </c>
      <c r="L232" s="501">
        <f>SUM(L231)</f>
        <v>500</v>
      </c>
      <c r="M232" s="51">
        <f t="shared" si="91"/>
        <v>0</v>
      </c>
      <c r="O232" s="59"/>
      <c r="P232" s="305">
        <f t="shared" si="96"/>
        <v>0</v>
      </c>
      <c r="Q232" s="229"/>
    </row>
    <row r="233" spans="1:18" ht="9.75" customHeight="1" thickTop="1" x14ac:dyDescent="0.25">
      <c r="B233" s="47"/>
      <c r="C233" s="85"/>
      <c r="D233" s="47"/>
      <c r="E233" s="92"/>
      <c r="F233" s="53"/>
      <c r="G233" s="92"/>
      <c r="H233" s="54"/>
      <c r="I233" s="36"/>
      <c r="J233" s="36"/>
      <c r="K233" s="36"/>
      <c r="L233" s="36"/>
      <c r="M233" s="51">
        <f t="shared" si="91"/>
        <v>0</v>
      </c>
      <c r="O233" s="59"/>
      <c r="P233" s="305" t="e">
        <f t="shared" si="96"/>
        <v>#DIV/0!</v>
      </c>
      <c r="Q233" s="229"/>
    </row>
    <row r="234" spans="1:18" ht="19.5" customHeight="1" x14ac:dyDescent="0.3">
      <c r="A234" s="1116" t="s">
        <v>455</v>
      </c>
      <c r="B234" s="1116"/>
      <c r="C234" s="1116"/>
      <c r="D234" s="1116"/>
      <c r="E234" s="1116"/>
      <c r="F234" s="1116"/>
      <c r="G234" s="1116"/>
      <c r="H234" s="1116"/>
      <c r="I234" s="1116"/>
      <c r="J234" s="1116"/>
      <c r="K234" s="1116"/>
      <c r="L234" s="1116"/>
      <c r="M234" s="51">
        <f t="shared" si="91"/>
        <v>0</v>
      </c>
      <c r="O234" s="59"/>
      <c r="P234" s="305"/>
      <c r="Q234" s="229"/>
    </row>
    <row r="235" spans="1:18" ht="15" customHeight="1" x14ac:dyDescent="0.25">
      <c r="A235" s="480"/>
      <c r="B235" s="570" t="s">
        <v>665</v>
      </c>
      <c r="C235" s="85" t="str">
        <f>LEFT($A234,4)&amp;"-1"</f>
        <v>6260-1</v>
      </c>
      <c r="D235" s="504" t="s">
        <v>638</v>
      </c>
      <c r="E235" s="546"/>
      <c r="F235" s="529"/>
      <c r="G235" s="557">
        <v>1</v>
      </c>
      <c r="H235" s="481">
        <v>20000</v>
      </c>
      <c r="I235" s="482">
        <f t="shared" ref="I235:I254" si="99">(E235+F235+G235)*H235</f>
        <v>20000</v>
      </c>
      <c r="J235" s="482">
        <f t="shared" ref="J235:J244" ca="1" si="100">-(SUMIF(INDIRECT(LEFT($A$234,4)&amp;"!i3:i200"),"="&amp;C235&amp;" *",INDIRECT(LEFT($A$234,4)&amp;"!k3:k200")))</f>
        <v>0</v>
      </c>
      <c r="K235" s="482">
        <f t="shared" ca="1" si="97"/>
        <v>20000</v>
      </c>
      <c r="L235" s="395">
        <v>15000</v>
      </c>
      <c r="M235" s="51">
        <f t="shared" si="91"/>
        <v>5000</v>
      </c>
      <c r="N235" s="121" t="s">
        <v>226</v>
      </c>
      <c r="O235" s="59">
        <f t="shared" ref="O235:O244" si="101">I235-L235</f>
        <v>5000</v>
      </c>
      <c r="P235" s="305">
        <f t="shared" si="96"/>
        <v>0.33333333333333331</v>
      </c>
      <c r="Q235" s="229"/>
      <c r="R235" s="738" t="s">
        <v>637</v>
      </c>
    </row>
    <row r="236" spans="1:18" ht="15" customHeight="1" x14ac:dyDescent="0.25">
      <c r="A236" s="514"/>
      <c r="B236" s="579" t="s">
        <v>666</v>
      </c>
      <c r="C236" s="129" t="str">
        <f>LEFT($C235,4)&amp;"-"&amp;VALUE(MID($C235,FIND("-",$C235)+1,256))+1</f>
        <v>6260-2</v>
      </c>
      <c r="D236" s="514" t="s">
        <v>456</v>
      </c>
      <c r="E236" s="563"/>
      <c r="F236" s="558"/>
      <c r="G236" s="563">
        <v>1</v>
      </c>
      <c r="H236" s="496">
        <v>65000</v>
      </c>
      <c r="I236" s="485">
        <f t="shared" si="99"/>
        <v>65000</v>
      </c>
      <c r="J236" s="494">
        <f t="shared" ca="1" si="100"/>
        <v>0</v>
      </c>
      <c r="K236" s="494">
        <f t="shared" ca="1" si="97"/>
        <v>65000</v>
      </c>
      <c r="L236" s="556">
        <v>50000</v>
      </c>
      <c r="M236" s="51">
        <f t="shared" si="91"/>
        <v>15000</v>
      </c>
      <c r="N236" s="121" t="s">
        <v>250</v>
      </c>
      <c r="O236" s="59">
        <f t="shared" si="101"/>
        <v>15000</v>
      </c>
      <c r="P236" s="305">
        <f t="shared" si="96"/>
        <v>0.3</v>
      </c>
      <c r="Q236" s="229"/>
    </row>
    <row r="237" spans="1:18" x14ac:dyDescent="0.25">
      <c r="A237" s="518"/>
      <c r="B237" s="573"/>
      <c r="C237" s="133" t="str">
        <f>LEFT($C255,4)&amp;"-"&amp;VALUE(MID($C255,FIND("-",$C255)+1,256))+1</f>
        <v>6260-21</v>
      </c>
      <c r="D237" s="491" t="s">
        <v>457</v>
      </c>
      <c r="E237" s="920"/>
      <c r="F237" s="538">
        <v>1</v>
      </c>
      <c r="G237" s="849"/>
      <c r="H237" s="516">
        <v>25250</v>
      </c>
      <c r="I237" s="981">
        <f>(E237+F237+G237)*H237</f>
        <v>25250</v>
      </c>
      <c r="J237" s="493"/>
      <c r="K237" s="493"/>
      <c r="L237" s="539">
        <v>12600</v>
      </c>
      <c r="M237" s="51">
        <f t="shared" si="91"/>
        <v>12650</v>
      </c>
      <c r="N237" s="3" t="s">
        <v>196</v>
      </c>
      <c r="O237" s="59"/>
      <c r="P237" s="305"/>
      <c r="Q237" s="229"/>
      <c r="R237" s="855" t="s">
        <v>458</v>
      </c>
    </row>
    <row r="238" spans="1:18" ht="15" customHeight="1" x14ac:dyDescent="0.25">
      <c r="A238" s="514"/>
      <c r="B238" s="579"/>
      <c r="C238" s="129" t="str">
        <f>LEFT($C236,4)&amp;"-"&amp;VALUE(MID($C236,FIND("-",$C236)+1,256))+1</f>
        <v>6260-3</v>
      </c>
      <c r="D238" s="483" t="s">
        <v>459</v>
      </c>
      <c r="E238" s="564"/>
      <c r="F238" s="564"/>
      <c r="G238" s="564">
        <v>1</v>
      </c>
      <c r="H238" s="496">
        <v>15000</v>
      </c>
      <c r="I238" s="494">
        <f t="shared" si="99"/>
        <v>15000</v>
      </c>
      <c r="J238" s="494">
        <f t="shared" ca="1" si="100"/>
        <v>0</v>
      </c>
      <c r="K238" s="494">
        <f t="shared" ref="K238:K254" ca="1" si="102">SUM(I238:J238)</f>
        <v>15000</v>
      </c>
      <c r="L238" s="556">
        <v>15000</v>
      </c>
      <c r="M238" s="51">
        <f t="shared" si="91"/>
        <v>0</v>
      </c>
      <c r="N238" s="3" t="s">
        <v>250</v>
      </c>
      <c r="O238" s="59">
        <f t="shared" ref="O238:O243" si="103">I238-L238</f>
        <v>0</v>
      </c>
      <c r="P238" s="305">
        <f t="shared" si="96"/>
        <v>0</v>
      </c>
      <c r="Q238" s="229"/>
      <c r="R238" s="743"/>
    </row>
    <row r="239" spans="1:18" x14ac:dyDescent="0.25">
      <c r="A239" s="518"/>
      <c r="B239" s="573"/>
      <c r="C239" s="133" t="str">
        <f>LEFT($C238,4)&amp;"-"&amp;VALUE(MID($C238,FIND("-",$C238)+1,256))+1</f>
        <v>6260-4</v>
      </c>
      <c r="D239" s="919" t="s">
        <v>460</v>
      </c>
      <c r="E239" s="920"/>
      <c r="F239" s="538">
        <v>1</v>
      </c>
      <c r="G239" s="849"/>
      <c r="H239" s="516">
        <v>16500</v>
      </c>
      <c r="I239" s="493">
        <f>(E239+F239+G239)*H239</f>
        <v>16500</v>
      </c>
      <c r="J239" s="493"/>
      <c r="K239" s="493"/>
      <c r="L239" s="539">
        <v>16500</v>
      </c>
      <c r="M239" s="51">
        <f t="shared" si="91"/>
        <v>0</v>
      </c>
      <c r="N239" s="3" t="s">
        <v>245</v>
      </c>
      <c r="O239" s="59">
        <f t="shared" si="103"/>
        <v>0</v>
      </c>
      <c r="P239" s="305">
        <f>O239/L239</f>
        <v>0</v>
      </c>
      <c r="Q239" s="229"/>
    </row>
    <row r="240" spans="1:18" x14ac:dyDescent="0.25">
      <c r="A240" s="514"/>
      <c r="B240" s="575" t="s">
        <v>461</v>
      </c>
      <c r="C240" s="129" t="str">
        <f t="shared" ref="C240:C256" si="104">LEFT($C239,4)&amp;"-"&amp;VALUE(MID($C239,FIND("-",$C239)+1,256))+1</f>
        <v>6260-5</v>
      </c>
      <c r="D240" s="784" t="s">
        <v>462</v>
      </c>
      <c r="E240" s="611"/>
      <c r="F240" s="564">
        <v>1</v>
      </c>
      <c r="G240" s="565"/>
      <c r="H240" s="496">
        <v>13800</v>
      </c>
      <c r="I240" s="494">
        <f>(E240+F240+G240)*H240</f>
        <v>13800</v>
      </c>
      <c r="J240" s="494"/>
      <c r="K240" s="494"/>
      <c r="L240" s="556">
        <v>0</v>
      </c>
      <c r="M240" s="51">
        <f t="shared" si="91"/>
        <v>13800</v>
      </c>
      <c r="N240" s="3" t="s">
        <v>245</v>
      </c>
      <c r="O240" s="59">
        <f t="shared" si="103"/>
        <v>13800</v>
      </c>
      <c r="P240" s="310" t="e">
        <f>O240/L240</f>
        <v>#DIV/0!</v>
      </c>
      <c r="Q240" s="229"/>
    </row>
    <row r="241" spans="1:18" x14ac:dyDescent="0.25">
      <c r="A241" s="539"/>
      <c r="B241" s="573" t="s">
        <v>672</v>
      </c>
      <c r="C241" s="133" t="str">
        <f t="shared" si="104"/>
        <v>6260-6</v>
      </c>
      <c r="D241" s="539" t="s">
        <v>463</v>
      </c>
      <c r="E241" s="539"/>
      <c r="F241" s="922">
        <v>0.2</v>
      </c>
      <c r="G241" s="539"/>
      <c r="H241" s="539">
        <v>500000</v>
      </c>
      <c r="I241" s="493">
        <f>(E241+F241+G241)*H241</f>
        <v>100000</v>
      </c>
      <c r="J241" s="493"/>
      <c r="K241" s="493"/>
      <c r="L241" s="539">
        <v>100000</v>
      </c>
      <c r="M241" s="51">
        <f t="shared" si="91"/>
        <v>0</v>
      </c>
      <c r="N241" s="3" t="s">
        <v>196</v>
      </c>
      <c r="O241" s="59">
        <f t="shared" si="103"/>
        <v>0</v>
      </c>
      <c r="P241" s="310">
        <f>O241/L241</f>
        <v>0</v>
      </c>
      <c r="Q241" s="229"/>
      <c r="R241" s="739"/>
    </row>
    <row r="242" spans="1:18" ht="15" customHeight="1" x14ac:dyDescent="0.25">
      <c r="A242" s="517"/>
      <c r="B242" s="580"/>
      <c r="C242" s="129" t="str">
        <f t="shared" si="104"/>
        <v>6260-7</v>
      </c>
      <c r="D242" s="519" t="s">
        <v>464</v>
      </c>
      <c r="E242" s="593">
        <v>1</v>
      </c>
      <c r="F242" s="545"/>
      <c r="G242" s="593"/>
      <c r="H242" s="490">
        <v>35000</v>
      </c>
      <c r="I242" s="485">
        <f t="shared" si="99"/>
        <v>35000</v>
      </c>
      <c r="J242" s="485">
        <f t="shared" ca="1" si="100"/>
        <v>0</v>
      </c>
      <c r="K242" s="485">
        <f t="shared" ca="1" si="102"/>
        <v>35000</v>
      </c>
      <c r="L242" s="541">
        <v>35000</v>
      </c>
      <c r="M242" s="51">
        <f t="shared" si="91"/>
        <v>0</v>
      </c>
      <c r="N242" s="3" t="s">
        <v>109</v>
      </c>
      <c r="O242" s="59">
        <f t="shared" si="103"/>
        <v>0</v>
      </c>
      <c r="P242" s="305">
        <f t="shared" si="96"/>
        <v>0</v>
      </c>
      <c r="Q242" s="229"/>
      <c r="R242" s="743"/>
    </row>
    <row r="243" spans="1:18" ht="23.25" customHeight="1" x14ac:dyDescent="0.25">
      <c r="A243" s="518"/>
      <c r="B243" s="573" t="s">
        <v>671</v>
      </c>
      <c r="C243" s="133" t="str">
        <f t="shared" si="104"/>
        <v>6260-8</v>
      </c>
      <c r="D243" s="504" t="s">
        <v>465</v>
      </c>
      <c r="E243" s="546"/>
      <c r="F243" s="529">
        <v>1</v>
      </c>
      <c r="G243" s="546"/>
      <c r="H243" s="481">
        <v>287159</v>
      </c>
      <c r="I243" s="482">
        <f t="shared" si="99"/>
        <v>287159</v>
      </c>
      <c r="J243" s="482">
        <f t="shared" ca="1" si="100"/>
        <v>0</v>
      </c>
      <c r="K243" s="482">
        <f t="shared" ca="1" si="102"/>
        <v>287159</v>
      </c>
      <c r="L243" s="395">
        <v>303159</v>
      </c>
      <c r="M243" s="51">
        <f t="shared" si="91"/>
        <v>-16000</v>
      </c>
      <c r="N243" s="3" t="s">
        <v>196</v>
      </c>
      <c r="O243" s="59">
        <f t="shared" si="103"/>
        <v>-16000</v>
      </c>
      <c r="P243" s="305">
        <f t="shared" si="96"/>
        <v>-5.2777585359497822E-2</v>
      </c>
      <c r="Q243" s="229"/>
      <c r="R243" s="738" t="s">
        <v>670</v>
      </c>
    </row>
    <row r="244" spans="1:18" x14ac:dyDescent="0.25">
      <c r="A244" s="517"/>
      <c r="B244" s="575"/>
      <c r="C244" s="129" t="str">
        <f t="shared" si="104"/>
        <v>6260-9</v>
      </c>
      <c r="D244" s="489" t="s">
        <v>466</v>
      </c>
      <c r="E244" s="551"/>
      <c r="F244" s="540"/>
      <c r="G244" s="551">
        <v>5</v>
      </c>
      <c r="H244" s="490">
        <v>145</v>
      </c>
      <c r="I244" s="485">
        <f t="shared" si="99"/>
        <v>725</v>
      </c>
      <c r="J244" s="485">
        <f t="shared" ca="1" si="100"/>
        <v>0</v>
      </c>
      <c r="K244" s="485">
        <f t="shared" ca="1" si="102"/>
        <v>725</v>
      </c>
      <c r="L244" s="541">
        <v>725</v>
      </c>
      <c r="M244" s="51">
        <f t="shared" si="91"/>
        <v>0</v>
      </c>
      <c r="N244" s="121" t="s">
        <v>226</v>
      </c>
      <c r="O244" s="59">
        <f t="shared" si="101"/>
        <v>0</v>
      </c>
      <c r="P244" s="305">
        <f t="shared" si="96"/>
        <v>0</v>
      </c>
      <c r="Q244" s="229"/>
    </row>
    <row r="245" spans="1:18" ht="15" customHeight="1" x14ac:dyDescent="0.25">
      <c r="A245" s="1005"/>
      <c r="B245" s="975" t="s">
        <v>664</v>
      </c>
      <c r="C245" s="990" t="str">
        <f t="shared" si="104"/>
        <v>6260-10</v>
      </c>
      <c r="D245" s="1024" t="s">
        <v>467</v>
      </c>
      <c r="E245" s="978"/>
      <c r="F245" s="977"/>
      <c r="G245" s="978">
        <v>1</v>
      </c>
      <c r="H245" s="1025">
        <v>500000</v>
      </c>
      <c r="I245" s="981">
        <f t="shared" si="99"/>
        <v>500000</v>
      </c>
      <c r="J245" s="980">
        <f ca="1">-(SUMIF(INDIRECT(LEFT($A$234,4)&amp;"!i3:i200"),"="&amp;C245&amp;" *",INDIRECT(LEFT($A$234,4)&amp;"!k3:k200")))</f>
        <v>0</v>
      </c>
      <c r="K245" s="980">
        <f t="shared" ca="1" si="102"/>
        <v>500000</v>
      </c>
      <c r="L245" s="980">
        <v>425000</v>
      </c>
      <c r="M245" s="51">
        <f t="shared" si="91"/>
        <v>75000</v>
      </c>
      <c r="N245" s="121" t="s">
        <v>250</v>
      </c>
      <c r="O245" s="59">
        <f t="shared" ref="O245:O257" si="105">I245-L245</f>
        <v>75000</v>
      </c>
      <c r="P245" s="305">
        <f t="shared" si="96"/>
        <v>0.17647058823529413</v>
      </c>
      <c r="Q245" s="229"/>
    </row>
    <row r="246" spans="1:18" ht="26.1" customHeight="1" x14ac:dyDescent="0.25">
      <c r="A246" s="514"/>
      <c r="B246" s="575" t="s">
        <v>660</v>
      </c>
      <c r="C246" s="129" t="str">
        <f t="shared" si="104"/>
        <v>6260-11</v>
      </c>
      <c r="D246" s="519" t="s">
        <v>468</v>
      </c>
      <c r="E246" s="593">
        <v>1</v>
      </c>
      <c r="F246" s="545"/>
      <c r="G246" s="927"/>
      <c r="H246" s="490">
        <f>88000+22000+11000</f>
        <v>121000</v>
      </c>
      <c r="I246" s="485">
        <f>(E246+F246+G246)*H246</f>
        <v>121000</v>
      </c>
      <c r="J246" s="485">
        <f ca="1">-(SUMIF(INDIRECT(LEFT($A$234,4)&amp;"!i3:i200"),"="&amp;C246&amp;" *",INDIRECT(LEFT($A$234,4)&amp;"!k3:k200")))</f>
        <v>0</v>
      </c>
      <c r="K246" s="485">
        <f t="shared" ca="1" si="102"/>
        <v>121000</v>
      </c>
      <c r="L246" s="541">
        <v>106000</v>
      </c>
      <c r="M246" s="51">
        <f t="shared" si="91"/>
        <v>15000</v>
      </c>
      <c r="N246" s="121" t="s">
        <v>229</v>
      </c>
      <c r="O246" s="59">
        <f t="shared" si="105"/>
        <v>15000</v>
      </c>
      <c r="P246" s="305">
        <f t="shared" si="96"/>
        <v>0.14150943396226415</v>
      </c>
      <c r="Q246" s="301"/>
      <c r="R246" t="s">
        <v>469</v>
      </c>
    </row>
    <row r="247" spans="1:18" x14ac:dyDescent="0.25">
      <c r="A247" s="518"/>
      <c r="B247" s="573"/>
      <c r="C247" s="133" t="str">
        <f t="shared" si="104"/>
        <v>6260-12</v>
      </c>
      <c r="D247" s="919" t="s">
        <v>470</v>
      </c>
      <c r="E247" s="920"/>
      <c r="F247" s="538">
        <v>1</v>
      </c>
      <c r="G247" s="849"/>
      <c r="H247" s="516">
        <v>31000</v>
      </c>
      <c r="I247" s="493">
        <f>(E247+F247+G247)*H247</f>
        <v>31000</v>
      </c>
      <c r="J247" s="493"/>
      <c r="K247" s="493"/>
      <c r="L247" s="539">
        <v>31000</v>
      </c>
      <c r="M247" s="51">
        <f t="shared" si="91"/>
        <v>0</v>
      </c>
      <c r="N247" s="3" t="s">
        <v>245</v>
      </c>
      <c r="O247" s="59">
        <f>I247-L247</f>
        <v>0</v>
      </c>
      <c r="P247" s="310">
        <f>O247/L247</f>
        <v>0</v>
      </c>
      <c r="Q247" s="229"/>
    </row>
    <row r="248" spans="1:18" ht="15" customHeight="1" x14ac:dyDescent="0.25">
      <c r="A248" s="517"/>
      <c r="B248" s="580"/>
      <c r="C248" s="129" t="str">
        <f t="shared" si="104"/>
        <v>6260-13</v>
      </c>
      <c r="D248" s="519" t="s">
        <v>471</v>
      </c>
      <c r="E248" s="593"/>
      <c r="F248" s="545">
        <v>1</v>
      </c>
      <c r="G248" s="927"/>
      <c r="H248" s="490">
        <v>38000</v>
      </c>
      <c r="I248" s="494">
        <f>(E248+F248+G248)*H248</f>
        <v>38000</v>
      </c>
      <c r="J248" s="485">
        <f t="shared" ref="J248:J254" ca="1" si="106">-(SUMIF(INDIRECT(LEFT($A$234,4)&amp;"!i3:i200"),"="&amp;C248&amp;" *",INDIRECT(LEFT($A$234,4)&amp;"!k3:k200")))</f>
        <v>0</v>
      </c>
      <c r="K248" s="485">
        <f t="shared" ca="1" si="102"/>
        <v>38000</v>
      </c>
      <c r="L248" s="541">
        <v>35000</v>
      </c>
      <c r="M248" s="51">
        <f t="shared" si="91"/>
        <v>3000</v>
      </c>
      <c r="N248" s="121" t="s">
        <v>241</v>
      </c>
      <c r="O248" s="59">
        <f t="shared" si="105"/>
        <v>3000</v>
      </c>
      <c r="P248" s="305">
        <f t="shared" si="96"/>
        <v>8.5714285714285715E-2</v>
      </c>
      <c r="Q248" s="301"/>
    </row>
    <row r="249" spans="1:18" ht="15" customHeight="1" x14ac:dyDescent="0.25">
      <c r="A249" s="518"/>
      <c r="B249" s="576" t="s">
        <v>472</v>
      </c>
      <c r="C249" s="133" t="str">
        <f t="shared" si="104"/>
        <v>6260-14</v>
      </c>
      <c r="D249" s="525" t="s">
        <v>473</v>
      </c>
      <c r="E249" s="923">
        <v>10000</v>
      </c>
      <c r="F249" s="924"/>
      <c r="G249" s="925"/>
      <c r="H249" s="481">
        <v>0.75</v>
      </c>
      <c r="I249" s="481">
        <f>(E249+F249+G249)*H249</f>
        <v>7500</v>
      </c>
      <c r="J249" s="481">
        <f t="shared" ca="1" si="106"/>
        <v>0</v>
      </c>
      <c r="K249" s="481">
        <f ca="1">SUM(I249:J249)</f>
        <v>7500</v>
      </c>
      <c r="L249" s="481">
        <v>4500</v>
      </c>
      <c r="M249" s="51">
        <f t="shared" si="91"/>
        <v>3000</v>
      </c>
      <c r="N249" s="3" t="s">
        <v>276</v>
      </c>
      <c r="O249" s="59"/>
      <c r="P249" s="305"/>
      <c r="Q249" s="229"/>
      <c r="R249" s="739" t="s">
        <v>474</v>
      </c>
    </row>
    <row r="250" spans="1:18" ht="15" customHeight="1" x14ac:dyDescent="0.25">
      <c r="A250" s="514"/>
      <c r="B250" s="575"/>
      <c r="C250" s="129" t="str">
        <f t="shared" si="104"/>
        <v>6260-15</v>
      </c>
      <c r="D250" s="483" t="s">
        <v>475</v>
      </c>
      <c r="E250" s="611"/>
      <c r="F250" s="564">
        <v>12</v>
      </c>
      <c r="G250" s="565"/>
      <c r="H250" s="496">
        <v>228</v>
      </c>
      <c r="I250" s="494">
        <f t="shared" si="99"/>
        <v>2736</v>
      </c>
      <c r="J250" s="494">
        <f t="shared" ca="1" si="106"/>
        <v>0</v>
      </c>
      <c r="K250" s="485">
        <f t="shared" ca="1" si="102"/>
        <v>2736</v>
      </c>
      <c r="L250" s="556">
        <v>2736</v>
      </c>
      <c r="M250" s="51">
        <f t="shared" si="91"/>
        <v>0</v>
      </c>
      <c r="N250" s="3" t="s">
        <v>241</v>
      </c>
      <c r="O250" s="59"/>
      <c r="P250" s="305"/>
      <c r="Q250" s="229"/>
    </row>
    <row r="251" spans="1:18" ht="15" customHeight="1" x14ac:dyDescent="0.25">
      <c r="A251" s="480"/>
      <c r="B251" s="576"/>
      <c r="C251" s="133" t="str">
        <f t="shared" si="104"/>
        <v>6260-16</v>
      </c>
      <c r="D251" s="491" t="s">
        <v>476</v>
      </c>
      <c r="E251" s="926"/>
      <c r="F251" s="538">
        <v>10</v>
      </c>
      <c r="G251" s="849"/>
      <c r="H251" s="516">
        <v>100</v>
      </c>
      <c r="I251" s="980">
        <f t="shared" si="99"/>
        <v>1000</v>
      </c>
      <c r="J251" s="493">
        <f t="shared" ca="1" si="106"/>
        <v>0</v>
      </c>
      <c r="K251" s="493">
        <f t="shared" ca="1" si="102"/>
        <v>1000</v>
      </c>
      <c r="L251" s="539">
        <v>1000</v>
      </c>
      <c r="M251" s="51">
        <f t="shared" si="91"/>
        <v>0</v>
      </c>
      <c r="N251" s="3" t="s">
        <v>241</v>
      </c>
      <c r="O251" s="59">
        <f t="shared" si="105"/>
        <v>0</v>
      </c>
      <c r="P251" s="305">
        <f t="shared" si="96"/>
        <v>0</v>
      </c>
      <c r="Q251" s="302"/>
      <c r="R251" s="740"/>
    </row>
    <row r="252" spans="1:18" ht="23.25" x14ac:dyDescent="0.25">
      <c r="A252" s="517"/>
      <c r="B252" s="577" t="s">
        <v>668</v>
      </c>
      <c r="C252" s="129" t="str">
        <f t="shared" si="104"/>
        <v>6260-17</v>
      </c>
      <c r="D252" s="483" t="s">
        <v>653</v>
      </c>
      <c r="E252" s="917"/>
      <c r="F252" s="918">
        <v>40000</v>
      </c>
      <c r="G252" s="565"/>
      <c r="H252" s="484">
        <v>1</v>
      </c>
      <c r="I252" s="494">
        <f>(E252+F252+G252)*H252</f>
        <v>40000</v>
      </c>
      <c r="J252" s="494">
        <f t="shared" ca="1" si="106"/>
        <v>0</v>
      </c>
      <c r="K252" s="494">
        <f t="shared" ref="K252" ca="1" si="107">SUM(I252:J252)</f>
        <v>40000</v>
      </c>
      <c r="L252" s="556">
        <v>0</v>
      </c>
      <c r="M252" s="51">
        <f t="shared" si="91"/>
        <v>40000</v>
      </c>
      <c r="N252" s="3" t="s">
        <v>477</v>
      </c>
      <c r="O252" s="59">
        <f t="shared" si="105"/>
        <v>40000</v>
      </c>
      <c r="P252" s="305" t="e">
        <f t="shared" si="96"/>
        <v>#DIV/0!</v>
      </c>
      <c r="Q252" s="302"/>
      <c r="R252" s="989" t="s">
        <v>691</v>
      </c>
    </row>
    <row r="253" spans="1:18" ht="15" customHeight="1" x14ac:dyDescent="0.25">
      <c r="A253" s="480"/>
      <c r="C253" s="133" t="str">
        <f t="shared" si="104"/>
        <v>6260-18</v>
      </c>
      <c r="D253" s="525" t="s">
        <v>478</v>
      </c>
      <c r="E253" s="559"/>
      <c r="F253" s="542">
        <v>12</v>
      </c>
      <c r="G253" s="559"/>
      <c r="H253" s="481">
        <v>2500</v>
      </c>
      <c r="I253" s="482">
        <f t="shared" si="99"/>
        <v>30000</v>
      </c>
      <c r="J253" s="482">
        <f t="shared" ca="1" si="106"/>
        <v>0</v>
      </c>
      <c r="K253" s="482">
        <f t="shared" ca="1" si="102"/>
        <v>30000</v>
      </c>
      <c r="L253" s="395">
        <v>30000</v>
      </c>
      <c r="M253" s="51">
        <f t="shared" si="91"/>
        <v>0</v>
      </c>
      <c r="N253" s="3" t="s">
        <v>245</v>
      </c>
      <c r="O253" s="59">
        <f t="shared" ref="O253:O254" si="108">I253-L253</f>
        <v>0</v>
      </c>
      <c r="P253" s="305">
        <f t="shared" ref="P253:P254" si="109">O253/L253</f>
        <v>0</v>
      </c>
      <c r="Q253" s="117"/>
      <c r="R253" s="743"/>
    </row>
    <row r="254" spans="1:18" x14ac:dyDescent="0.25">
      <c r="A254" s="514"/>
      <c r="B254" s="575"/>
      <c r="C254" s="129" t="str">
        <f t="shared" si="104"/>
        <v>6260-19</v>
      </c>
      <c r="D254" s="483" t="s">
        <v>479</v>
      </c>
      <c r="E254" s="611"/>
      <c r="F254" s="564">
        <v>1</v>
      </c>
      <c r="G254" s="565"/>
      <c r="H254" s="496">
        <v>205</v>
      </c>
      <c r="I254" s="494">
        <f t="shared" si="99"/>
        <v>205</v>
      </c>
      <c r="J254" s="494">
        <f t="shared" ca="1" si="106"/>
        <v>0</v>
      </c>
      <c r="K254" s="494">
        <f t="shared" ca="1" si="102"/>
        <v>205</v>
      </c>
      <c r="L254" s="556">
        <v>0</v>
      </c>
      <c r="M254" s="51">
        <f t="shared" si="91"/>
        <v>205</v>
      </c>
      <c r="N254" s="3" t="s">
        <v>245</v>
      </c>
      <c r="O254" s="59">
        <f t="shared" si="108"/>
        <v>205</v>
      </c>
      <c r="P254" s="305" t="e">
        <f t="shared" si="109"/>
        <v>#DIV/0!</v>
      </c>
      <c r="Q254" s="229"/>
      <c r="R254" s="855"/>
    </row>
    <row r="255" spans="1:18" x14ac:dyDescent="0.25">
      <c r="A255" s="518"/>
      <c r="B255" s="573" t="s">
        <v>657</v>
      </c>
      <c r="C255" s="133" t="str">
        <f t="shared" si="104"/>
        <v>6260-20</v>
      </c>
      <c r="D255" s="491" t="s">
        <v>480</v>
      </c>
      <c r="E255" s="920"/>
      <c r="F255" s="538"/>
      <c r="G255" s="849"/>
      <c r="H255" s="516">
        <v>2500</v>
      </c>
      <c r="I255" s="493">
        <f>(E255+F255+G255)*H255</f>
        <v>0</v>
      </c>
      <c r="J255" s="493"/>
      <c r="K255" s="493"/>
      <c r="L255" s="539">
        <v>2500</v>
      </c>
      <c r="M255" s="51">
        <f t="shared" si="91"/>
        <v>-2500</v>
      </c>
      <c r="N255" s="3" t="s">
        <v>245</v>
      </c>
      <c r="O255" s="59"/>
      <c r="P255" s="305"/>
      <c r="Q255" s="229"/>
      <c r="R255" s="855"/>
    </row>
    <row r="256" spans="1:18" x14ac:dyDescent="0.25">
      <c r="A256" s="514"/>
      <c r="B256" s="575" t="s">
        <v>625</v>
      </c>
      <c r="C256" s="129" t="str">
        <f t="shared" si="104"/>
        <v>6260-21</v>
      </c>
      <c r="D256" s="483" t="s">
        <v>697</v>
      </c>
      <c r="E256" s="611"/>
      <c r="F256" s="564"/>
      <c r="G256" s="565">
        <v>1</v>
      </c>
      <c r="H256" s="496">
        <v>20000</v>
      </c>
      <c r="I256" s="494">
        <f>(E256+F256+G256)*H256</f>
        <v>20000</v>
      </c>
      <c r="J256" s="494"/>
      <c r="K256" s="494"/>
      <c r="L256" s="556"/>
      <c r="M256" s="51"/>
      <c r="N256" s="3"/>
      <c r="O256" s="59"/>
      <c r="P256" s="305"/>
      <c r="Q256" s="1028"/>
      <c r="R256" s="855"/>
    </row>
    <row r="257" spans="1:23" ht="15" customHeight="1" thickBot="1" x14ac:dyDescent="0.3">
      <c r="B257" s="610"/>
      <c r="C257" s="131"/>
      <c r="D257" s="497" t="s">
        <v>106</v>
      </c>
      <c r="E257" s="498"/>
      <c r="F257" s="498"/>
      <c r="G257" s="397"/>
      <c r="H257" s="499">
        <f>(I257-L257)/L257</f>
        <v>0.15531069729784436</v>
      </c>
      <c r="I257" s="501">
        <f>SUM(I235:I256)</f>
        <v>1369875</v>
      </c>
      <c r="J257" s="501">
        <f ca="1">SUM(J235:J254)</f>
        <v>0</v>
      </c>
      <c r="K257" s="501">
        <f ca="1">SUM(K235:K254)</f>
        <v>1163325</v>
      </c>
      <c r="L257" s="501">
        <f>SUM(L235:L255)</f>
        <v>1185720</v>
      </c>
      <c r="M257" s="51">
        <f t="shared" si="91"/>
        <v>184155</v>
      </c>
      <c r="O257" s="59">
        <f t="shared" si="105"/>
        <v>184155</v>
      </c>
      <c r="P257" s="305">
        <f t="shared" si="96"/>
        <v>0.15531069729784436</v>
      </c>
      <c r="Q257" s="229"/>
    </row>
    <row r="258" spans="1:23" ht="10.5" customHeight="1" thickTop="1" x14ac:dyDescent="0.25">
      <c r="B258" s="93"/>
      <c r="C258" s="85"/>
      <c r="D258" s="65"/>
      <c r="E258" s="66"/>
      <c r="F258" s="66"/>
      <c r="G258" s="18"/>
      <c r="H258" s="39"/>
      <c r="I258" s="82"/>
      <c r="J258" s="82"/>
      <c r="K258" s="82"/>
      <c r="L258" s="87"/>
      <c r="M258" s="51">
        <f t="shared" si="91"/>
        <v>0</v>
      </c>
      <c r="O258" s="51"/>
      <c r="P258" s="305"/>
      <c r="Q258" s="229"/>
    </row>
    <row r="259" spans="1:23" ht="19.5" customHeight="1" x14ac:dyDescent="0.3">
      <c r="A259" s="1116" t="s">
        <v>481</v>
      </c>
      <c r="B259" s="1116"/>
      <c r="C259" s="1116"/>
      <c r="D259" s="1116"/>
      <c r="E259" s="1116"/>
      <c r="F259" s="1116"/>
      <c r="G259" s="1116"/>
      <c r="H259" s="1116"/>
      <c r="I259" s="1116"/>
      <c r="J259" s="1116"/>
      <c r="K259" s="1116"/>
      <c r="L259" s="1116"/>
      <c r="M259" s="51">
        <f t="shared" si="91"/>
        <v>0</v>
      </c>
      <c r="O259" s="51"/>
      <c r="P259" s="305"/>
      <c r="Q259" s="229"/>
    </row>
    <row r="260" spans="1:23" ht="15" customHeight="1" x14ac:dyDescent="0.25">
      <c r="A260" s="480"/>
      <c r="B260" s="574"/>
      <c r="C260" s="133" t="str">
        <f>LEFT($A259,4)&amp;"-1"</f>
        <v>6280-1</v>
      </c>
      <c r="D260" s="478" t="s">
        <v>482</v>
      </c>
      <c r="E260" s="566"/>
      <c r="F260" s="544">
        <v>1</v>
      </c>
      <c r="G260" s="566"/>
      <c r="H260" s="516">
        <v>5500</v>
      </c>
      <c r="I260" s="493">
        <f t="shared" ref="I260:I265" si="110">(E260+F260+G260)*H260</f>
        <v>5500</v>
      </c>
      <c r="J260" s="493">
        <f t="shared" ref="J260:J287" ca="1" si="111">-(SUMIF(INDIRECT(LEFT($A$259,4)&amp;"!i3:i200"),"="&amp;C260&amp;" *",INDIRECT(LEFT($A$259,4)&amp;"!k3:k200")))</f>
        <v>0</v>
      </c>
      <c r="K260" s="493">
        <f t="shared" ref="K260" ca="1" si="112">SUM(I260:J260)</f>
        <v>5500</v>
      </c>
      <c r="L260" s="539">
        <v>5180</v>
      </c>
      <c r="M260" s="51">
        <f t="shared" si="91"/>
        <v>320</v>
      </c>
      <c r="N260" s="121" t="s">
        <v>196</v>
      </c>
      <c r="O260" s="59">
        <f t="shared" ref="O260" si="113">I260-L260</f>
        <v>320</v>
      </c>
      <c r="P260" s="305">
        <f t="shared" si="96"/>
        <v>6.1776061776061778E-2</v>
      </c>
      <c r="Q260" s="229"/>
    </row>
    <row r="261" spans="1:23" s="983" customFormat="1" ht="15" customHeight="1" x14ac:dyDescent="0.25">
      <c r="A261" s="514"/>
      <c r="B261" s="612"/>
      <c r="C261" s="107" t="str">
        <f>LEFT(C260,4)&amp;"-"&amp;VALUE(MID(C260,FIND("-",C260)+1,256))+1</f>
        <v>6280-2</v>
      </c>
      <c r="D261" s="514" t="s">
        <v>483</v>
      </c>
      <c r="E261" s="563"/>
      <c r="F261" s="558">
        <v>1</v>
      </c>
      <c r="G261" s="563"/>
      <c r="H261" s="496">
        <v>19500</v>
      </c>
      <c r="I261" s="494">
        <f t="shared" si="110"/>
        <v>19500</v>
      </c>
      <c r="J261" s="494">
        <f t="shared" ca="1" si="111"/>
        <v>0</v>
      </c>
      <c r="K261" s="494">
        <f t="shared" ref="K261:K298" ca="1" si="114">SUM(I261:J261)</f>
        <v>19500</v>
      </c>
      <c r="L261" s="556">
        <v>18650</v>
      </c>
      <c r="M261" s="1018">
        <f t="shared" si="91"/>
        <v>850</v>
      </c>
      <c r="N261" s="984" t="s">
        <v>196</v>
      </c>
      <c r="O261" s="985">
        <f>I261-L261</f>
        <v>850</v>
      </c>
      <c r="P261" s="305">
        <f t="shared" si="96"/>
        <v>4.5576407506702415E-2</v>
      </c>
      <c r="Q261" s="1030"/>
      <c r="R261" s="993"/>
    </row>
    <row r="262" spans="1:23" s="983" customFormat="1" ht="15" customHeight="1" x14ac:dyDescent="0.25">
      <c r="A262" s="1005"/>
      <c r="B262" s="1029"/>
      <c r="C262" s="1004" t="str">
        <f>LEFT(C261,4)&amp;"-"&amp;VALUE(MID(C261,FIND("-",C261)+1,256))+1</f>
        <v>6280-3</v>
      </c>
      <c r="D262" s="974" t="s">
        <v>484</v>
      </c>
      <c r="E262" s="1013"/>
      <c r="F262" s="1014">
        <v>1</v>
      </c>
      <c r="G262" s="1013"/>
      <c r="H262" s="979">
        <v>10712</v>
      </c>
      <c r="I262" s="981">
        <f t="shared" si="110"/>
        <v>10712</v>
      </c>
      <c r="J262" s="980">
        <f t="shared" ca="1" si="111"/>
        <v>0</v>
      </c>
      <c r="K262" s="980">
        <f t="shared" ca="1" si="114"/>
        <v>10712</v>
      </c>
      <c r="L262" s="982">
        <v>4710</v>
      </c>
      <c r="M262" s="1018">
        <f t="shared" si="91"/>
        <v>6002</v>
      </c>
      <c r="N262" s="984" t="s">
        <v>196</v>
      </c>
      <c r="O262" s="985"/>
      <c r="P262" s="305">
        <f t="shared" si="96"/>
        <v>0</v>
      </c>
      <c r="Q262" s="1030"/>
      <c r="R262" s="993"/>
    </row>
    <row r="263" spans="1:23" s="983" customFormat="1" ht="15" customHeight="1" x14ac:dyDescent="0.25">
      <c r="A263" s="514"/>
      <c r="B263" s="994"/>
      <c r="C263" s="107" t="str">
        <f>LEFT(C262,4)&amp;"-"&amp;VALUE(MID(C262,FIND("-",C262)+1,256))+1</f>
        <v>6280-4</v>
      </c>
      <c r="D263" s="514" t="s">
        <v>485</v>
      </c>
      <c r="E263" s="563"/>
      <c r="F263" s="558">
        <v>1</v>
      </c>
      <c r="G263" s="563"/>
      <c r="H263" s="496">
        <v>4675</v>
      </c>
      <c r="I263" s="485">
        <f t="shared" si="110"/>
        <v>4675</v>
      </c>
      <c r="J263" s="494">
        <f t="shared" ca="1" si="111"/>
        <v>0</v>
      </c>
      <c r="K263" s="494">
        <f ca="1">SUM(I263:J263)</f>
        <v>4675</v>
      </c>
      <c r="L263" s="556">
        <v>4460</v>
      </c>
      <c r="M263" s="1018">
        <f t="shared" ref="M263:M326" si="115">I263-L263</f>
        <v>215</v>
      </c>
      <c r="N263" s="984" t="s">
        <v>196</v>
      </c>
      <c r="O263" s="985">
        <f>I263-L263</f>
        <v>215</v>
      </c>
      <c r="P263" s="305">
        <f t="shared" si="96"/>
        <v>4.820627802690583E-2</v>
      </c>
      <c r="Q263" s="1030"/>
      <c r="R263" s="993" t="s">
        <v>486</v>
      </c>
    </row>
    <row r="264" spans="1:23" ht="15" customHeight="1" x14ac:dyDescent="0.25">
      <c r="A264" s="480"/>
      <c r="B264" s="574"/>
      <c r="C264" s="85" t="str">
        <f>LEFT(C263,4)&amp;"-"&amp;VALUE(MID(C263,FIND("-",C263)+1,256))+1</f>
        <v>6280-5</v>
      </c>
      <c r="D264" s="518" t="s">
        <v>487</v>
      </c>
      <c r="E264" s="566"/>
      <c r="F264" s="544">
        <v>1.2</v>
      </c>
      <c r="G264" s="566"/>
      <c r="H264" s="516">
        <v>6700</v>
      </c>
      <c r="I264" s="493">
        <f t="shared" si="110"/>
        <v>8040</v>
      </c>
      <c r="J264" s="493">
        <f t="shared" ca="1" si="111"/>
        <v>0</v>
      </c>
      <c r="K264" s="493">
        <f ca="1">SUM(I264:J264)</f>
        <v>8040</v>
      </c>
      <c r="L264" s="539">
        <v>8040</v>
      </c>
      <c r="M264" s="51">
        <f t="shared" si="115"/>
        <v>0</v>
      </c>
      <c r="N264" s="118" t="s">
        <v>245</v>
      </c>
      <c r="O264" s="59">
        <f t="shared" ref="O264" si="116">I264-L264</f>
        <v>0</v>
      </c>
      <c r="P264" s="305"/>
      <c r="Q264" s="325"/>
    </row>
    <row r="265" spans="1:23" x14ac:dyDescent="0.25">
      <c r="A265" s="508"/>
      <c r="B265" s="579"/>
      <c r="C265" s="107" t="str">
        <f>LEFT(C264,4)&amp;"-"&amp;VALUE(MID(C264,FIND("-",C264)+1,256))+1</f>
        <v>6280-6</v>
      </c>
      <c r="D265" s="554" t="s">
        <v>488</v>
      </c>
      <c r="E265" s="563"/>
      <c r="F265" s="558">
        <v>0</v>
      </c>
      <c r="G265" s="563"/>
      <c r="H265" s="496">
        <v>15500</v>
      </c>
      <c r="I265" s="485">
        <f t="shared" si="110"/>
        <v>0</v>
      </c>
      <c r="J265" s="494">
        <f t="shared" ca="1" si="111"/>
        <v>0</v>
      </c>
      <c r="K265" s="494">
        <f t="shared" ca="1" si="114"/>
        <v>0</v>
      </c>
      <c r="L265" s="556">
        <v>15965</v>
      </c>
      <c r="M265" s="51">
        <f t="shared" si="115"/>
        <v>-15965</v>
      </c>
      <c r="N265" s="121" t="s">
        <v>245</v>
      </c>
      <c r="O265" s="59">
        <f>I265-L265</f>
        <v>-15965</v>
      </c>
      <c r="P265" s="305">
        <f t="shared" si="96"/>
        <v>-1</v>
      </c>
      <c r="Q265" s="117"/>
      <c r="R265" s="1119" t="s">
        <v>692</v>
      </c>
      <c r="S265" s="1120"/>
      <c r="T265" s="1120"/>
      <c r="U265" s="1120"/>
      <c r="V265" s="1120"/>
      <c r="W265" s="1120"/>
    </row>
    <row r="266" spans="1:23" ht="15" customHeight="1" x14ac:dyDescent="0.25">
      <c r="A266" s="518"/>
      <c r="B266" s="570"/>
      <c r="C266" s="85" t="str">
        <f t="shared" ref="C266:C298" si="117">LEFT(C265,4)&amp;"-"&amp;VALUE(MID(C265,FIND("-",C265)+1,256))+1</f>
        <v>6280-7</v>
      </c>
      <c r="D266" s="480" t="s">
        <v>489</v>
      </c>
      <c r="E266" s="559"/>
      <c r="F266" s="542">
        <v>1</v>
      </c>
      <c r="G266" s="559"/>
      <c r="H266" s="481">
        <v>8800</v>
      </c>
      <c r="I266" s="482">
        <f t="shared" ref="I266" si="118">(E266+F266+G266)*H266</f>
        <v>8800</v>
      </c>
      <c r="J266" s="493">
        <f t="shared" ca="1" si="111"/>
        <v>0</v>
      </c>
      <c r="K266" s="493">
        <f t="shared" ca="1" si="114"/>
        <v>8800</v>
      </c>
      <c r="L266" s="395">
        <v>8800</v>
      </c>
      <c r="M266" s="51">
        <f t="shared" si="115"/>
        <v>0</v>
      </c>
      <c r="N266" s="118" t="s">
        <v>245</v>
      </c>
      <c r="O266" s="59">
        <f t="shared" ref="O266:O269" si="119">I266-L266</f>
        <v>0</v>
      </c>
      <c r="P266" s="305">
        <f t="shared" si="96"/>
        <v>0</v>
      </c>
      <c r="Q266" s="119"/>
    </row>
    <row r="267" spans="1:23" ht="15" customHeight="1" x14ac:dyDescent="0.25">
      <c r="A267" s="517"/>
      <c r="B267" s="579"/>
      <c r="C267" s="107" t="str">
        <f t="shared" si="117"/>
        <v>6280-8</v>
      </c>
      <c r="D267" s="514" t="s">
        <v>490</v>
      </c>
      <c r="E267" s="608"/>
      <c r="F267" s="564">
        <v>1</v>
      </c>
      <c r="G267" s="563"/>
      <c r="H267" s="496">
        <v>4260</v>
      </c>
      <c r="I267" s="494">
        <f t="shared" ref="I267:I272" si="120">(E267+F267+G267)*H267</f>
        <v>4260</v>
      </c>
      <c r="J267" s="494">
        <f t="shared" ca="1" si="111"/>
        <v>0</v>
      </c>
      <c r="K267" s="494">
        <f t="shared" ca="1" si="114"/>
        <v>4260</v>
      </c>
      <c r="L267" s="496">
        <v>4058</v>
      </c>
      <c r="M267" s="51">
        <f t="shared" si="115"/>
        <v>202</v>
      </c>
      <c r="N267" s="3" t="s">
        <v>197</v>
      </c>
      <c r="O267" s="59">
        <f t="shared" si="119"/>
        <v>202</v>
      </c>
      <c r="P267" s="305">
        <f t="shared" si="96"/>
        <v>4.9778215869886643E-2</v>
      </c>
      <c r="Q267" s="84"/>
      <c r="R267" s="738" t="s">
        <v>491</v>
      </c>
    </row>
    <row r="268" spans="1:23" ht="15" customHeight="1" x14ac:dyDescent="0.25">
      <c r="A268" s="518"/>
      <c r="B268" s="573"/>
      <c r="C268" s="85" t="str">
        <f t="shared" si="117"/>
        <v>6280-9</v>
      </c>
      <c r="D268" s="487" t="s">
        <v>492</v>
      </c>
      <c r="E268" s="534"/>
      <c r="F268" s="529">
        <v>1</v>
      </c>
      <c r="G268" s="546"/>
      <c r="H268" s="534">
        <v>1719</v>
      </c>
      <c r="I268" s="493">
        <f t="shared" si="120"/>
        <v>1719</v>
      </c>
      <c r="J268" s="493">
        <f t="shared" ca="1" si="111"/>
        <v>0</v>
      </c>
      <c r="K268" s="493">
        <f t="shared" ca="1" si="114"/>
        <v>1719</v>
      </c>
      <c r="L268" s="488">
        <v>1637</v>
      </c>
      <c r="M268" s="51">
        <f t="shared" si="115"/>
        <v>82</v>
      </c>
      <c r="N268" s="3" t="s">
        <v>197</v>
      </c>
      <c r="O268" s="59">
        <f t="shared" si="119"/>
        <v>82</v>
      </c>
      <c r="P268" s="305">
        <f t="shared" si="96"/>
        <v>5.0091631032376301E-2</v>
      </c>
      <c r="Q268" s="84"/>
      <c r="R268" s="738" t="s">
        <v>491</v>
      </c>
    </row>
    <row r="269" spans="1:23" ht="15" customHeight="1" x14ac:dyDescent="0.25">
      <c r="A269" s="517"/>
      <c r="B269" s="579"/>
      <c r="C269" s="107" t="str">
        <f t="shared" si="117"/>
        <v>6280-10</v>
      </c>
      <c r="D269" s="495" t="s">
        <v>493</v>
      </c>
      <c r="E269" s="608"/>
      <c r="F269" s="558">
        <v>1</v>
      </c>
      <c r="G269" s="563"/>
      <c r="H269" s="496">
        <v>2130</v>
      </c>
      <c r="I269" s="494">
        <f t="shared" si="120"/>
        <v>2130</v>
      </c>
      <c r="J269" s="494">
        <f t="shared" ca="1" si="111"/>
        <v>0</v>
      </c>
      <c r="K269" s="494">
        <f t="shared" ca="1" si="114"/>
        <v>2130</v>
      </c>
      <c r="L269" s="556">
        <v>2029</v>
      </c>
      <c r="M269" s="51">
        <f t="shared" si="115"/>
        <v>101</v>
      </c>
      <c r="N269" s="3" t="s">
        <v>197</v>
      </c>
      <c r="O269" s="59">
        <f t="shared" si="119"/>
        <v>101</v>
      </c>
      <c r="P269" s="305">
        <f t="shared" si="96"/>
        <v>4.9778215869886643E-2</v>
      </c>
      <c r="Q269" s="84"/>
      <c r="R269" s="738" t="s">
        <v>491</v>
      </c>
    </row>
    <row r="270" spans="1:23" ht="15" customHeight="1" x14ac:dyDescent="0.25">
      <c r="A270" s="518"/>
      <c r="B270" s="570"/>
      <c r="C270" s="85" t="str">
        <f t="shared" si="117"/>
        <v>6280-11</v>
      </c>
      <c r="D270" s="525" t="s">
        <v>494</v>
      </c>
      <c r="E270" s="609"/>
      <c r="F270" s="529">
        <v>5</v>
      </c>
      <c r="G270" s="546"/>
      <c r="H270" s="481">
        <v>1679</v>
      </c>
      <c r="I270" s="493">
        <f t="shared" si="120"/>
        <v>8395</v>
      </c>
      <c r="J270" s="493">
        <f t="shared" ca="1" si="111"/>
        <v>0</v>
      </c>
      <c r="K270" s="493">
        <f t="shared" ca="1" si="114"/>
        <v>8395</v>
      </c>
      <c r="L270" s="395">
        <v>7995</v>
      </c>
      <c r="M270" s="51">
        <f t="shared" si="115"/>
        <v>400</v>
      </c>
      <c r="N270" s="3" t="s">
        <v>197</v>
      </c>
      <c r="O270" s="59">
        <f t="shared" ref="O270:O299" si="121">I270-L270</f>
        <v>400</v>
      </c>
      <c r="P270" s="305">
        <f t="shared" si="96"/>
        <v>5.0031269543464665E-2</v>
      </c>
      <c r="Q270" s="84"/>
      <c r="R270" s="738" t="s">
        <v>491</v>
      </c>
    </row>
    <row r="271" spans="1:23" ht="15" customHeight="1" x14ac:dyDescent="0.25">
      <c r="A271" s="517"/>
      <c r="B271" s="579"/>
      <c r="C271" s="107" t="str">
        <f t="shared" si="117"/>
        <v>6280-12</v>
      </c>
      <c r="D271" s="495" t="s">
        <v>495</v>
      </c>
      <c r="E271" s="608"/>
      <c r="F271" s="558">
        <v>1</v>
      </c>
      <c r="G271" s="563"/>
      <c r="H271" s="496">
        <v>558</v>
      </c>
      <c r="I271" s="494">
        <f t="shared" si="120"/>
        <v>558</v>
      </c>
      <c r="J271" s="494">
        <f t="shared" ca="1" si="111"/>
        <v>0</v>
      </c>
      <c r="K271" s="494">
        <f t="shared" ca="1" si="114"/>
        <v>558</v>
      </c>
      <c r="L271" s="556">
        <v>531</v>
      </c>
      <c r="M271" s="51">
        <f t="shared" si="115"/>
        <v>27</v>
      </c>
      <c r="N271" s="3" t="s">
        <v>197</v>
      </c>
      <c r="O271" s="59">
        <f t="shared" si="121"/>
        <v>27</v>
      </c>
      <c r="P271" s="305">
        <f t="shared" si="96"/>
        <v>5.0847457627118647E-2</v>
      </c>
      <c r="Q271" s="84"/>
      <c r="R271" s="738" t="s">
        <v>491</v>
      </c>
    </row>
    <row r="272" spans="1:23" ht="15" customHeight="1" x14ac:dyDescent="0.25">
      <c r="A272" s="518"/>
      <c r="B272" s="856"/>
      <c r="C272" s="85" t="str">
        <f t="shared" si="117"/>
        <v>6280-13</v>
      </c>
      <c r="D272" s="487" t="s">
        <v>496</v>
      </c>
      <c r="E272" s="857"/>
      <c r="F272" s="529">
        <v>2</v>
      </c>
      <c r="G272" s="504"/>
      <c r="H272" s="481">
        <v>428</v>
      </c>
      <c r="I272" s="493">
        <f t="shared" si="120"/>
        <v>856</v>
      </c>
      <c r="J272" s="493">
        <f t="shared" ca="1" si="111"/>
        <v>0</v>
      </c>
      <c r="K272" s="493">
        <f t="shared" ca="1" si="114"/>
        <v>856</v>
      </c>
      <c r="L272" s="488">
        <v>814</v>
      </c>
      <c r="M272" s="51">
        <f t="shared" si="115"/>
        <v>42</v>
      </c>
      <c r="N272" s="3" t="s">
        <v>197</v>
      </c>
      <c r="O272" s="59">
        <f t="shared" si="121"/>
        <v>42</v>
      </c>
      <c r="P272" s="305">
        <f t="shared" si="96"/>
        <v>5.1597051597051594E-2</v>
      </c>
      <c r="Q272" s="84"/>
      <c r="R272" s="738" t="s">
        <v>491</v>
      </c>
    </row>
    <row r="273" spans="1:18" ht="15" customHeight="1" x14ac:dyDescent="0.25">
      <c r="A273" s="517"/>
      <c r="B273" s="579"/>
      <c r="C273" s="107" t="str">
        <f t="shared" si="117"/>
        <v>6280-14</v>
      </c>
      <c r="D273" s="514" t="s">
        <v>497</v>
      </c>
      <c r="E273" s="608"/>
      <c r="F273" s="558">
        <v>2</v>
      </c>
      <c r="G273" s="563"/>
      <c r="H273" s="496">
        <v>7063</v>
      </c>
      <c r="I273" s="494">
        <f t="shared" ref="I273:I298" si="122">(E273+F273+G273)*H273</f>
        <v>14126</v>
      </c>
      <c r="J273" s="494">
        <f t="shared" ca="1" si="111"/>
        <v>0</v>
      </c>
      <c r="K273" s="494">
        <f t="shared" ca="1" si="114"/>
        <v>14126</v>
      </c>
      <c r="L273" s="556">
        <v>13452</v>
      </c>
      <c r="M273" s="51">
        <f t="shared" si="115"/>
        <v>674</v>
      </c>
      <c r="N273" s="3" t="s">
        <v>197</v>
      </c>
      <c r="O273" s="59">
        <f t="shared" si="121"/>
        <v>674</v>
      </c>
      <c r="P273" s="305">
        <f t="shared" si="96"/>
        <v>5.0104073743681234E-2</v>
      </c>
      <c r="Q273" s="84"/>
      <c r="R273" s="738" t="s">
        <v>491</v>
      </c>
    </row>
    <row r="274" spans="1:18" ht="15" customHeight="1" x14ac:dyDescent="0.25">
      <c r="A274" s="518"/>
      <c r="B274" s="570"/>
      <c r="C274" s="85" t="str">
        <f t="shared" si="117"/>
        <v>6280-15</v>
      </c>
      <c r="D274" s="487" t="s">
        <v>498</v>
      </c>
      <c r="E274" s="609"/>
      <c r="F274" s="529">
        <v>1</v>
      </c>
      <c r="G274" s="550"/>
      <c r="H274" s="481">
        <v>708</v>
      </c>
      <c r="I274" s="482">
        <f t="shared" si="122"/>
        <v>708</v>
      </c>
      <c r="J274" s="493">
        <f t="shared" ca="1" si="111"/>
        <v>0</v>
      </c>
      <c r="K274" s="493">
        <f t="shared" ca="1" si="114"/>
        <v>708</v>
      </c>
      <c r="L274" s="395">
        <v>674</v>
      </c>
      <c r="M274" s="51">
        <f t="shared" si="115"/>
        <v>34</v>
      </c>
      <c r="N274" s="3" t="s">
        <v>197</v>
      </c>
      <c r="O274" s="59">
        <f t="shared" si="121"/>
        <v>34</v>
      </c>
      <c r="P274" s="305">
        <f t="shared" si="96"/>
        <v>5.0445103857566766E-2</v>
      </c>
      <c r="Q274" s="84"/>
      <c r="R274" s="738" t="s">
        <v>491</v>
      </c>
    </row>
    <row r="275" spans="1:18" ht="15" customHeight="1" x14ac:dyDescent="0.25">
      <c r="A275" s="517"/>
      <c r="B275" s="579"/>
      <c r="C275" s="107" t="str">
        <f t="shared" si="117"/>
        <v>6280-16</v>
      </c>
      <c r="D275" s="483" t="s">
        <v>499</v>
      </c>
      <c r="E275" s="608"/>
      <c r="F275" s="564">
        <v>1</v>
      </c>
      <c r="G275" s="565"/>
      <c r="H275" s="496">
        <v>708</v>
      </c>
      <c r="I275" s="494">
        <f t="shared" si="122"/>
        <v>708</v>
      </c>
      <c r="J275" s="494">
        <f t="shared" ca="1" si="111"/>
        <v>0</v>
      </c>
      <c r="K275" s="494">
        <f ca="1">SUM(I275:J275)</f>
        <v>708</v>
      </c>
      <c r="L275" s="556">
        <v>674</v>
      </c>
      <c r="M275" s="51">
        <f t="shared" si="115"/>
        <v>34</v>
      </c>
      <c r="N275" s="3" t="s">
        <v>197</v>
      </c>
      <c r="O275" s="59">
        <f t="shared" ref="O275" si="123">I275-L275</f>
        <v>34</v>
      </c>
      <c r="P275" s="305">
        <f t="shared" si="96"/>
        <v>5.0445103857566766E-2</v>
      </c>
      <c r="Q275" s="84"/>
      <c r="R275" s="738" t="s">
        <v>491</v>
      </c>
    </row>
    <row r="276" spans="1:18" ht="15" customHeight="1" x14ac:dyDescent="0.25">
      <c r="A276" s="518"/>
      <c r="B276" s="574"/>
      <c r="C276" s="85" t="str">
        <f t="shared" si="117"/>
        <v>6280-17</v>
      </c>
      <c r="D276" s="491" t="s">
        <v>500</v>
      </c>
      <c r="E276" s="552"/>
      <c r="F276" s="538">
        <v>1</v>
      </c>
      <c r="G276" s="849"/>
      <c r="H276" s="516">
        <v>827</v>
      </c>
      <c r="I276" s="493">
        <f t="shared" si="122"/>
        <v>827</v>
      </c>
      <c r="J276" s="493">
        <f t="shared" ca="1" si="111"/>
        <v>0</v>
      </c>
      <c r="K276" s="493">
        <f t="shared" ca="1" si="114"/>
        <v>827</v>
      </c>
      <c r="L276" s="539">
        <v>787</v>
      </c>
      <c r="M276" s="51">
        <f t="shared" si="115"/>
        <v>40</v>
      </c>
      <c r="N276" s="3" t="s">
        <v>197</v>
      </c>
      <c r="O276" s="59">
        <f t="shared" si="121"/>
        <v>40</v>
      </c>
      <c r="P276" s="305">
        <f t="shared" si="96"/>
        <v>5.0825921219822108E-2</v>
      </c>
      <c r="Q276" s="84"/>
      <c r="R276" s="738" t="s">
        <v>491</v>
      </c>
    </row>
    <row r="277" spans="1:18" ht="15" customHeight="1" x14ac:dyDescent="0.25">
      <c r="A277" s="517"/>
      <c r="B277" s="579"/>
      <c r="C277" s="107" t="str">
        <f t="shared" si="117"/>
        <v>6280-18</v>
      </c>
      <c r="D277" s="634" t="s">
        <v>501</v>
      </c>
      <c r="E277" s="563"/>
      <c r="F277" s="558">
        <v>1</v>
      </c>
      <c r="G277" s="563"/>
      <c r="H277" s="496">
        <v>128</v>
      </c>
      <c r="I277" s="494">
        <f t="shared" si="122"/>
        <v>128</v>
      </c>
      <c r="J277" s="494">
        <f t="shared" ca="1" si="111"/>
        <v>0</v>
      </c>
      <c r="K277" s="494">
        <f t="shared" ref="K277:K278" ca="1" si="124">SUM(I277:J277)</f>
        <v>128</v>
      </c>
      <c r="L277" s="556">
        <v>121</v>
      </c>
      <c r="M277" s="51">
        <f t="shared" si="115"/>
        <v>7</v>
      </c>
      <c r="N277" s="3" t="s">
        <v>197</v>
      </c>
      <c r="O277" s="59">
        <f t="shared" ref="O277" si="125">I277-L277</f>
        <v>7</v>
      </c>
      <c r="P277" s="305">
        <f t="shared" si="96"/>
        <v>5.7851239669421489E-2</v>
      </c>
      <c r="Q277" s="84"/>
      <c r="R277" s="738" t="s">
        <v>491</v>
      </c>
    </row>
    <row r="278" spans="1:18" ht="15" customHeight="1" x14ac:dyDescent="0.25">
      <c r="A278" s="518"/>
      <c r="B278" s="574"/>
      <c r="C278" s="85" t="str">
        <f t="shared" si="117"/>
        <v>6280-19</v>
      </c>
      <c r="D278" s="518" t="s">
        <v>502</v>
      </c>
      <c r="E278" s="566"/>
      <c r="F278" s="544">
        <v>1</v>
      </c>
      <c r="G278" s="566"/>
      <c r="H278" s="516">
        <v>695</v>
      </c>
      <c r="I278" s="482">
        <f t="shared" si="122"/>
        <v>695</v>
      </c>
      <c r="J278" s="493">
        <f t="shared" ca="1" si="111"/>
        <v>0</v>
      </c>
      <c r="K278" s="493">
        <f t="shared" ca="1" si="124"/>
        <v>695</v>
      </c>
      <c r="L278" s="539">
        <v>661</v>
      </c>
      <c r="M278" s="51">
        <f t="shared" si="115"/>
        <v>34</v>
      </c>
      <c r="N278" s="3" t="s">
        <v>197</v>
      </c>
      <c r="O278" s="59">
        <f t="shared" si="121"/>
        <v>34</v>
      </c>
      <c r="P278" s="305">
        <f>O278/L278</f>
        <v>5.1437216338880487E-2</v>
      </c>
      <c r="Q278" s="84"/>
      <c r="R278" s="738" t="s">
        <v>491</v>
      </c>
    </row>
    <row r="279" spans="1:18" ht="15" customHeight="1" x14ac:dyDescent="0.25">
      <c r="A279" s="517"/>
      <c r="B279" s="579"/>
      <c r="C279" s="107" t="str">
        <f t="shared" si="117"/>
        <v>6280-20</v>
      </c>
      <c r="D279" s="634" t="s">
        <v>503</v>
      </c>
      <c r="E279" s="563"/>
      <c r="F279" s="558">
        <v>3</v>
      </c>
      <c r="G279" s="563"/>
      <c r="H279" s="496">
        <v>695</v>
      </c>
      <c r="I279" s="494">
        <f t="shared" si="122"/>
        <v>2085</v>
      </c>
      <c r="J279" s="494">
        <f t="shared" ca="1" si="111"/>
        <v>0</v>
      </c>
      <c r="K279" s="494">
        <f t="shared" ca="1" si="114"/>
        <v>2085</v>
      </c>
      <c r="L279" s="556">
        <v>1983</v>
      </c>
      <c r="M279" s="51">
        <f t="shared" si="115"/>
        <v>102</v>
      </c>
      <c r="N279" s="3" t="s">
        <v>197</v>
      </c>
      <c r="O279" s="59">
        <f t="shared" si="121"/>
        <v>102</v>
      </c>
      <c r="P279" s="305">
        <f t="shared" si="96"/>
        <v>5.1437216338880487E-2</v>
      </c>
      <c r="Q279" s="84"/>
      <c r="R279" s="738" t="s">
        <v>491</v>
      </c>
    </row>
    <row r="280" spans="1:18" ht="15" customHeight="1" x14ac:dyDescent="0.25">
      <c r="A280" s="518"/>
      <c r="B280" s="574"/>
      <c r="C280" s="85" t="str">
        <f t="shared" si="117"/>
        <v>6280-21</v>
      </c>
      <c r="D280" s="518" t="s">
        <v>504</v>
      </c>
      <c r="E280" s="566"/>
      <c r="F280" s="544">
        <v>50</v>
      </c>
      <c r="G280" s="566"/>
      <c r="H280" s="516">
        <v>279</v>
      </c>
      <c r="I280" s="482">
        <f t="shared" si="122"/>
        <v>13950</v>
      </c>
      <c r="J280" s="493">
        <f t="shared" ca="1" si="111"/>
        <v>0</v>
      </c>
      <c r="K280" s="493">
        <f t="shared" ca="1" si="114"/>
        <v>13950</v>
      </c>
      <c r="L280" s="539">
        <v>13282.499999999998</v>
      </c>
      <c r="M280" s="51">
        <f t="shared" si="115"/>
        <v>667.50000000000182</v>
      </c>
      <c r="N280" s="3" t="s">
        <v>197</v>
      </c>
      <c r="O280" s="59">
        <f t="shared" si="121"/>
        <v>667.50000000000182</v>
      </c>
      <c r="P280" s="305">
        <f t="shared" si="96"/>
        <v>5.0254093732354746E-2</v>
      </c>
      <c r="Q280" s="84"/>
      <c r="R280" s="738" t="s">
        <v>491</v>
      </c>
    </row>
    <row r="281" spans="1:18" ht="15" customHeight="1" x14ac:dyDescent="0.25">
      <c r="A281" s="517"/>
      <c r="B281" s="579"/>
      <c r="C281" s="107" t="str">
        <f t="shared" si="117"/>
        <v>6280-22</v>
      </c>
      <c r="D281" s="634" t="s">
        <v>505</v>
      </c>
      <c r="E281" s="563"/>
      <c r="F281" s="558">
        <v>1</v>
      </c>
      <c r="G281" s="563"/>
      <c r="H281" s="496">
        <v>2500</v>
      </c>
      <c r="I281" s="494">
        <f t="shared" si="122"/>
        <v>2500</v>
      </c>
      <c r="J281" s="494">
        <f t="shared" ca="1" si="111"/>
        <v>0</v>
      </c>
      <c r="K281" s="494">
        <f t="shared" ca="1" si="114"/>
        <v>2500</v>
      </c>
      <c r="L281" s="556">
        <v>2500</v>
      </c>
      <c r="M281" s="51">
        <f t="shared" si="115"/>
        <v>0</v>
      </c>
      <c r="N281" s="118" t="s">
        <v>245</v>
      </c>
      <c r="O281" s="59">
        <f t="shared" si="121"/>
        <v>0</v>
      </c>
      <c r="P281" s="305">
        <f t="shared" si="96"/>
        <v>0</v>
      </c>
      <c r="Q281" s="119"/>
    </row>
    <row r="282" spans="1:18" ht="15" customHeight="1" x14ac:dyDescent="0.25">
      <c r="A282" s="518"/>
      <c r="B282" s="975"/>
      <c r="C282" s="1004" t="str">
        <f t="shared" si="117"/>
        <v>6280-23</v>
      </c>
      <c r="D282" s="974" t="s">
        <v>506</v>
      </c>
      <c r="E282" s="1013"/>
      <c r="F282" s="1014"/>
      <c r="G282" s="1013">
        <v>1</v>
      </c>
      <c r="H282" s="979">
        <v>2500</v>
      </c>
      <c r="I282" s="981">
        <f t="shared" si="122"/>
        <v>2500</v>
      </c>
      <c r="J282" s="980">
        <f t="shared" ca="1" si="111"/>
        <v>0</v>
      </c>
      <c r="K282" s="980">
        <f t="shared" ca="1" si="114"/>
        <v>2500</v>
      </c>
      <c r="L282" s="982">
        <v>2500</v>
      </c>
      <c r="M282" s="51">
        <f t="shared" si="115"/>
        <v>0</v>
      </c>
      <c r="N282" s="3" t="s">
        <v>226</v>
      </c>
      <c r="O282" s="59">
        <f t="shared" si="121"/>
        <v>0</v>
      </c>
      <c r="P282" s="305">
        <f t="shared" si="96"/>
        <v>0</v>
      </c>
      <c r="Q282" s="117"/>
    </row>
    <row r="283" spans="1:18" ht="15" customHeight="1" x14ac:dyDescent="0.25">
      <c r="A283" s="517"/>
      <c r="B283" s="579"/>
      <c r="C283" s="107" t="str">
        <f t="shared" si="117"/>
        <v>6280-24</v>
      </c>
      <c r="D283" s="634" t="s">
        <v>507</v>
      </c>
      <c r="E283" s="563"/>
      <c r="F283" s="558">
        <v>1</v>
      </c>
      <c r="G283" s="563"/>
      <c r="H283" s="496">
        <v>900</v>
      </c>
      <c r="I283" s="494">
        <f t="shared" si="122"/>
        <v>900</v>
      </c>
      <c r="J283" s="494">
        <f t="shared" ca="1" si="111"/>
        <v>0</v>
      </c>
      <c r="K283" s="494">
        <f t="shared" ca="1" si="114"/>
        <v>900</v>
      </c>
      <c r="L283" s="556">
        <v>900</v>
      </c>
      <c r="M283" s="51">
        <f t="shared" si="115"/>
        <v>0</v>
      </c>
      <c r="N283" s="3" t="s">
        <v>245</v>
      </c>
      <c r="O283" s="59">
        <f t="shared" si="121"/>
        <v>0</v>
      </c>
      <c r="P283" s="305">
        <f t="shared" si="96"/>
        <v>0</v>
      </c>
      <c r="Q283" s="84"/>
    </row>
    <row r="284" spans="1:18" ht="15" customHeight="1" x14ac:dyDescent="0.25">
      <c r="A284" s="518"/>
      <c r="B284" s="574"/>
      <c r="C284" s="85" t="str">
        <f t="shared" si="117"/>
        <v>6280-25</v>
      </c>
      <c r="D284" s="518" t="s">
        <v>508</v>
      </c>
      <c r="E284" s="566"/>
      <c r="F284" s="544">
        <v>1</v>
      </c>
      <c r="G284" s="566"/>
      <c r="H284" s="516">
        <v>7736</v>
      </c>
      <c r="I284" s="482">
        <f t="shared" si="122"/>
        <v>7736</v>
      </c>
      <c r="J284" s="493">
        <f t="shared" ca="1" si="111"/>
        <v>0</v>
      </c>
      <c r="K284" s="493">
        <f t="shared" ca="1" si="114"/>
        <v>7736</v>
      </c>
      <c r="L284" s="539">
        <v>7736</v>
      </c>
      <c r="M284" s="51">
        <f t="shared" si="115"/>
        <v>0</v>
      </c>
      <c r="N284" s="121" t="s">
        <v>197</v>
      </c>
      <c r="O284" s="59">
        <f t="shared" si="121"/>
        <v>0</v>
      </c>
      <c r="P284" s="305">
        <f t="shared" si="96"/>
        <v>0</v>
      </c>
      <c r="Q284" s="117"/>
    </row>
    <row r="285" spans="1:18" ht="15" customHeight="1" x14ac:dyDescent="0.25">
      <c r="A285" s="517"/>
      <c r="B285" s="579"/>
      <c r="C285" s="107" t="str">
        <f t="shared" si="117"/>
        <v>6280-26</v>
      </c>
      <c r="D285" s="634" t="s">
        <v>509</v>
      </c>
      <c r="E285" s="563"/>
      <c r="F285" s="558">
        <v>0</v>
      </c>
      <c r="G285" s="563"/>
      <c r="H285" s="496">
        <v>4156</v>
      </c>
      <c r="I285" s="494">
        <f t="shared" si="122"/>
        <v>0</v>
      </c>
      <c r="J285" s="494">
        <f t="shared" ca="1" si="111"/>
        <v>0</v>
      </c>
      <c r="K285" s="494">
        <f t="shared" ca="1" si="114"/>
        <v>0</v>
      </c>
      <c r="L285" s="556">
        <v>4156</v>
      </c>
      <c r="M285" s="51">
        <f t="shared" si="115"/>
        <v>-4156</v>
      </c>
      <c r="N285" s="121" t="s">
        <v>197</v>
      </c>
      <c r="O285" s="59">
        <f t="shared" si="121"/>
        <v>-4156</v>
      </c>
      <c r="P285" s="305">
        <f t="shared" ref="P285:P341" si="126">O285/L285</f>
        <v>-1</v>
      </c>
      <c r="Q285" s="117"/>
      <c r="R285" s="738" t="s">
        <v>510</v>
      </c>
    </row>
    <row r="286" spans="1:18" ht="15" customHeight="1" x14ac:dyDescent="0.25">
      <c r="A286" s="480"/>
      <c r="B286" s="574"/>
      <c r="C286" s="85" t="str">
        <f t="shared" si="117"/>
        <v>6280-27</v>
      </c>
      <c r="D286" s="478" t="s">
        <v>511</v>
      </c>
      <c r="E286" s="566"/>
      <c r="F286" s="544">
        <v>1.03</v>
      </c>
      <c r="G286" s="566"/>
      <c r="H286" s="516">
        <v>7680</v>
      </c>
      <c r="I286" s="493">
        <f>(E286+F286+G286)*H286</f>
        <v>7910.4000000000005</v>
      </c>
      <c r="J286" s="493">
        <f t="shared" ca="1" si="111"/>
        <v>0</v>
      </c>
      <c r="K286" s="493">
        <f t="shared" ca="1" si="114"/>
        <v>7910.4000000000005</v>
      </c>
      <c r="L286" s="539">
        <v>7680</v>
      </c>
      <c r="M286" s="51">
        <f t="shared" si="115"/>
        <v>230.40000000000055</v>
      </c>
      <c r="N286" s="3" t="s">
        <v>196</v>
      </c>
      <c r="O286" s="59">
        <f t="shared" si="121"/>
        <v>230.40000000000055</v>
      </c>
      <c r="P286" s="305">
        <f t="shared" si="126"/>
        <v>3.0000000000000072E-2</v>
      </c>
      <c r="Q286" s="119"/>
    </row>
    <row r="287" spans="1:18" x14ac:dyDescent="0.25">
      <c r="A287" s="517"/>
      <c r="B287" s="577"/>
      <c r="C287" s="107" t="str">
        <f>LEFT(C286,4)&amp;"-"&amp;VALUE(MID(C286,FIND("-",C286)+1,256))+1</f>
        <v>6280-28</v>
      </c>
      <c r="D287" s="634" t="s">
        <v>512</v>
      </c>
      <c r="E287" s="563"/>
      <c r="F287" s="558">
        <v>1</v>
      </c>
      <c r="G287" s="563"/>
      <c r="H287" s="496">
        <v>93600</v>
      </c>
      <c r="I287" s="494">
        <f t="shared" si="122"/>
        <v>93600</v>
      </c>
      <c r="J287" s="494">
        <f t="shared" ca="1" si="111"/>
        <v>0</v>
      </c>
      <c r="K287" s="494">
        <f t="shared" ca="1" si="114"/>
        <v>93600</v>
      </c>
      <c r="L287" s="556">
        <v>78000</v>
      </c>
      <c r="M287" s="51">
        <f t="shared" si="115"/>
        <v>15600</v>
      </c>
      <c r="N287" s="3" t="s">
        <v>258</v>
      </c>
      <c r="O287" s="59">
        <f t="shared" si="121"/>
        <v>15600</v>
      </c>
      <c r="P287" s="305">
        <f t="shared" si="126"/>
        <v>0.2</v>
      </c>
      <c r="Q287" s="119"/>
      <c r="R287" s="738" t="s">
        <v>513</v>
      </c>
    </row>
    <row r="288" spans="1:18" ht="15" customHeight="1" x14ac:dyDescent="0.25">
      <c r="A288" s="518"/>
      <c r="B288" s="574"/>
      <c r="C288" s="85" t="str">
        <f t="shared" si="117"/>
        <v>6280-29</v>
      </c>
      <c r="D288" s="518" t="s">
        <v>707</v>
      </c>
      <c r="E288" s="566"/>
      <c r="F288" s="544">
        <v>1</v>
      </c>
      <c r="G288" s="566"/>
      <c r="H288" s="516">
        <v>151065</v>
      </c>
      <c r="I288" s="980">
        <f t="shared" si="122"/>
        <v>151065</v>
      </c>
      <c r="J288" s="493">
        <f t="shared" ref="J288:J296" ca="1" si="127">-(SUMIF(INDIRECT(LEFT($A$259,4)&amp;"!i3:i200"),"="&amp;C288&amp;" *",INDIRECT(LEFT($A$259,4)&amp;"!k3:k200")))</f>
        <v>0</v>
      </c>
      <c r="K288" s="493">
        <f t="shared" ca="1" si="114"/>
        <v>151065</v>
      </c>
      <c r="L288" s="539">
        <v>144927</v>
      </c>
      <c r="M288" s="51">
        <f t="shared" si="115"/>
        <v>6138</v>
      </c>
      <c r="N288" s="3" t="s">
        <v>196</v>
      </c>
      <c r="O288" s="59">
        <f t="shared" si="121"/>
        <v>6138</v>
      </c>
      <c r="P288" s="305">
        <f t="shared" si="126"/>
        <v>4.2352356703719805E-2</v>
      </c>
      <c r="Q288" s="117"/>
    </row>
    <row r="289" spans="1:18" ht="15" customHeight="1" x14ac:dyDescent="0.25">
      <c r="A289" s="517"/>
      <c r="B289" s="579"/>
      <c r="C289" s="107" t="str">
        <f t="shared" si="117"/>
        <v>6280-30</v>
      </c>
      <c r="D289" s="634" t="s">
        <v>514</v>
      </c>
      <c r="E289" s="563"/>
      <c r="F289" s="558">
        <v>1</v>
      </c>
      <c r="G289" s="563"/>
      <c r="H289" s="496">
        <v>2225</v>
      </c>
      <c r="I289" s="494">
        <f t="shared" si="122"/>
        <v>2225</v>
      </c>
      <c r="J289" s="494">
        <f t="shared" ca="1" si="127"/>
        <v>0</v>
      </c>
      <c r="K289" s="494">
        <f t="shared" ca="1" si="114"/>
        <v>2225</v>
      </c>
      <c r="L289" s="556">
        <v>2123</v>
      </c>
      <c r="M289" s="51">
        <f t="shared" si="115"/>
        <v>102</v>
      </c>
      <c r="N289" s="3" t="s">
        <v>196</v>
      </c>
      <c r="O289" s="59">
        <f t="shared" si="121"/>
        <v>102</v>
      </c>
      <c r="P289" s="305">
        <f t="shared" si="126"/>
        <v>4.8045219029674985E-2</v>
      </c>
      <c r="Q289" s="117"/>
    </row>
    <row r="290" spans="1:18" ht="15" customHeight="1" x14ac:dyDescent="0.25">
      <c r="A290" s="518"/>
      <c r="B290" s="574"/>
      <c r="C290" s="85" t="str">
        <f t="shared" si="117"/>
        <v>6280-31</v>
      </c>
      <c r="D290" s="518" t="s">
        <v>708</v>
      </c>
      <c r="E290" s="566"/>
      <c r="F290" s="544">
        <v>1</v>
      </c>
      <c r="G290" s="566"/>
      <c r="H290" s="516">
        <v>5245</v>
      </c>
      <c r="I290" s="980">
        <f t="shared" si="122"/>
        <v>5245</v>
      </c>
      <c r="J290" s="493">
        <f t="shared" ca="1" si="127"/>
        <v>0</v>
      </c>
      <c r="K290" s="493">
        <f t="shared" ca="1" si="114"/>
        <v>5245</v>
      </c>
      <c r="L290" s="539">
        <v>5071</v>
      </c>
      <c r="M290" s="51">
        <f t="shared" si="115"/>
        <v>174</v>
      </c>
      <c r="N290" s="3" t="s">
        <v>196</v>
      </c>
      <c r="O290" s="59">
        <f t="shared" si="121"/>
        <v>174</v>
      </c>
      <c r="P290" s="305">
        <f t="shared" si="126"/>
        <v>3.4312758824689413E-2</v>
      </c>
      <c r="Q290" s="117"/>
    </row>
    <row r="291" spans="1:18" ht="15" customHeight="1" x14ac:dyDescent="0.25">
      <c r="A291" s="517"/>
      <c r="B291" s="579"/>
      <c r="C291" s="107" t="str">
        <f t="shared" si="117"/>
        <v>6280-32</v>
      </c>
      <c r="D291" s="634" t="s">
        <v>709</v>
      </c>
      <c r="E291" s="563"/>
      <c r="F291" s="558">
        <v>1</v>
      </c>
      <c r="G291" s="563"/>
      <c r="H291" s="496">
        <v>4535</v>
      </c>
      <c r="I291" s="494">
        <f t="shared" si="122"/>
        <v>4535</v>
      </c>
      <c r="J291" s="494">
        <f t="shared" ca="1" si="127"/>
        <v>0</v>
      </c>
      <c r="K291" s="494">
        <f t="shared" ca="1" si="114"/>
        <v>4535</v>
      </c>
      <c r="L291" s="556">
        <v>4410</v>
      </c>
      <c r="M291" s="51">
        <f t="shared" si="115"/>
        <v>125</v>
      </c>
      <c r="N291" s="3" t="s">
        <v>196</v>
      </c>
      <c r="O291" s="59">
        <f t="shared" si="121"/>
        <v>125</v>
      </c>
      <c r="P291" s="305">
        <f t="shared" si="126"/>
        <v>2.834467120181406E-2</v>
      </c>
      <c r="Q291" s="117"/>
    </row>
    <row r="292" spans="1:18" ht="15" customHeight="1" x14ac:dyDescent="0.25">
      <c r="A292" s="518"/>
      <c r="B292" s="574"/>
      <c r="C292" s="85" t="str">
        <f t="shared" si="117"/>
        <v>6280-33</v>
      </c>
      <c r="D292" s="518" t="s">
        <v>515</v>
      </c>
      <c r="E292" s="566"/>
      <c r="F292" s="544">
        <v>1</v>
      </c>
      <c r="G292" s="566"/>
      <c r="H292" s="516">
        <v>2425</v>
      </c>
      <c r="I292" s="482">
        <f t="shared" si="122"/>
        <v>2425</v>
      </c>
      <c r="J292" s="493">
        <f t="shared" ca="1" si="127"/>
        <v>0</v>
      </c>
      <c r="K292" s="493">
        <f t="shared" ca="1" si="114"/>
        <v>2425</v>
      </c>
      <c r="L292" s="539">
        <v>2205</v>
      </c>
      <c r="M292" s="51">
        <f t="shared" si="115"/>
        <v>220</v>
      </c>
      <c r="N292" s="3" t="s">
        <v>196</v>
      </c>
      <c r="O292" s="59">
        <f t="shared" si="121"/>
        <v>220</v>
      </c>
      <c r="P292" s="305">
        <f t="shared" si="126"/>
        <v>9.9773242630385492E-2</v>
      </c>
      <c r="Q292" s="117"/>
    </row>
    <row r="293" spans="1:18" s="983" customFormat="1" ht="15" customHeight="1" x14ac:dyDescent="0.25">
      <c r="A293" s="517"/>
      <c r="B293" s="579"/>
      <c r="C293" s="107" t="str">
        <f t="shared" si="117"/>
        <v>6280-34</v>
      </c>
      <c r="D293" s="634" t="s">
        <v>667</v>
      </c>
      <c r="E293" s="563"/>
      <c r="F293" s="558">
        <v>20000</v>
      </c>
      <c r="G293" s="563"/>
      <c r="H293" s="496">
        <v>0.65</v>
      </c>
      <c r="I293" s="494">
        <f t="shared" si="122"/>
        <v>13000</v>
      </c>
      <c r="J293" s="494">
        <f t="shared" ca="1" si="127"/>
        <v>0</v>
      </c>
      <c r="K293" s="494">
        <f t="shared" ca="1" si="114"/>
        <v>13000</v>
      </c>
      <c r="L293" s="556">
        <v>8663</v>
      </c>
      <c r="M293" s="1018">
        <f t="shared" si="115"/>
        <v>4337</v>
      </c>
      <c r="N293" s="1026" t="s">
        <v>196</v>
      </c>
      <c r="O293" s="985">
        <f t="shared" si="121"/>
        <v>4337</v>
      </c>
      <c r="P293" s="305">
        <f t="shared" si="126"/>
        <v>0.50063488398938016</v>
      </c>
      <c r="Q293" s="1027"/>
      <c r="R293" s="993"/>
    </row>
    <row r="294" spans="1:18" ht="15" customHeight="1" x14ac:dyDescent="0.25">
      <c r="A294" s="974"/>
      <c r="B294" s="975" t="s">
        <v>657</v>
      </c>
      <c r="C294" s="1004" t="str">
        <f t="shared" si="117"/>
        <v>6280-35</v>
      </c>
      <c r="D294" s="974" t="s">
        <v>516</v>
      </c>
      <c r="E294" s="1013"/>
      <c r="F294" s="1014">
        <v>0</v>
      </c>
      <c r="G294" s="1013"/>
      <c r="H294" s="979">
        <v>3570</v>
      </c>
      <c r="I294" s="981">
        <f t="shared" si="122"/>
        <v>0</v>
      </c>
      <c r="J294" s="980">
        <f t="shared" ca="1" si="127"/>
        <v>0</v>
      </c>
      <c r="K294" s="980">
        <f t="shared" ca="1" si="114"/>
        <v>0</v>
      </c>
      <c r="L294" s="982">
        <v>3570</v>
      </c>
      <c r="M294" s="51">
        <f t="shared" si="115"/>
        <v>-3570</v>
      </c>
      <c r="N294" s="3" t="s">
        <v>196</v>
      </c>
      <c r="O294" s="59">
        <f t="shared" si="121"/>
        <v>-3570</v>
      </c>
      <c r="P294" s="305">
        <f t="shared" si="126"/>
        <v>-1</v>
      </c>
      <c r="Q294" s="117"/>
    </row>
    <row r="295" spans="1:18" ht="15" customHeight="1" x14ac:dyDescent="0.25">
      <c r="A295" s="517"/>
      <c r="B295" s="579"/>
      <c r="C295" s="107" t="str">
        <f t="shared" si="117"/>
        <v>6280-36</v>
      </c>
      <c r="D295" s="634" t="s">
        <v>517</v>
      </c>
      <c r="E295" s="563"/>
      <c r="F295" s="558">
        <v>1</v>
      </c>
      <c r="G295" s="563"/>
      <c r="H295" s="496">
        <v>14805</v>
      </c>
      <c r="I295" s="494">
        <f t="shared" si="122"/>
        <v>14805</v>
      </c>
      <c r="J295" s="494">
        <f t="shared" ca="1" si="127"/>
        <v>0</v>
      </c>
      <c r="K295" s="494">
        <f t="shared" ca="1" si="114"/>
        <v>14805</v>
      </c>
      <c r="L295" s="556">
        <v>14805</v>
      </c>
      <c r="M295" s="51">
        <f t="shared" si="115"/>
        <v>0</v>
      </c>
      <c r="N295" s="3" t="s">
        <v>196</v>
      </c>
      <c r="O295" s="59">
        <f t="shared" si="121"/>
        <v>0</v>
      </c>
      <c r="P295" s="305">
        <f t="shared" si="126"/>
        <v>0</v>
      </c>
      <c r="Q295" s="119"/>
    </row>
    <row r="296" spans="1:18" x14ac:dyDescent="0.25">
      <c r="A296" s="518"/>
      <c r="B296" s="574"/>
      <c r="C296" s="85" t="str">
        <f t="shared" si="117"/>
        <v>6280-37</v>
      </c>
      <c r="D296" s="518" t="s">
        <v>518</v>
      </c>
      <c r="E296" s="566"/>
      <c r="F296" s="544">
        <v>1</v>
      </c>
      <c r="G296" s="566"/>
      <c r="H296" s="516">
        <v>38000</v>
      </c>
      <c r="I296" s="482">
        <f t="shared" si="122"/>
        <v>38000</v>
      </c>
      <c r="J296" s="493">
        <f t="shared" ca="1" si="127"/>
        <v>0</v>
      </c>
      <c r="K296" s="493">
        <f t="shared" ca="1" si="114"/>
        <v>38000</v>
      </c>
      <c r="L296" s="539">
        <v>38000</v>
      </c>
      <c r="M296" s="51">
        <f t="shared" si="115"/>
        <v>0</v>
      </c>
      <c r="N296" s="3" t="s">
        <v>196</v>
      </c>
      <c r="O296" s="59">
        <f t="shared" si="121"/>
        <v>0</v>
      </c>
      <c r="P296" s="305">
        <f t="shared" si="126"/>
        <v>0</v>
      </c>
      <c r="Q296" s="119"/>
    </row>
    <row r="297" spans="1:18" x14ac:dyDescent="0.25">
      <c r="A297" s="517"/>
      <c r="B297" s="579"/>
      <c r="C297" s="107" t="str">
        <f t="shared" si="117"/>
        <v>6280-38</v>
      </c>
      <c r="D297" s="634" t="s">
        <v>519</v>
      </c>
      <c r="E297" s="563"/>
      <c r="F297" s="558">
        <v>8</v>
      </c>
      <c r="G297" s="563"/>
      <c r="H297" s="496">
        <v>2500</v>
      </c>
      <c r="I297" s="494">
        <f t="shared" si="122"/>
        <v>20000</v>
      </c>
      <c r="J297" s="494">
        <f ca="1">-(SUMIF(INDIRECT(LEFT($A$259,4)&amp;"!i3:i200"),"="&amp;C297&amp;" *",INDIRECT(LEFT($A$259,4)&amp;"!k3:k200")))</f>
        <v>0</v>
      </c>
      <c r="K297" s="494">
        <f t="shared" ref="K297" ca="1" si="128">SUM(I297:J297)</f>
        <v>20000</v>
      </c>
      <c r="L297" s="556">
        <v>2500</v>
      </c>
      <c r="M297" s="51">
        <f t="shared" si="115"/>
        <v>17500</v>
      </c>
      <c r="N297" s="118" t="s">
        <v>245</v>
      </c>
      <c r="O297" s="59">
        <f t="shared" ref="O297" si="129">I297-L297</f>
        <v>17500</v>
      </c>
      <c r="P297" s="305">
        <f t="shared" si="126"/>
        <v>7</v>
      </c>
      <c r="Q297" s="120"/>
      <c r="R297" s="739" t="s">
        <v>693</v>
      </c>
    </row>
    <row r="298" spans="1:18" ht="15" customHeight="1" x14ac:dyDescent="0.25">
      <c r="A298" s="518"/>
      <c r="B298" s="574"/>
      <c r="C298" s="85" t="str">
        <f t="shared" si="117"/>
        <v>6280-39</v>
      </c>
      <c r="D298" s="518" t="s">
        <v>520</v>
      </c>
      <c r="E298" s="566"/>
      <c r="F298" s="544">
        <v>2</v>
      </c>
      <c r="G298" s="566"/>
      <c r="H298" s="516">
        <v>250</v>
      </c>
      <c r="I298" s="482">
        <f t="shared" si="122"/>
        <v>500</v>
      </c>
      <c r="J298" s="493">
        <f ca="1">-(SUMIF(INDIRECT(LEFT($A$259,4)&amp;"!i3:i200"),"="&amp;C298&amp;" *",INDIRECT(LEFT($A$259,4)&amp;"!k3:k200")))</f>
        <v>0</v>
      </c>
      <c r="K298" s="493">
        <f t="shared" ca="1" si="114"/>
        <v>500</v>
      </c>
      <c r="L298" s="539">
        <v>500</v>
      </c>
      <c r="M298" s="51">
        <f t="shared" si="115"/>
        <v>0</v>
      </c>
      <c r="N298" s="118" t="s">
        <v>245</v>
      </c>
      <c r="O298" s="59">
        <f t="shared" si="121"/>
        <v>0</v>
      </c>
      <c r="P298" s="305">
        <f t="shared" si="126"/>
        <v>0</v>
      </c>
      <c r="Q298" s="120"/>
    </row>
    <row r="299" spans="1:18" ht="15" customHeight="1" thickBot="1" x14ac:dyDescent="0.3">
      <c r="B299" s="583"/>
      <c r="C299" s="85"/>
      <c r="D299" s="497" t="s">
        <v>106</v>
      </c>
      <c r="E299" s="498"/>
      <c r="F299" s="498"/>
      <c r="G299" s="397"/>
      <c r="H299" s="499">
        <f>(I299-L299)/L299</f>
        <v>6.8732848491116966E-2</v>
      </c>
      <c r="I299" s="501">
        <f>SUM(I260:I298)</f>
        <v>475318.4</v>
      </c>
      <c r="J299" s="501">
        <f ca="1">SUM(J260:J274) + SUM(J275:J298)</f>
        <v>0</v>
      </c>
      <c r="K299" s="501">
        <f ca="1">SUM(K260:K274) + SUM(K275:K298)</f>
        <v>475318.4</v>
      </c>
      <c r="L299" s="549">
        <f>SUM(L260:L298)</f>
        <v>444749.5</v>
      </c>
      <c r="M299" s="51">
        <f t="shared" si="115"/>
        <v>30568.900000000023</v>
      </c>
      <c r="O299" s="59">
        <f t="shared" si="121"/>
        <v>30568.900000000023</v>
      </c>
      <c r="P299" s="305">
        <f t="shared" si="126"/>
        <v>6.8732848491116966E-2</v>
      </c>
      <c r="Q299" s="229"/>
    </row>
    <row r="300" spans="1:18" ht="3.95" customHeight="1" thickTop="1" x14ac:dyDescent="0.25">
      <c r="B300" s="83"/>
      <c r="C300" s="85"/>
      <c r="D300" s="65"/>
      <c r="E300" s="66"/>
      <c r="F300" s="66"/>
      <c r="G300" s="18"/>
      <c r="H300" s="218"/>
      <c r="I300" s="225"/>
      <c r="J300" s="225"/>
      <c r="K300" s="225"/>
      <c r="L300" s="226"/>
      <c r="M300" s="51">
        <f t="shared" si="115"/>
        <v>0</v>
      </c>
      <c r="O300" s="59"/>
      <c r="P300" s="305"/>
      <c r="Q300" s="229"/>
    </row>
    <row r="301" spans="1:18" ht="19.5" customHeight="1" x14ac:dyDescent="0.3">
      <c r="A301" s="1116" t="s">
        <v>521</v>
      </c>
      <c r="B301" s="1116"/>
      <c r="C301" s="1116"/>
      <c r="D301" s="1116"/>
      <c r="E301" s="1116"/>
      <c r="F301" s="1116"/>
      <c r="G301" s="1116"/>
      <c r="H301" s="1116"/>
      <c r="I301" s="1116"/>
      <c r="J301" s="1116"/>
      <c r="K301" s="1116"/>
      <c r="L301" s="1116"/>
      <c r="M301" s="51">
        <f t="shared" si="115"/>
        <v>0</v>
      </c>
      <c r="O301" s="59"/>
      <c r="P301" s="305"/>
      <c r="Q301" s="229"/>
    </row>
    <row r="302" spans="1:18" ht="15" customHeight="1" x14ac:dyDescent="0.25">
      <c r="A302" s="480"/>
      <c r="B302" s="570"/>
      <c r="C302" s="85" t="str">
        <f>LEFT($A301,4)&amp;"-1"</f>
        <v>6285-1</v>
      </c>
      <c r="D302" s="487" t="s">
        <v>522</v>
      </c>
      <c r="E302" s="443"/>
      <c r="F302" s="544">
        <v>18</v>
      </c>
      <c r="G302" s="443"/>
      <c r="H302" s="481">
        <v>204</v>
      </c>
      <c r="I302" s="482">
        <f t="shared" ref="I302:I321" si="130">(E302+F302+G302)*H302</f>
        <v>3672</v>
      </c>
      <c r="J302" s="482">
        <f ca="1">-(SUMIF(INDIRECT(LEFT($A$301,4)&amp;"!i3:i200"),"="&amp;C302&amp;" *",INDIRECT(LEFT($A$301,4)&amp;"!k3:k200")))</f>
        <v>0</v>
      </c>
      <c r="K302" s="482">
        <f t="shared" ref="K302:K303" ca="1" si="131">SUM(I302:J302)</f>
        <v>3672</v>
      </c>
      <c r="L302" s="395">
        <v>3672</v>
      </c>
      <c r="M302" s="51">
        <f t="shared" si="115"/>
        <v>0</v>
      </c>
      <c r="N302" s="3" t="s">
        <v>245</v>
      </c>
      <c r="O302" s="59">
        <f t="shared" ref="O302:O311" si="132">I302-L302</f>
        <v>0</v>
      </c>
      <c r="P302" s="305">
        <f t="shared" si="126"/>
        <v>0</v>
      </c>
    </row>
    <row r="303" spans="1:18" ht="15" customHeight="1" x14ac:dyDescent="0.25">
      <c r="A303" s="508"/>
      <c r="B303" s="582"/>
      <c r="C303" s="223" t="str">
        <f t="shared" ref="C303:C321" si="133">LEFT($C302,4)&amp;"-"&amp;VALUE(MID($C302,FIND("-",$C302)+1,256))+1</f>
        <v>6285-2</v>
      </c>
      <c r="D303" s="615" t="s">
        <v>523</v>
      </c>
      <c r="E303" s="605"/>
      <c r="F303" s="606">
        <v>26</v>
      </c>
      <c r="G303" s="605"/>
      <c r="H303" s="607">
        <v>250</v>
      </c>
      <c r="I303" s="524">
        <f>(E303+F303+G303)*H303</f>
        <v>6500</v>
      </c>
      <c r="J303" s="524">
        <f ca="1">-(SUMIF(INDIRECT(LEFT($A$301,4)&amp;"!i3:i200"),"="&amp;C303&amp;" *",INDIRECT(LEFT($A$301,4)&amp;"!k3:k200")))</f>
        <v>0</v>
      </c>
      <c r="K303" s="524">
        <f t="shared" ca="1" si="131"/>
        <v>6500</v>
      </c>
      <c r="L303" s="547">
        <v>6250</v>
      </c>
      <c r="M303" s="51">
        <f t="shared" si="115"/>
        <v>250</v>
      </c>
      <c r="N303" s="118" t="s">
        <v>245</v>
      </c>
      <c r="O303" s="59">
        <f t="shared" si="132"/>
        <v>250</v>
      </c>
      <c r="P303" s="305">
        <f t="shared" si="126"/>
        <v>0.04</v>
      </c>
      <c r="Q303" s="301"/>
    </row>
    <row r="304" spans="1:18" ht="15" customHeight="1" x14ac:dyDescent="0.25">
      <c r="A304" s="480"/>
      <c r="B304" s="573"/>
      <c r="C304" s="133" t="str">
        <f t="shared" si="133"/>
        <v>6285-3</v>
      </c>
      <c r="D304" s="487" t="s">
        <v>524</v>
      </c>
      <c r="E304" s="498"/>
      <c r="F304" s="529">
        <v>1</v>
      </c>
      <c r="G304" s="423"/>
      <c r="H304" s="481">
        <v>6600</v>
      </c>
      <c r="I304" s="482">
        <f>(E304+F304+G304)*H304</f>
        <v>6600</v>
      </c>
      <c r="J304" s="482">
        <f ca="1">-(SUMIF(INDIRECT(LEFT($A$301,4)&amp;"!i3:i200"),"="&amp;C304&amp;" *",INDIRECT(LEFT($A$301,4)&amp;"!k3:k200")))</f>
        <v>0</v>
      </c>
      <c r="K304" s="482"/>
      <c r="L304" s="395">
        <v>6600</v>
      </c>
      <c r="M304" s="51">
        <f t="shared" si="115"/>
        <v>0</v>
      </c>
      <c r="N304" s="121" t="s">
        <v>245</v>
      </c>
      <c r="O304" s="59"/>
      <c r="P304" s="305"/>
      <c r="Q304" s="229"/>
    </row>
    <row r="305" spans="1:29" ht="15" customHeight="1" x14ac:dyDescent="0.25">
      <c r="A305" s="517"/>
      <c r="B305" s="575" t="s">
        <v>661</v>
      </c>
      <c r="C305" s="129" t="str">
        <f t="shared" si="133"/>
        <v>6285-4</v>
      </c>
      <c r="D305" s="512" t="s">
        <v>525</v>
      </c>
      <c r="E305" s="1015"/>
      <c r="F305" s="545">
        <v>1</v>
      </c>
      <c r="G305" s="555">
        <v>1</v>
      </c>
      <c r="H305" s="490">
        <v>10000</v>
      </c>
      <c r="I305" s="485">
        <f>(E305+F305+G305)*H305</f>
        <v>20000</v>
      </c>
      <c r="J305" s="485"/>
      <c r="K305" s="485"/>
      <c r="L305" s="541">
        <v>10000</v>
      </c>
      <c r="M305" s="51">
        <f t="shared" si="115"/>
        <v>10000</v>
      </c>
      <c r="N305" s="121"/>
      <c r="O305" s="59"/>
      <c r="P305" s="305"/>
      <c r="Q305" s="229"/>
    </row>
    <row r="306" spans="1:29" ht="15" customHeight="1" x14ac:dyDescent="0.25">
      <c r="A306" s="518"/>
      <c r="B306" s="570"/>
      <c r="C306" s="133" t="str">
        <f t="shared" si="133"/>
        <v>6285-5</v>
      </c>
      <c r="D306" s="504" t="s">
        <v>526</v>
      </c>
      <c r="E306" s="546"/>
      <c r="F306" s="529">
        <v>5</v>
      </c>
      <c r="G306" s="546"/>
      <c r="H306" s="481">
        <v>500</v>
      </c>
      <c r="I306" s="482">
        <f t="shared" si="130"/>
        <v>2500</v>
      </c>
      <c r="J306" s="482">
        <f ca="1">-(SUMIF(INDIRECT(LEFT($A$301,4)&amp;"!i3:i200"),"="&amp;C306&amp;" *",INDIRECT(LEFT($A$301,4)&amp;"!k3:k200")))</f>
        <v>0</v>
      </c>
      <c r="K306" s="482">
        <f t="shared" ref="K306:K319" ca="1" si="134">SUM(I306:J306)</f>
        <v>2500</v>
      </c>
      <c r="L306" s="395">
        <v>2500</v>
      </c>
      <c r="M306" s="51">
        <f t="shared" si="115"/>
        <v>0</v>
      </c>
      <c r="N306" s="121" t="s">
        <v>245</v>
      </c>
      <c r="O306" s="59">
        <f t="shared" si="132"/>
        <v>0</v>
      </c>
      <c r="P306" s="305">
        <f t="shared" si="126"/>
        <v>0</v>
      </c>
      <c r="Q306" s="229"/>
    </row>
    <row r="307" spans="1:29" ht="15" customHeight="1" x14ac:dyDescent="0.25">
      <c r="A307" s="514"/>
      <c r="B307" s="579"/>
      <c r="C307" s="129" t="str">
        <f t="shared" si="133"/>
        <v>6285-6</v>
      </c>
      <c r="D307" s="554" t="s">
        <v>527</v>
      </c>
      <c r="E307" s="555"/>
      <c r="F307" s="564"/>
      <c r="G307" s="555">
        <v>1</v>
      </c>
      <c r="H307" s="496">
        <f>20000*106%</f>
        <v>21200</v>
      </c>
      <c r="I307" s="485">
        <f t="shared" si="130"/>
        <v>21200</v>
      </c>
      <c r="J307" s="485">
        <f t="shared" ref="J307:J320" ca="1" si="135">-(SUMIF(INDIRECT(LEFT($A$301,4)&amp;"!i3:i200"),"="&amp;C307&amp;" *",INDIRECT(LEFT($A$301,4)&amp;"!k3:k200")))</f>
        <v>0</v>
      </c>
      <c r="K307" s="485">
        <f t="shared" ca="1" si="134"/>
        <v>21200</v>
      </c>
      <c r="L307" s="556">
        <v>21200</v>
      </c>
      <c r="M307" s="51">
        <f t="shared" si="115"/>
        <v>0</v>
      </c>
      <c r="N307" s="121" t="s">
        <v>226</v>
      </c>
      <c r="O307" s="59">
        <f t="shared" si="132"/>
        <v>0</v>
      </c>
      <c r="P307" s="305">
        <f t="shared" si="126"/>
        <v>0</v>
      </c>
      <c r="Q307" s="229"/>
      <c r="R307" s="743"/>
    </row>
    <row r="308" spans="1:29" ht="15" customHeight="1" x14ac:dyDescent="0.25">
      <c r="A308" s="480"/>
      <c r="B308" s="573"/>
      <c r="C308" s="133" t="str">
        <f t="shared" si="133"/>
        <v>6285-7</v>
      </c>
      <c r="D308" s="487" t="s">
        <v>528</v>
      </c>
      <c r="E308" s="498"/>
      <c r="F308" s="529">
        <v>12</v>
      </c>
      <c r="G308" s="423"/>
      <c r="H308" s="481">
        <v>6103</v>
      </c>
      <c r="I308" s="482">
        <f>(E308+F308+G308)*H308</f>
        <v>73236</v>
      </c>
      <c r="J308" s="482">
        <f t="shared" ca="1" si="135"/>
        <v>0</v>
      </c>
      <c r="K308" s="482">
        <f t="shared" ca="1" si="134"/>
        <v>73236</v>
      </c>
      <c r="L308" s="395">
        <v>69744</v>
      </c>
      <c r="M308" s="51">
        <f t="shared" si="115"/>
        <v>3492</v>
      </c>
      <c r="N308" s="121" t="s">
        <v>197</v>
      </c>
      <c r="O308" s="59">
        <f t="shared" si="132"/>
        <v>3492</v>
      </c>
      <c r="P308" s="305">
        <f t="shared" si="126"/>
        <v>5.0068823124569853E-2</v>
      </c>
      <c r="Q308" s="229"/>
      <c r="R308" s="740" t="s">
        <v>529</v>
      </c>
      <c r="S308" s="3"/>
      <c r="T308" s="3"/>
      <c r="U308" s="3"/>
      <c r="V308" s="3"/>
      <c r="W308" s="3"/>
      <c r="X308" s="3"/>
      <c r="Y308" s="3"/>
      <c r="Z308" s="3"/>
      <c r="AA308" s="3"/>
      <c r="AB308" s="3"/>
      <c r="AC308" s="3"/>
    </row>
    <row r="309" spans="1:29" x14ac:dyDescent="0.25">
      <c r="A309" s="517"/>
      <c r="B309" s="575" t="s">
        <v>654</v>
      </c>
      <c r="C309" s="129" t="str">
        <f t="shared" si="133"/>
        <v>6285-8</v>
      </c>
      <c r="D309" s="512" t="s">
        <v>530</v>
      </c>
      <c r="E309" s="545"/>
      <c r="F309" s="545"/>
      <c r="G309" s="1016"/>
      <c r="H309" s="490">
        <v>48000</v>
      </c>
      <c r="I309" s="485">
        <f t="shared" si="130"/>
        <v>0</v>
      </c>
      <c r="J309" s="485"/>
      <c r="K309" s="485"/>
      <c r="L309" s="541">
        <v>24000</v>
      </c>
      <c r="M309" s="51">
        <f t="shared" si="115"/>
        <v>-24000</v>
      </c>
      <c r="N309" s="121" t="s">
        <v>620</v>
      </c>
      <c r="O309" s="59"/>
      <c r="P309" s="305"/>
      <c r="Q309" s="229"/>
      <c r="R309" s="740"/>
      <c r="S309" s="3"/>
      <c r="T309" s="3"/>
      <c r="U309" s="3"/>
      <c r="V309" s="3"/>
      <c r="W309" s="3"/>
      <c r="X309" s="3"/>
      <c r="Y309" s="3"/>
      <c r="Z309" s="3"/>
      <c r="AA309" s="3"/>
      <c r="AB309" s="3"/>
      <c r="AC309" s="3"/>
    </row>
    <row r="310" spans="1:29" x14ac:dyDescent="0.25">
      <c r="A310" s="480"/>
      <c r="B310" s="915" t="s">
        <v>669</v>
      </c>
      <c r="C310" s="971" t="str">
        <f t="shared" si="133"/>
        <v>6285-9</v>
      </c>
      <c r="D310" s="916" t="s">
        <v>531</v>
      </c>
      <c r="E310" s="566"/>
      <c r="F310" s="544"/>
      <c r="G310" s="566"/>
      <c r="H310" s="516">
        <v>65000</v>
      </c>
      <c r="I310" s="539">
        <f>(E310+F310+G310)*H310</f>
        <v>0</v>
      </c>
      <c r="J310" s="493"/>
      <c r="K310" s="493"/>
      <c r="L310" s="539">
        <v>32500</v>
      </c>
      <c r="M310" s="51">
        <f t="shared" si="115"/>
        <v>-32500</v>
      </c>
      <c r="N310" s="3" t="s">
        <v>258</v>
      </c>
      <c r="O310" s="59"/>
      <c r="P310" s="305"/>
      <c r="Q310" s="229"/>
      <c r="R310" s="739" t="s">
        <v>694</v>
      </c>
    </row>
    <row r="311" spans="1:29" s="983" customFormat="1" ht="15" customHeight="1" x14ac:dyDescent="0.25">
      <c r="A311" s="514"/>
      <c r="B311" s="580" t="s">
        <v>657</v>
      </c>
      <c r="C311" s="129" t="str">
        <f t="shared" si="133"/>
        <v>6285-10</v>
      </c>
      <c r="D311" s="517" t="s">
        <v>532</v>
      </c>
      <c r="E311" s="551"/>
      <c r="F311" s="540">
        <v>0</v>
      </c>
      <c r="G311" s="551"/>
      <c r="H311" s="490">
        <v>50</v>
      </c>
      <c r="I311" s="485">
        <f t="shared" si="130"/>
        <v>0</v>
      </c>
      <c r="J311" s="485">
        <f t="shared" ca="1" si="135"/>
        <v>0</v>
      </c>
      <c r="K311" s="485">
        <f t="shared" ca="1" si="134"/>
        <v>0</v>
      </c>
      <c r="L311" s="541">
        <v>0</v>
      </c>
      <c r="M311" s="51">
        <f t="shared" si="115"/>
        <v>0</v>
      </c>
      <c r="N311" s="995" t="s">
        <v>245</v>
      </c>
      <c r="O311" s="985">
        <f t="shared" si="132"/>
        <v>0</v>
      </c>
      <c r="P311" s="305" t="e">
        <f t="shared" si="126"/>
        <v>#DIV/0!</v>
      </c>
      <c r="Q311" s="986"/>
      <c r="R311" s="993" t="s">
        <v>533</v>
      </c>
    </row>
    <row r="312" spans="1:29" ht="15" customHeight="1" x14ac:dyDescent="0.25">
      <c r="A312" s="480"/>
      <c r="B312" s="570"/>
      <c r="C312" s="133" t="str">
        <f t="shared" si="133"/>
        <v>6285-11</v>
      </c>
      <c r="D312" s="534" t="s">
        <v>695</v>
      </c>
      <c r="E312" s="546"/>
      <c r="F312" s="529">
        <v>1</v>
      </c>
      <c r="G312" s="546"/>
      <c r="H312" s="481">
        <v>1000</v>
      </c>
      <c r="I312" s="482">
        <f t="shared" si="130"/>
        <v>1000</v>
      </c>
      <c r="J312" s="482">
        <f t="shared" ca="1" si="135"/>
        <v>0</v>
      </c>
      <c r="K312" s="482">
        <f t="shared" ca="1" si="134"/>
        <v>1000</v>
      </c>
      <c r="L312" s="395">
        <v>1000</v>
      </c>
      <c r="M312" s="51">
        <f t="shared" si="115"/>
        <v>0</v>
      </c>
      <c r="N312" s="3" t="s">
        <v>245</v>
      </c>
      <c r="O312" s="59">
        <f t="shared" ref="O312:O319" si="136">I312-L312</f>
        <v>0</v>
      </c>
      <c r="P312" s="305">
        <f t="shared" si="126"/>
        <v>0</v>
      </c>
      <c r="Q312" s="229"/>
    </row>
    <row r="313" spans="1:29" ht="15" customHeight="1" x14ac:dyDescent="0.25">
      <c r="A313" s="514"/>
      <c r="B313" s="579"/>
      <c r="C313" s="129" t="str">
        <f t="shared" si="133"/>
        <v>6285-12</v>
      </c>
      <c r="D313" s="616" t="s">
        <v>696</v>
      </c>
      <c r="E313" s="563"/>
      <c r="F313" s="558">
        <v>1</v>
      </c>
      <c r="G313" s="563"/>
      <c r="H313" s="496">
        <v>4000</v>
      </c>
      <c r="I313" s="485">
        <f t="shared" si="130"/>
        <v>4000</v>
      </c>
      <c r="J313" s="485">
        <f t="shared" ca="1" si="135"/>
        <v>0</v>
      </c>
      <c r="K313" s="485">
        <f t="shared" ca="1" si="134"/>
        <v>4000</v>
      </c>
      <c r="L313" s="556">
        <v>4000</v>
      </c>
      <c r="M313" s="51">
        <f t="shared" si="115"/>
        <v>0</v>
      </c>
      <c r="N313" s="121" t="s">
        <v>245</v>
      </c>
      <c r="O313" s="59">
        <f t="shared" si="136"/>
        <v>0</v>
      </c>
      <c r="P313" s="305">
        <f t="shared" si="126"/>
        <v>0</v>
      </c>
      <c r="Q313" s="229"/>
    </row>
    <row r="314" spans="1:29" ht="15" customHeight="1" x14ac:dyDescent="0.25">
      <c r="A314" s="480"/>
      <c r="B314" s="574"/>
      <c r="C314" s="133" t="str">
        <f t="shared" si="133"/>
        <v>6285-13</v>
      </c>
      <c r="D314" s="916" t="s">
        <v>534</v>
      </c>
      <c r="E314" s="566"/>
      <c r="F314" s="544">
        <v>1</v>
      </c>
      <c r="G314" s="566"/>
      <c r="H314" s="516">
        <v>1000</v>
      </c>
      <c r="I314" s="482">
        <f t="shared" si="130"/>
        <v>1000</v>
      </c>
      <c r="J314" s="482">
        <f t="shared" ca="1" si="135"/>
        <v>0</v>
      </c>
      <c r="K314" s="482">
        <f t="shared" ca="1" si="134"/>
        <v>1000</v>
      </c>
      <c r="L314" s="539">
        <v>1000</v>
      </c>
      <c r="M314" s="51">
        <f t="shared" si="115"/>
        <v>0</v>
      </c>
      <c r="N314" s="3" t="s">
        <v>245</v>
      </c>
      <c r="O314" s="59">
        <f t="shared" si="136"/>
        <v>0</v>
      </c>
      <c r="P314" s="305">
        <f t="shared" si="126"/>
        <v>0</v>
      </c>
      <c r="Q314" s="229"/>
    </row>
    <row r="315" spans="1:29" ht="15" customHeight="1" x14ac:dyDescent="0.25">
      <c r="A315" s="514"/>
      <c r="B315" s="580" t="s">
        <v>655</v>
      </c>
      <c r="C315" s="129" t="str">
        <f t="shared" si="133"/>
        <v>6285-14</v>
      </c>
      <c r="D315" s="543" t="s">
        <v>535</v>
      </c>
      <c r="E315" s="551"/>
      <c r="F315" s="540">
        <v>12</v>
      </c>
      <c r="G315" s="551"/>
      <c r="H315" s="490">
        <v>4000</v>
      </c>
      <c r="I315" s="485">
        <f t="shared" si="130"/>
        <v>48000</v>
      </c>
      <c r="J315" s="485">
        <f t="shared" ca="1" si="135"/>
        <v>0</v>
      </c>
      <c r="K315" s="485">
        <f t="shared" ca="1" si="134"/>
        <v>48000</v>
      </c>
      <c r="L315" s="541">
        <v>33800</v>
      </c>
      <c r="M315" s="51">
        <f t="shared" si="115"/>
        <v>14200</v>
      </c>
      <c r="N315" s="3" t="s">
        <v>245</v>
      </c>
      <c r="O315" s="59">
        <f t="shared" si="136"/>
        <v>14200</v>
      </c>
      <c r="P315" s="305">
        <f t="shared" si="126"/>
        <v>0.42011834319526625</v>
      </c>
      <c r="Q315" s="229"/>
    </row>
    <row r="316" spans="1:29" ht="15" customHeight="1" x14ac:dyDescent="0.25">
      <c r="A316" s="480"/>
      <c r="B316" s="573"/>
      <c r="C316" s="133" t="str">
        <f t="shared" si="133"/>
        <v>6285-15</v>
      </c>
      <c r="D316" s="487" t="s">
        <v>536</v>
      </c>
      <c r="E316" s="498"/>
      <c r="F316" s="529">
        <v>2</v>
      </c>
      <c r="G316" s="423"/>
      <c r="H316" s="481">
        <v>200</v>
      </c>
      <c r="I316" s="482">
        <f t="shared" si="130"/>
        <v>400</v>
      </c>
      <c r="J316" s="482">
        <f t="shared" ca="1" si="135"/>
        <v>0</v>
      </c>
      <c r="K316" s="482">
        <f t="shared" ca="1" si="134"/>
        <v>400</v>
      </c>
      <c r="L316" s="395">
        <v>400</v>
      </c>
      <c r="M316" s="51">
        <f t="shared" si="115"/>
        <v>0</v>
      </c>
      <c r="N316" s="3" t="s">
        <v>245</v>
      </c>
      <c r="O316" s="59">
        <f t="shared" si="136"/>
        <v>0</v>
      </c>
      <c r="P316" s="305">
        <f t="shared" si="126"/>
        <v>0</v>
      </c>
      <c r="Q316" s="229"/>
    </row>
    <row r="317" spans="1:29" ht="15" customHeight="1" x14ac:dyDescent="0.25">
      <c r="A317" s="514"/>
      <c r="B317" s="580"/>
      <c r="C317" s="129" t="str">
        <f t="shared" si="133"/>
        <v>6285-16</v>
      </c>
      <c r="D317" s="517" t="s">
        <v>537</v>
      </c>
      <c r="E317" s="551"/>
      <c r="F317" s="540">
        <v>13</v>
      </c>
      <c r="G317" s="551"/>
      <c r="H317" s="490">
        <v>350</v>
      </c>
      <c r="I317" s="485">
        <f t="shared" si="130"/>
        <v>4550</v>
      </c>
      <c r="J317" s="485">
        <f t="shared" ca="1" si="135"/>
        <v>0</v>
      </c>
      <c r="K317" s="485">
        <f t="shared" ca="1" si="134"/>
        <v>4550</v>
      </c>
      <c r="L317" s="541">
        <v>4550</v>
      </c>
      <c r="M317" s="51">
        <f t="shared" si="115"/>
        <v>0</v>
      </c>
      <c r="N317" s="3" t="s">
        <v>245</v>
      </c>
      <c r="O317" s="59">
        <f t="shared" si="136"/>
        <v>0</v>
      </c>
      <c r="P317" s="305">
        <f t="shared" si="126"/>
        <v>0</v>
      </c>
      <c r="Q317" s="229"/>
    </row>
    <row r="318" spans="1:29" ht="15" customHeight="1" x14ac:dyDescent="0.25">
      <c r="A318" s="480"/>
      <c r="B318" s="574"/>
      <c r="C318" s="133" t="str">
        <f t="shared" si="133"/>
        <v>6285-17</v>
      </c>
      <c r="D318" s="916" t="s">
        <v>538</v>
      </c>
      <c r="E318" s="566"/>
      <c r="F318" s="544">
        <v>1</v>
      </c>
      <c r="G318" s="566"/>
      <c r="H318" s="516">
        <v>4500</v>
      </c>
      <c r="I318" s="482">
        <f t="shared" si="130"/>
        <v>4500</v>
      </c>
      <c r="J318" s="482">
        <f t="shared" ca="1" si="135"/>
        <v>0</v>
      </c>
      <c r="K318" s="482">
        <f t="shared" ca="1" si="134"/>
        <v>4500</v>
      </c>
      <c r="L318" s="539">
        <v>4500</v>
      </c>
      <c r="M318" s="51">
        <f t="shared" si="115"/>
        <v>0</v>
      </c>
      <c r="N318" s="3" t="s">
        <v>245</v>
      </c>
      <c r="O318" s="59">
        <f t="shared" si="136"/>
        <v>0</v>
      </c>
      <c r="P318" s="305">
        <f t="shared" si="126"/>
        <v>0</v>
      </c>
      <c r="Q318" s="84"/>
    </row>
    <row r="319" spans="1:29" ht="15" customHeight="1" x14ac:dyDescent="0.25">
      <c r="A319" s="514"/>
      <c r="B319" s="580"/>
      <c r="C319" s="129" t="str">
        <f t="shared" si="133"/>
        <v>6285-18</v>
      </c>
      <c r="D319" s="517" t="s">
        <v>539</v>
      </c>
      <c r="E319" s="551"/>
      <c r="F319" s="540">
        <v>1</v>
      </c>
      <c r="G319" s="551"/>
      <c r="H319" s="490">
        <v>7180</v>
      </c>
      <c r="I319" s="485">
        <f t="shared" si="130"/>
        <v>7180</v>
      </c>
      <c r="J319" s="485">
        <f t="shared" ca="1" si="135"/>
        <v>0</v>
      </c>
      <c r="K319" s="485">
        <f t="shared" ca="1" si="134"/>
        <v>7180</v>
      </c>
      <c r="L319" s="541">
        <v>7898.0000000000009</v>
      </c>
      <c r="M319" s="51">
        <f t="shared" si="115"/>
        <v>-718.00000000000091</v>
      </c>
      <c r="N319" s="3" t="s">
        <v>245</v>
      </c>
      <c r="O319" s="59">
        <f t="shared" si="136"/>
        <v>-718.00000000000091</v>
      </c>
      <c r="P319" s="305">
        <f t="shared" si="126"/>
        <v>-9.0909090909091009E-2</v>
      </c>
      <c r="Q319" s="229"/>
    </row>
    <row r="320" spans="1:29" x14ac:dyDescent="0.25">
      <c r="A320" s="1005"/>
      <c r="B320" s="1096" t="s">
        <v>711</v>
      </c>
      <c r="C320" s="990" t="str">
        <f t="shared" si="133"/>
        <v>6285-19</v>
      </c>
      <c r="D320" s="1097" t="s">
        <v>540</v>
      </c>
      <c r="E320" s="1013">
        <v>95</v>
      </c>
      <c r="F320" s="1014"/>
      <c r="G320" s="1013"/>
      <c r="H320" s="979">
        <v>444</v>
      </c>
      <c r="I320" s="982">
        <f t="shared" si="130"/>
        <v>42180</v>
      </c>
      <c r="J320" s="980">
        <f t="shared" ca="1" si="135"/>
        <v>0</v>
      </c>
      <c r="K320" s="980">
        <f ca="1">SUM(I320:J320)</f>
        <v>42180</v>
      </c>
      <c r="L320" s="982">
        <v>39960</v>
      </c>
      <c r="M320" s="51">
        <f t="shared" si="115"/>
        <v>2220</v>
      </c>
      <c r="N320" s="121" t="s">
        <v>196</v>
      </c>
      <c r="O320" s="59"/>
      <c r="P320" s="305"/>
      <c r="Q320" s="229"/>
    </row>
    <row r="321" spans="1:17" x14ac:dyDescent="0.25">
      <c r="A321" s="517"/>
      <c r="B321" s="795"/>
      <c r="C321" s="129" t="str">
        <f t="shared" si="133"/>
        <v>6285-20</v>
      </c>
      <c r="D321" s="616" t="s">
        <v>541</v>
      </c>
      <c r="E321" s="563">
        <v>5</v>
      </c>
      <c r="F321" s="558"/>
      <c r="G321" s="563"/>
      <c r="H321" s="496">
        <v>1200</v>
      </c>
      <c r="I321" s="556">
        <f t="shared" si="130"/>
        <v>6000</v>
      </c>
      <c r="J321" s="494"/>
      <c r="K321" s="494"/>
      <c r="L321" s="556">
        <v>6000</v>
      </c>
      <c r="M321" s="51">
        <f t="shared" si="115"/>
        <v>0</v>
      </c>
      <c r="N321" s="3" t="s">
        <v>196</v>
      </c>
      <c r="O321" s="59"/>
      <c r="P321" s="305"/>
      <c r="Q321" s="229"/>
    </row>
    <row r="322" spans="1:17" ht="15" customHeight="1" thickBot="1" x14ac:dyDescent="0.3">
      <c r="B322" s="573"/>
      <c r="C322" s="83"/>
      <c r="D322" s="497" t="s">
        <v>106</v>
      </c>
      <c r="E322" s="498"/>
      <c r="F322" s="498"/>
      <c r="G322" s="397"/>
      <c r="H322" s="499">
        <f>(I322-L322)/L322</f>
        <v>-9.6775808909269095E-2</v>
      </c>
      <c r="I322" s="501">
        <f>SUM(I302:I321)</f>
        <v>252518</v>
      </c>
      <c r="J322" s="501">
        <f ca="1">SUM(J302:J320)</f>
        <v>0</v>
      </c>
      <c r="K322" s="501">
        <f ca="1">SUM(K302:K320)</f>
        <v>219918</v>
      </c>
      <c r="L322" s="549">
        <f>SUM(L302:L321)</f>
        <v>279574</v>
      </c>
      <c r="M322" s="51">
        <f t="shared" si="115"/>
        <v>-27056</v>
      </c>
      <c r="O322" s="59">
        <f>I322-L322</f>
        <v>-27056</v>
      </c>
      <c r="P322" s="305">
        <f t="shared" si="126"/>
        <v>-9.6775808909269095E-2</v>
      </c>
      <c r="Q322" s="229"/>
    </row>
    <row r="323" spans="1:17" ht="17.25" customHeight="1" thickTop="1" x14ac:dyDescent="0.25">
      <c r="B323" s="573"/>
      <c r="C323" s="63"/>
      <c r="D323" s="65"/>
      <c r="E323" s="66"/>
      <c r="F323" s="66"/>
      <c r="G323" s="18"/>
      <c r="H323" s="222"/>
      <c r="I323" s="82"/>
      <c r="J323" s="82"/>
      <c r="K323" s="82"/>
      <c r="L323" s="113"/>
      <c r="M323" s="51">
        <f t="shared" si="115"/>
        <v>0</v>
      </c>
      <c r="O323" s="59"/>
      <c r="P323" s="305"/>
      <c r="Q323" s="229"/>
    </row>
    <row r="324" spans="1:17" ht="19.5" customHeight="1" x14ac:dyDescent="0.3">
      <c r="A324" s="1116" t="s">
        <v>542</v>
      </c>
      <c r="B324" s="1116"/>
      <c r="C324" s="1116"/>
      <c r="D324" s="1116"/>
      <c r="E324" s="1116"/>
      <c r="F324" s="1116"/>
      <c r="G324" s="1116"/>
      <c r="H324" s="1116"/>
      <c r="I324" s="1116"/>
      <c r="J324" s="1116"/>
      <c r="K324" s="1116"/>
      <c r="L324" s="1116"/>
      <c r="M324" s="51">
        <f t="shared" si="115"/>
        <v>0</v>
      </c>
      <c r="O324" s="59"/>
      <c r="P324" s="305"/>
      <c r="Q324" s="229"/>
    </row>
    <row r="325" spans="1:17" ht="15" customHeight="1" x14ac:dyDescent="0.25">
      <c r="A325" s="480"/>
      <c r="B325" s="570"/>
      <c r="C325" s="131" t="str">
        <f>LEFT($A324,4)&amp;"-1"</f>
        <v>6290-1</v>
      </c>
      <c r="D325" s="487" t="s">
        <v>639</v>
      </c>
      <c r="E325" s="546"/>
      <c r="F325" s="529"/>
      <c r="G325" s="546">
        <v>1</v>
      </c>
      <c r="H325" s="481">
        <v>550</v>
      </c>
      <c r="I325" s="482">
        <f t="shared" ref="I325:I330" si="137">(E325+F325+G325)*H325</f>
        <v>550</v>
      </c>
      <c r="J325" s="482">
        <f ca="1">-(SUMIF(INDIRECT(LEFT($A$324,4)&amp;"!i3:i200"),"="&amp;C325&amp;" *",INDIRECT(LEFT($A$324,4)&amp;"!k3:k200")))</f>
        <v>0</v>
      </c>
      <c r="K325" s="482">
        <f t="shared" ref="K325:K338" ca="1" si="138">SUM(I325:J325)</f>
        <v>550</v>
      </c>
      <c r="L325" s="482">
        <v>250</v>
      </c>
      <c r="M325" s="51">
        <f t="shared" si="115"/>
        <v>300</v>
      </c>
      <c r="N325" s="121" t="s">
        <v>226</v>
      </c>
      <c r="O325" s="59">
        <f t="shared" ref="O325:O331" si="139">I325-L325</f>
        <v>300</v>
      </c>
      <c r="P325" s="305">
        <f t="shared" si="126"/>
        <v>1.2</v>
      </c>
      <c r="Q325" s="229"/>
    </row>
    <row r="326" spans="1:17" ht="15" customHeight="1" x14ac:dyDescent="0.25">
      <c r="A326" s="508"/>
      <c r="B326" s="582"/>
      <c r="C326" s="107" t="str">
        <f t="shared" ref="C326:C330" si="140">LEFT($C325,4)&amp;"-"&amp;VALUE(MID($C325,FIND("-",$C325)+1,256))+1</f>
        <v>6290-2</v>
      </c>
      <c r="D326" s="586" t="s">
        <v>642</v>
      </c>
      <c r="E326" s="595"/>
      <c r="F326" s="587"/>
      <c r="G326" s="595">
        <v>1</v>
      </c>
      <c r="H326" s="509">
        <v>650</v>
      </c>
      <c r="I326" s="486">
        <f t="shared" si="137"/>
        <v>650</v>
      </c>
      <c r="J326" s="486">
        <f ca="1">-(SUMIF(INDIRECT(LEFT($A$324,4)&amp;"!i3:i200"),"="&amp;C326&amp;" *",INDIRECT(LEFT($A$324,4)&amp;"!k3:k200")))</f>
        <v>0</v>
      </c>
      <c r="K326" s="486">
        <f t="shared" ca="1" si="138"/>
        <v>650</v>
      </c>
      <c r="L326" s="486">
        <v>650</v>
      </c>
      <c r="M326" s="51">
        <f t="shared" si="115"/>
        <v>0</v>
      </c>
      <c r="N326" s="121" t="s">
        <v>226</v>
      </c>
      <c r="O326" s="59">
        <f t="shared" si="139"/>
        <v>0</v>
      </c>
      <c r="P326" s="305">
        <f t="shared" si="126"/>
        <v>0</v>
      </c>
      <c r="Q326" s="229"/>
    </row>
    <row r="327" spans="1:17" ht="15" customHeight="1" x14ac:dyDescent="0.25">
      <c r="A327" s="518"/>
      <c r="B327" s="570"/>
      <c r="C327" s="85"/>
      <c r="D327" s="515" t="s">
        <v>644</v>
      </c>
      <c r="E327" s="566"/>
      <c r="F327" s="544"/>
      <c r="G327" s="566">
        <v>1</v>
      </c>
      <c r="H327" s="516">
        <v>2000</v>
      </c>
      <c r="I327" s="493">
        <f t="shared" si="137"/>
        <v>2000</v>
      </c>
      <c r="J327" s="493"/>
      <c r="K327" s="493"/>
      <c r="L327" s="493">
        <v>375</v>
      </c>
      <c r="M327" s="51">
        <f t="shared" ref="M327:M347" si="141">I327-L327</f>
        <v>1625</v>
      </c>
      <c r="N327" s="121"/>
      <c r="O327" s="59"/>
      <c r="P327" s="305"/>
      <c r="Q327" s="229"/>
    </row>
    <row r="328" spans="1:17" ht="15" customHeight="1" x14ac:dyDescent="0.25">
      <c r="A328" s="517"/>
      <c r="B328" s="580"/>
      <c r="C328" s="129" t="str">
        <f>LEFT($C326,4)&amp;"-"&amp;VALUE(MID($C326,FIND("-",$C326)+1,256))+1</f>
        <v>6290-3</v>
      </c>
      <c r="D328" s="489" t="s">
        <v>640</v>
      </c>
      <c r="E328" s="551"/>
      <c r="F328" s="540"/>
      <c r="G328" s="551">
        <v>1</v>
      </c>
      <c r="H328" s="490">
        <v>7500</v>
      </c>
      <c r="I328" s="485">
        <f t="shared" si="137"/>
        <v>7500</v>
      </c>
      <c r="J328" s="485">
        <f ca="1">-(SUMIF(INDIRECT(LEFT($A$324,4)&amp;"!i3:i200"),"="&amp;C328&amp;" *",INDIRECT(LEFT($A$324,4)&amp;"!k3:k200")))</f>
        <v>0</v>
      </c>
      <c r="K328" s="485">
        <f t="shared" ref="K328:K330" ca="1" si="142">SUM(I328:J328)</f>
        <v>7500</v>
      </c>
      <c r="L328" s="485">
        <v>7500</v>
      </c>
      <c r="M328" s="51">
        <f t="shared" si="141"/>
        <v>0</v>
      </c>
      <c r="N328" s="121" t="s">
        <v>226</v>
      </c>
      <c r="O328" s="59">
        <f t="shared" si="139"/>
        <v>0</v>
      </c>
      <c r="P328" s="305">
        <f t="shared" si="126"/>
        <v>0</v>
      </c>
      <c r="Q328" s="229"/>
    </row>
    <row r="329" spans="1:17" ht="15" customHeight="1" x14ac:dyDescent="0.25">
      <c r="A329" s="518"/>
      <c r="B329" s="570"/>
      <c r="C329" s="133" t="str">
        <f t="shared" si="140"/>
        <v>6290-4</v>
      </c>
      <c r="D329" s="491" t="s">
        <v>641</v>
      </c>
      <c r="E329" s="548"/>
      <c r="F329" s="538"/>
      <c r="G329" s="548">
        <v>1</v>
      </c>
      <c r="H329" s="516">
        <v>3000</v>
      </c>
      <c r="I329" s="493">
        <f t="shared" si="137"/>
        <v>3000</v>
      </c>
      <c r="J329" s="493">
        <f ca="1">-(SUMIF(INDIRECT(LEFT($A$324,4)&amp;"!i3:i200"),"="&amp;C329&amp;" *",INDIRECT(LEFT($A$324,4)&amp;"!k3:k200")))</f>
        <v>0</v>
      </c>
      <c r="K329" s="493">
        <f t="shared" ca="1" si="142"/>
        <v>3000</v>
      </c>
      <c r="L329" s="493">
        <v>3000</v>
      </c>
      <c r="M329" s="51">
        <f t="shared" si="141"/>
        <v>0</v>
      </c>
      <c r="N329" s="121" t="s">
        <v>226</v>
      </c>
      <c r="O329" s="59">
        <f t="shared" si="139"/>
        <v>0</v>
      </c>
      <c r="P329" s="305">
        <f t="shared" si="126"/>
        <v>0</v>
      </c>
      <c r="Q329" s="229"/>
    </row>
    <row r="330" spans="1:17" ht="15" customHeight="1" x14ac:dyDescent="0.25">
      <c r="A330" s="517"/>
      <c r="B330" s="580"/>
      <c r="C330" s="107" t="str">
        <f t="shared" si="140"/>
        <v>6290-5</v>
      </c>
      <c r="D330" s="512" t="s">
        <v>643</v>
      </c>
      <c r="E330" s="593"/>
      <c r="F330" s="545"/>
      <c r="G330" s="593">
        <v>1</v>
      </c>
      <c r="H330" s="490">
        <v>15500</v>
      </c>
      <c r="I330" s="485">
        <f t="shared" si="137"/>
        <v>15500</v>
      </c>
      <c r="J330" s="485">
        <f ca="1">-(SUMIF(INDIRECT(LEFT($A$324,4)&amp;"!i3:i200"),"="&amp;C330&amp;" *",INDIRECT(LEFT($A$324,4)&amp;"!k3:k200")))</f>
        <v>0</v>
      </c>
      <c r="K330" s="485">
        <f t="shared" ca="1" si="142"/>
        <v>15500</v>
      </c>
      <c r="L330" s="485">
        <v>13750</v>
      </c>
      <c r="M330" s="51">
        <f t="shared" si="141"/>
        <v>1750</v>
      </c>
      <c r="N330" s="121" t="s">
        <v>226</v>
      </c>
      <c r="O330" s="59">
        <f t="shared" si="139"/>
        <v>1750</v>
      </c>
      <c r="P330" s="305">
        <f t="shared" si="126"/>
        <v>0.12727272727272726</v>
      </c>
      <c r="Q330" s="229"/>
    </row>
    <row r="331" spans="1:17" ht="15" customHeight="1" thickBot="1" x14ac:dyDescent="0.3">
      <c r="B331" s="617"/>
      <c r="C331" s="85"/>
      <c r="D331" s="497" t="s">
        <v>106</v>
      </c>
      <c r="E331" s="498"/>
      <c r="F331" s="498"/>
      <c r="G331" s="397"/>
      <c r="H331" s="499">
        <f>(I331-L331)/L331</f>
        <v>0.14397649363369247</v>
      </c>
      <c r="I331" s="501">
        <f>SUM(I325:I330)</f>
        <v>29200</v>
      </c>
      <c r="J331" s="501">
        <f t="shared" ref="J331:K331" ca="1" si="143">SUM(J325:J330)</f>
        <v>0</v>
      </c>
      <c r="K331" s="501">
        <f t="shared" ca="1" si="143"/>
        <v>27200</v>
      </c>
      <c r="L331" s="501">
        <f>SUM(L325:L330)</f>
        <v>25525</v>
      </c>
      <c r="M331" s="51">
        <f t="shared" si="141"/>
        <v>3675</v>
      </c>
      <c r="O331" s="59">
        <f t="shared" si="139"/>
        <v>3675</v>
      </c>
      <c r="P331" s="305">
        <f t="shared" si="126"/>
        <v>0.14397649363369247</v>
      </c>
      <c r="Q331" s="229"/>
    </row>
    <row r="332" spans="1:17" ht="9.75" customHeight="1" thickTop="1" x14ac:dyDescent="0.25">
      <c r="B332" s="479"/>
      <c r="C332" s="133"/>
      <c r="D332" s="497"/>
      <c r="E332" s="498"/>
      <c r="F332" s="498"/>
      <c r="G332" s="498"/>
      <c r="H332" s="488"/>
      <c r="I332" s="521"/>
      <c r="J332" s="521"/>
      <c r="K332" s="521"/>
      <c r="L332" s="521"/>
      <c r="M332" s="51">
        <f t="shared" si="141"/>
        <v>0</v>
      </c>
      <c r="O332" s="59"/>
      <c r="P332" s="305"/>
      <c r="Q332" s="229"/>
    </row>
    <row r="333" spans="1:17" ht="19.5" customHeight="1" x14ac:dyDescent="0.3">
      <c r="A333" s="1116" t="s">
        <v>543</v>
      </c>
      <c r="B333" s="1116"/>
      <c r="C333" s="1116"/>
      <c r="D333" s="1116"/>
      <c r="E333" s="1116"/>
      <c r="F333" s="1116"/>
      <c r="G333" s="1116"/>
      <c r="H333" s="1116"/>
      <c r="I333" s="1116"/>
      <c r="J333" s="1116"/>
      <c r="K333" s="1116"/>
      <c r="L333" s="1116"/>
      <c r="M333" s="51">
        <f t="shared" si="141"/>
        <v>0</v>
      </c>
      <c r="O333" s="59"/>
      <c r="P333" s="305"/>
      <c r="Q333" s="229"/>
    </row>
    <row r="334" spans="1:17" ht="15" customHeight="1" x14ac:dyDescent="0.25">
      <c r="B334" s="597"/>
      <c r="C334" s="133"/>
      <c r="D334" s="599"/>
      <c r="E334" s="599"/>
      <c r="F334" s="599"/>
      <c r="G334" s="600"/>
      <c r="H334" s="596"/>
      <c r="I334" s="482">
        <f>SUM((E334+F334+G334)*H334)</f>
        <v>0</v>
      </c>
      <c r="J334" s="482">
        <f ca="1">-(SUMIF(INDIRECT(LEFT($A$333,4)&amp;"!i3:i200"),"="&amp;C334&amp;" *",INDIRECT(LEFT($A$333,4)&amp;"!k3:k200")))</f>
        <v>0</v>
      </c>
      <c r="K334" s="482">
        <f t="shared" ca="1" si="138"/>
        <v>0</v>
      </c>
      <c r="L334" s="482">
        <v>0</v>
      </c>
      <c r="M334" s="51">
        <f t="shared" si="141"/>
        <v>0</v>
      </c>
      <c r="O334" s="59">
        <f t="shared" ref="O334" si="144">I334-L334</f>
        <v>0</v>
      </c>
      <c r="P334" s="305" t="e">
        <f t="shared" si="126"/>
        <v>#DIV/0!</v>
      </c>
      <c r="Q334" s="229"/>
    </row>
    <row r="335" spans="1:17" ht="15" customHeight="1" thickBot="1" x14ac:dyDescent="0.3">
      <c r="B335" s="88"/>
      <c r="C335" s="85"/>
      <c r="D335" s="497" t="s">
        <v>153</v>
      </c>
      <c r="E335" s="599"/>
      <c r="F335" s="599"/>
      <c r="G335" s="397"/>
      <c r="H335" s="499">
        <v>0</v>
      </c>
      <c r="I335" s="501">
        <f>SUM(I334)</f>
        <v>0</v>
      </c>
      <c r="J335" s="501">
        <f t="shared" ref="J335:K335" ca="1" si="145">SUM(J334)</f>
        <v>0</v>
      </c>
      <c r="K335" s="501">
        <f t="shared" ca="1" si="145"/>
        <v>0</v>
      </c>
      <c r="L335" s="501">
        <f>SUM(L334)</f>
        <v>0</v>
      </c>
      <c r="M335" s="51">
        <f t="shared" si="141"/>
        <v>0</v>
      </c>
      <c r="O335" s="59"/>
      <c r="P335" s="305"/>
      <c r="Q335" s="229"/>
    </row>
    <row r="336" spans="1:17" ht="9.75" customHeight="1" thickTop="1" x14ac:dyDescent="0.25">
      <c r="B336" s="94"/>
      <c r="C336" s="133"/>
      <c r="D336" s="91"/>
      <c r="E336" s="48"/>
      <c r="F336" s="48"/>
      <c r="G336" s="48"/>
      <c r="H336" s="56"/>
      <c r="I336" s="34"/>
      <c r="L336" s="34"/>
      <c r="M336" s="51">
        <f t="shared" si="141"/>
        <v>0</v>
      </c>
      <c r="O336" s="59"/>
      <c r="P336" s="305"/>
      <c r="Q336" s="229"/>
    </row>
    <row r="337" spans="1:18" ht="19.5" customHeight="1" x14ac:dyDescent="0.3">
      <c r="A337" s="1116" t="s">
        <v>544</v>
      </c>
      <c r="B337" s="1116"/>
      <c r="C337" s="1116"/>
      <c r="D337" s="1116"/>
      <c r="E337" s="1116"/>
      <c r="F337" s="1116"/>
      <c r="G337" s="1116"/>
      <c r="H337" s="1116"/>
      <c r="I337" s="1116"/>
      <c r="J337" s="1116"/>
      <c r="K337" s="1116"/>
      <c r="L337" s="1116"/>
      <c r="M337" s="51">
        <f t="shared" si="141"/>
        <v>0</v>
      </c>
      <c r="O337" s="59"/>
      <c r="P337" s="305"/>
      <c r="Q337" s="229"/>
    </row>
    <row r="338" spans="1:18" ht="23.25" x14ac:dyDescent="0.25">
      <c r="A338" s="480"/>
      <c r="B338" s="573" t="s">
        <v>545</v>
      </c>
      <c r="C338" s="133" t="str">
        <f>LEFT($A337,4)&amp;"-1"</f>
        <v>8010-1</v>
      </c>
      <c r="D338" s="599" t="s">
        <v>546</v>
      </c>
      <c r="E338" s="498"/>
      <c r="F338" s="529">
        <v>1</v>
      </c>
      <c r="G338" s="443"/>
      <c r="H338" s="481">
        <v>17500</v>
      </c>
      <c r="I338" s="493">
        <f>(E338+F338+G338)*H338</f>
        <v>17500</v>
      </c>
      <c r="J338" s="482">
        <f ca="1">-(SUMIF(INDIRECT(LEFT($A$337,4)&amp;"!i3:i200"),"="&amp;C338&amp;" *",INDIRECT(LEFT($A$337,4)&amp;"!k3:k200")))</f>
        <v>0</v>
      </c>
      <c r="K338" s="482">
        <f t="shared" ca="1" si="138"/>
        <v>17500</v>
      </c>
      <c r="L338" s="395">
        <v>17500</v>
      </c>
      <c r="M338" s="51">
        <f t="shared" si="141"/>
        <v>0</v>
      </c>
      <c r="N338" s="121" t="s">
        <v>245</v>
      </c>
      <c r="O338" s="59">
        <f t="shared" ref="O338:O341" si="146">I338-L338</f>
        <v>0</v>
      </c>
      <c r="P338" s="305">
        <f t="shared" si="126"/>
        <v>0</v>
      </c>
      <c r="Q338" s="229"/>
      <c r="R338" s="229"/>
    </row>
    <row r="339" spans="1:18" ht="15" customHeight="1" x14ac:dyDescent="0.25">
      <c r="A339" s="508"/>
      <c r="B339" s="580"/>
      <c r="C339" s="107" t="str">
        <f>LEFT($C338,4)&amp;"-"&amp;VALUE(MID($C338,FIND("-",$C338)+1,256))+1</f>
        <v>8010-2</v>
      </c>
      <c r="D339" s="512" t="s">
        <v>547</v>
      </c>
      <c r="E339" s="636"/>
      <c r="F339" s="545">
        <v>5</v>
      </c>
      <c r="G339" s="636"/>
      <c r="H339" s="490">
        <v>5000</v>
      </c>
      <c r="I339" s="494">
        <f>(E339+F339+G339)*H339</f>
        <v>25000</v>
      </c>
      <c r="J339" s="485">
        <f ca="1">-(SUMIF(INDIRECT(LEFT($A$337,4)&amp;"!i3:i200"),"="&amp;C339&amp;" *",INDIRECT(LEFT($A$337,4)&amp;"!k3:k200")))</f>
        <v>0</v>
      </c>
      <c r="K339" s="485">
        <f t="shared" ref="K339" ca="1" si="147">SUM(I339:J339)</f>
        <v>25000</v>
      </c>
      <c r="L339" s="485">
        <v>25000</v>
      </c>
      <c r="M339" s="51">
        <f t="shared" si="141"/>
        <v>0</v>
      </c>
      <c r="N339" s="121" t="s">
        <v>245</v>
      </c>
      <c r="O339" s="59">
        <f t="shared" si="146"/>
        <v>0</v>
      </c>
      <c r="P339" s="305">
        <f t="shared" si="126"/>
        <v>0</v>
      </c>
      <c r="Q339" s="229"/>
      <c r="R339" s="229"/>
    </row>
    <row r="340" spans="1:18" ht="15" customHeight="1" x14ac:dyDescent="0.25">
      <c r="A340" s="480"/>
      <c r="B340" s="574"/>
      <c r="C340" s="85" t="str">
        <f>LEFT($C339,4)&amp;"-"&amp;VALUE(MID($C339,FIND("-",$C339)+1,256))+1</f>
        <v>8010-3</v>
      </c>
      <c r="D340" s="491" t="s">
        <v>548</v>
      </c>
      <c r="E340" s="446"/>
      <c r="F340" s="538">
        <v>3</v>
      </c>
      <c r="G340" s="446"/>
      <c r="H340" s="516">
        <v>7500</v>
      </c>
      <c r="I340" s="493">
        <f>(E340+F340+G340)*H340</f>
        <v>22500</v>
      </c>
      <c r="J340" s="482">
        <f ca="1">-(SUMIF(INDIRECT(LEFT($A$337,4)&amp;"!i3:i200"),"="&amp;C340&amp;" *",INDIRECT(LEFT($A$337,4)&amp;"!k3:k200")))</f>
        <v>0</v>
      </c>
      <c r="K340" s="482">
        <f ca="1">SUM(I340:J340)</f>
        <v>22500</v>
      </c>
      <c r="L340" s="493">
        <v>22500</v>
      </c>
      <c r="M340" s="51">
        <f t="shared" si="141"/>
        <v>0</v>
      </c>
      <c r="N340" s="121" t="s">
        <v>245</v>
      </c>
      <c r="O340" s="59">
        <f t="shared" si="146"/>
        <v>0</v>
      </c>
      <c r="P340" s="305">
        <f t="shared" si="126"/>
        <v>0</v>
      </c>
      <c r="Q340" s="229"/>
      <c r="R340" s="229"/>
    </row>
    <row r="341" spans="1:18" ht="15" customHeight="1" thickBot="1" x14ac:dyDescent="0.3">
      <c r="B341" s="583"/>
      <c r="C341" s="133"/>
      <c r="D341" s="497" t="s">
        <v>106</v>
      </c>
      <c r="E341" s="498"/>
      <c r="F341" s="498"/>
      <c r="G341" s="397"/>
      <c r="H341" s="499">
        <f>(I341-L341)/L341</f>
        <v>0</v>
      </c>
      <c r="I341" s="501">
        <f>SUM(I338:I340)</f>
        <v>65000</v>
      </c>
      <c r="J341" s="501">
        <f ca="1">SUM(J338:J340)</f>
        <v>0</v>
      </c>
      <c r="K341" s="501">
        <f ca="1">SUM(K338:K340)</f>
        <v>65000</v>
      </c>
      <c r="L341" s="549">
        <f>SUM(L338:L340)</f>
        <v>65000</v>
      </c>
      <c r="M341" s="51">
        <f t="shared" si="141"/>
        <v>0</v>
      </c>
      <c r="O341" s="59">
        <f t="shared" si="146"/>
        <v>0</v>
      </c>
      <c r="P341" s="305">
        <f t="shared" si="126"/>
        <v>0</v>
      </c>
      <c r="Q341" s="1121"/>
      <c r="R341" s="1107"/>
    </row>
    <row r="342" spans="1:18" ht="9.75" customHeight="1" thickTop="1" x14ac:dyDescent="0.25">
      <c r="B342" s="47"/>
      <c r="D342" s="68"/>
      <c r="E342" s="69"/>
      <c r="F342" s="69"/>
      <c r="G342" s="69"/>
      <c r="H342" s="52"/>
      <c r="I342" s="70"/>
      <c r="J342" s="70"/>
      <c r="K342" s="70"/>
      <c r="L342" s="70"/>
      <c r="M342" s="51">
        <f t="shared" si="141"/>
        <v>0</v>
      </c>
      <c r="O342" s="195"/>
      <c r="P342" s="305"/>
      <c r="Q342" s="229"/>
    </row>
    <row r="343" spans="1:18" ht="19.5" customHeight="1" x14ac:dyDescent="0.3">
      <c r="A343" s="1116" t="s">
        <v>549</v>
      </c>
      <c r="B343" s="1116"/>
      <c r="C343" s="1116"/>
      <c r="D343" s="1116"/>
      <c r="E343" s="1116"/>
      <c r="F343" s="1116"/>
      <c r="G343" s="1116"/>
      <c r="H343" s="1116"/>
      <c r="I343" s="1116"/>
      <c r="J343" s="1116"/>
      <c r="K343" s="1116"/>
      <c r="L343" s="1116"/>
      <c r="M343" s="51">
        <f t="shared" si="141"/>
        <v>0</v>
      </c>
      <c r="Q343" s="229"/>
    </row>
    <row r="344" spans="1:18" ht="15" customHeight="1" x14ac:dyDescent="0.25">
      <c r="B344" s="618"/>
      <c r="C344" s="85" t="str">
        <f>LEFT($A343,4)&amp;"-1"</f>
        <v>8020-1</v>
      </c>
      <c r="D344" s="414"/>
      <c r="E344" s="414"/>
      <c r="F344" s="414"/>
      <c r="G344" s="414"/>
      <c r="H344" s="482">
        <v>0</v>
      </c>
      <c r="I344" s="482">
        <f>(E344+F344+G344)*H344</f>
        <v>0</v>
      </c>
      <c r="J344" s="482"/>
      <c r="K344" s="482"/>
      <c r="L344" s="395">
        <v>0</v>
      </c>
      <c r="M344" s="51">
        <f t="shared" si="141"/>
        <v>0</v>
      </c>
      <c r="Q344" s="229"/>
    </row>
    <row r="345" spans="1:18" ht="15" customHeight="1" thickBot="1" x14ac:dyDescent="0.3">
      <c r="B345" s="583"/>
      <c r="C345" s="47"/>
      <c r="D345" s="497" t="s">
        <v>106</v>
      </c>
      <c r="E345" s="498"/>
      <c r="F345" s="498"/>
      <c r="G345" s="423"/>
      <c r="H345" s="520">
        <f>SUM(Summary!H30)</f>
        <v>0</v>
      </c>
      <c r="I345" s="501">
        <f>SUM(I344)</f>
        <v>0</v>
      </c>
      <c r="J345" s="501">
        <f t="shared" ref="J345:K345" si="148">SUM(J344)</f>
        <v>0</v>
      </c>
      <c r="K345" s="501">
        <f t="shared" si="148"/>
        <v>0</v>
      </c>
      <c r="L345" s="549">
        <f>SUM(L344)</f>
        <v>0</v>
      </c>
      <c r="M345" s="51">
        <f t="shared" si="141"/>
        <v>0</v>
      </c>
      <c r="Q345" s="229"/>
    </row>
    <row r="346" spans="1:18" ht="15" customHeight="1" thickTop="1" thickBot="1" x14ac:dyDescent="0.3">
      <c r="B346" s="583"/>
      <c r="C346" s="131"/>
      <c r="D346" s="497"/>
      <c r="E346" s="498"/>
      <c r="F346" s="498"/>
      <c r="G346" s="498"/>
      <c r="H346" s="502"/>
      <c r="I346" s="503"/>
      <c r="J346" s="503"/>
      <c r="K346" s="503"/>
      <c r="L346" s="503"/>
      <c r="M346" s="51">
        <f t="shared" si="141"/>
        <v>0</v>
      </c>
      <c r="Q346" s="229"/>
    </row>
    <row r="347" spans="1:18" ht="15" customHeight="1" thickBot="1" x14ac:dyDescent="0.3">
      <c r="B347" s="619"/>
      <c r="C347" s="131"/>
      <c r="D347" s="497" t="s">
        <v>74</v>
      </c>
      <c r="E347" s="498"/>
      <c r="F347" s="498"/>
      <c r="G347" s="498"/>
      <c r="H347" s="499">
        <f>(I347-L347)/L347</f>
        <v>7.8790521780290598E-2</v>
      </c>
      <c r="I347" s="620">
        <f>SUM(I345,I341,I335,I331,I322,I299,I257,I232,I228,I190,I185,I180,I151,I141,I131,I91,I79,I65,I61,I39,I15)</f>
        <v>3713558.9349999996</v>
      </c>
      <c r="J347" s="620">
        <f ca="1">SUM(J345,J341,J335,J331,J322,J299,J257,J232,J228,J190,J185,J180,J151,J141,J131,J91,J79,J65,J61,J39,J15)</f>
        <v>250500</v>
      </c>
      <c r="K347" s="620">
        <f ca="1">SUM(K345,K341,K335,K331,K322,K299,K257,K232,K228,K190,K185,K180,K151,K141,K131,K91,K79,K65,K61,K39,K15)</f>
        <v>253995312.935</v>
      </c>
      <c r="L347" s="620">
        <f>SUM(L345,L341,L335,L331,L322,L299,L257,L232,L228,L190,L185,L180,L151,L141,L131,L91,L79,L65,L61,L39,L15)</f>
        <v>3442335.523</v>
      </c>
      <c r="M347" s="51">
        <f t="shared" si="141"/>
        <v>271223.41199999955</v>
      </c>
      <c r="Q347" s="229"/>
    </row>
    <row r="348" spans="1:18" ht="15.75" customHeight="1" x14ac:dyDescent="0.25">
      <c r="B348" s="610"/>
      <c r="C348" s="58"/>
      <c r="H348" s="51"/>
      <c r="I348" s="3"/>
      <c r="Q348" s="229"/>
    </row>
    <row r="349" spans="1:18" ht="15" customHeight="1" x14ac:dyDescent="0.25">
      <c r="I349" s="3"/>
    </row>
    <row r="350" spans="1:18" ht="15" customHeight="1" x14ac:dyDescent="0.25">
      <c r="I350" s="3"/>
    </row>
    <row r="351" spans="1:18" ht="15" customHeight="1" x14ac:dyDescent="0.25">
      <c r="I351" s="3"/>
    </row>
    <row r="352" spans="1:18" ht="15" customHeight="1" x14ac:dyDescent="0.25">
      <c r="I352" s="3"/>
    </row>
    <row r="353" spans="9:9" ht="15" customHeight="1" x14ac:dyDescent="0.25">
      <c r="I353" s="3"/>
    </row>
    <row r="354" spans="9:9" ht="15" customHeight="1" x14ac:dyDescent="0.25">
      <c r="I354" s="3"/>
    </row>
    <row r="355" spans="9:9" ht="15" customHeight="1" x14ac:dyDescent="0.25">
      <c r="I355" s="3"/>
    </row>
    <row r="356" spans="9:9" ht="15" customHeight="1" x14ac:dyDescent="0.25">
      <c r="I356" s="3"/>
    </row>
    <row r="357" spans="9:9" ht="15" customHeight="1" x14ac:dyDescent="0.25">
      <c r="I357" s="3"/>
    </row>
  </sheetData>
  <sheetProtection formatCells="0" insertRows="0" selectLockedCells="1"/>
  <protectedRanges>
    <protectedRange sqref="J95:L95 I2:I1048576" name="Range1" securityDescriptor="O:WDG:WDD:(A;;CC;;;S-1-5-21-751916245-1090913435-1903153266-1213)"/>
  </protectedRanges>
  <autoFilter ref="A2:R347" xr:uid="{00000000-0001-0000-0700-000000000000}"/>
  <mergeCells count="24">
    <mergeCell ref="R265:W265"/>
    <mergeCell ref="B1:L1"/>
    <mergeCell ref="Q341:R341"/>
    <mergeCell ref="A81:L81"/>
    <mergeCell ref="A93:L93"/>
    <mergeCell ref="A133:L133"/>
    <mergeCell ref="A143:L143"/>
    <mergeCell ref="A153:L153"/>
    <mergeCell ref="A182:L182"/>
    <mergeCell ref="A187:L187"/>
    <mergeCell ref="A192:L192"/>
    <mergeCell ref="A230:L230"/>
    <mergeCell ref="A3:L3"/>
    <mergeCell ref="A17:L17"/>
    <mergeCell ref="A41:L41"/>
    <mergeCell ref="A63:L63"/>
    <mergeCell ref="A67:L67"/>
    <mergeCell ref="A337:L337"/>
    <mergeCell ref="A343:L343"/>
    <mergeCell ref="A234:L234"/>
    <mergeCell ref="A259:L259"/>
    <mergeCell ref="A301:L301"/>
    <mergeCell ref="A324:L324"/>
    <mergeCell ref="A333:L333"/>
  </mergeCells>
  <phoneticPr fontId="99" type="noConversion"/>
  <conditionalFormatting sqref="H15">
    <cfRule type="cellIs" dxfId="109" priority="42" operator="equal">
      <formula>0</formula>
    </cfRule>
    <cfRule type="cellIs" dxfId="108" priority="41" operator="greaterThan">
      <formula>0</formula>
    </cfRule>
    <cfRule type="cellIs" dxfId="107" priority="40" operator="lessThan">
      <formula>0</formula>
    </cfRule>
  </conditionalFormatting>
  <conditionalFormatting sqref="H39">
    <cfRule type="cellIs" dxfId="106" priority="45" operator="equal">
      <formula>0</formula>
    </cfRule>
    <cfRule type="cellIs" dxfId="105" priority="44" operator="greaterThan">
      <formula>0</formula>
    </cfRule>
    <cfRule type="cellIs" dxfId="104" priority="43" operator="lessThan">
      <formula>0</formula>
    </cfRule>
  </conditionalFormatting>
  <conditionalFormatting sqref="H61">
    <cfRule type="cellIs" dxfId="103" priority="48" operator="equal">
      <formula>0</formula>
    </cfRule>
    <cfRule type="cellIs" dxfId="102" priority="47" operator="greaterThan">
      <formula>0</formula>
    </cfRule>
    <cfRule type="cellIs" dxfId="101" priority="46" operator="lessThan">
      <formula>0</formula>
    </cfRule>
  </conditionalFormatting>
  <conditionalFormatting sqref="H65">
    <cfRule type="cellIs" dxfId="100" priority="225" operator="equal">
      <formula>0</formula>
    </cfRule>
    <cfRule type="cellIs" dxfId="99" priority="223" operator="lessThan">
      <formula>0</formula>
    </cfRule>
    <cfRule type="cellIs" dxfId="98" priority="224" operator="greaterThan">
      <formula>0</formula>
    </cfRule>
  </conditionalFormatting>
  <conditionalFormatting sqref="H79">
    <cfRule type="cellIs" dxfId="97" priority="49" operator="lessThan">
      <formula>0</formula>
    </cfRule>
    <cfRule type="cellIs" dxfId="96" priority="51" operator="equal">
      <formula>0</formula>
    </cfRule>
    <cfRule type="cellIs" dxfId="95" priority="50" operator="greaterThan">
      <formula>0</formula>
    </cfRule>
  </conditionalFormatting>
  <conditionalFormatting sqref="H91">
    <cfRule type="cellIs" dxfId="94" priority="54" operator="equal">
      <formula>0</formula>
    </cfRule>
    <cfRule type="cellIs" dxfId="93" priority="53" operator="greaterThan">
      <formula>0</formula>
    </cfRule>
    <cfRule type="cellIs" dxfId="92" priority="52" operator="lessThan">
      <formula>0</formula>
    </cfRule>
  </conditionalFormatting>
  <conditionalFormatting sqref="H131">
    <cfRule type="cellIs" dxfId="91" priority="57" operator="equal">
      <formula>0</formula>
    </cfRule>
    <cfRule type="cellIs" dxfId="90" priority="56" operator="greaterThan">
      <formula>0</formula>
    </cfRule>
    <cfRule type="cellIs" dxfId="89" priority="55" operator="lessThan">
      <formula>0</formula>
    </cfRule>
  </conditionalFormatting>
  <conditionalFormatting sqref="H141">
    <cfRule type="cellIs" dxfId="88" priority="60" operator="equal">
      <formula>0</formula>
    </cfRule>
    <cfRule type="cellIs" dxfId="87" priority="59" operator="greaterThan">
      <formula>0</formula>
    </cfRule>
    <cfRule type="cellIs" dxfId="86" priority="58" operator="lessThan">
      <formula>0</formula>
    </cfRule>
  </conditionalFormatting>
  <conditionalFormatting sqref="H151">
    <cfRule type="cellIs" dxfId="85" priority="210" operator="equal">
      <formula>0</formula>
    </cfRule>
    <cfRule type="cellIs" dxfId="84" priority="209" operator="greaterThan">
      <formula>0</formula>
    </cfRule>
    <cfRule type="cellIs" dxfId="83" priority="208" operator="lessThan">
      <formula>0</formula>
    </cfRule>
  </conditionalFormatting>
  <conditionalFormatting sqref="H180">
    <cfRule type="cellIs" dxfId="82" priority="206" operator="greaterThan">
      <formula>0</formula>
    </cfRule>
    <cfRule type="cellIs" dxfId="81" priority="207" operator="equal">
      <formula>0</formula>
    </cfRule>
    <cfRule type="cellIs" dxfId="80" priority="205" operator="lessThan">
      <formula>0</formula>
    </cfRule>
  </conditionalFormatting>
  <conditionalFormatting sqref="H185">
    <cfRule type="cellIs" dxfId="79" priority="37" operator="lessThan">
      <formula>0</formula>
    </cfRule>
    <cfRule type="cellIs" dxfId="78" priority="38" operator="greaterThan">
      <formula>0</formula>
    </cfRule>
    <cfRule type="cellIs" dxfId="77" priority="39" operator="equal">
      <formula>0</formula>
    </cfRule>
  </conditionalFormatting>
  <conditionalFormatting sqref="H190">
    <cfRule type="cellIs" dxfId="76" priority="199" operator="lessThan">
      <formula>0</formula>
    </cfRule>
    <cfRule type="cellIs" dxfId="75" priority="200" operator="greaterThan">
      <formula>0</formula>
    </cfRule>
    <cfRule type="cellIs" dxfId="74" priority="201" operator="equal">
      <formula>0</formula>
    </cfRule>
  </conditionalFormatting>
  <conditionalFormatting sqref="H228">
    <cfRule type="cellIs" dxfId="73" priority="36" operator="equal">
      <formula>0</formula>
    </cfRule>
    <cfRule type="cellIs" dxfId="72" priority="35" operator="greaterThan">
      <formula>0</formula>
    </cfRule>
    <cfRule type="cellIs" dxfId="71" priority="34" operator="lessThan">
      <formula>0</formula>
    </cfRule>
  </conditionalFormatting>
  <conditionalFormatting sqref="H232">
    <cfRule type="cellIs" dxfId="70" priority="33" operator="equal">
      <formula>0</formula>
    </cfRule>
    <cfRule type="cellIs" dxfId="69" priority="32" operator="greaterThan">
      <formula>0</formula>
    </cfRule>
    <cfRule type="cellIs" dxfId="68" priority="31" operator="lessThan">
      <formula>0</formula>
    </cfRule>
  </conditionalFormatting>
  <conditionalFormatting sqref="H257">
    <cfRule type="cellIs" dxfId="67" priority="29" operator="greaterThan">
      <formula>0</formula>
    </cfRule>
    <cfRule type="cellIs" dxfId="66" priority="28" operator="lessThan">
      <formula>0</formula>
    </cfRule>
    <cfRule type="cellIs" dxfId="65" priority="30" operator="equal">
      <formula>0</formula>
    </cfRule>
  </conditionalFormatting>
  <conditionalFormatting sqref="H299:H300">
    <cfRule type="cellIs" dxfId="64" priority="27" operator="equal">
      <formula>0</formula>
    </cfRule>
    <cfRule type="cellIs" dxfId="63" priority="26" operator="greaterThan">
      <formula>0</formula>
    </cfRule>
    <cfRule type="cellIs" dxfId="62" priority="25" operator="lessThan">
      <formula>0</formula>
    </cfRule>
  </conditionalFormatting>
  <conditionalFormatting sqref="H322">
    <cfRule type="cellIs" dxfId="61" priority="23" operator="greaterThan">
      <formula>0</formula>
    </cfRule>
    <cfRule type="cellIs" dxfId="60" priority="24" operator="equal">
      <formula>0</formula>
    </cfRule>
    <cfRule type="cellIs" dxfId="59" priority="22" operator="lessThan">
      <formula>0</formula>
    </cfRule>
  </conditionalFormatting>
  <conditionalFormatting sqref="H331">
    <cfRule type="cellIs" dxfId="58" priority="181" operator="lessThan">
      <formula>0</formula>
    </cfRule>
    <cfRule type="cellIs" dxfId="57" priority="182" operator="greaterThan">
      <formula>0</formula>
    </cfRule>
    <cfRule type="cellIs" dxfId="56" priority="183" operator="equal">
      <formula>0</formula>
    </cfRule>
  </conditionalFormatting>
  <conditionalFormatting sqref="H335">
    <cfRule type="cellIs" dxfId="55" priority="17" operator="greaterThan">
      <formula>0</formula>
    </cfRule>
    <cfRule type="cellIs" dxfId="54" priority="18" operator="equal">
      <formula>0</formula>
    </cfRule>
    <cfRule type="cellIs" dxfId="53" priority="16" operator="lessThan">
      <formula>0</formula>
    </cfRule>
  </conditionalFormatting>
  <conditionalFormatting sqref="H341">
    <cfRule type="cellIs" dxfId="52" priority="19" operator="lessThan">
      <formula>0</formula>
    </cfRule>
    <cfRule type="cellIs" dxfId="51" priority="21" operator="equal">
      <formula>0</formula>
    </cfRule>
    <cfRule type="cellIs" dxfId="50" priority="20" operator="greaterThan">
      <formula>0</formula>
    </cfRule>
  </conditionalFormatting>
  <conditionalFormatting sqref="H347">
    <cfRule type="cellIs" dxfId="49" priority="13" operator="lessThan">
      <formula>0</formula>
    </cfRule>
    <cfRule type="cellIs" dxfId="48" priority="15" operator="equal">
      <formula>0</formula>
    </cfRule>
    <cfRule type="cellIs" dxfId="47" priority="14" operator="greaterThan">
      <formula>0</formula>
    </cfRule>
  </conditionalFormatting>
  <conditionalFormatting sqref="I4:I16 I18:I40 I42:I62 I64:I66 I68:I80 J79:K79 I82:I92 J91:K91 J131:K131 J141:K141 J151:K151 J185:K185 J190:K190 J232:K232 J299:K300 I302:I323 J322:K322 I325:I332 J331:K331 I334:I336 J335:K335 I338:I342 J341:K341 I344:I1048576 J345:K345 J347:K347">
    <cfRule type="expression" dxfId="46" priority="241">
      <formula>I4=L4</formula>
    </cfRule>
    <cfRule type="expression" dxfId="45" priority="239">
      <formula>I4&lt;L4</formula>
    </cfRule>
    <cfRule type="expression" dxfId="44" priority="240">
      <formula>I4&gt;L4</formula>
    </cfRule>
  </conditionalFormatting>
  <conditionalFormatting sqref="I94:I120 J95:K95 I122:I132 I134:I300">
    <cfRule type="expression" dxfId="43" priority="158">
      <formula>I94&gt;L94</formula>
    </cfRule>
    <cfRule type="expression" dxfId="42" priority="159">
      <formula>I94=L94</formula>
    </cfRule>
  </conditionalFormatting>
  <conditionalFormatting sqref="I94:I120 J95:K95 I122:I300">
    <cfRule type="expression" dxfId="41" priority="148">
      <formula>I94&lt;L94</formula>
    </cfRule>
  </conditionalFormatting>
  <conditionalFormatting sqref="I106:I115">
    <cfRule type="expression" dxfId="40" priority="152">
      <formula>I106&gt;L106</formula>
    </cfRule>
    <cfRule type="expression" dxfId="39" priority="153">
      <formula>I106=L106</formula>
    </cfRule>
  </conditionalFormatting>
  <conditionalFormatting sqref="I121:K121">
    <cfRule type="expression" dxfId="38" priority="3">
      <formula>I121=L121</formula>
    </cfRule>
    <cfRule type="expression" dxfId="37" priority="2">
      <formula>I121&gt;L121</formula>
    </cfRule>
    <cfRule type="expression" dxfId="36" priority="1">
      <formula>I121&lt;L121</formula>
    </cfRule>
  </conditionalFormatting>
  <conditionalFormatting sqref="O4:O15 O17:O39 O42:O61 O64:O79 O82:O91 O94:O118 O120 O122:O128 O131 O144:O151 O154:O180 O183:O185 O188:O228 O231:O257 O260:O341">
    <cfRule type="expression" dxfId="35" priority="97">
      <formula>O4&gt;5000</formula>
    </cfRule>
  </conditionalFormatting>
  <conditionalFormatting sqref="O4:O118 O120 O122:O128 O131:O341">
    <cfRule type="expression" dxfId="34" priority="98">
      <formula>O4&gt;1</formula>
    </cfRule>
  </conditionalFormatting>
  <conditionalFormatting sqref="O134:O141">
    <cfRule type="expression" dxfId="33" priority="89">
      <formula>O134&gt;5000</formula>
    </cfRule>
  </conditionalFormatting>
  <conditionalFormatting sqref="P4:P118 P120 P122:P128 P131:P342">
    <cfRule type="cellIs" dxfId="32" priority="106" stopIfTrue="1" operator="equal">
      <formula>0</formula>
    </cfRule>
    <cfRule type="cellIs" dxfId="31" priority="107" stopIfTrue="1" operator="lessThan">
      <formula>0</formula>
    </cfRule>
    <cfRule type="cellIs" dxfId="30" priority="108" stopIfTrue="1" operator="greaterThan">
      <formula>0</formula>
    </cfRule>
    <cfRule type="cellIs" dxfId="29" priority="109" operator="equal">
      <formula>0</formula>
    </cfRule>
    <cfRule type="cellIs" dxfId="28" priority="110" operator="lessThan">
      <formula>0</formula>
    </cfRule>
    <cfRule type="cellIs" dxfId="27" priority="111" operator="greaterThan">
      <formula>0</formula>
    </cfRule>
  </conditionalFormatting>
  <hyperlinks>
    <hyperlink ref="S199" r:id="rId1" xr:uid="{DC09E8CB-CB46-4D78-8112-A47E5B44240E}"/>
  </hyperlinks>
  <printOptions horizontalCentered="1"/>
  <pageMargins left="0.25" right="0.25" top="0.75" bottom="0.75" header="0.3" footer="0.3"/>
  <pageSetup scale="68" fitToHeight="0" orientation="landscape" r:id="rId2"/>
  <headerFooter>
    <oddHeader xml:space="preserve">&amp;C&amp;"Calibri,Bold"&amp;20 </oddHeader>
  </headerFooter>
  <rowBreaks count="10" manualBreakCount="10">
    <brk id="40" max="11" man="1"/>
    <brk id="66" max="11" man="1"/>
    <brk id="92" max="11" man="1"/>
    <brk id="131" max="11" man="1"/>
    <brk id="152" max="11" man="1"/>
    <brk id="191" max="11" man="1"/>
    <brk id="228" max="11" man="1"/>
    <brk id="258" max="11" man="1"/>
    <brk id="299" max="11" man="1"/>
    <brk id="332" max="11" man="1"/>
  </rowBreaks>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499984740745262"/>
  </sheetPr>
  <dimension ref="A1:M48"/>
  <sheetViews>
    <sheetView zoomScale="120" zoomScaleNormal="120" workbookViewId="0">
      <pane ySplit="2" topLeftCell="A3" activePane="bottomLeft" state="frozen"/>
      <selection activeCell="A2" sqref="A2"/>
      <selection pane="bottomLeft" activeCell="A2" sqref="A2"/>
    </sheetView>
  </sheetViews>
  <sheetFormatPr defaultColWidth="14.42578125" defaultRowHeight="15" customHeight="1" x14ac:dyDescent="0.25"/>
  <cols>
    <col min="1" max="1" width="19.5703125" customWidth="1"/>
    <col min="2" max="2" width="5.85546875" style="130" bestFit="1" customWidth="1"/>
    <col min="3" max="3" width="72.42578125" customWidth="1"/>
    <col min="4" max="4" width="7.28515625" customWidth="1"/>
    <col min="5" max="5" width="11" customWidth="1"/>
    <col min="6" max="6" width="12.7109375" bestFit="1" customWidth="1"/>
    <col min="7" max="7" width="10.85546875" hidden="1" customWidth="1"/>
    <col min="8" max="8" width="12" hidden="1" customWidth="1"/>
    <col min="9" max="9" width="13.28515625" customWidth="1"/>
    <col min="10" max="10" width="17.42578125" customWidth="1"/>
    <col min="11" max="11" width="82.85546875" bestFit="1" customWidth="1"/>
    <col min="12" max="12" width="9.7109375" customWidth="1"/>
    <col min="13" max="16" width="13.28515625" customWidth="1"/>
    <col min="17" max="17" width="4.42578125" customWidth="1"/>
    <col min="18" max="20" width="13.28515625" customWidth="1"/>
    <col min="21" max="28" width="15.140625" customWidth="1"/>
  </cols>
  <sheetData>
    <row r="1" spans="1:13" ht="26.25" x14ac:dyDescent="0.4">
      <c r="A1" s="1104" t="s">
        <v>729</v>
      </c>
      <c r="B1" s="1104"/>
      <c r="C1" s="1104"/>
      <c r="D1" s="1104"/>
      <c r="E1" s="1104"/>
      <c r="F1" s="1104"/>
      <c r="G1" s="1104"/>
      <c r="H1" s="1104"/>
      <c r="I1" s="1104"/>
    </row>
    <row r="2" spans="1:13" ht="52.5" customHeight="1" x14ac:dyDescent="0.25">
      <c r="A2" s="909" t="s">
        <v>65</v>
      </c>
      <c r="B2" s="909" t="s">
        <v>215</v>
      </c>
      <c r="C2" s="909" t="s">
        <v>77</v>
      </c>
      <c r="D2" s="928"/>
      <c r="E2" s="911" t="s">
        <v>219</v>
      </c>
      <c r="F2" s="911" t="s">
        <v>723</v>
      </c>
      <c r="G2" s="911" t="s">
        <v>79</v>
      </c>
      <c r="H2" s="911" t="s">
        <v>80</v>
      </c>
      <c r="I2" s="929" t="s">
        <v>173</v>
      </c>
      <c r="J2" s="86"/>
    </row>
    <row r="3" spans="1:13" ht="19.5" customHeight="1" x14ac:dyDescent="0.3">
      <c r="A3" s="1116" t="s">
        <v>550</v>
      </c>
      <c r="B3" s="1116"/>
      <c r="C3" s="1117"/>
      <c r="D3" s="1117"/>
      <c r="E3" s="1117"/>
      <c r="F3" s="1117"/>
      <c r="G3" s="1117"/>
      <c r="H3" s="1117"/>
      <c r="I3" s="1117"/>
      <c r="J3" s="885"/>
      <c r="K3" s="36" t="s">
        <v>645</v>
      </c>
      <c r="L3" s="36"/>
    </row>
    <row r="4" spans="1:13" ht="15" customHeight="1" x14ac:dyDescent="0.25">
      <c r="A4" s="678"/>
      <c r="B4" s="763" t="str">
        <f>LEFT(A3,4)&amp;"-1"</f>
        <v>6310-1</v>
      </c>
      <c r="C4" s="764" t="s">
        <v>551</v>
      </c>
      <c r="D4" s="762">
        <v>6</v>
      </c>
      <c r="E4" s="516">
        <f>(190+190+190+220+190+190)/6</f>
        <v>195</v>
      </c>
      <c r="F4" s="625">
        <f>E4*D4</f>
        <v>1170</v>
      </c>
      <c r="G4" s="493">
        <f ca="1">(-SUMIF(INDIRECT(LEFT($A$3,4)&amp;"!i3:i200"),"="&amp;B4&amp;" *",INDIRECT(LEFT($A$3,4)&amp;"!k3:k200")))</f>
        <v>0</v>
      </c>
      <c r="H4" s="492">
        <f ca="1">SUM(F4:G4)</f>
        <v>1170</v>
      </c>
      <c r="I4" s="492">
        <v>1170</v>
      </c>
      <c r="J4" s="885">
        <v>1</v>
      </c>
      <c r="K4" s="997" t="s">
        <v>649</v>
      </c>
      <c r="L4" s="121"/>
    </row>
    <row r="5" spans="1:13" ht="15" customHeight="1" x14ac:dyDescent="0.25">
      <c r="A5" s="765" t="s">
        <v>656</v>
      </c>
      <c r="B5" s="129" t="str">
        <f>LEFT($B4,4)&amp;"-"&amp;VALUE(MID($B4,FIND("-",$B4)+1,256))+1</f>
        <v>6310-2</v>
      </c>
      <c r="C5" s="494" t="s">
        <v>698</v>
      </c>
      <c r="D5" s="564">
        <v>20</v>
      </c>
      <c r="E5" s="496">
        <v>190</v>
      </c>
      <c r="F5" s="628">
        <f>(D5*E5)*100</f>
        <v>380000</v>
      </c>
      <c r="G5" s="494">
        <f t="shared" ref="G5:G9" ca="1" si="0">(-SUMIF(INDIRECT(LEFT($A$3,4)&amp;"!i3:i200"),"="&amp;B5&amp;" *",INDIRECT(LEFT($A$3,4)&amp;"!k3:k200")))</f>
        <v>0</v>
      </c>
      <c r="H5" s="494">
        <f t="shared" ref="H5" ca="1" si="1">SUM(F5:G5)</f>
        <v>380000</v>
      </c>
      <c r="I5" s="484">
        <v>66500</v>
      </c>
      <c r="J5" s="885">
        <v>5</v>
      </c>
      <c r="K5" s="996" t="s">
        <v>648</v>
      </c>
      <c r="L5" s="36"/>
    </row>
    <row r="6" spans="1:13" ht="15" customHeight="1" x14ac:dyDescent="0.25">
      <c r="A6" s="678"/>
      <c r="B6" s="133" t="str">
        <f t="shared" ref="B6:B9" si="2">LEFT($B5,4)&amp;"-"&amp;VALUE(MID($B5,FIND("-",$B5)+1,256))+1</f>
        <v>6310-3</v>
      </c>
      <c r="C6" s="493" t="s">
        <v>699</v>
      </c>
      <c r="D6" s="538">
        <v>5</v>
      </c>
      <c r="E6" s="516">
        <v>220</v>
      </c>
      <c r="F6" s="625">
        <f>(D6*E6)*100</f>
        <v>110000</v>
      </c>
      <c r="G6" s="493">
        <f t="shared" ca="1" si="0"/>
        <v>0</v>
      </c>
      <c r="H6" s="493">
        <f t="shared" ref="H6" ca="1" si="3">SUM(F6:G6)</f>
        <v>110000</v>
      </c>
      <c r="I6" s="492">
        <v>123200</v>
      </c>
      <c r="J6" s="885">
        <v>7</v>
      </c>
      <c r="K6" s="36" t="s">
        <v>646</v>
      </c>
      <c r="L6" s="36"/>
      <c r="M6" s="121"/>
    </row>
    <row r="7" spans="1:13" ht="15" customHeight="1" x14ac:dyDescent="0.25">
      <c r="A7" s="765"/>
      <c r="B7" s="129" t="str">
        <f t="shared" si="2"/>
        <v>6310-4</v>
      </c>
      <c r="C7" s="494" t="s">
        <v>700</v>
      </c>
      <c r="D7" s="564">
        <v>6</v>
      </c>
      <c r="E7" s="496">
        <v>250</v>
      </c>
      <c r="F7" s="628">
        <f>(D7*E7)*100</f>
        <v>150000</v>
      </c>
      <c r="G7" s="494">
        <f t="shared" ca="1" si="0"/>
        <v>0</v>
      </c>
      <c r="H7" s="494">
        <f t="shared" ref="H7:H9" ca="1" si="4">SUM(F7:G7)</f>
        <v>150000</v>
      </c>
      <c r="I7" s="484">
        <v>122500</v>
      </c>
      <c r="J7" s="885">
        <v>6</v>
      </c>
      <c r="K7" s="36" t="s">
        <v>647</v>
      </c>
      <c r="L7" s="36"/>
      <c r="M7" s="121"/>
    </row>
    <row r="8" spans="1:13" ht="15" customHeight="1" x14ac:dyDescent="0.25">
      <c r="A8" s="678"/>
      <c r="B8" s="133" t="str">
        <f t="shared" si="2"/>
        <v>6310-5</v>
      </c>
      <c r="C8" s="493" t="s">
        <v>701</v>
      </c>
      <c r="D8" s="538">
        <v>1</v>
      </c>
      <c r="E8" s="516">
        <v>15</v>
      </c>
      <c r="F8" s="625">
        <f>(D8*E8)*100</f>
        <v>1500</v>
      </c>
      <c r="G8" s="493"/>
      <c r="H8" s="493"/>
      <c r="I8" s="492">
        <v>1050</v>
      </c>
      <c r="J8" s="885"/>
      <c r="K8" s="36"/>
      <c r="L8" s="36"/>
      <c r="M8" s="121"/>
    </row>
    <row r="9" spans="1:13" ht="15" customHeight="1" x14ac:dyDescent="0.25">
      <c r="A9" s="695"/>
      <c r="B9" s="129" t="str">
        <f t="shared" si="2"/>
        <v>6310-6</v>
      </c>
      <c r="C9" s="507" t="s">
        <v>702</v>
      </c>
      <c r="D9" s="561">
        <v>1</v>
      </c>
      <c r="E9" s="506">
        <v>30</v>
      </c>
      <c r="F9" s="696">
        <f>(D9*E9)*100</f>
        <v>3000</v>
      </c>
      <c r="G9" s="507">
        <f t="shared" ca="1" si="0"/>
        <v>0</v>
      </c>
      <c r="H9" s="507">
        <f t="shared" ca="1" si="4"/>
        <v>3000</v>
      </c>
      <c r="I9" s="697">
        <v>2100</v>
      </c>
      <c r="J9" s="885"/>
      <c r="K9" s="36"/>
      <c r="L9" s="36"/>
    </row>
    <row r="10" spans="1:13" ht="15" customHeight="1" x14ac:dyDescent="0.25">
      <c r="A10" s="583"/>
      <c r="B10" s="136"/>
      <c r="C10" s="502" t="s">
        <v>106</v>
      </c>
      <c r="D10" s="529"/>
      <c r="E10" s="623">
        <f>(F10-I10)/I10</f>
        <v>1.0399026917730316</v>
      </c>
      <c r="F10" s="624">
        <f>SUM(F4:F9)</f>
        <v>645670</v>
      </c>
      <c r="G10" s="624">
        <f t="shared" ref="G10:H10" ca="1" si="5">SUM(G4:G9)</f>
        <v>0</v>
      </c>
      <c r="H10" s="624">
        <f t="shared" ca="1" si="5"/>
        <v>644170</v>
      </c>
      <c r="I10" s="501">
        <f>SUM(I4:I9)</f>
        <v>316520</v>
      </c>
      <c r="J10" s="744"/>
      <c r="K10" s="36"/>
      <c r="L10" s="36"/>
    </row>
    <row r="11" spans="1:13" ht="15" customHeight="1" x14ac:dyDescent="0.25">
      <c r="A11" s="583"/>
      <c r="B11" s="136"/>
      <c r="C11" s="52"/>
      <c r="D11" s="53"/>
      <c r="E11" s="54"/>
      <c r="F11" s="55"/>
      <c r="G11" s="55"/>
      <c r="H11" s="55"/>
      <c r="I11" s="34"/>
      <c r="J11" s="41"/>
      <c r="K11" s="36"/>
      <c r="L11" s="36"/>
    </row>
    <row r="12" spans="1:13" ht="19.5" customHeight="1" x14ac:dyDescent="0.3">
      <c r="A12" s="1116" t="s">
        <v>552</v>
      </c>
      <c r="B12" s="1116"/>
      <c r="C12" s="1117"/>
      <c r="D12" s="1117"/>
      <c r="E12" s="1117"/>
      <c r="F12" s="1117"/>
      <c r="G12" s="1117"/>
      <c r="H12" s="1117"/>
      <c r="I12" s="1117"/>
      <c r="J12" s="41"/>
      <c r="K12" s="36"/>
      <c r="L12" s="36"/>
    </row>
    <row r="13" spans="1:13" ht="15" customHeight="1" x14ac:dyDescent="0.25">
      <c r="A13" s="570"/>
      <c r="B13" s="137" t="str">
        <f>LEFT(A12,4)&amp;"-1"</f>
        <v>6320-1</v>
      </c>
      <c r="C13" s="482" t="s">
        <v>553</v>
      </c>
      <c r="D13" s="529">
        <v>1</v>
      </c>
      <c r="E13" s="488">
        <v>1000</v>
      </c>
      <c r="F13" s="621">
        <f>E13*D13</f>
        <v>1000</v>
      </c>
      <c r="G13" s="482">
        <f ca="1">(-SUMIF(INDIRECT(LEFT($A$12,4)&amp;"!i3:i200"),"="&amp;B13&amp;" *",INDIRECT(LEFT($A$12,4)&amp;"!k3:k200")))</f>
        <v>0</v>
      </c>
      <c r="H13" s="482">
        <f ca="1">SUM(F13:G13)</f>
        <v>1000</v>
      </c>
      <c r="I13" s="482">
        <v>1000</v>
      </c>
      <c r="J13" s="41"/>
      <c r="K13" s="36"/>
      <c r="L13" s="36"/>
    </row>
    <row r="14" spans="1:13" ht="15" customHeight="1" x14ac:dyDescent="0.25">
      <c r="A14" s="571"/>
      <c r="B14" s="138" t="str">
        <f>LEFT($B13,4)&amp;"-"&amp;VALUE(MID($B13,FIND("-",$B13)+1,256))+1</f>
        <v>6320-2</v>
      </c>
      <c r="C14" s="486" t="s">
        <v>554</v>
      </c>
      <c r="D14" s="537">
        <v>1</v>
      </c>
      <c r="E14" s="511">
        <v>60</v>
      </c>
      <c r="F14" s="622">
        <f>E14*D14</f>
        <v>60</v>
      </c>
      <c r="G14" s="486">
        <f ca="1">(-SUMIF(INDIRECT(LEFT($A$12,4)&amp;"!i3:i200"),"="&amp;B14&amp;" *",INDIRECT(LEFT($A$12,4)&amp;"!k3:k200")))</f>
        <v>0</v>
      </c>
      <c r="H14" s="486">
        <f t="shared" ref="H14" ca="1" si="6">SUM(F14:G14)</f>
        <v>60</v>
      </c>
      <c r="I14" s="486">
        <v>60</v>
      </c>
      <c r="J14" s="745"/>
      <c r="K14" s="36"/>
      <c r="L14" s="36"/>
    </row>
    <row r="15" spans="1:13" ht="15" customHeight="1" x14ac:dyDescent="0.25">
      <c r="A15" s="573"/>
      <c r="B15" s="136"/>
      <c r="C15" s="502" t="s">
        <v>106</v>
      </c>
      <c r="D15" s="529"/>
      <c r="E15" s="623">
        <f>(F15-I15)/I15</f>
        <v>0</v>
      </c>
      <c r="F15" s="624">
        <f>SUM(F13:F14)</f>
        <v>1060</v>
      </c>
      <c r="G15" s="624">
        <f t="shared" ref="G15:H15" ca="1" si="7">SUM(G13:G14)</f>
        <v>0</v>
      </c>
      <c r="H15" s="624">
        <f t="shared" ca="1" si="7"/>
        <v>1060</v>
      </c>
      <c r="I15" s="501">
        <f>SUM(I13:I14)</f>
        <v>1060</v>
      </c>
      <c r="J15" s="41"/>
      <c r="K15" s="36"/>
      <c r="L15" s="36"/>
    </row>
    <row r="16" spans="1:13" ht="15.75" customHeight="1" x14ac:dyDescent="0.25">
      <c r="A16" s="573"/>
      <c r="B16" s="136"/>
      <c r="C16" s="482"/>
      <c r="D16" s="529"/>
      <c r="E16" s="488"/>
      <c r="F16" s="482"/>
      <c r="G16" s="482"/>
      <c r="H16" s="482"/>
      <c r="I16" s="482"/>
      <c r="J16" s="41"/>
      <c r="K16" s="36"/>
      <c r="L16" s="36"/>
    </row>
    <row r="17" spans="1:12" ht="19.5" customHeight="1" x14ac:dyDescent="0.3">
      <c r="A17" s="1116" t="s">
        <v>555</v>
      </c>
      <c r="B17" s="1116"/>
      <c r="C17" s="1117"/>
      <c r="D17" s="1117"/>
      <c r="E17" s="1117"/>
      <c r="F17" s="1117"/>
      <c r="G17" s="1117"/>
      <c r="H17" s="1117"/>
      <c r="I17" s="1117"/>
      <c r="J17" s="41"/>
      <c r="K17" s="36"/>
      <c r="L17" s="36"/>
    </row>
    <row r="18" spans="1:12" ht="15" customHeight="1" x14ac:dyDescent="0.25">
      <c r="A18" s="574"/>
      <c r="B18" s="133" t="str">
        <f>LEFT(A17,4)&amp;"-1"</f>
        <v>6330-1</v>
      </c>
      <c r="C18" s="527" t="s">
        <v>556</v>
      </c>
      <c r="D18" s="538">
        <v>1</v>
      </c>
      <c r="E18" s="516">
        <v>300</v>
      </c>
      <c r="F18" s="625">
        <f t="shared" ref="F18:F25" si="8">D18*E18</f>
        <v>300</v>
      </c>
      <c r="G18" s="482">
        <f ca="1">(-SUMIF(INDIRECT(LEFT($A$17,4)&amp;"!i3:i200"),"="&amp;B18&amp;" *",INDIRECT(LEFT($A$17,4)&amp;"!k3:k200")))</f>
        <v>0</v>
      </c>
      <c r="H18" s="788">
        <f ca="1">SUM(F18:G18)</f>
        <v>300</v>
      </c>
      <c r="I18" s="493">
        <v>300</v>
      </c>
      <c r="J18" s="41"/>
      <c r="K18" s="124"/>
      <c r="L18" s="323"/>
    </row>
    <row r="19" spans="1:12" ht="15" customHeight="1" x14ac:dyDescent="0.25">
      <c r="A19" s="575"/>
      <c r="B19" s="106" t="str">
        <f>LEFT($B18,4)&amp;"-"&amp;VALUE(MID($B18,FIND("-",$B18)+1,256))+1</f>
        <v>6330-2</v>
      </c>
      <c r="C19" s="790" t="s">
        <v>704</v>
      </c>
      <c r="D19" s="545">
        <v>12000</v>
      </c>
      <c r="E19" s="490">
        <v>0.94</v>
      </c>
      <c r="F19" s="626">
        <f t="shared" si="8"/>
        <v>11280</v>
      </c>
      <c r="G19" s="791">
        <f t="shared" ref="G19:G26" ca="1" si="9">(-SUMIF(INDIRECT(LEFT($A$17,4)&amp;"!i3:i200"),"="&amp;B19&amp;" *",INDIRECT(LEFT($A$17,4)&amp;"!k3:k200")))</f>
        <v>0</v>
      </c>
      <c r="H19" s="791">
        <f t="shared" ref="H19" ca="1" si="10">SUM(F19:G19)</f>
        <v>11280</v>
      </c>
      <c r="I19" s="485">
        <v>11280</v>
      </c>
      <c r="J19" s="41"/>
      <c r="K19" s="36"/>
      <c r="L19" s="36"/>
    </row>
    <row r="20" spans="1:12" ht="15" customHeight="1" x14ac:dyDescent="0.25">
      <c r="A20" s="576"/>
      <c r="B20" s="131" t="str">
        <f t="shared" ref="B20:B26" si="11">LEFT($B19,4)&amp;"-"&amp;VALUE(MID($B19,FIND("-",$B19)+1,256))+1</f>
        <v>6330-3</v>
      </c>
      <c r="C20" s="518" t="s">
        <v>557</v>
      </c>
      <c r="D20" s="789">
        <v>11</v>
      </c>
      <c r="E20" s="516">
        <v>150</v>
      </c>
      <c r="F20" s="625">
        <f t="shared" si="8"/>
        <v>1650</v>
      </c>
      <c r="G20" s="627">
        <f t="shared" ca="1" si="9"/>
        <v>0</v>
      </c>
      <c r="H20" s="627">
        <f t="shared" ref="H20:H21" ca="1" si="12">SUM(F20:G20)</f>
        <v>1650</v>
      </c>
      <c r="I20" s="493">
        <v>1650</v>
      </c>
      <c r="J20" s="41"/>
      <c r="K20" s="34"/>
      <c r="L20" s="34"/>
    </row>
    <row r="21" spans="1:12" ht="15" customHeight="1" x14ac:dyDescent="0.25">
      <c r="A21" s="575"/>
      <c r="B21" s="106" t="str">
        <f t="shared" si="11"/>
        <v>6330-4</v>
      </c>
      <c r="C21" s="792" t="s">
        <v>254</v>
      </c>
      <c r="D21" s="540">
        <v>1500</v>
      </c>
      <c r="E21" s="490">
        <v>5.23</v>
      </c>
      <c r="F21" s="626">
        <f t="shared" si="8"/>
        <v>7845.0000000000009</v>
      </c>
      <c r="G21" s="791">
        <f t="shared" ca="1" si="9"/>
        <v>0</v>
      </c>
      <c r="H21" s="791">
        <f t="shared" ca="1" si="12"/>
        <v>7845.0000000000009</v>
      </c>
      <c r="I21" s="485">
        <v>7845.0000000000009</v>
      </c>
      <c r="J21" s="41"/>
      <c r="K21" s="36"/>
      <c r="L21" s="36"/>
    </row>
    <row r="22" spans="1:12" ht="15" customHeight="1" x14ac:dyDescent="0.25">
      <c r="A22" s="576"/>
      <c r="B22" s="131" t="str">
        <f t="shared" si="11"/>
        <v>6330-5</v>
      </c>
      <c r="C22" s="475" t="s">
        <v>264</v>
      </c>
      <c r="D22" s="538">
        <v>200</v>
      </c>
      <c r="E22" s="516">
        <v>0.7</v>
      </c>
      <c r="F22" s="625">
        <f t="shared" si="8"/>
        <v>140</v>
      </c>
      <c r="G22" s="627">
        <f t="shared" ca="1" si="9"/>
        <v>0</v>
      </c>
      <c r="H22" s="627">
        <f t="shared" ref="H22:H26" ca="1" si="13">SUM(F22:G22)</f>
        <v>140</v>
      </c>
      <c r="I22" s="493">
        <v>140</v>
      </c>
      <c r="J22" s="41"/>
      <c r="K22" s="36"/>
      <c r="L22" s="36"/>
    </row>
    <row r="23" spans="1:12" ht="15" customHeight="1" x14ac:dyDescent="0.25">
      <c r="A23" s="575"/>
      <c r="B23" s="106" t="str">
        <f t="shared" si="11"/>
        <v>6330-6</v>
      </c>
      <c r="C23" s="792" t="s">
        <v>293</v>
      </c>
      <c r="D23" s="551">
        <v>500</v>
      </c>
      <c r="E23" s="490">
        <v>0.09</v>
      </c>
      <c r="F23" s="626">
        <f t="shared" si="8"/>
        <v>45</v>
      </c>
      <c r="G23" s="791">
        <f t="shared" ca="1" si="9"/>
        <v>0</v>
      </c>
      <c r="H23" s="791">
        <f t="shared" ca="1" si="13"/>
        <v>45</v>
      </c>
      <c r="I23" s="485">
        <v>45</v>
      </c>
      <c r="J23" s="41"/>
      <c r="K23" s="36"/>
      <c r="L23" s="36"/>
    </row>
    <row r="24" spans="1:12" ht="15" customHeight="1" x14ac:dyDescent="0.25">
      <c r="A24" s="570"/>
      <c r="B24" s="131" t="str">
        <f t="shared" si="11"/>
        <v>6330-7</v>
      </c>
      <c r="C24" s="482" t="s">
        <v>558</v>
      </c>
      <c r="D24" s="529">
        <v>1</v>
      </c>
      <c r="E24" s="481">
        <v>3500</v>
      </c>
      <c r="F24" s="621">
        <f>D24*E24</f>
        <v>3500</v>
      </c>
      <c r="G24" s="627">
        <f t="shared" ca="1" si="9"/>
        <v>0</v>
      </c>
      <c r="H24" s="627">
        <f t="shared" ca="1" si="13"/>
        <v>3500</v>
      </c>
      <c r="I24" s="482">
        <v>3500</v>
      </c>
      <c r="J24" s="745"/>
      <c r="K24" s="124"/>
      <c r="L24" s="323"/>
    </row>
    <row r="25" spans="1:12" ht="15" customHeight="1" x14ac:dyDescent="0.25">
      <c r="A25" s="579"/>
      <c r="B25" s="106" t="str">
        <f t="shared" si="11"/>
        <v>6330-8</v>
      </c>
      <c r="C25" s="793" t="s">
        <v>559</v>
      </c>
      <c r="D25" s="564">
        <v>12000</v>
      </c>
      <c r="E25" s="794">
        <v>7.0000000000000007E-2</v>
      </c>
      <c r="F25" s="628">
        <f t="shared" si="8"/>
        <v>840.00000000000011</v>
      </c>
      <c r="G25" s="791">
        <f t="shared" ca="1" si="9"/>
        <v>0</v>
      </c>
      <c r="H25" s="791">
        <f t="shared" ca="1" si="13"/>
        <v>840.00000000000011</v>
      </c>
      <c r="I25" s="494">
        <v>840.00000000000011</v>
      </c>
      <c r="J25" s="41"/>
      <c r="K25" s="124"/>
      <c r="L25" s="323"/>
    </row>
    <row r="26" spans="1:12" ht="15" customHeight="1" x14ac:dyDescent="0.25">
      <c r="A26" s="901"/>
      <c r="B26" s="902" t="str">
        <f t="shared" si="11"/>
        <v>6330-9</v>
      </c>
      <c r="C26" s="395" t="s">
        <v>703</v>
      </c>
      <c r="D26" s="542">
        <v>37</v>
      </c>
      <c r="E26" s="481">
        <v>20</v>
      </c>
      <c r="F26" s="481">
        <f>D26*E26</f>
        <v>740</v>
      </c>
      <c r="G26" s="903">
        <f t="shared" ca="1" si="9"/>
        <v>0</v>
      </c>
      <c r="H26" s="903">
        <f t="shared" ca="1" si="13"/>
        <v>740</v>
      </c>
      <c r="I26" s="395">
        <v>120</v>
      </c>
      <c r="J26" s="41"/>
      <c r="K26" s="124"/>
      <c r="L26" s="323"/>
    </row>
    <row r="27" spans="1:12" ht="15" customHeight="1" x14ac:dyDescent="0.25">
      <c r="A27" s="573"/>
      <c r="B27" s="136"/>
      <c r="C27" s="502" t="s">
        <v>106</v>
      </c>
      <c r="D27" s="529"/>
      <c r="E27" s="623">
        <f>(F27-I27)/I27</f>
        <v>2.410575427682737E-2</v>
      </c>
      <c r="F27" s="624">
        <f>SUM(F18:F26)</f>
        <v>26340</v>
      </c>
      <c r="G27" s="601">
        <f t="shared" ref="G27:H27" ca="1" si="14">SUM(G18:G26)</f>
        <v>0</v>
      </c>
      <c r="H27" s="601">
        <f t="shared" ca="1" si="14"/>
        <v>26340</v>
      </c>
      <c r="I27" s="501">
        <f>SUM(I18:I26)</f>
        <v>25720</v>
      </c>
      <c r="J27" s="41"/>
      <c r="K27" s="36"/>
      <c r="L27" s="36"/>
    </row>
    <row r="28" spans="1:12" ht="15.75" customHeight="1" x14ac:dyDescent="0.25">
      <c r="A28" s="573"/>
      <c r="B28" s="136"/>
      <c r="C28" s="502"/>
      <c r="D28" s="529"/>
      <c r="E28" s="488"/>
      <c r="F28" s="521"/>
      <c r="G28" s="521"/>
      <c r="H28" s="521"/>
      <c r="I28" s="482"/>
      <c r="J28" s="41"/>
      <c r="K28" s="36"/>
      <c r="L28" s="36"/>
    </row>
    <row r="29" spans="1:12" ht="19.5" customHeight="1" x14ac:dyDescent="0.3">
      <c r="A29" s="1116" t="s">
        <v>560</v>
      </c>
      <c r="B29" s="1116"/>
      <c r="C29" s="1117"/>
      <c r="D29" s="1117"/>
      <c r="E29" s="1117"/>
      <c r="F29" s="1117"/>
      <c r="G29" s="1117"/>
      <c r="H29" s="1117"/>
      <c r="I29" s="1117"/>
      <c r="J29" s="41"/>
      <c r="K29" s="36"/>
      <c r="L29" s="36"/>
    </row>
    <row r="30" spans="1:12" ht="15" customHeight="1" x14ac:dyDescent="0.25">
      <c r="A30" s="570" t="s">
        <v>561</v>
      </c>
      <c r="B30" s="137" t="str">
        <f>LEFT(A29,4)&amp;"-1"</f>
        <v>6340-1</v>
      </c>
      <c r="C30" s="482" t="s">
        <v>706</v>
      </c>
      <c r="D30" s="529">
        <v>0</v>
      </c>
      <c r="E30" s="481">
        <v>120</v>
      </c>
      <c r="F30" s="621">
        <f>D30*E30</f>
        <v>0</v>
      </c>
      <c r="G30" s="627">
        <f ca="1">(-SUMIF(INDIRECT(LEFT($A$29,4)&amp;"!i3:i200"),"="&amp;B30&amp;" *",INDIRECT(LEFT($A$29,4)&amp;"!k3:k200")))</f>
        <v>0</v>
      </c>
      <c r="H30" s="482">
        <f ca="1">SUM(F30:G30)</f>
        <v>0</v>
      </c>
      <c r="I30" s="482">
        <v>0</v>
      </c>
      <c r="J30" s="41"/>
      <c r="K30" s="36"/>
      <c r="L30" s="36"/>
    </row>
    <row r="31" spans="1:12" ht="15" customHeight="1" x14ac:dyDescent="0.25">
      <c r="A31" s="579" t="s">
        <v>561</v>
      </c>
      <c r="B31" s="766" t="str">
        <f>LEFT($B30,4)&amp;"-"&amp;VALUE(MID($B30,FIND("-",$B30)+1,256))+1</f>
        <v>6340-2</v>
      </c>
      <c r="C31" s="556" t="s">
        <v>705</v>
      </c>
      <c r="D31" s="558">
        <v>0</v>
      </c>
      <c r="E31" s="496">
        <v>120</v>
      </c>
      <c r="F31" s="628">
        <f>D31*E31</f>
        <v>0</v>
      </c>
      <c r="G31" s="494">
        <f ca="1">(-SUMIF(INDIRECT(LEFT($A$29,4)&amp;"!i3:i200"),"="&amp;B31&amp;" *",INDIRECT(LEFT($A$29,4)&amp;"!k3:k200")))</f>
        <v>0</v>
      </c>
      <c r="H31" s="767">
        <f t="shared" ref="H31" ca="1" si="15">SUM(F31:G31)</f>
        <v>0</v>
      </c>
      <c r="I31" s="494">
        <v>0</v>
      </c>
      <c r="J31" s="41"/>
      <c r="K31" s="36"/>
      <c r="L31" s="36"/>
    </row>
    <row r="32" spans="1:12" ht="15" customHeight="1" x14ac:dyDescent="0.25">
      <c r="A32" s="573"/>
      <c r="B32" s="136"/>
      <c r="C32" s="502" t="s">
        <v>106</v>
      </c>
      <c r="D32" s="529"/>
      <c r="E32" s="623" t="e">
        <f>(F32-I32)/I32</f>
        <v>#DIV/0!</v>
      </c>
      <c r="F32" s="624">
        <f>SUM(F30:F31)</f>
        <v>0</v>
      </c>
      <c r="G32" s="624">
        <f t="shared" ref="G32:H32" ca="1" si="16">SUM(G30:G31)</f>
        <v>0</v>
      </c>
      <c r="H32" s="624">
        <f t="shared" ca="1" si="16"/>
        <v>0</v>
      </c>
      <c r="I32" s="501">
        <f>SUM(I30:I31)</f>
        <v>0</v>
      </c>
      <c r="J32" s="41"/>
      <c r="K32" s="36"/>
      <c r="L32" s="36"/>
    </row>
    <row r="33" spans="1:12" ht="15.75" customHeight="1" x14ac:dyDescent="0.25">
      <c r="A33" s="573"/>
      <c r="B33" s="136"/>
      <c r="C33" s="502"/>
      <c r="D33" s="529"/>
      <c r="E33" s="488"/>
      <c r="F33" s="521"/>
      <c r="G33" s="521"/>
      <c r="H33" s="521"/>
      <c r="I33" s="482"/>
      <c r="J33" s="36"/>
      <c r="K33" s="36"/>
      <c r="L33" s="36"/>
    </row>
    <row r="34" spans="1:12" ht="19.5" customHeight="1" x14ac:dyDescent="0.3">
      <c r="A34" s="1116" t="s">
        <v>562</v>
      </c>
      <c r="B34" s="1116"/>
      <c r="C34" s="1117"/>
      <c r="D34" s="1117"/>
      <c r="E34" s="1117"/>
      <c r="F34" s="1117"/>
      <c r="G34" s="1117"/>
      <c r="H34" s="1117"/>
      <c r="I34" s="1117"/>
      <c r="J34" s="36"/>
      <c r="K34" s="36"/>
      <c r="L34" s="36"/>
    </row>
    <row r="35" spans="1:12" ht="15" customHeight="1" x14ac:dyDescent="0.25">
      <c r="A35" s="570"/>
      <c r="B35" s="137" t="str">
        <f>LEFT(A34,4)&amp;"-1"</f>
        <v>6350-1</v>
      </c>
      <c r="C35" s="482" t="s">
        <v>563</v>
      </c>
      <c r="D35" s="529">
        <v>1</v>
      </c>
      <c r="E35" s="488">
        <v>3000</v>
      </c>
      <c r="F35" s="621">
        <f>D35*E35</f>
        <v>3000</v>
      </c>
      <c r="G35" s="627">
        <f ca="1">(-SUMIF(INDIRECT(LEFT($A$34,4)&amp;"!i3:i200"),"="&amp;B35&amp;" *",INDIRECT(LEFT($A$34,4)&amp;"!k3:k200")))</f>
        <v>0</v>
      </c>
      <c r="H35" s="482">
        <f ca="1">SUM(F35:G35)</f>
        <v>3000</v>
      </c>
      <c r="I35" s="482">
        <v>3000</v>
      </c>
      <c r="J35" s="41"/>
      <c r="K35" s="36"/>
      <c r="L35" s="36"/>
    </row>
    <row r="36" spans="1:12" ht="15" customHeight="1" x14ac:dyDescent="0.25">
      <c r="A36" s="580"/>
      <c r="B36" s="123" t="str">
        <f>LEFT($B35,4)&amp;"-"&amp;VALUE(MID($B35,FIND("-",$B35)+1,256))+1</f>
        <v>6350-2</v>
      </c>
      <c r="C36" s="541" t="s">
        <v>564</v>
      </c>
      <c r="D36" s="540">
        <v>1</v>
      </c>
      <c r="E36" s="490">
        <v>1500</v>
      </c>
      <c r="F36" s="626">
        <f>SUM(D36*E36)</f>
        <v>1500</v>
      </c>
      <c r="G36" s="632">
        <f ca="1">(-SUMIF(INDIRECT(LEFT($A$34,4)&amp;"!i3:i200"),"="&amp;B36&amp;" *",INDIRECT(LEFT($A$34,4)&amp;"!k3:k200")))</f>
        <v>0</v>
      </c>
      <c r="H36" s="632">
        <f t="shared" ref="H36" ca="1" si="17">SUM(F36:G36)</f>
        <v>1500</v>
      </c>
      <c r="I36" s="485">
        <v>1500</v>
      </c>
      <c r="J36" s="745"/>
      <c r="K36" s="36"/>
      <c r="L36" s="36"/>
    </row>
    <row r="37" spans="1:12" ht="15" customHeight="1" x14ac:dyDescent="0.25">
      <c r="A37" s="630"/>
      <c r="B37" s="136"/>
      <c r="C37" s="502" t="s">
        <v>106</v>
      </c>
      <c r="D37" s="529"/>
      <c r="E37" s="623">
        <f>(F37-I37)/I37</f>
        <v>0</v>
      </c>
      <c r="F37" s="624">
        <f>SUM(F35:F36)</f>
        <v>4500</v>
      </c>
      <c r="G37" s="624">
        <f t="shared" ref="G37:H37" ca="1" si="18">SUM(G35:G36)</f>
        <v>0</v>
      </c>
      <c r="H37" s="624">
        <f t="shared" ca="1" si="18"/>
        <v>4500</v>
      </c>
      <c r="I37" s="501">
        <f>SUM(I35:I36)</f>
        <v>4500</v>
      </c>
      <c r="J37" s="41"/>
      <c r="K37" s="36"/>
      <c r="L37" s="36"/>
    </row>
    <row r="38" spans="1:12" ht="15" customHeight="1" x14ac:dyDescent="0.25">
      <c r="A38" s="631"/>
      <c r="C38" s="425"/>
      <c r="D38" s="425"/>
      <c r="E38" s="425"/>
      <c r="F38" s="395"/>
      <c r="G38" s="395"/>
      <c r="H38" s="395"/>
      <c r="I38" s="395"/>
      <c r="J38" s="41"/>
    </row>
    <row r="39" spans="1:12" ht="15" customHeight="1" x14ac:dyDescent="0.25">
      <c r="A39" s="631"/>
      <c r="C39" s="470"/>
      <c r="D39" s="425"/>
      <c r="E39" s="623">
        <f>SUM(F39-I39)/I39</f>
        <v>0.94815986198964919</v>
      </c>
      <c r="F39" s="633">
        <f>SUM(F37+F32+F27+F15+F10)</f>
        <v>677570</v>
      </c>
      <c r="G39" s="633">
        <f t="shared" ref="G39:H39" ca="1" si="19">SUM(G37+G32+G27+G15+G10)</f>
        <v>0</v>
      </c>
      <c r="H39" s="633">
        <f t="shared" ca="1" si="19"/>
        <v>676070</v>
      </c>
      <c r="I39" s="620">
        <f>SUM(I37+I32+I27+I15+I10)</f>
        <v>347800</v>
      </c>
      <c r="J39" s="41"/>
    </row>
    <row r="40" spans="1:12" ht="15.75" customHeight="1" x14ac:dyDescent="0.25"/>
    <row r="48" spans="1:12" ht="15" customHeight="1" x14ac:dyDescent="0.25">
      <c r="J48" s="41"/>
    </row>
  </sheetData>
  <protectedRanges>
    <protectedRange algorithmName="SHA-512" hashValue="IubSiJ9YHW/eYf99WtEYJZv5KHnUzLD7gyLZei/IAdXwb3ugKYENoiroXVOZc9Ak/6XyUxvWNSobxj2CsXFeGw==" saltValue="THKBWQHB6F0I5PSag7DENg==" spinCount="100000" sqref="F1:F1048576" name="Range1" securityDescriptor="O:WDG:WDD:(A;;CC;;;S-1-5-21-751916245-1090913435-1903153266-1213)"/>
  </protectedRanges>
  <mergeCells count="6">
    <mergeCell ref="A1:I1"/>
    <mergeCell ref="A3:I3"/>
    <mergeCell ref="A12:I12"/>
    <mergeCell ref="A17:I17"/>
    <mergeCell ref="A34:I34"/>
    <mergeCell ref="A29:I29"/>
  </mergeCells>
  <conditionalFormatting sqref="E10">
    <cfRule type="cellIs" dxfId="26" priority="16" operator="lessThan">
      <formula>0</formula>
    </cfRule>
    <cfRule type="cellIs" dxfId="25" priority="17" operator="greaterThan">
      <formula>0</formula>
    </cfRule>
    <cfRule type="cellIs" dxfId="24" priority="18" operator="equal">
      <formula>0</formula>
    </cfRule>
  </conditionalFormatting>
  <conditionalFormatting sqref="E15">
    <cfRule type="cellIs" dxfId="23" priority="13" operator="lessThan">
      <formula>0</formula>
    </cfRule>
    <cfRule type="cellIs" dxfId="22" priority="14" operator="greaterThan">
      <formula>0</formula>
    </cfRule>
    <cfRule type="cellIs" dxfId="21" priority="15" operator="equal">
      <formula>0</formula>
    </cfRule>
  </conditionalFormatting>
  <conditionalFormatting sqref="E27">
    <cfRule type="cellIs" dxfId="20" priority="10" operator="lessThan">
      <formula>0</formula>
    </cfRule>
    <cfRule type="cellIs" dxfId="19" priority="11" operator="greaterThan">
      <formula>0</formula>
    </cfRule>
    <cfRule type="cellIs" dxfId="18" priority="12" operator="equal">
      <formula>0</formula>
    </cfRule>
  </conditionalFormatting>
  <conditionalFormatting sqref="E32">
    <cfRule type="cellIs" dxfId="17" priority="7" operator="lessThan">
      <formula>0</formula>
    </cfRule>
    <cfRule type="cellIs" dxfId="16" priority="8" operator="greaterThan">
      <formula>0</formula>
    </cfRule>
    <cfRule type="cellIs" dxfId="15" priority="9" operator="equal">
      <formula>0</formula>
    </cfRule>
  </conditionalFormatting>
  <conditionalFormatting sqref="E37">
    <cfRule type="cellIs" dxfId="14" priority="1" operator="lessThan">
      <formula>0</formula>
    </cfRule>
    <cfRule type="cellIs" dxfId="13" priority="2" operator="greaterThan">
      <formula>0</formula>
    </cfRule>
    <cfRule type="cellIs" dxfId="12" priority="3" operator="equal">
      <formula>0</formula>
    </cfRule>
  </conditionalFormatting>
  <conditionalFormatting sqref="E39">
    <cfRule type="cellIs" dxfId="11" priority="4" operator="lessThan">
      <formula>0</formula>
    </cfRule>
    <cfRule type="cellIs" dxfId="10" priority="5" operator="greaterThan">
      <formula>0</formula>
    </cfRule>
    <cfRule type="cellIs" dxfId="9" priority="6" operator="equal">
      <formula>0</formula>
    </cfRule>
  </conditionalFormatting>
  <conditionalFormatting sqref="F3:F1048576 G10:H10 G15:H15 G27:H27 G32:H32 G37:H37 G39:H39">
    <cfRule type="expression" dxfId="8" priority="19">
      <formula>F3=I3</formula>
    </cfRule>
    <cfRule type="expression" dxfId="7" priority="20">
      <formula>F3&lt;I3</formula>
    </cfRule>
    <cfRule type="expression" dxfId="6" priority="21">
      <formula>F3&gt;I3</formula>
    </cfRule>
  </conditionalFormatting>
  <printOptions horizontalCentered="1"/>
  <pageMargins left="0.25" right="0.25" top="1" bottom="0.5" header="0.5" footer="0"/>
  <pageSetup scale="92" fitToHeight="0" orientation="landscape" r:id="rId1"/>
  <rowBreaks count="1" manualBreakCount="1">
    <brk id="28" max="8"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9b76f5d-b812-4149-92b4-4962d13e8ad1" xsi:nil="true"/>
    <lcf76f155ced4ddcb4097134ff3c332f xmlns="f3617d67-b5f8-4a1f-9dbe-65e972ca6e6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C8F702034066B4D9129FF55A60F1DEA" ma:contentTypeVersion="15" ma:contentTypeDescription="Create a new document." ma:contentTypeScope="" ma:versionID="5f6ecf2bbd983037fcb62050ce0fb78e">
  <xsd:schema xmlns:xsd="http://www.w3.org/2001/XMLSchema" xmlns:xs="http://www.w3.org/2001/XMLSchema" xmlns:p="http://schemas.microsoft.com/office/2006/metadata/properties" xmlns:ns2="09b76f5d-b812-4149-92b4-4962d13e8ad1" xmlns:ns3="f3617d67-b5f8-4a1f-9dbe-65e972ca6e6f" targetNamespace="http://schemas.microsoft.com/office/2006/metadata/properties" ma:root="true" ma:fieldsID="ead3f5b0c8ba1cf31cd0aba139aacb2e" ns2:_="" ns3:_="">
    <xsd:import namespace="09b76f5d-b812-4149-92b4-4962d13e8ad1"/>
    <xsd:import namespace="f3617d67-b5f8-4a1f-9dbe-65e972ca6e6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GenerationTime" minOccurs="0"/>
                <xsd:element ref="ns3:MediaServiceEventHashCode" minOccurs="0"/>
                <xsd:element ref="ns3:lcf76f155ced4ddcb4097134ff3c332f" minOccurs="0"/>
                <xsd:element ref="ns2:TaxCatchAll"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b76f5d-b812-4149-92b4-4962d13e8a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9b562f19-2b66-4e52-8dff-e4ebb5b264d2}" ma:internalName="TaxCatchAll" ma:showField="CatchAllData" ma:web="09b76f5d-b812-4149-92b4-4962d13e8a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3617d67-b5f8-4a1f-9dbe-65e972ca6e6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01bd3b1c-8d9f-4714-a0f6-a1629dec663b" ma:termSetId="09814cd3-568e-fe90-9814-8d621ff8fb84" ma:anchorId="fba54fb3-c3e1-fe81-a776-ca4b69148c4d" ma:open="tru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C9ABF7-CFA8-4C6D-B30A-295989FFF62A}">
  <ds:schemaRefs>
    <ds:schemaRef ds:uri="http://schemas.microsoft.com/office/infopath/2007/PartnerControls"/>
    <ds:schemaRef ds:uri="f3617d67-b5f8-4a1f-9dbe-65e972ca6e6f"/>
    <ds:schemaRef ds:uri="http://schemas.microsoft.com/office/2006/documentManagement/types"/>
    <ds:schemaRef ds:uri="http://purl.org/dc/terms/"/>
    <ds:schemaRef ds:uri="http://purl.org/dc/dcmitype/"/>
    <ds:schemaRef ds:uri="http://www.w3.org/XML/1998/namespace"/>
    <ds:schemaRef ds:uri="http://purl.org/dc/elements/1.1/"/>
    <ds:schemaRef ds:uri="http://schemas.openxmlformats.org/package/2006/metadata/core-properties"/>
    <ds:schemaRef ds:uri="09b76f5d-b812-4149-92b4-4962d13e8ad1"/>
    <ds:schemaRef ds:uri="http://schemas.microsoft.com/office/2006/metadata/properties"/>
  </ds:schemaRefs>
</ds:datastoreItem>
</file>

<file path=customXml/itemProps2.xml><?xml version="1.0" encoding="utf-8"?>
<ds:datastoreItem xmlns:ds="http://schemas.openxmlformats.org/officeDocument/2006/customXml" ds:itemID="{9C715418-063B-41D2-95B2-FE202207DFB4}">
  <ds:schemaRefs>
    <ds:schemaRef ds:uri="http://schemas.microsoft.com/sharepoint/v3/contenttype/forms"/>
  </ds:schemaRefs>
</ds:datastoreItem>
</file>

<file path=customXml/itemProps3.xml><?xml version="1.0" encoding="utf-8"?>
<ds:datastoreItem xmlns:ds="http://schemas.openxmlformats.org/officeDocument/2006/customXml" ds:itemID="{19E79334-9549-4F58-8BD0-8101B92847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b76f5d-b812-4149-92b4-4962d13e8ad1"/>
    <ds:schemaRef ds:uri="f3617d67-b5f8-4a1f-9dbe-65e972ca6e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59</vt:i4>
      </vt:variant>
    </vt:vector>
  </HeadingPairs>
  <TitlesOfParts>
    <vt:vector size="95" baseType="lpstr">
      <vt:lpstr>Summary</vt:lpstr>
      <vt:lpstr>1% Overview</vt:lpstr>
      <vt:lpstr>1% Personnel</vt:lpstr>
      <vt:lpstr>2% Overview</vt:lpstr>
      <vt:lpstr>2% Personnel</vt:lpstr>
      <vt:lpstr>3% Overview</vt:lpstr>
      <vt:lpstr>3% Personnel</vt:lpstr>
      <vt:lpstr>Budget-Services</vt:lpstr>
      <vt:lpstr>ARB Budget</vt:lpstr>
      <vt:lpstr>Recap chart</vt:lpstr>
      <vt:lpstr>Budget Recap</vt:lpstr>
      <vt:lpstr>6110</vt:lpstr>
      <vt:lpstr>6120</vt:lpstr>
      <vt:lpstr>6130</vt:lpstr>
      <vt:lpstr>6140</vt:lpstr>
      <vt:lpstr>6150</vt:lpstr>
      <vt:lpstr>6160</vt:lpstr>
      <vt:lpstr>6210</vt:lpstr>
      <vt:lpstr>6215</vt:lpstr>
      <vt:lpstr>6220</vt:lpstr>
      <vt:lpstr>6225</vt:lpstr>
      <vt:lpstr>6235</vt:lpstr>
      <vt:lpstr>6236</vt:lpstr>
      <vt:lpstr>6240</vt:lpstr>
      <vt:lpstr>6250</vt:lpstr>
      <vt:lpstr>6260</vt:lpstr>
      <vt:lpstr>6280</vt:lpstr>
      <vt:lpstr>6285</vt:lpstr>
      <vt:lpstr>6290</vt:lpstr>
      <vt:lpstr>6310</vt:lpstr>
      <vt:lpstr>6320</vt:lpstr>
      <vt:lpstr>6330</vt:lpstr>
      <vt:lpstr>6340</vt:lpstr>
      <vt:lpstr>6350</vt:lpstr>
      <vt:lpstr>6810</vt:lpstr>
      <vt:lpstr>8010</vt:lpstr>
      <vt:lpstr>'1% Overview'!Print_Area</vt:lpstr>
      <vt:lpstr>'1% Personnel'!Print_Area</vt:lpstr>
      <vt:lpstr>'2% Overview'!Print_Area</vt:lpstr>
      <vt:lpstr>'2% Personnel'!Print_Area</vt:lpstr>
      <vt:lpstr>'3% Overview'!Print_Area</vt:lpstr>
      <vt:lpstr>'3% Personnel'!Print_Area</vt:lpstr>
      <vt:lpstr>'ARB Budget'!Print_Area</vt:lpstr>
      <vt:lpstr>'Budget-Services'!Print_Area</vt:lpstr>
      <vt:lpstr>'Recap chart'!Print_Area</vt:lpstr>
      <vt:lpstr>Summary!Print_Area</vt:lpstr>
      <vt:lpstr>'1% Personnel'!Print_Titles</vt:lpstr>
      <vt:lpstr>'2% Personnel'!Print_Titles</vt:lpstr>
      <vt:lpstr>'3% Personnel'!Print_Titles</vt:lpstr>
      <vt:lpstr>'6110'!Print_Titles</vt:lpstr>
      <vt:lpstr>'6120'!Print_Titles</vt:lpstr>
      <vt:lpstr>'6130'!Print_Titles</vt:lpstr>
      <vt:lpstr>'6140'!Print_Titles</vt:lpstr>
      <vt:lpstr>'6150'!Print_Titles</vt:lpstr>
      <vt:lpstr>'6160'!Print_Titles</vt:lpstr>
      <vt:lpstr>'6210'!Print_Titles</vt:lpstr>
      <vt:lpstr>'6215'!Print_Titles</vt:lpstr>
      <vt:lpstr>'6220'!Print_Titles</vt:lpstr>
      <vt:lpstr>'6225'!Print_Titles</vt:lpstr>
      <vt:lpstr>'6235'!Print_Titles</vt:lpstr>
      <vt:lpstr>'6236'!Print_Titles</vt:lpstr>
      <vt:lpstr>'6240'!Print_Titles</vt:lpstr>
      <vt:lpstr>'6260'!Print_Titles</vt:lpstr>
      <vt:lpstr>'6280'!Print_Titles</vt:lpstr>
      <vt:lpstr>'6285'!Print_Titles</vt:lpstr>
      <vt:lpstr>'6350'!Print_Titles</vt:lpstr>
      <vt:lpstr>'6810'!Print_Titles</vt:lpstr>
      <vt:lpstr>'ARB Budget'!Print_Titles</vt:lpstr>
      <vt:lpstr>'Budget-Services'!Print_Titles</vt:lpstr>
      <vt:lpstr>'ARB Budget'!Z_1E23C528_1A93_4869_8FED_629E3BA1C1FB_.wvu.Cols</vt:lpstr>
      <vt:lpstr>'Budget-Services'!Z_1E23C528_1A93_4869_8FED_629E3BA1C1FB_.wvu.Cols</vt:lpstr>
      <vt:lpstr>'ARB Budget'!Z_1E23C528_1A93_4869_8FED_629E3BA1C1FB_.wvu.PrintArea</vt:lpstr>
      <vt:lpstr>'Budget-Services'!Z_1E23C528_1A93_4869_8FED_629E3BA1C1FB_.wvu.PrintArea</vt:lpstr>
      <vt:lpstr>'Budget-Services'!Z_1E23C528_1A93_4869_8FED_629E3BA1C1FB_.wvu.PrintTitles</vt:lpstr>
      <vt:lpstr>'ARB Budget'!Z_240D0F1E_8A4A_44D9_9D18_FC2DB01D505B_.wvu.Cols</vt:lpstr>
      <vt:lpstr>'Budget-Services'!Z_311A91B1_0912_4AA5_9366_B03CF50601A2_.wvu.PrintTitles</vt:lpstr>
      <vt:lpstr>'Budget-Services'!Z_34964384_DFBD_46D8_9B9F_2D86A517A166_.wvu.PrintTitles</vt:lpstr>
      <vt:lpstr>'Budget-Services'!Z_462CB3DC_B2E4_454C_83C1_B844BA7D19AA_.wvu.PrintTitles</vt:lpstr>
      <vt:lpstr>'Budget-Services'!Z_6D2BABDE_BF95_4644_811C_B4DB4C5FF4DD_.wvu.PrintTitles</vt:lpstr>
      <vt:lpstr>'Budget-Services'!Z_7B966C76_DF97_4627_BB3C_77955DB39D00_.wvu.PrintTitles</vt:lpstr>
      <vt:lpstr>'Budget-Services'!Z_867852E4_99EF_4389_8FD0_AFAB4495F746_.wvu.PrintTitles</vt:lpstr>
      <vt:lpstr>'ARB Budget'!Z_87C375DB_B8D6_4CDB_A372_B6AF8E723C83_.wvu.Cols</vt:lpstr>
      <vt:lpstr>'ARB Budget'!Z_8AFAE271_A818_42D9_A8EF_972712D95EDE_.wvu.Cols</vt:lpstr>
      <vt:lpstr>'Budget-Services'!Z_8AFAE271_A818_42D9_A8EF_972712D95EDE_.wvu.Cols</vt:lpstr>
      <vt:lpstr>'Budget-Services'!Z_8AFAE271_A818_42D9_A8EF_972712D95EDE_.wvu.PrintArea</vt:lpstr>
      <vt:lpstr>'Budget-Services'!Z_8AFAE271_A818_42D9_A8EF_972712D95EDE_.wvu.PrintTitles</vt:lpstr>
      <vt:lpstr>'ARB Budget'!Z_C064177C_B77C_40AF_A193_4D3DF85CE067_.wvu.Cols</vt:lpstr>
      <vt:lpstr>'Budget-Services'!Z_C064177C_B77C_40AF_A193_4D3DF85CE067_.wvu.Cols</vt:lpstr>
      <vt:lpstr>'ARB Budget'!Z_C064177C_B77C_40AF_A193_4D3DF85CE067_.wvu.PrintArea</vt:lpstr>
      <vt:lpstr>'Budget-Services'!Z_C064177C_B77C_40AF_A193_4D3DF85CE067_.wvu.PrintArea</vt:lpstr>
      <vt:lpstr>'Budget-Services'!Z_C064177C_B77C_40AF_A193_4D3DF85CE067_.wvu.PrintTitles</vt:lpstr>
      <vt:lpstr>'Budget-Services'!Z_C48E47E7_FA0B_4A20_94A3_280718E1E67E_.wvu.PrintTitles</vt:lpstr>
      <vt:lpstr>'Budget-Services'!Z_C67EED5A_831B_42B7_8FDB_8094D4B26582_.wvu.PrintTitles</vt:lpstr>
      <vt:lpstr>'Budget-Services'!Z_E4A729BB_04B9_4DDA_A845_D330ECD6C6DE_.wvu.PrintTitles</vt:lpstr>
      <vt:lpstr>'ARB Budget'!Z_FB8A7251_402B_4E68_AD89_100C31417887_.wvu.Cols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Kimberly Gamboa</dc:creator>
  <cp:keywords/>
  <dc:description/>
  <cp:lastModifiedBy>David Blaylock</cp:lastModifiedBy>
  <cp:revision/>
  <cp:lastPrinted>2025-09-11T18:52:37Z</cp:lastPrinted>
  <dcterms:created xsi:type="dcterms:W3CDTF">2018-04-13T13:33:25Z</dcterms:created>
  <dcterms:modified xsi:type="dcterms:W3CDTF">2026-06-02T19:46:36Z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0x0101006C8F702034066B4D9129FF55A60F1DEA</vt:lpwstr>
  </property>
  <property fmtid="{D5CDD505-2E9C-101B-9397-08002B2CF9AE}" pid="3" name="MediaServiceImageTags">
    <vt:lpwstr/>
  </property>
  <property fmtid="{D5CDD505-2E9C-101B-9397-08002B2CF9AE}" pid="4" name="ESRI_WORKBOOK_ID">
    <vt:lpwstr>f3fd9ae939824f2db9b1087e64de7d50</vt:lpwstr>
  </property>
</Properties>
</file>