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8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9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drawings/drawing10.xml" ContentType="application/vnd.openxmlformats-officedocument.drawing+xml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drawings/drawing11.xml" ContentType="application/vnd.openxmlformats-officedocument.drawing+xml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drawings/drawing12.xml" ContentType="application/vnd.openxmlformats-officedocument.drawing+xml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drawings/drawing13.xml" ContentType="application/vnd.openxmlformats-officedocument.drawing+xml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drawings/drawing14.xml" ContentType="application/vnd.openxmlformats-officedocument.drawing+xml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drawings/drawing15.xml" ContentType="application/vnd.openxmlformats-officedocument.drawing+xml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drawings/drawing16.xml" ContentType="application/vnd.openxmlformats-officedocument.drawing+xml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drawings/drawing17.xml" ContentType="application/vnd.openxmlformats-officedocument.drawing+xml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drawings/drawing18.xml" ContentType="application/vnd.openxmlformats-officedocument.drawing+xml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drawings/drawing19.xml" ContentType="application/vnd.openxmlformats-officedocument.drawing+xml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drawings/drawing20.xml" ContentType="application/vnd.openxmlformats-officedocument.drawing+xml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drawings/drawing21.xml" ContentType="application/vnd.openxmlformats-officedocument.drawing+xml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drawings/drawing22.xml" ContentType="application/vnd.openxmlformats-officedocument.drawing+xml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drawings/drawing23.xml" ContentType="application/vnd.openxmlformats-officedocument.drawing+xml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drawings/drawing24.xml" ContentType="application/vnd.openxmlformats-officedocument.drawing+xml"/>
  <Override PartName="/xl/drawings/drawing25.xml" ContentType="application/vnd.openxmlformats-officedocument.drawing+xml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drawings/drawing26.xml" ContentType="application/vnd.openxmlformats-officedocument.drawing+xml"/>
  <Override PartName="/xl/activeX/activeX37.xml" ContentType="application/vnd.ms-office.activeX+xml"/>
  <Override PartName="/xl/activeX/activeX37.bin" ContentType="application/vnd.ms-office.activeX"/>
  <Override PartName="/xl/drawings/drawing27.xml" ContentType="application/vnd.openxmlformats-officedocument.drawing+xml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drawings/drawing28.xml" ContentType="application/vnd.openxmlformats-officedocument.drawing+xml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drawings/drawing29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ivisions\Business Services\Shared\Financial Transparency\Budgets\"/>
    </mc:Choice>
  </mc:AlternateContent>
  <xr:revisionPtr revIDLastSave="0" documentId="13_ncr:1_{B61CF230-BFE4-47CB-A3EA-407A22F7E5C0}" xr6:coauthVersionLast="47" xr6:coauthVersionMax="47" xr10:uidLastSave="{00000000-0000-0000-0000-000000000000}"/>
  <bookViews>
    <workbookView xWindow="-103" yWindow="-103" windowWidth="21600" windowHeight="13749" tabRatio="910" firstSheet="5" activeTab="5" xr2:uid="{00000000-000D-0000-FFFF-FFFF00000000}"/>
  </bookViews>
  <sheets>
    <sheet name="Summary" sheetId="36" state="hidden" r:id="rId1"/>
    <sheet name="1% Overview" sheetId="37" state="hidden" r:id="rId2"/>
    <sheet name="1% Personnel" sheetId="38" state="hidden" r:id="rId3"/>
    <sheet name="2% Overview" sheetId="39" state="hidden" r:id="rId4"/>
    <sheet name="2% Personnel" sheetId="40" state="hidden" r:id="rId5"/>
    <sheet name="4% Overview" sheetId="59" r:id="rId6"/>
    <sheet name="4% Personnel" sheetId="60" r:id="rId7"/>
    <sheet name="Budget-Services" sheetId="4" r:id="rId8"/>
    <sheet name="ARB Budget" sheetId="5" r:id="rId9"/>
    <sheet name="Recap chart" sheetId="6" r:id="rId10"/>
    <sheet name="Budget Recap" sheetId="44" r:id="rId11"/>
    <sheet name="6110" sheetId="7" r:id="rId12"/>
    <sheet name="6120" sheetId="8" r:id="rId13"/>
    <sheet name="6130" sheetId="9" r:id="rId14"/>
    <sheet name="6140" sheetId="10" r:id="rId15"/>
    <sheet name="6150" sheetId="11" r:id="rId16"/>
    <sheet name="6160" sheetId="12" r:id="rId17"/>
    <sheet name="6210" sheetId="13" r:id="rId18"/>
    <sheet name="6215" sheetId="14" r:id="rId19"/>
    <sheet name="6220" sheetId="15" r:id="rId20"/>
    <sheet name="6225" sheetId="16" r:id="rId21"/>
    <sheet name="6235" sheetId="17" r:id="rId22"/>
    <sheet name="6236" sheetId="18" r:id="rId23"/>
    <sheet name="6240" sheetId="19" r:id="rId24"/>
    <sheet name="6250" sheetId="30" r:id="rId25"/>
    <sheet name="6260" sheetId="20" r:id="rId26"/>
    <sheet name="6280" sheetId="21" r:id="rId27"/>
    <sheet name="6285" sheetId="22" r:id="rId28"/>
    <sheet name="6290" sheetId="23" r:id="rId29"/>
    <sheet name="Alert" sheetId="61" state="hidden" r:id="rId30"/>
    <sheet name="6310" sheetId="24" r:id="rId31"/>
    <sheet name="6320" sheetId="25" r:id="rId32"/>
    <sheet name="6330" sheetId="26" r:id="rId33"/>
    <sheet name="6340" sheetId="27" r:id="rId34"/>
    <sheet name="6350" sheetId="28" r:id="rId35"/>
    <sheet name="6810" sheetId="31" r:id="rId36"/>
    <sheet name="8010" sheetId="29" r:id="rId37"/>
  </sheets>
  <definedNames>
    <definedName name="_xlnm._FilterDatabase" localSheetId="35" hidden="1">'6810'!$E$1:$K$7</definedName>
    <definedName name="_xlnm._FilterDatabase" localSheetId="7" hidden="1">'Budget-Services'!$H:$H</definedName>
    <definedName name="_xlchart.v1.0" hidden="1">'Recap chart'!$M$8:$M$12</definedName>
    <definedName name="_xlchart.v1.1" hidden="1">'Recap chart'!$O$8:$O$12</definedName>
    <definedName name="_xlchart.v1.2" hidden="1">'Recap chart'!$C$8:$C$12</definedName>
    <definedName name="_xlchart.v1.3" hidden="1">'Recap chart'!$E$8:$E$12</definedName>
    <definedName name="LOCAL_MYSQL_DATE_FORMAT" localSheetId="29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1">'1% Overview'!$A$1:$K$38</definedName>
    <definedName name="_xlnm.Print_Area" localSheetId="2">'1% Personnel'!$A$1:$H$79</definedName>
    <definedName name="_xlnm.Print_Area" localSheetId="3">'2% Overview'!$A$1:$K$38</definedName>
    <definedName name="_xlnm.Print_Area" localSheetId="4">'2% Personnel'!$A$1:$H$79</definedName>
    <definedName name="_xlnm.Print_Area" localSheetId="5">'4% Overview'!$A$1:$K$38</definedName>
    <definedName name="_xlnm.Print_Area" localSheetId="6">'4% Personnel'!$A$1:$H$79</definedName>
    <definedName name="_xlnm.Print_Area" localSheetId="8">'ARB Budget'!$A$1:$I$39</definedName>
    <definedName name="_xlnm.Print_Area" localSheetId="7">'Budget-Services'!$A$1:$L$348</definedName>
    <definedName name="_xlnm.Print_Area" localSheetId="9">'Recap chart'!$A$1:$R$46</definedName>
    <definedName name="_xlnm.Print_Area" localSheetId="0">Summary!$A$1:$H$40</definedName>
    <definedName name="_xlnm.Print_Titles" localSheetId="2">'1% Personnel'!$1:$2</definedName>
    <definedName name="_xlnm.Print_Titles" localSheetId="4">'2% Personnel'!$1:$2</definedName>
    <definedName name="_xlnm.Print_Titles" localSheetId="6">'4% Personnel'!$1:$2</definedName>
    <definedName name="_xlnm.Print_Titles" localSheetId="11">'6110'!$A:$C,'6110'!$1:$1</definedName>
    <definedName name="_xlnm.Print_Titles" localSheetId="12">'6120'!$A:$C,'6120'!$1:$1</definedName>
    <definedName name="_xlnm.Print_Titles" localSheetId="13">'6130'!$A:$C,'6130'!$1:$1</definedName>
    <definedName name="_xlnm.Print_Titles" localSheetId="14">'6140'!$A:$C,'6140'!$1:$1</definedName>
    <definedName name="_xlnm.Print_Titles" localSheetId="15">'6150'!$A:$C,'6150'!$1:$1</definedName>
    <definedName name="_xlnm.Print_Titles" localSheetId="16">'6160'!$A:$C,'6160'!$1:$1</definedName>
    <definedName name="_xlnm.Print_Titles" localSheetId="17">'6210'!$A:$C,'6210'!$1:$1</definedName>
    <definedName name="_xlnm.Print_Titles" localSheetId="18">'6215'!$A:$C,'6215'!$1:$1</definedName>
    <definedName name="_xlnm.Print_Titles" localSheetId="19">'6220'!$A:$C,'6220'!$1:$1</definedName>
    <definedName name="_xlnm.Print_Titles" localSheetId="20">'6225'!$A:$C,'6225'!$1:$1</definedName>
    <definedName name="_xlnm.Print_Titles" localSheetId="21">'6235'!$A:$C,'6235'!$1:$1</definedName>
    <definedName name="_xlnm.Print_Titles" localSheetId="22">'6236'!$A:$C,'6236'!$1:$1</definedName>
    <definedName name="_xlnm.Print_Titles" localSheetId="23">'6240'!$A:$C,'6240'!$1:$1</definedName>
    <definedName name="_xlnm.Print_Titles" localSheetId="25">'6260'!$A:$C,'6260'!$1:$1</definedName>
    <definedName name="_xlnm.Print_Titles" localSheetId="26">'6280'!$A:$C,'6280'!$1:$1</definedName>
    <definedName name="_xlnm.Print_Titles" localSheetId="27">'6285'!$A:$C,'6285'!$1:$1</definedName>
    <definedName name="_xlnm.Print_Titles" localSheetId="28">'6290'!$A:$C,'6290'!$1:$1</definedName>
    <definedName name="_xlnm.Print_Titles" localSheetId="30">'6310'!$A:$C,'6310'!$1:$1</definedName>
    <definedName name="_xlnm.Print_Titles" localSheetId="31">'6320'!$A:$C,'6320'!$1:$1</definedName>
    <definedName name="_xlnm.Print_Titles" localSheetId="32">'6330'!$A:$C,'6330'!$1:$1</definedName>
    <definedName name="_xlnm.Print_Titles" localSheetId="34">'6350'!$A:$C,'6350'!$1:$1</definedName>
    <definedName name="_xlnm.Print_Titles" localSheetId="35">'6810'!$A:$C,'6810'!$1:$1</definedName>
    <definedName name="_xlnm.Print_Titles" localSheetId="8">'ARB Budget'!$1:$2</definedName>
    <definedName name="_xlnm.Print_Titles" localSheetId="7">'Budget-Services'!$1:$2</definedName>
    <definedName name="QB_COLUMN_1" localSheetId="11" hidden="1">'6110'!$D$1</definedName>
    <definedName name="QB_COLUMN_1" localSheetId="12" hidden="1">'6120'!$D$1</definedName>
    <definedName name="QB_COLUMN_1" localSheetId="13" hidden="1">'6130'!$D$1</definedName>
    <definedName name="QB_COLUMN_1" localSheetId="14" hidden="1">'6140'!$D$1</definedName>
    <definedName name="QB_COLUMN_1" localSheetId="15" hidden="1">'6150'!$D$1</definedName>
    <definedName name="QB_COLUMN_1" localSheetId="16" hidden="1">'6160'!$D$1</definedName>
    <definedName name="QB_COLUMN_1" localSheetId="17" hidden="1">'6210'!$D$1</definedName>
    <definedName name="QB_COLUMN_1" localSheetId="18" hidden="1">'6215'!$D$1</definedName>
    <definedName name="QB_COLUMN_1" localSheetId="19" hidden="1">'6220'!$D$1</definedName>
    <definedName name="QB_COLUMN_1" localSheetId="20" hidden="1">'6225'!$D$1</definedName>
    <definedName name="QB_COLUMN_1" localSheetId="21" hidden="1">'6235'!$D$1</definedName>
    <definedName name="QB_COLUMN_1" localSheetId="22" hidden="1">'6236'!$D$1</definedName>
    <definedName name="QB_COLUMN_1" localSheetId="23" hidden="1">'6240'!$D$1</definedName>
    <definedName name="QB_COLUMN_1" localSheetId="25" hidden="1">'6260'!$D$1</definedName>
    <definedName name="QB_COLUMN_1" localSheetId="26" hidden="1">'6280'!$D$1</definedName>
    <definedName name="QB_COLUMN_1" localSheetId="27" hidden="1">'6285'!$D$1</definedName>
    <definedName name="QB_COLUMN_1" localSheetId="28" hidden="1">'6290'!$D$1</definedName>
    <definedName name="QB_COLUMN_1" localSheetId="30" hidden="1">'6310'!$D$1</definedName>
    <definedName name="QB_COLUMN_1" localSheetId="31" hidden="1">'6320'!$D$1</definedName>
    <definedName name="QB_COLUMN_1" localSheetId="32" hidden="1">'6330'!$D$1</definedName>
    <definedName name="QB_COLUMN_1" localSheetId="34" hidden="1">'6350'!$D$1</definedName>
    <definedName name="QB_COLUMN_1" localSheetId="35" hidden="1">'6810'!$D$1</definedName>
    <definedName name="QB_COLUMN_20" localSheetId="11" hidden="1">'6110'!$J$1</definedName>
    <definedName name="QB_COLUMN_20" localSheetId="12" hidden="1">'6120'!$J$1</definedName>
    <definedName name="QB_COLUMN_20" localSheetId="13" hidden="1">'6130'!$J$1</definedName>
    <definedName name="QB_COLUMN_20" localSheetId="14" hidden="1">'6140'!$J$1</definedName>
    <definedName name="QB_COLUMN_20" localSheetId="15" hidden="1">'6150'!$J$1</definedName>
    <definedName name="QB_COLUMN_20" localSheetId="16" hidden="1">'6160'!$J$1</definedName>
    <definedName name="QB_COLUMN_20" localSheetId="17" hidden="1">'6210'!$J$1</definedName>
    <definedName name="QB_COLUMN_20" localSheetId="18" hidden="1">'6215'!$J$1</definedName>
    <definedName name="QB_COLUMN_20" localSheetId="19" hidden="1">'6220'!$J$1</definedName>
    <definedName name="QB_COLUMN_20" localSheetId="20" hidden="1">'6225'!$J$1</definedName>
    <definedName name="QB_COLUMN_20" localSheetId="21" hidden="1">'6235'!$J$1</definedName>
    <definedName name="QB_COLUMN_20" localSheetId="22" hidden="1">'6236'!$J$1</definedName>
    <definedName name="QB_COLUMN_20" localSheetId="23" hidden="1">'6240'!$J$1</definedName>
    <definedName name="QB_COLUMN_20" localSheetId="25" hidden="1">'6260'!$J$1</definedName>
    <definedName name="QB_COLUMN_20" localSheetId="26" hidden="1">'6280'!$J$1</definedName>
    <definedName name="QB_COLUMN_20" localSheetId="27" hidden="1">'6285'!$J$1</definedName>
    <definedName name="QB_COLUMN_20" localSheetId="28" hidden="1">'6290'!$J$1</definedName>
    <definedName name="QB_COLUMN_20" localSheetId="30" hidden="1">'6310'!$J$1</definedName>
    <definedName name="QB_COLUMN_20" localSheetId="31" hidden="1">'6320'!$J$1</definedName>
    <definedName name="QB_COLUMN_20" localSheetId="32" hidden="1">'6330'!$J$1</definedName>
    <definedName name="QB_COLUMN_20" localSheetId="34" hidden="1">'6350'!$J$1</definedName>
    <definedName name="QB_COLUMN_20" localSheetId="35" hidden="1">'6810'!$J$1</definedName>
    <definedName name="QB_COLUMN_3" localSheetId="11" hidden="1">'6110'!$E$1</definedName>
    <definedName name="QB_COLUMN_3" localSheetId="12" hidden="1">'6120'!$E$1</definedName>
    <definedName name="QB_COLUMN_3" localSheetId="13" hidden="1">'6130'!$E$1</definedName>
    <definedName name="QB_COLUMN_3" localSheetId="14" hidden="1">'6140'!$E$1</definedName>
    <definedName name="QB_COLUMN_3" localSheetId="15" hidden="1">'6150'!$E$1</definedName>
    <definedName name="QB_COLUMN_3" localSheetId="16" hidden="1">'6160'!$E$1</definedName>
    <definedName name="QB_COLUMN_3" localSheetId="17" hidden="1">'6210'!$E$1</definedName>
    <definedName name="QB_COLUMN_3" localSheetId="18" hidden="1">'6215'!$E$1</definedName>
    <definedName name="QB_COLUMN_3" localSheetId="19" hidden="1">'6220'!$E$1</definedName>
    <definedName name="QB_COLUMN_3" localSheetId="20" hidden="1">'6225'!$E$1</definedName>
    <definedName name="QB_COLUMN_3" localSheetId="21" hidden="1">'6235'!$E$1</definedName>
    <definedName name="QB_COLUMN_3" localSheetId="22" hidden="1">'6236'!$E$1</definedName>
    <definedName name="QB_COLUMN_3" localSheetId="23" hidden="1">'6240'!$E$1</definedName>
    <definedName name="QB_COLUMN_3" localSheetId="25" hidden="1">'6260'!$E$1</definedName>
    <definedName name="QB_COLUMN_3" localSheetId="26" hidden="1">'6280'!$E$1</definedName>
    <definedName name="QB_COLUMN_3" localSheetId="27" hidden="1">'6285'!$E$1</definedName>
    <definedName name="QB_COLUMN_3" localSheetId="28" hidden="1">'6290'!$E$1</definedName>
    <definedName name="QB_COLUMN_3" localSheetId="30" hidden="1">'6310'!$E$1</definedName>
    <definedName name="QB_COLUMN_3" localSheetId="31" hidden="1">'6320'!$E$1</definedName>
    <definedName name="QB_COLUMN_3" localSheetId="32" hidden="1">'6330'!$E$1</definedName>
    <definedName name="QB_COLUMN_3" localSheetId="34" hidden="1">'6350'!$E$1</definedName>
    <definedName name="QB_COLUMN_3" localSheetId="35" hidden="1">'6810'!$E$1</definedName>
    <definedName name="QB_COLUMN_30" localSheetId="11" hidden="1">'6110'!$K$1</definedName>
    <definedName name="QB_COLUMN_30" localSheetId="12" hidden="1">'6120'!$K$1</definedName>
    <definedName name="QB_COLUMN_30" localSheetId="13" hidden="1">'6130'!$K$1</definedName>
    <definedName name="QB_COLUMN_30" localSheetId="14" hidden="1">'6140'!$K$1</definedName>
    <definedName name="QB_COLUMN_30" localSheetId="15" hidden="1">'6150'!$K$1</definedName>
    <definedName name="QB_COLUMN_30" localSheetId="16" hidden="1">'6160'!$K$1</definedName>
    <definedName name="QB_COLUMN_30" localSheetId="17" hidden="1">'6210'!$K$1</definedName>
    <definedName name="QB_COLUMN_30" localSheetId="18" hidden="1">'6215'!$K$1</definedName>
    <definedName name="QB_COLUMN_30" localSheetId="19" hidden="1">'6220'!$K$1</definedName>
    <definedName name="QB_COLUMN_30" localSheetId="20" hidden="1">'6225'!$K$1</definedName>
    <definedName name="QB_COLUMN_30" localSheetId="21" hidden="1">'6235'!$K$1</definedName>
    <definedName name="QB_COLUMN_30" localSheetId="22" hidden="1">'6236'!$K$1</definedName>
    <definedName name="QB_COLUMN_30" localSheetId="23" hidden="1">'6240'!$K$1</definedName>
    <definedName name="QB_COLUMN_30" localSheetId="25" hidden="1">'6260'!$K$1</definedName>
    <definedName name="QB_COLUMN_30" localSheetId="26" hidden="1">'6280'!$K$1</definedName>
    <definedName name="QB_COLUMN_30" localSheetId="27" hidden="1">'6285'!$K$1</definedName>
    <definedName name="QB_COLUMN_30" localSheetId="28" hidden="1">'6290'!$K$1</definedName>
    <definedName name="QB_COLUMN_30" localSheetId="30" hidden="1">'6310'!$K$1</definedName>
    <definedName name="QB_COLUMN_30" localSheetId="31" hidden="1">'6320'!$K$1</definedName>
    <definedName name="QB_COLUMN_30" localSheetId="32" hidden="1">'6330'!$K$1</definedName>
    <definedName name="QB_COLUMN_30" localSheetId="34" hidden="1">'6350'!$K$1</definedName>
    <definedName name="QB_COLUMN_30" localSheetId="35" hidden="1">'6810'!$K$1</definedName>
    <definedName name="QB_COLUMN_4" localSheetId="11" hidden="1">'6110'!$F$1</definedName>
    <definedName name="QB_COLUMN_4" localSheetId="12" hidden="1">'6120'!$F$1</definedName>
    <definedName name="QB_COLUMN_4" localSheetId="13" hidden="1">'6130'!$F$1</definedName>
    <definedName name="QB_COLUMN_4" localSheetId="14" hidden="1">'6140'!$F$1</definedName>
    <definedName name="QB_COLUMN_4" localSheetId="15" hidden="1">'6150'!$F$1</definedName>
    <definedName name="QB_COLUMN_4" localSheetId="16" hidden="1">'6160'!$F$1</definedName>
    <definedName name="QB_COLUMN_4" localSheetId="17" hidden="1">'6210'!$F$1</definedName>
    <definedName name="QB_COLUMN_4" localSheetId="18" hidden="1">'6215'!$F$1</definedName>
    <definedName name="QB_COLUMN_4" localSheetId="19" hidden="1">'6220'!$F$1</definedName>
    <definedName name="QB_COLUMN_4" localSheetId="20" hidden="1">'6225'!$F$1</definedName>
    <definedName name="QB_COLUMN_4" localSheetId="21" hidden="1">'6235'!$F$1</definedName>
    <definedName name="QB_COLUMN_4" localSheetId="22" hidden="1">'6236'!$F$1</definedName>
    <definedName name="QB_COLUMN_4" localSheetId="23" hidden="1">'6240'!$F$1</definedName>
    <definedName name="QB_COLUMN_4" localSheetId="25" hidden="1">'6260'!$F$1</definedName>
    <definedName name="QB_COLUMN_4" localSheetId="26" hidden="1">'6280'!$F$1</definedName>
    <definedName name="QB_COLUMN_4" localSheetId="27" hidden="1">'6285'!$F$1</definedName>
    <definedName name="QB_COLUMN_4" localSheetId="28" hidden="1">'6290'!$F$1</definedName>
    <definedName name="QB_COLUMN_4" localSheetId="30" hidden="1">'6310'!$F$1</definedName>
    <definedName name="QB_COLUMN_4" localSheetId="31" hidden="1">'6320'!$F$1</definedName>
    <definedName name="QB_COLUMN_4" localSheetId="32" hidden="1">'6330'!$F$1</definedName>
    <definedName name="QB_COLUMN_4" localSheetId="34" hidden="1">'6350'!$F$1</definedName>
    <definedName name="QB_COLUMN_4" localSheetId="35" hidden="1">'6810'!$F$1</definedName>
    <definedName name="QB_COLUMN_5" localSheetId="11" hidden="1">'6110'!$G$1</definedName>
    <definedName name="QB_COLUMN_5" localSheetId="12" hidden="1">'6120'!$G$1</definedName>
    <definedName name="QB_COLUMN_5" localSheetId="13" hidden="1">'6130'!$G$1</definedName>
    <definedName name="QB_COLUMN_5" localSheetId="14" hidden="1">'6140'!$G$1</definedName>
    <definedName name="QB_COLUMN_5" localSheetId="15" hidden="1">'6150'!$G$1</definedName>
    <definedName name="QB_COLUMN_5" localSheetId="16" hidden="1">'6160'!$G$1</definedName>
    <definedName name="QB_COLUMN_5" localSheetId="17" hidden="1">'6210'!$G$1</definedName>
    <definedName name="QB_COLUMN_5" localSheetId="18" hidden="1">'6215'!$G$1</definedName>
    <definedName name="QB_COLUMN_5" localSheetId="19" hidden="1">'6220'!$G$1</definedName>
    <definedName name="QB_COLUMN_5" localSheetId="20" hidden="1">'6225'!$G$1</definedName>
    <definedName name="QB_COLUMN_5" localSheetId="21" hidden="1">'6235'!$G$1</definedName>
    <definedName name="QB_COLUMN_5" localSheetId="22" hidden="1">'6236'!$G$1</definedName>
    <definedName name="QB_COLUMN_5" localSheetId="23" hidden="1">'6240'!$G$1</definedName>
    <definedName name="QB_COLUMN_5" localSheetId="25" hidden="1">'6260'!$G$1</definedName>
    <definedName name="QB_COLUMN_5" localSheetId="26" hidden="1">'6280'!$G$1</definedName>
    <definedName name="QB_COLUMN_5" localSheetId="27" hidden="1">'6285'!$G$1</definedName>
    <definedName name="QB_COLUMN_5" localSheetId="28" hidden="1">'6290'!$G$1</definedName>
    <definedName name="QB_COLUMN_5" localSheetId="30" hidden="1">'6310'!$G$1</definedName>
    <definedName name="QB_COLUMN_5" localSheetId="31" hidden="1">'6320'!$G$1</definedName>
    <definedName name="QB_COLUMN_5" localSheetId="32" hidden="1">'6330'!$G$1</definedName>
    <definedName name="QB_COLUMN_5" localSheetId="34" hidden="1">'6350'!$G$1</definedName>
    <definedName name="QB_COLUMN_5" localSheetId="35" hidden="1">'6810'!$G$1</definedName>
    <definedName name="QB_COLUMN_7" localSheetId="11" hidden="1">'6110'!$H$1</definedName>
    <definedName name="QB_COLUMN_7" localSheetId="12" hidden="1">'6120'!$H$1</definedName>
    <definedName name="QB_COLUMN_7" localSheetId="13" hidden="1">'6130'!$H$1</definedName>
    <definedName name="QB_COLUMN_7" localSheetId="14" hidden="1">'6140'!$H$1</definedName>
    <definedName name="QB_COLUMN_7" localSheetId="15" hidden="1">'6150'!$H$1</definedName>
    <definedName name="QB_COLUMN_7" localSheetId="16" hidden="1">'6160'!$H$1</definedName>
    <definedName name="QB_COLUMN_7" localSheetId="17" hidden="1">'6210'!$H$1</definedName>
    <definedName name="QB_COLUMN_7" localSheetId="18" hidden="1">'6215'!$H$1</definedName>
    <definedName name="QB_COLUMN_7" localSheetId="19" hidden="1">'6220'!$H$1</definedName>
    <definedName name="QB_COLUMN_7" localSheetId="20" hidden="1">'6225'!$H$1</definedName>
    <definedName name="QB_COLUMN_7" localSheetId="21" hidden="1">'6235'!$H$1</definedName>
    <definedName name="QB_COLUMN_7" localSheetId="22" hidden="1">'6236'!$H$1</definedName>
    <definedName name="QB_COLUMN_7" localSheetId="23" hidden="1">'6240'!$H$1</definedName>
    <definedName name="QB_COLUMN_7" localSheetId="25" hidden="1">'6260'!$H$1</definedName>
    <definedName name="QB_COLUMN_7" localSheetId="26" hidden="1">'6280'!$H$1</definedName>
    <definedName name="QB_COLUMN_7" localSheetId="27" hidden="1">'6285'!$H$1</definedName>
    <definedName name="QB_COLUMN_7" localSheetId="28" hidden="1">'6290'!$H$1</definedName>
    <definedName name="QB_COLUMN_7" localSheetId="30" hidden="1">'6310'!$H$1</definedName>
    <definedName name="QB_COLUMN_7" localSheetId="31" hidden="1">'6320'!$H$1</definedName>
    <definedName name="QB_COLUMN_7" localSheetId="32" hidden="1">'6330'!$H$1</definedName>
    <definedName name="QB_COLUMN_7" localSheetId="34" hidden="1">'6350'!$H$1</definedName>
    <definedName name="QB_COLUMN_7" localSheetId="35" hidden="1">'6810'!$H$1</definedName>
    <definedName name="QB_COLUMN_8" localSheetId="11" hidden="1">'6110'!$I$1</definedName>
    <definedName name="QB_COLUMN_8" localSheetId="12" hidden="1">'6120'!$I$1</definedName>
    <definedName name="QB_COLUMN_8" localSheetId="13" hidden="1">'6130'!$I$1</definedName>
    <definedName name="QB_COLUMN_8" localSheetId="14" hidden="1">'6140'!$I$1</definedName>
    <definedName name="QB_COLUMN_8" localSheetId="15" hidden="1">'6150'!$I$1</definedName>
    <definedName name="QB_COLUMN_8" localSheetId="16" hidden="1">'6160'!$I$1</definedName>
    <definedName name="QB_COLUMN_8" localSheetId="17" hidden="1">'6210'!$I$1</definedName>
    <definedName name="QB_COLUMN_8" localSheetId="18" hidden="1">'6215'!$I$1</definedName>
    <definedName name="QB_COLUMN_8" localSheetId="19" hidden="1">'6220'!$I$1</definedName>
    <definedName name="QB_COLUMN_8" localSheetId="20" hidden="1">'6225'!$I$1</definedName>
    <definedName name="QB_COLUMN_8" localSheetId="21" hidden="1">'6235'!$I$1</definedName>
    <definedName name="QB_COLUMN_8" localSheetId="22" hidden="1">'6236'!$I$1</definedName>
    <definedName name="QB_COLUMN_8" localSheetId="23" hidden="1">'6240'!$I$1</definedName>
    <definedName name="QB_COLUMN_8" localSheetId="25" hidden="1">'6260'!$I$1</definedName>
    <definedName name="QB_COLUMN_8" localSheetId="26" hidden="1">'6280'!$I$1</definedName>
    <definedName name="QB_COLUMN_8" localSheetId="27" hidden="1">'6285'!$I$1</definedName>
    <definedName name="QB_COLUMN_8" localSheetId="28" hidden="1">'6290'!$I$1</definedName>
    <definedName name="QB_COLUMN_8" localSheetId="30" hidden="1">'6310'!$I$1</definedName>
    <definedName name="QB_COLUMN_8" localSheetId="31" hidden="1">'6320'!$I$1</definedName>
    <definedName name="QB_COLUMN_8" localSheetId="32" hidden="1">'6330'!$I$1</definedName>
    <definedName name="QB_COLUMN_8" localSheetId="34" hidden="1">'6350'!$I$1</definedName>
    <definedName name="QB_COLUMN_8" localSheetId="35" hidden="1">'6810'!$I$1</definedName>
    <definedName name="QB_DATA_0" localSheetId="11" hidden="1">'6110'!$4:$4,'6110'!$5:$5,'6110'!$6:$6,'6110'!$7:$7,'6110'!$8:$8,'6110'!$9:$9,'6110'!$10:$10,'6110'!$11:$11,'6110'!$12:$12,'6110'!$13:$13,'6110'!$14:$14,'6110'!$15:$15,'6110'!$16:$16,'6110'!$17:$17,'6110'!$18:$18,'6110'!$19:$19</definedName>
    <definedName name="QB_DATA_0" localSheetId="12" hidden="1">'6120'!$4:$4,'6120'!$5:$5,'6120'!$6:$6,'6120'!$7:$7,'6120'!$8:$8,'6120'!$9:$9,'6120'!$10:$10,'6120'!$11:$11,'6120'!$12:$12,'6120'!$13:$13,'6120'!$14:$14,'6120'!$15:$15,'6120'!$16:$16,'6120'!$17:$17,'6120'!$18:$18,'6120'!$19:$19</definedName>
    <definedName name="QB_DATA_0" localSheetId="13" hidden="1">'6130'!$4:$4,'6130'!$5:$5,'6130'!$6:$6,'6130'!$7:$7,'6130'!$8:$8,'6130'!$9:$9,'6130'!$10:$10,'6130'!$11:$11,'6130'!$12:$12,'6130'!$13:$13,'6130'!$14:$14,'6130'!$15:$15,'6130'!$16:$16,'6130'!$17:$17,'6130'!$18:$18,'6130'!$19:$19</definedName>
    <definedName name="QB_DATA_0" localSheetId="14" hidden="1">'6140'!$4:$4,'6140'!$5:$5,'6140'!$6:$6,'6140'!$7:$7,'6140'!$8:$8,'6140'!$9:$9,'6140'!$10:$10,'6140'!$11:$11,'6140'!$12:$12,'6140'!$13:$13</definedName>
    <definedName name="QB_DATA_0" localSheetId="15" hidden="1">'6150'!$4:$4,'6150'!$5:$5,'6150'!$6:$6,'6150'!$7:$7,'6150'!$8:$8,'6150'!$9:$9,'6150'!$10:$10,'6150'!$11:$11,'6150'!$12:$12,'6150'!$13:$13,'6150'!$14:$14,'6150'!$15:$15,'6150'!$16:$16,'6150'!$17:$17,'6150'!$18:$18,'6150'!$19:$19</definedName>
    <definedName name="QB_DATA_0" localSheetId="16" hidden="1">'6160'!$4:$4,'6160'!$5:$5,'6160'!$6:$6,'6160'!$7:$7,'6160'!$8:$8,'6160'!$9:$9,'6160'!$10:$10,'6160'!$11:$11,'6160'!$12:$12,'6160'!$13:$13,'6160'!$14:$14,'6160'!$15:$15,'6160'!$16:$16,'6160'!$17:$17,'6160'!$18:$18,'6160'!$19:$19</definedName>
    <definedName name="QB_DATA_0" localSheetId="17" hidden="1">'6210'!$4:$4,'6210'!$5:$5,'6210'!$6:$6,'6210'!$7:$7,'6210'!$8:$8,'6210'!$9:$9,'6210'!$10:$10,'6210'!$11:$11,'6210'!$12:$12,'6210'!$13:$13,'6210'!$14:$14,'6210'!$15:$15,'6210'!$16:$16,'6210'!$17:$17,'6210'!$18:$18,'6210'!$19:$19</definedName>
    <definedName name="QB_DATA_0" localSheetId="18" hidden="1">'6215'!$4:$4,'6215'!$5:$5,'6215'!$6:$6,'6215'!$7:$7,'6215'!$8:$8,'6215'!$9:$9,'6215'!$10:$10,'6215'!$11:$11,'6215'!$12:$12,'6215'!$13:$13,'6215'!$14:$14,'6215'!$15:$15,'6215'!$16:$16,'6215'!$17:$17,'6215'!$18:$18,'6215'!$19:$19</definedName>
    <definedName name="QB_DATA_0" localSheetId="19" hidden="1">'6220'!$4:$4,'6220'!$5:$5,'6220'!$6:$6,'6220'!$7:$7,'6220'!$8:$8,'6220'!$9:$9,'6220'!$10:$10,'6220'!$11:$11,'6220'!$12:$12,'6220'!$13:$13,'6220'!$14:$14,'6220'!$15:$15,'6220'!$16:$16,'6220'!$17:$17,'6220'!$18:$18,'6220'!$19:$19</definedName>
    <definedName name="QB_DATA_0" localSheetId="20" hidden="1">'6225'!$4:$4,'6225'!$5:$5,'6225'!$6:$6,'6225'!$7:$7,'6225'!$8:$8,'6225'!$9:$9,'6225'!$10:$10,'6225'!$11:$11,'6225'!$12:$12,'6225'!$13:$13,'6225'!$14:$14,'6225'!$15:$15,'6225'!$16:$16,'6225'!$17:$17,'6225'!$18:$18,'6225'!$19:$19</definedName>
    <definedName name="QB_DATA_0" localSheetId="21" hidden="1">'6235'!$4:$4,'6235'!$5:$5,'6235'!$6:$6,'6235'!$7:$7,'6235'!$8:$8,'6235'!$9:$9,'6235'!$10:$10,'6235'!$11:$11,'6235'!$12:$12,'6235'!$13:$13,'6235'!$14:$14,'6235'!$15:$15,'6235'!$16:$16,'6235'!$17:$17,'6235'!$18:$18,'6235'!$19:$19</definedName>
    <definedName name="QB_DATA_0" localSheetId="22" hidden="1">'6236'!$4:$4,'6236'!$5:$5,'6236'!$6:$6,'6236'!$7:$7,'6236'!$8:$8,'6236'!$9:$9,'6236'!$10:$10,'6236'!$11:$11,'6236'!$12:$12,'6236'!$13:$13,'6236'!$14:$14,'6236'!$15:$15,'6236'!$16:$16,'6236'!$17:$17,'6236'!$18:$18,'6236'!$19:$19</definedName>
    <definedName name="QB_DATA_0" localSheetId="23" hidden="1">'6240'!$4:$4,'6240'!$5:$5,'6240'!$6:$6,'6240'!$7:$7,'6240'!$8:$8,'6240'!$9:$9,'6240'!$10:$10,'6240'!$11:$11,'6240'!$12:$12,'6240'!$13:$13,'6240'!$14:$14,'6240'!$15:$15,'6240'!$16:$16,'6240'!$17:$17,'6240'!$18:$18,'6240'!$19:$19</definedName>
    <definedName name="QB_DATA_0" localSheetId="25" hidden="1">'6260'!$4:$4,'6260'!$5:$5,'6260'!$6:$6,'6260'!$7:$7,'6260'!$8:$8,'6260'!$9:$9,'6260'!$10:$10,'6260'!$11:$11,'6260'!$12:$12,'6260'!$13:$13,'6260'!$14:$14,'6260'!$15:$15,'6260'!$16:$16,'6260'!$17:$17,'6260'!$18:$18,'6260'!$19:$19</definedName>
    <definedName name="QB_DATA_0" localSheetId="26" hidden="1">'6280'!$4:$4,'6280'!$5:$5,'6280'!$6:$6,'6280'!$7:$7,'6280'!$8:$8,'6280'!$9:$9,'6280'!$10:$10,'6280'!$11:$11,'6280'!$12:$12,'6280'!$13:$13,'6280'!$14:$14,'6280'!$15:$15,'6280'!$16:$16,'6280'!$17:$17,'6280'!$18:$18,'6280'!$19:$19</definedName>
    <definedName name="QB_DATA_0" localSheetId="27" hidden="1">'6285'!$4:$4,'6285'!$5:$5,'6285'!$6:$6,'6285'!$7:$7,'6285'!$8:$8,'6285'!$9:$9,'6285'!$10:$10,'6285'!$11:$11,'6285'!$12:$12,'6285'!$13:$13,'6285'!$14:$14,'6285'!$15:$15,'6285'!$16:$16,'6285'!$17:$17,'6285'!$18:$18,'6285'!$19:$19</definedName>
    <definedName name="QB_DATA_0" localSheetId="28" hidden="1">'6290'!$4:$4,'6290'!$5:$5,'6290'!$6:$6,'6290'!$7:$7,'6290'!$8:$8,'6290'!$9:$9,'6290'!$10:$10,'6290'!$11:$11,'6290'!$12:$12,'6290'!$13:$13,'6290'!$14:$14,'6290'!$15:$15</definedName>
    <definedName name="QB_DATA_0" localSheetId="30" hidden="1">'6310'!$4:$4,'6310'!$5:$5,'6310'!$6:$6,'6310'!$7:$7,'6310'!$8:$8,'6310'!$9:$9,'6310'!$10:$10,'6310'!$11:$11,'6310'!$12:$12,'6310'!$13:$13,'6310'!$14:$14,'6310'!$15:$15,'6310'!$16:$16,'6310'!$17:$17,'6310'!$18:$18,'6310'!$19:$19</definedName>
    <definedName name="QB_DATA_0" localSheetId="31" hidden="1">'6320'!$4:$4,'6320'!$5:$5</definedName>
    <definedName name="QB_DATA_0" localSheetId="32" hidden="1">'6330'!$4:$4,'6330'!$5:$5,'6330'!$6:$6,'6330'!$7:$7,'6330'!$8:$8,'6330'!$9:$9,'6330'!$10:$10,'6330'!$11:$11,'6330'!$12:$12,'6330'!$13:$13,'6330'!$14:$14,'6330'!$15:$15,'6330'!$16:$16,'6330'!$17:$17,'6330'!$18:$18,'6330'!$19:$19</definedName>
    <definedName name="QB_DATA_0" localSheetId="34" hidden="1">'6350'!$4:$4,'6350'!$5:$5</definedName>
    <definedName name="QB_DATA_0" localSheetId="35" hidden="1">'6810'!$4:$4</definedName>
    <definedName name="QB_DATA_1" localSheetId="11" hidden="1">'6110'!$20:$20,'6110'!$21:$21,'6110'!$22:$22,'6110'!$23:$23,'6110'!$24:$24,'6110'!$25:$25,'6110'!$26:$26,'6110'!$27:$27,'6110'!$28:$28,'6110'!$29:$29,'6110'!$30:$30,'6110'!$31:$31,'6110'!$32:$32,'6110'!$33:$33,'6110'!$34:$34,'6110'!$35:$35</definedName>
    <definedName name="QB_DATA_1" localSheetId="12" hidden="1">'6120'!$20:$20,'6120'!$21:$21,'6120'!$22:$22,'6120'!$23:$23,'6120'!$24:$24,'6120'!$25:$25,'6120'!$26:$26,'6120'!$27:$27,'6120'!$28:$28,'6120'!$29:$29,'6120'!$30:$30,'6120'!$31:$31,'6120'!$32:$32,'6120'!$33:$33,'6120'!$34:$34,'6120'!$35:$35</definedName>
    <definedName name="QB_DATA_1" localSheetId="13" hidden="1">'6130'!$20:$20,'6130'!$21:$21,'6130'!$22:$22,'6130'!$23:$23,'6130'!$24:$24,'6130'!$25:$25,'6130'!$26:$26,'6130'!$27:$27,'6130'!$28:$28,'6130'!$29:$29,'6130'!$30:$30,'6130'!$31:$31,'6130'!$32:$32,'6130'!$33:$33,'6130'!$34:$34,'6130'!$35:$35</definedName>
    <definedName name="QB_DATA_1" localSheetId="15" hidden="1">'6150'!$20:$20,'6150'!$21:$21,'6150'!$22:$22,'6150'!$23:$23,'6150'!$24:$24,'6150'!$25:$25,'6150'!$26:$26,'6150'!$27:$27,'6150'!$28:$28,'6150'!$29:$29,'6150'!$30:$30,'6150'!$31:$31,'6150'!$32:$32,'6150'!$33:$33,'6150'!$34:$34,'6150'!$35:$35</definedName>
    <definedName name="QB_DATA_1" localSheetId="16" hidden="1">'6160'!$20:$20,'6160'!$21:$21,'6160'!$22:$22,'6160'!$23:$23,'6160'!$24:$24,'6160'!$25:$25,'6160'!$26:$26,'6160'!$27:$27,'6160'!$28:$28,'6160'!$29:$29,'6160'!$30:$30,'6160'!$31:$31,'6160'!$32:$32,'6160'!$33:$33,'6160'!$34:$34,'6160'!$35:$35</definedName>
    <definedName name="QB_DATA_1" localSheetId="17" hidden="1">'6210'!$20:$20,'6210'!$21:$21,'6210'!$22:$22,'6210'!$23:$23,'6210'!$24:$24,'6210'!$25:$25,'6210'!$26:$26,'6210'!$27:$27,'6210'!$28:$28,'6210'!$29:$29,'6210'!$30:$30,'6210'!$31:$31,'6210'!$32:$32,'6210'!$33:$33,'6210'!$34:$34,'6210'!$35:$35</definedName>
    <definedName name="QB_DATA_1" localSheetId="18" hidden="1">'6215'!$20:$20,'6215'!$21:$21,'6215'!$22:$22,'6215'!$23:$23,'6215'!$24:$24,'6215'!$25:$25,'6215'!$26:$26,'6215'!$27:$27,'6215'!$28:$28,'6215'!$29:$29,'6215'!$30:$30,'6215'!$31:$31,'6215'!$32:$32,'6215'!$33:$33,'6215'!$34:$34,'6215'!$35:$35</definedName>
    <definedName name="QB_DATA_1" localSheetId="19" hidden="1">'6220'!$20:$20,'6220'!$21:$21,'6220'!$22:$22,'6220'!$23:$23,'6220'!$24:$24,'6220'!$25:$25,'6220'!$26:$26,'6220'!$27:$27,'6220'!$28:$28,'6220'!$29:$29,'6220'!$30:$30,'6220'!$31:$31,'6220'!$32:$32,'6220'!$33:$33,'6220'!$34:$34,'6220'!$35:$35</definedName>
    <definedName name="QB_DATA_1" localSheetId="20" hidden="1">'6225'!$20:$20,'6225'!$21:$21,'6225'!$22:$22,'6225'!$23:$23,'6225'!$24:$24,'6225'!$25:$25,'6225'!$26:$26,'6225'!$27:$27,'6225'!$28:$28,'6225'!$29:$29,'6225'!$30:$30,'6225'!$31:$31,'6225'!$32:$32,'6225'!$33:$33,'6225'!$34:$34,'6225'!$35:$35</definedName>
    <definedName name="QB_DATA_1" localSheetId="21" hidden="1">'6235'!$20:$20,'6235'!$21:$21,'6235'!$22:$22,'6235'!$23:$23,'6235'!$24:$24,'6235'!$25:$25,'6235'!$26:$26,'6235'!$27:$27</definedName>
    <definedName name="QB_DATA_1" localSheetId="22" hidden="1">'6236'!$20:$20,'6236'!$21:$21,'6236'!$22:$22,'6236'!$23:$23,'6236'!$24:$24</definedName>
    <definedName name="QB_DATA_1" localSheetId="23" hidden="1">'6240'!$20:$20,'6240'!$21:$21,'6240'!$22:$22,'6240'!$23:$23,'6240'!$24:$24,'6240'!$25:$25,'6240'!$26:$26,'6240'!$27:$27,'6240'!$28:$28,'6240'!$29:$29,'6240'!$30:$30,'6240'!$31:$31,'6240'!$32:$32,'6240'!$33:$33,'6240'!$34:$34,'6240'!$35:$35</definedName>
    <definedName name="QB_DATA_1" localSheetId="25" hidden="1">'6260'!$20:$20,'6260'!$21:$21,'6260'!$22:$22,'6260'!$23:$23,'6260'!$24:$24,'6260'!$25:$25,'6260'!$26:$26,'6260'!$27:$27,'6260'!$28:$28,'6260'!$29:$29,'6260'!$30:$30,'6260'!$31:$31,'6260'!$32:$32,'6260'!$33:$33,'6260'!$34:$34,'6260'!$35:$35</definedName>
    <definedName name="QB_DATA_1" localSheetId="26" hidden="1">'6280'!$20:$20,'6280'!$21:$21,'6280'!$22:$22,'6280'!$23:$23,'6280'!$24:$24,'6280'!$25:$25,'6280'!$26:$26,'6280'!$27:$27,'6280'!$28:$28,'6280'!$29:$29,'6280'!$30:$30,'6280'!$31:$31,'6280'!$32:$32,'6280'!$33:$33,'6280'!$34:$34,'6280'!$35:$35</definedName>
    <definedName name="QB_DATA_1" localSheetId="27" hidden="1">'6285'!$20:$20,'6285'!$21:$21,'6285'!$22:$22,'6285'!$23:$23,'6285'!$24:$24,'6285'!$25:$25,'6285'!$26:$26,'6285'!$27:$27,'6285'!$28:$28,'6285'!$29:$29,'6285'!$30:$30,'6285'!$31:$31,'6285'!$32:$32,'6285'!$33:$33,'6285'!$34:$34,'6285'!$35:$35</definedName>
    <definedName name="QB_DATA_1" localSheetId="30" hidden="1">'6310'!$20:$20,'6310'!$21:$21,'6310'!$22:$22,'6310'!$23:$23,'6310'!$24:$24,'6310'!$25:$25,'6310'!$26:$26,'6310'!$27:$27,'6310'!$28:$28,'6310'!$29:$29,'6310'!$30:$30,'6310'!$31:$31,'6310'!$32:$32,'6310'!$33:$33,'6310'!$34:$34,'6310'!$35:$35</definedName>
    <definedName name="QB_DATA_10" localSheetId="13" hidden="1">'6130'!$164:$164,'6130'!$165:$165</definedName>
    <definedName name="QB_DATA_10" localSheetId="17" hidden="1">'6210'!$164:$164,'6210'!$165:$165,'6210'!$166:$166,'6210'!$167:$167,'6210'!$168:$168,'6210'!$169:$169,'6210'!$170:$170,'6210'!$171:$171,'6210'!$172:$172,'6210'!$173:$173,'6210'!$174:$174,'6210'!$175:$175,'6210'!$176:$176,'6210'!$177:$177,'6210'!$178:$178,'6210'!$179:$179</definedName>
    <definedName name="QB_DATA_10" localSheetId="20" hidden="1">'6225'!$164:$164,'6225'!$165:$165,'6225'!$166:$166,'6225'!$167:$167,'6225'!$168:$168,'6225'!$169:$169,'6225'!$170:$170,'6225'!$171:$171,'6225'!$172:$172,'6225'!$173:$173,'6225'!$174:$174,'6225'!$175:$175,'6225'!$176:$176,'6225'!$177:$177,'6225'!$178:$178,'6225'!$179:$179</definedName>
    <definedName name="QB_DATA_10" localSheetId="25" hidden="1">'6260'!$164:$164,'6260'!$165:$165,'6260'!$166:$166,'6260'!$167:$167,'6260'!$168:$168,'6260'!$169:$169,'6260'!$170:$170,'6260'!$171:$171,'6260'!$172:$172,'6260'!$173:$173,'6260'!$174:$174,'6260'!$175:$175,'6260'!$176:$176,'6260'!$177:$177,'6260'!$178:$178,'6260'!$179:$179</definedName>
    <definedName name="QB_DATA_11" localSheetId="17" hidden="1">'6210'!$180:$180,'6210'!$181:$181,'6210'!$182:$182,'6210'!$183:$183,'6210'!$184:$184,'6210'!$185:$185,'6210'!$186:$186,'6210'!$187:$187,'6210'!$188:$188,'6210'!$189:$189,'6210'!$190:$190,'6210'!$191:$191,'6210'!$192:$192,'6210'!$193:$193,'6210'!$194:$194,'6210'!$195:$195</definedName>
    <definedName name="QB_DATA_11" localSheetId="20" hidden="1">'6225'!$180:$180,'6225'!$181:$181,'6225'!$182:$182,'6225'!$183:$183,'6225'!$184:$184</definedName>
    <definedName name="QB_DATA_11" localSheetId="25" hidden="1">'6260'!$180:$180,'6260'!$181:$181,'6260'!$182:$182,'6260'!$183:$183,'6260'!$184:$184,'6260'!$185:$185,'6260'!$186:$186,'6260'!$187:$187,'6260'!$188:$188,'6260'!$189:$189,'6260'!$190:$190,'6260'!$191:$191,'6260'!$192:$192,'6260'!$193:$193,'6260'!$194:$194,'6260'!$195:$195</definedName>
    <definedName name="QB_DATA_12" localSheetId="17" hidden="1">'6210'!$196:$196,'6210'!$197:$197,'6210'!$198:$198,'6210'!$199:$199,'6210'!$200:$200,'6210'!$201:$201,'6210'!$202:$202,'6210'!$203:$203,'6210'!$204:$204,'6210'!$205:$205,'6210'!$206:$206,'6210'!$207:$207,'6210'!$208:$208,'6210'!$209:$209,'6210'!$210:$210,'6210'!$211:$211</definedName>
    <definedName name="QB_DATA_12" localSheetId="25" hidden="1">'6260'!$196:$196,'6260'!$197:$197,'6260'!$198:$198,'6260'!$199:$199,'6260'!$200:$200,'6260'!$201:$201,'6260'!$202:$202,'6260'!$203:$203,'6260'!$204:$204,'6260'!$205:$205,'6260'!$206:$206,'6260'!$207:$207,'6260'!$208:$208,'6260'!$209:$209,'6260'!$210:$210,'6260'!$211:$211</definedName>
    <definedName name="QB_DATA_13" localSheetId="17" hidden="1">'6210'!$212:$212,'6210'!$213:$213,'6210'!$214:$214,'6210'!$215:$215,'6210'!$216:$216,'6210'!$217:$217,'6210'!$218:$218,'6210'!$219:$219,'6210'!$220:$220,'6210'!$221:$221,'6210'!$222:$222,'6210'!$223:$223,'6210'!$224:$224,'6210'!$225:$225,'6210'!$226:$226,'6210'!$227:$227</definedName>
    <definedName name="QB_DATA_13" localSheetId="25" hidden="1">'6260'!$212:$212,'6260'!$213:$213,'6260'!$214:$214,'6260'!$215:$215,'6260'!$216:$216,'6260'!$217:$217,'6260'!$218:$218,'6260'!$219:$219,'6260'!$220:$220,'6260'!$221:$221,'6260'!$222:$222,'6260'!$223:$223,'6260'!$224:$224,'6260'!$225:$225,'6260'!$226:$226,'6260'!$227:$227</definedName>
    <definedName name="QB_DATA_14" localSheetId="17" hidden="1">'6210'!$228:$228,'6210'!$229:$229,'6210'!$230:$230,'6210'!$231:$231,'6210'!$232:$232,'6210'!$233:$233,'6210'!$234:$234,'6210'!$235:$235,'6210'!$236:$236,'6210'!$237:$237,'6210'!$238:$238,'6210'!$239:$239,'6210'!$240:$240,'6210'!$241:$241,'6210'!$242:$242,'6210'!$243:$243</definedName>
    <definedName name="QB_DATA_14" localSheetId="25" hidden="1">'6260'!$228:$228,'6260'!$229:$229,'6260'!$230:$230,'6260'!$231:$231,'6260'!$232:$232,'6260'!$233:$233,'6260'!$234:$234,'6260'!$235:$235,'6260'!$236:$236,'6260'!$237:$237,'6260'!$238:$238,'6260'!$239:$239,'6260'!$240:$240,'6260'!$241:$241,'6260'!$242:$242,'6260'!$243:$243</definedName>
    <definedName name="QB_DATA_15" localSheetId="17" hidden="1">'6210'!$244:$244,'6210'!$245:$245,'6210'!$246:$246,'6210'!$247:$247,'6210'!$248:$248,'6210'!$249:$249,'6210'!$250:$250,'6210'!$251:$251,'6210'!$252:$252,'6210'!$253:$253,'6210'!$254:$254,'6210'!$255:$255,'6210'!$256:$256,'6210'!$257:$257,'6210'!$258:$258,'6210'!$259:$259</definedName>
    <definedName name="QB_DATA_15" localSheetId="25" hidden="1">'6260'!$244:$244,'6260'!$245:$245,'6260'!$246:$246,'6260'!$247:$247,'6260'!$248:$248,'6260'!$249:$249,'6260'!$250:$250,'6260'!$251:$251,'6260'!$252:$252,'6260'!$253:$253,'6260'!$254:$254,'6260'!$255:$255,'6260'!$256:$256,'6260'!$257:$257,'6260'!$258:$258,'6260'!$259:$259</definedName>
    <definedName name="QB_DATA_16" localSheetId="17" hidden="1">'6210'!$260:$260,'6210'!$261:$261,'6210'!$262:$262,'6210'!$263:$263,'6210'!$264:$264,'6210'!$265:$265,'6210'!$266:$266,'6210'!$267:$267,'6210'!$268:$268,'6210'!$269:$269,'6210'!$270:$270,'6210'!$271:$271,'6210'!$272:$272,'6210'!$273:$273,'6210'!$274:$274,'6210'!$275:$275</definedName>
    <definedName name="QB_DATA_16" localSheetId="25" hidden="1">'6260'!$260:$260,'6260'!$261:$261,'6260'!$262:$262,'6260'!$263:$263,'6260'!$264:$264,'6260'!$265:$265,'6260'!$266:$266,'6260'!$267:$267,'6260'!$268:$268,'6260'!$269:$269,'6260'!$270:$270,'6260'!$271:$271,'6260'!$272:$272,'6260'!$273:$273,'6260'!$274:$274,'6260'!$275:$275</definedName>
    <definedName name="QB_DATA_17" localSheetId="17" hidden="1">'6210'!$276:$276,'6210'!$277:$277,'6210'!$278:$278,'6210'!$279:$279,'6210'!$280:$280,'6210'!$281:$281,'6210'!$282:$282,'6210'!$283:$283,'6210'!$284:$284,'6210'!$285:$285,'6210'!$286:$286,'6210'!$287:$287,'6210'!$288:$288,'6210'!$289:$289,'6210'!$290:$290,'6210'!$291:$291</definedName>
    <definedName name="QB_DATA_17" localSheetId="25" hidden="1">'6260'!$276:$276,'6260'!$277:$277,'6260'!$278:$278,'6260'!$279:$279,'6260'!$280:$280,'6260'!$281:$281</definedName>
    <definedName name="QB_DATA_18" localSheetId="17" hidden="1">'6210'!$292:$292,'6210'!$293:$293,'6210'!$294:$294,'6210'!$295:$295,'6210'!$296:$296,'6210'!$297:$297,'6210'!$298:$298,'6210'!$299:$299,'6210'!$300:$300,'6210'!$301:$301,'6210'!$302:$302,'6210'!$303:$303,'6210'!$304:$304,'6210'!$305:$305,'6210'!$306:$306,'6210'!$307:$307</definedName>
    <definedName name="QB_DATA_19" localSheetId="17" hidden="1">'6210'!$308:$308,'6210'!$309:$309,'6210'!$310:$310,'6210'!$311:$311,'6210'!$312:$312,'6210'!$313:$313,'6210'!$314:$314,'6210'!$315:$315,'6210'!$316:$316,'6210'!$317:$317,'6210'!$318:$318,'6210'!$319:$319,'6210'!$320:$320,'6210'!$321:$321,'6210'!$322:$322,'6210'!$323:$323</definedName>
    <definedName name="QB_DATA_2" localSheetId="11" hidden="1">'6110'!$36:$36,'6110'!$37:$37,'6110'!$38:$38,'6110'!$39:$39,'6110'!$40:$40,'6110'!$41:$41,'6110'!$42:$42,'6110'!$43:$43,'6110'!$44:$44,'6110'!$45:$45,'6110'!$46:$46,'6110'!$47:$47,'6110'!$48:$48,'6110'!$49:$49,'6110'!$50:$50,'6110'!$51:$51</definedName>
    <definedName name="QB_DATA_2" localSheetId="12" hidden="1">'6120'!$36:$36,'6120'!$37:$37,'6120'!$38:$38,'6120'!$39:$39,'6120'!$40:$40,'6120'!$41:$41,'6120'!$42:$42,'6120'!$43:$43,'6120'!$44:$44,'6120'!$45:$45,'6120'!$46:$46,'6120'!$47:$47,'6120'!$48:$48,'6120'!$49:$49,'6120'!$50:$50,'6120'!$51:$51</definedName>
    <definedName name="QB_DATA_2" localSheetId="13" hidden="1">'6130'!$36:$36,'6130'!$37:$37,'6130'!$38:$38,'6130'!$39:$39,'6130'!$40:$40,'6130'!$41:$41,'6130'!$42:$42,'6130'!$43:$43,'6130'!$44:$44,'6130'!$45:$45,'6130'!$46:$46,'6130'!$47:$47,'6130'!$48:$48,'6130'!$49:$49,'6130'!$50:$50,'6130'!$51:$51</definedName>
    <definedName name="QB_DATA_2" localSheetId="15" hidden="1">'6150'!$36:$36,'6150'!$37:$37,'6150'!$38:$38,'6150'!$39:$39,'6150'!$40:$40,'6150'!$41:$41,'6150'!$42:$42,'6150'!$43:$43,'6150'!$44:$44,'6150'!$45:$45,'6150'!$46:$46,'6150'!$47:$47,'6150'!$48:$48,'6150'!$49:$49,'6150'!$50:$50,'6150'!$51:$51</definedName>
    <definedName name="QB_DATA_2" localSheetId="16" hidden="1">'6160'!$36:$36,'6160'!$37:$37,'6160'!$38:$38,'6160'!$39:$39,'6160'!$40:$40,'6160'!$41:$41,'6160'!$42:$42,'6160'!$43:$43,'6160'!$44:$44,'6160'!$45:$45,'6160'!$46:$46,'6160'!$47:$47,'6160'!$48:$48</definedName>
    <definedName name="QB_DATA_2" localSheetId="17" hidden="1">'6210'!$36:$36,'6210'!$37:$37,'6210'!$38:$38,'6210'!$39:$39,'6210'!$40:$40,'6210'!$41:$41,'6210'!$42:$42,'6210'!$43:$43,'6210'!$44:$44,'6210'!$45:$45,'6210'!$46:$46,'6210'!$47:$47,'6210'!$48:$48,'6210'!$49:$49,'6210'!$50:$50,'6210'!$51:$51</definedName>
    <definedName name="QB_DATA_2" localSheetId="18" hidden="1">'6215'!$36:$36,'6215'!$37:$37,'6215'!$38:$38,'6215'!$39:$39,'6215'!$40:$40,'6215'!$41:$41,'6215'!$42:$42,'6215'!$43:$43,'6215'!$44:$44,'6215'!$45:$45,'6215'!$46:$46,'6215'!$47:$47,'6215'!$48:$48,'6215'!$49:$49,'6215'!$50:$50,'6215'!$51:$51</definedName>
    <definedName name="QB_DATA_2" localSheetId="19" hidden="1">'6220'!$36:$36,'6220'!$37:$37,'6220'!$38:$38,'6220'!$39:$39,'6220'!$40:$40,'6220'!$41:$41,'6220'!$42:$42,'6220'!$43:$43,'6220'!$44:$44,'6220'!$45:$45,'6220'!$46:$46,'6220'!$47:$47,'6220'!$48:$48,'6220'!$49:$49,'6220'!$50:$50,'6220'!$51:$51</definedName>
    <definedName name="QB_DATA_2" localSheetId="20" hidden="1">'6225'!$36:$36,'6225'!$37:$37,'6225'!$38:$38,'6225'!$39:$39,'6225'!$40:$40,'6225'!$41:$41,'6225'!$42:$42,'6225'!$43:$43,'6225'!$44:$44,'6225'!$45:$45,'6225'!$46:$46,'6225'!$47:$47,'6225'!$48:$48,'6225'!$49:$49,'6225'!$50:$50,'6225'!$51:$51</definedName>
    <definedName name="QB_DATA_2" localSheetId="23" hidden="1">'6240'!$36:$36,'6240'!$37:$37,'6240'!$38:$38,'6240'!$39:$39,'6240'!$40:$40,'6240'!$41:$41,'6240'!$42:$42,'6240'!$43:$43,'6240'!$44:$44,'6240'!$45:$45,'6240'!$46:$46,'6240'!$47:$47,'6240'!$48:$48,'6240'!$49:$49,'6240'!$50:$50,'6240'!$51:$51</definedName>
    <definedName name="QB_DATA_2" localSheetId="25" hidden="1">'6260'!$36:$36,'6260'!$37:$37,'6260'!$38:$38,'6260'!$39:$39,'6260'!$40:$40,'6260'!$41:$41,'6260'!$42:$42,'6260'!$43:$43,'6260'!$44:$44,'6260'!$45:$45,'6260'!$46:$46,'6260'!$47:$47,'6260'!$48:$48,'6260'!$49:$49,'6260'!$50:$50,'6260'!$51:$51</definedName>
    <definedName name="QB_DATA_2" localSheetId="26" hidden="1">'6280'!$36:$36,'6280'!$37:$37,'6280'!$38:$38,'6280'!$39:$39,'6280'!$40:$40,'6280'!$41:$41,'6280'!$42:$42,'6280'!$43:$43,'6280'!$44:$44,'6280'!$45:$45,'6280'!$46:$46,'6280'!$47:$47,'6280'!$48:$48,'6280'!$49:$49,'6280'!$50:$50,'6280'!$51:$51</definedName>
    <definedName name="QB_DATA_2" localSheetId="27" hidden="1">'6285'!$36:$36,'6285'!$37:$37,'6285'!$38:$38,'6285'!$39:$39,'6285'!$40:$40,'6285'!$41:$41,'6285'!$42:$42,'6285'!$43:$43,'6285'!$44:$44,'6285'!$45:$45,'6285'!$46:$46,'6285'!$47:$47,'6285'!$48:$48,'6285'!$49:$49,'6285'!$50:$50,'6285'!$51:$51</definedName>
    <definedName name="QB_DATA_2" localSheetId="30" hidden="1">'6310'!$36:$36,'6310'!$37:$37,'6310'!$38:$38,'6310'!$39:$39,'6310'!$40:$40,'6310'!$41:$41,'6310'!$42:$42,'6310'!$43:$43,'6310'!$44:$44,'6310'!$45:$45,'6310'!$46:$46,'6310'!$47:$47,'6310'!$48:$48,'6310'!$49:$49,'6310'!$50:$50,'6310'!$51:$51</definedName>
    <definedName name="QB_DATA_20" localSheetId="17" hidden="1">'6210'!$324:$324,'6210'!$325:$325,'6210'!$326:$326,'6210'!$327:$327,'6210'!$328:$328,'6210'!$329:$329,'6210'!$330:$330,'6210'!$331:$331,'6210'!$332:$332,'6210'!$333:$333,'6210'!$334:$334,'6210'!$335:$335,'6210'!$336:$336,'6210'!$337:$337,'6210'!$338:$338,'6210'!$339:$339</definedName>
    <definedName name="QB_DATA_21" localSheetId="17" hidden="1">'6210'!$340:$340,'6210'!$341:$341,'6210'!$342:$342,'6210'!$343:$343,'6210'!$344:$344,'6210'!$345:$345,'6210'!$346:$346,'6210'!$347:$347,'6210'!$348:$348,'6210'!$349:$349,'6210'!$350:$350,'6210'!$351:$351,'6210'!$352:$352,'6210'!$353:$353,'6210'!$354:$354,'6210'!$355:$355</definedName>
    <definedName name="QB_DATA_22" localSheetId="17" hidden="1">'6210'!$356:$356,'6210'!$357:$357,'6210'!$358:$358,'6210'!$359:$359,'6210'!$360:$360,'6210'!$361:$361,'6210'!$362:$362,'6210'!$363:$363,'6210'!$364:$364,'6210'!$365:$365,'6210'!$366:$366,'6210'!$367:$367,'6210'!$368:$368,'6210'!$369:$369,'6210'!$370:$370,'6210'!$371:$371</definedName>
    <definedName name="QB_DATA_23" localSheetId="17" hidden="1">'6210'!$372:$372,'6210'!$373:$373,'6210'!$374:$374,'6210'!$375:$375,'6210'!$376:$376,'6210'!$377:$377,'6210'!$378:$378,'6210'!$379:$379,'6210'!$380:$380,'6210'!$381:$381,'6210'!$382:$382,'6210'!$383:$383,'6210'!$384:$384,'6210'!$385:$385,'6210'!$386:$386,'6210'!$387:$387</definedName>
    <definedName name="QB_DATA_24" localSheetId="17" hidden="1">'6210'!$388:$388,'6210'!$389:$389,'6210'!$390:$390,'6210'!$391:$391,'6210'!$392:$392,'6210'!$393:$393,'6210'!$394:$394,'6210'!$395:$395,'6210'!$396:$396,'6210'!$397:$397,'6210'!$398:$398,'6210'!$399:$399,'6210'!$400:$400,'6210'!$401:$401,'6210'!$402:$402,'6210'!$403:$403</definedName>
    <definedName name="QB_DATA_25" localSheetId="17" hidden="1">'6210'!$404:$404,'6210'!$405:$405,'6210'!$406:$406,'6210'!$407:$407,'6210'!$408:$408,'6210'!$409:$409,'6210'!$410:$410,'6210'!$411:$411,'6210'!$412:$412,'6210'!$413:$413,'6210'!$414:$414,'6210'!$415:$415,'6210'!$416:$416,'6210'!$417:$417,'6210'!$418:$418,'6210'!$419:$419</definedName>
    <definedName name="QB_DATA_26" localSheetId="17" hidden="1">'6210'!$420:$420,'6210'!$421:$421,'6210'!$422:$422,'6210'!$423:$423,'6210'!$424:$424,'6210'!$425:$425,'6210'!$426:$426,'6210'!$427:$427,'6210'!$428:$428,'6210'!$429:$429,'6210'!$430:$430,'6210'!$431:$431,'6210'!$432:$432,'6210'!$433:$433,'6210'!$434:$434,'6210'!$435:$435</definedName>
    <definedName name="QB_DATA_27" localSheetId="17" hidden="1">'6210'!$436:$436,'6210'!$437:$437,'6210'!$438:$438,'6210'!$439:$439,'6210'!$440:$440,'6210'!$441:$441,'6210'!$442:$442,'6210'!$443:$443,'6210'!$444:$444,'6210'!$445:$445,'6210'!$446:$446,'6210'!$447:$447,'6210'!$448:$448,'6210'!$449:$449,'6210'!$450:$450,'6210'!$451:$451</definedName>
    <definedName name="QB_DATA_28" localSheetId="17" hidden="1">'6210'!$452:$452,'6210'!$453:$453,'6210'!$454:$454,'6210'!$455:$455,'6210'!$456:$456,'6210'!$457:$457,'6210'!$458:$458,'6210'!$459:$459,'6210'!$460:$460,'6210'!$461:$461,'6210'!$462:$462,'6210'!$463:$463,'6210'!$464:$464,'6210'!$465:$465,'6210'!$466:$466,'6210'!$467:$467</definedName>
    <definedName name="QB_DATA_29" localSheetId="17" hidden="1">'6210'!$468:$468,'6210'!$469:$469,'6210'!$470:$470,'6210'!$471:$471,'6210'!$472:$472,'6210'!$473:$473,'6210'!$474:$474,'6210'!$475:$475,'6210'!$476:$476,'6210'!$477:$477,'6210'!$478:$478,'6210'!$479:$479,'6210'!$480:$480,'6210'!$481:$481,'6210'!$482:$482,'6210'!$483:$483</definedName>
    <definedName name="QB_DATA_3" localSheetId="11" hidden="1">'6110'!$52:$52,'6110'!$53:$53,'6110'!$54:$54,'6110'!$55:$55,'6110'!$56:$56,'6110'!$57:$57,'6110'!$58:$58,'6110'!$59:$59,'6110'!$60:$60,'6110'!$61:$61,'6110'!$62:$62,'6110'!$63:$63,'6110'!$64:$64,'6110'!$65:$65,'6110'!$66:$66,'6110'!$67:$67</definedName>
    <definedName name="QB_DATA_3" localSheetId="13" hidden="1">'6130'!$52:$52,'6130'!$53:$53,'6130'!$54:$54,'6130'!$55:$55,'6130'!$56:$56,'6130'!$57:$57,'6130'!$58:$58,'6130'!$59:$59,'6130'!$60:$60,'6130'!$61:$61,'6130'!$62:$62,'6130'!$63:$63,'6130'!$64:$64,'6130'!$65:$65,'6130'!$66:$66,'6130'!$67:$67</definedName>
    <definedName name="QB_DATA_3" localSheetId="15" hidden="1">'6150'!$52:$52,'6150'!$53:$53,'6150'!$54:$54,'6150'!$55:$55,'6150'!$56:$56,'6150'!$57:$57,'6150'!$58:$58,'6150'!$59:$59,'6150'!$60:$60,'6150'!$61:$61,'6150'!$62:$62,'6150'!$63:$63,'6150'!$64:$64,'6150'!$65:$65,'6150'!$66:$66,'6150'!$67:$67</definedName>
    <definedName name="QB_DATA_3" localSheetId="17" hidden="1">'6210'!$52:$52,'6210'!$53:$53,'6210'!$54:$54,'6210'!$55:$55,'6210'!$56:$56,'6210'!$57:$57,'6210'!$58:$58,'6210'!$59:$59,'6210'!$60:$60,'6210'!$61:$61,'6210'!$62:$62,'6210'!$63:$63,'6210'!$64:$64,'6210'!$65:$65,'6210'!$66:$66,'6210'!$67:$67</definedName>
    <definedName name="QB_DATA_3" localSheetId="18" hidden="1">'6215'!$52:$52,'6215'!$53:$53,'6215'!$54:$54,'6215'!$55:$55</definedName>
    <definedName name="QB_DATA_3" localSheetId="19" hidden="1">'6220'!$52:$52,'6220'!$53:$53,'6220'!$54:$54,'6220'!$55:$55,'6220'!$56:$56,'6220'!$57:$57,'6220'!$58:$58,'6220'!$59:$59,'6220'!$60:$60,'6220'!$61:$61,'6220'!$62:$62,'6220'!$63:$63,'6220'!$64:$64,'6220'!$65:$65,'6220'!$66:$66,'6220'!$67:$67</definedName>
    <definedName name="QB_DATA_3" localSheetId="20" hidden="1">'6225'!$52:$52,'6225'!$53:$53,'6225'!$54:$54,'6225'!$55:$55,'6225'!$56:$56,'6225'!$57:$57,'6225'!$58:$58,'6225'!$59:$59,'6225'!$60:$60,'6225'!$61:$61,'6225'!$62:$62,'6225'!$63:$63,'6225'!$64:$64,'6225'!$65:$65,'6225'!$66:$66,'6225'!$67:$67</definedName>
    <definedName name="QB_DATA_3" localSheetId="23" hidden="1">'6240'!$52:$52,'6240'!$53:$53,'6240'!$54:$54,'6240'!$55:$55,'6240'!$56:$56,'6240'!$57:$57,'6240'!$58:$58,'6240'!$59:$59,'6240'!$60:$60,'6240'!$61:$61,'6240'!$62:$62,'6240'!$63:$63,'6240'!$64:$64,'6240'!$65:$65,'6240'!$66:$66,'6240'!$67:$67</definedName>
    <definedName name="QB_DATA_3" localSheetId="25" hidden="1">'6260'!$52:$52,'6260'!$53:$53,'6260'!$54:$54,'6260'!$55:$55,'6260'!$56:$56,'6260'!$57:$57,'6260'!$58:$58,'6260'!$59:$59,'6260'!$60:$60,'6260'!$61:$61,'6260'!$62:$62,'6260'!$63:$63,'6260'!$64:$64,'6260'!$65:$65,'6260'!$66:$66,'6260'!$67:$67</definedName>
    <definedName name="QB_DATA_3" localSheetId="26" hidden="1">'6280'!$52:$52,'6280'!$53:$53,'6280'!$54:$54,'6280'!$55:$55</definedName>
    <definedName name="QB_DATA_3" localSheetId="27" hidden="1">'6285'!$52:$52,'6285'!$53:$53,'6285'!$54:$54,'6285'!$55:$55,'6285'!$56:$56,'6285'!$57:$57,'6285'!$58:$58,'6285'!$59:$59,'6285'!$60:$60,'6285'!$61:$61,'6285'!$62:$62,'6285'!$63:$63,'6285'!$64:$64,'6285'!$65:$65,'6285'!$66:$66,'6285'!$67:$67</definedName>
    <definedName name="QB_DATA_3" localSheetId="30" hidden="1">'6310'!$52:$52,'6310'!$53:$53,'6310'!$54:$54,'6310'!$55:$55,'6310'!$56:$56,'6310'!$57:$57,'6310'!$58:$58,'6310'!$59:$59,'6310'!$60:$60,'6310'!$61:$61,'6310'!$62:$62,'6310'!$63:$63,'6310'!$64:$64,'6310'!$65:$65,'6310'!$66:$66,'6310'!$67:$67</definedName>
    <definedName name="QB_DATA_30" localSheetId="17" hidden="1">'6210'!$484:$484,'6210'!$485:$485,'6210'!$486:$486,'6210'!$487:$487,'6210'!$488:$488,'6210'!$489:$489,'6210'!$490:$490,'6210'!$491:$491,'6210'!$492:$492,'6210'!$493:$493,'6210'!$494:$494,'6210'!$495:$495,'6210'!$496:$496,'6210'!$497:$497,'6210'!$498:$498,'6210'!$499:$499</definedName>
    <definedName name="QB_DATA_31" localSheetId="17" hidden="1">'6210'!$500:$500,'6210'!$501:$501,'6210'!$502:$502,'6210'!$503:$503,'6210'!$504:$504,'6210'!$505:$505,'6210'!$506:$506,'6210'!$507:$507,'6210'!$508:$508,'6210'!$509:$509,'6210'!$510:$510,'6210'!$511:$511,'6210'!$512:$512,'6210'!$513:$513,'6210'!$514:$514,'6210'!$515:$515</definedName>
    <definedName name="QB_DATA_32" localSheetId="17" hidden="1">'6210'!$516:$516,'6210'!$517:$517,'6210'!$518:$518,'6210'!$519:$519,'6210'!$520:$520,'6210'!$521:$521,'6210'!$522:$522,'6210'!$523:$523,'6210'!$524:$524,'6210'!$525:$525,'6210'!$526:$526,'6210'!$527:$527,'6210'!$528:$528,'6210'!$529:$529,'6210'!$530:$530,'6210'!$531:$531</definedName>
    <definedName name="QB_DATA_33" localSheetId="17" hidden="1">'6210'!$532:$532,'6210'!$533:$533,'6210'!$534:$534,'6210'!$535:$535,'6210'!$536:$536,'6210'!$537:$537,'6210'!$538:$538,'6210'!$539:$539,'6210'!$540:$540,'6210'!$541:$541,'6210'!$542:$542,'6210'!$543:$543,'6210'!$544:$544,'6210'!$545:$545,'6210'!$546:$546,'6210'!$547:$547</definedName>
    <definedName name="QB_DATA_34" localSheetId="17" hidden="1">'6210'!$548:$548,'6210'!$549:$549,'6210'!$550:$550,'6210'!$551:$551,'6210'!$552:$552,'6110'!$147:$147</definedName>
    <definedName name="QB_DATA_4" localSheetId="11" hidden="1">'6110'!$68:$68,'6110'!$69:$69,'6110'!$70:$70,'6110'!$71:$71,'6110'!$72:$72,'6110'!$73:$73,'6110'!$74:$74,'6110'!$75:$75,'6110'!$76:$76,'6110'!$77:$77,'6110'!$78:$78,'6110'!$79:$79,'6110'!$80:$80,'6110'!$81:$81,'6110'!$82:$82,'6110'!$83:$83</definedName>
    <definedName name="QB_DATA_4" localSheetId="13" hidden="1">'6130'!$68:$68,'6130'!$69:$69,'6130'!$70:$70,'6130'!$71:$71,'6130'!$72:$72,'6130'!$73:$73,'6130'!$74:$74,'6130'!$75:$75,'6130'!$76:$76,'6130'!$77:$77,'6130'!$78:$78,'6130'!$79:$79,'6130'!$80:$80,'6130'!$81:$81,'6130'!$82:$82,'6130'!$83:$83</definedName>
    <definedName name="QB_DATA_4" localSheetId="15" hidden="1">'6150'!$68:$68,'6150'!$69:$69,'6150'!$70:$70,'6150'!$71:$71,'6150'!$72:$72,'6150'!$73:$73,'6150'!$74:$74,'6150'!$75:$75,'6150'!$76:$76,'6150'!$77:$77,'6150'!$78:$78,'6150'!$79:$79,'6150'!$80:$80</definedName>
    <definedName name="QB_DATA_4" localSheetId="17" hidden="1">'6210'!$68:$68,'6210'!$69:$69,'6210'!$70:$70,'6210'!$71:$71,'6210'!$72:$72,'6210'!$73:$73,'6210'!$74:$74,'6210'!$75:$75,'6210'!$76:$76,'6210'!$77:$77,'6210'!$78:$78,'6210'!$79:$79,'6210'!$80:$80,'6210'!$81:$81,'6210'!$82:$82,'6210'!$83:$83</definedName>
    <definedName name="QB_DATA_4" localSheetId="19" hidden="1">'6220'!$68:$68,'6220'!$69:$69,'6220'!$70:$70,'6220'!$71:$71,'6220'!$72:$72,'6220'!$73:$73,'6220'!$74:$74,'6220'!$75:$75,'6220'!$76:$76,'6220'!$77:$77,'6220'!$78:$78,'6220'!$79:$79,'6220'!$80:$80,'6220'!$81:$81,'6220'!$82:$82,'6220'!$83:$83</definedName>
    <definedName name="QB_DATA_4" localSheetId="20" hidden="1">'6225'!$68:$68,'6225'!$69:$69,'6225'!$70:$70,'6225'!$71:$71,'6225'!$72:$72,'6225'!$73:$73,'6225'!$74:$74,'6225'!$75:$75,'6225'!$76:$76,'6225'!$77:$77,'6225'!$78:$78,'6225'!$79:$79,'6225'!$80:$80,'6225'!$81:$81,'6225'!$82:$82,'6225'!$83:$83</definedName>
    <definedName name="QB_DATA_4" localSheetId="23" hidden="1">'6240'!$68:$68,'6240'!$69:$69,'6240'!$70:$70,'6240'!$71:$71,'6240'!$72:$72,'6240'!$73:$73,'6240'!$74:$74,'6240'!$75:$75,'6240'!$76:$76,'6240'!$77:$77</definedName>
    <definedName name="QB_DATA_4" localSheetId="25" hidden="1">'6260'!$68:$68,'6260'!$69:$69,'6260'!$70:$70,'6260'!$71:$71,'6260'!$72:$72,'6260'!$73:$73,'6260'!$74:$74,'6260'!$75:$75,'6260'!$76:$76,'6260'!$77:$77,'6260'!$78:$78,'6260'!$79:$79,'6260'!$80:$80,'6260'!$81:$81,'6260'!$82:$82,'6260'!$83:$83</definedName>
    <definedName name="QB_DATA_4" localSheetId="27" hidden="1">'6285'!$68:$68,'6285'!$69:$69,'6285'!$70:$70,'6285'!$71:$71,'6285'!$72:$72,'6285'!$73:$73,'6285'!$74:$74,'6285'!$75:$75,'6285'!$76:$76,'6285'!$77:$77,'6285'!$78:$78,'6285'!$79:$79,'6285'!$80:$80,'6285'!$81:$81,'6285'!$82:$82,'6285'!$83:$83</definedName>
    <definedName name="QB_DATA_4" localSheetId="30" hidden="1">'6310'!$68:$68,'6310'!$69:$69,'6310'!$70:$70,'6310'!$71:$71,'6310'!$72:$72,'6310'!$73:$73,'6310'!$74:$74,'6310'!$75:$75,'6310'!$76:$76,'6310'!$77:$77,'6310'!$78:$78,'6310'!$79:$79,'6310'!$80:$80,'6310'!$81:$81,'6310'!$82:$82,'6310'!$83:$83</definedName>
    <definedName name="QB_DATA_5" localSheetId="11" hidden="1">'6110'!$84:$84,'6110'!$85:$85,'6110'!$86:$86,'6110'!$87:$87,'6110'!$88:$88,'6110'!$89:$89,'6110'!$90:$90,'6110'!$91:$91,'6110'!$92:$92,'6110'!$93:$93,'6110'!$94:$94,'6110'!$95:$95,'6110'!$96:$96,'6110'!$97:$97,'6110'!$98:$98,'6110'!$99:$99</definedName>
    <definedName name="QB_DATA_5" localSheetId="13" hidden="1">'6130'!$84:$84,'6130'!$85:$85,'6130'!$86:$86,'6130'!$87:$87,'6130'!$88:$88,'6130'!$89:$89,'6130'!$90:$90,'6130'!$91:$91,'6130'!$92:$92,'6130'!$93:$93,'6130'!$94:$94,'6130'!$95:$95,'6130'!$96:$96,'6130'!$97:$97,'6130'!$98:$98,'6130'!$99:$99</definedName>
    <definedName name="QB_DATA_5" localSheetId="17" hidden="1">'6210'!$84:$84,'6210'!$85:$85,'6210'!$86:$86,'6210'!$87:$87,'6210'!$88:$88,'6210'!$89:$89,'6210'!$90:$90,'6210'!$91:$91,'6210'!$92:$92,'6210'!$93:$93,'6210'!$94:$94,'6210'!$95:$95,'6210'!$96:$96,'6210'!$97:$97,'6210'!$98:$98,'6210'!$99:$99</definedName>
    <definedName name="QB_DATA_5" localSheetId="19" hidden="1">'6220'!$84:$84,'6220'!$85:$85,'6220'!$86:$86,'6220'!$87:$87,'6220'!$88:$88,'6220'!$89:$89,'6220'!$90:$90,'6220'!$91:$91,'6220'!$92:$92,'6220'!$93:$93,'6220'!$94:$94,'6220'!$95:$95,'6220'!$96:$96,'6220'!$97:$97,'6220'!$98:$98,'6220'!$99:$99</definedName>
    <definedName name="QB_DATA_5" localSheetId="20" hidden="1">'6225'!$84:$84,'6225'!$85:$85,'6225'!$86:$86,'6225'!$87:$87,'6225'!$88:$88,'6225'!$89:$89,'6225'!$90:$90,'6225'!$91:$91,'6225'!$92:$92,'6225'!$93:$93,'6225'!$94:$94,'6225'!$95:$95,'6225'!$96:$96,'6225'!$97:$97,'6225'!$98:$98,'6225'!$99:$99</definedName>
    <definedName name="QB_DATA_5" localSheetId="25" hidden="1">'6260'!$84:$84,'6260'!$85:$85,'6260'!$86:$86,'6260'!$87:$87,'6260'!$88:$88,'6260'!$89:$89,'6260'!$90:$90,'6260'!$91:$91,'6260'!$92:$92,'6260'!$93:$93,'6260'!$94:$94,'6260'!$95:$95,'6260'!$96:$96,'6260'!$97:$97,'6260'!$98:$98,'6260'!$99:$99</definedName>
    <definedName name="QB_DATA_5" localSheetId="27" hidden="1">'6285'!$84:$84,'6285'!$85:$85,'6285'!$86:$86,'6285'!$87:$87,'6285'!$88:$88,'6285'!$89:$89,'6285'!$90:$90,'6285'!$91:$91,'6285'!$92:$92,'6285'!$93:$93,'6285'!$94:$94,'6285'!$95:$95,'6285'!$96:$96,'6285'!$97:$97,'6285'!$98:$98,'6285'!$99:$99</definedName>
    <definedName name="QB_DATA_5" localSheetId="30" hidden="1">'6310'!$84:$84,'6310'!$85:$85,'6310'!$86:$86,'6310'!$87:$87,'6310'!$88:$88,'6310'!$89:$89,'6310'!$90:$90,'6310'!$91:$91,'6310'!$92:$92,'6310'!$93:$93,'6310'!$94:$94,'6310'!$95:$95,'6310'!$96:$96,'6310'!$97:$97,'6310'!$98:$98,'6310'!$99:$99</definedName>
    <definedName name="QB_DATA_6" localSheetId="11" hidden="1">'6110'!$100:$100,'6110'!$101:$101,'6110'!$102:$102,'6110'!$103:$103,'6110'!$104:$104,'6110'!$105:$105,'6110'!$106:$106,'6110'!$107:$107,'6110'!$108:$108,'6110'!$109:$109,'6110'!$110:$110,'6110'!$111:$111,'6110'!$112:$112,'6110'!$113:$113,'6110'!$114:$114,'6110'!$115:$115</definedName>
    <definedName name="QB_DATA_6" localSheetId="13" hidden="1">'6130'!$100:$100,'6130'!$101:$101,'6130'!$102:$102,'6130'!$103:$103,'6130'!$104:$104,'6130'!$105:$105,'6130'!$106:$106,'6130'!$107:$107,'6130'!$108:$108,'6130'!$109:$109,'6130'!$110:$110,'6130'!$111:$111,'6130'!$112:$112,'6130'!$113:$113,'6130'!$114:$114,'6130'!$115:$115</definedName>
    <definedName name="QB_DATA_6" localSheetId="17" hidden="1">'6210'!$100:$100,'6210'!$101:$101,'6210'!$102:$102,'6210'!$103:$103,'6210'!$104:$104,'6210'!$105:$105,'6210'!$106:$106,'6210'!$107:$107,'6210'!$108:$108,'6210'!$109:$109,'6210'!$110:$110,'6210'!$111:$111,'6210'!$112:$112,'6210'!$113:$113,'6210'!$114:$114,'6210'!$115:$115</definedName>
    <definedName name="QB_DATA_6" localSheetId="19" hidden="1">'6220'!$100:$100,'6220'!$101:$101</definedName>
    <definedName name="QB_DATA_6" localSheetId="20" hidden="1">'6225'!$100:$100,'6225'!$101:$101,'6225'!$102:$102,'6225'!$103:$103,'6225'!$104:$104,'6225'!$105:$105,'6225'!$106:$106,'6225'!$107:$107,'6225'!$108:$108,'6225'!$109:$109,'6225'!$110:$110,'6225'!$111:$111,'6225'!$112:$112,'6225'!$113:$113,'6225'!$114:$114,'6225'!$115:$115</definedName>
    <definedName name="QB_DATA_6" localSheetId="25" hidden="1">'6260'!$100:$100,'6260'!$101:$101,'6260'!$102:$102,'6260'!$103:$103,'6260'!$104:$104,'6260'!$105:$105,'6260'!$106:$106,'6260'!$107:$107,'6260'!$108:$108,'6260'!$109:$109,'6260'!$110:$110,'6260'!$111:$111,'6260'!$112:$112,'6260'!$113:$113,'6260'!$114:$114,'6260'!$115:$115</definedName>
    <definedName name="QB_DATA_6" localSheetId="27" hidden="1">'6285'!$100:$100,'6285'!$101:$101,'6285'!$102:$102,'6285'!$103:$103,'6285'!$104:$104</definedName>
    <definedName name="QB_DATA_6" localSheetId="30" hidden="1">'6310'!$100:$100,'6310'!$101:$101,'6310'!$102:$102,'6310'!$103:$103,'6310'!$104:$104,'6310'!$105:$105,'6310'!$106:$106,'6310'!$107:$107,'6310'!$108:$108,'6310'!$109:$109,'6310'!$110:$110,'6310'!$111:$111,'6310'!$112:$112,'6310'!$113:$113,'6310'!$114:$114,'6310'!$115:$115</definedName>
    <definedName name="QB_DATA_7" localSheetId="11" hidden="1">'6110'!$116:$116,'6110'!$117:$117,'6110'!$118:$118,'6110'!$119:$119,'6110'!$120:$120,'6110'!$121:$121,'6110'!$122:$122,'6110'!$123:$123,'6110'!$124:$124,'6110'!$125:$125,'6110'!$126:$126,'6110'!$127:$127,'6110'!$128:$128,'6110'!$129:$129,'6110'!$130:$130,'6110'!$131:$131</definedName>
    <definedName name="QB_DATA_7" localSheetId="13" hidden="1">'6130'!$116:$116,'6130'!$117:$117,'6130'!$118:$118,'6130'!$119:$119,'6130'!$120:$120,'6130'!$121:$121,'6130'!$122:$122,'6130'!$123:$123,'6130'!$124:$124,'6130'!$125:$125,'6130'!$126:$126,'6130'!$127:$127,'6130'!$128:$128,'6130'!$129:$129,'6130'!$130:$130,'6130'!$131:$131</definedName>
    <definedName name="QB_DATA_7" localSheetId="17" hidden="1">'6210'!$116:$116,'6210'!$117:$117,'6210'!$118:$118,'6210'!$119:$119,'6210'!$120:$120,'6210'!$121:$121,'6210'!$122:$122,'6210'!$123:$123,'6210'!$124:$124,'6210'!$125:$125,'6210'!$126:$126,'6210'!$127:$127,'6210'!$128:$128,'6210'!$129:$129,'6210'!$130:$130,'6210'!$131:$131</definedName>
    <definedName name="QB_DATA_7" localSheetId="20" hidden="1">'6225'!$116:$116,'6225'!$117:$117,'6225'!$118:$118,'6225'!$119:$119,'6225'!$120:$120,'6225'!$121:$121,'6225'!$122:$122,'6225'!$123:$123,'6225'!$124:$124,'6225'!$125:$125,'6225'!$126:$126,'6225'!$127:$127,'6225'!$128:$128,'6225'!$129:$129,'6225'!$130:$130,'6225'!$131:$131</definedName>
    <definedName name="QB_DATA_7" localSheetId="25" hidden="1">'6260'!$116:$116,'6260'!$117:$117,'6260'!$118:$118,'6260'!$119:$119,'6260'!$120:$120,'6260'!$121:$121,'6260'!$122:$122,'6260'!$123:$123,'6260'!$124:$124,'6260'!$125:$125,'6260'!$126:$126,'6260'!$127:$127,'6260'!$128:$128,'6260'!$129:$129,'6260'!$130:$130,'6260'!$131:$131</definedName>
    <definedName name="QB_DATA_7" localSheetId="30" hidden="1">'6310'!$116:$116,'6310'!$117:$117,'6310'!$118:$118,'6310'!$119:$119,'6310'!$120:$120,'6310'!$121:$121,'6310'!$122:$122,'6310'!$123:$123,'6310'!$124:$124,'6310'!$125:$125,'6310'!$126:$126,'6310'!$127:$127,'6310'!$128:$128,'6310'!$129:$129,'6310'!$130:$130,'6310'!$131:$131</definedName>
    <definedName name="QB_DATA_8" localSheetId="11" hidden="1">'6110'!$132:$132,'6110'!$133:$133,'6110'!$134:$134,'6110'!$135:$135,'6110'!$136:$136,'6110'!$137:$137,'6110'!$138:$138,'6110'!$139:$139,'6110'!$140:$140,'6110'!$141:$141,'6110'!$142:$142,'6110'!$143:$143,'6110'!$144:$144,'6110'!$145:$145,'6110'!$146:$146,'6110'!$148:$148</definedName>
    <definedName name="QB_DATA_8" localSheetId="13" hidden="1">'6130'!$132:$132,'6130'!$133:$133,'6130'!$134:$134,'6130'!$135:$135,'6130'!$136:$136,'6130'!$137:$137,'6130'!$138:$138,'6130'!$139:$139,'6130'!$140:$140,'6130'!$141:$141,'6130'!$142:$142,'6130'!$143:$143,'6130'!$144:$144,'6130'!$145:$145,'6130'!$146:$146,'6130'!$147:$147</definedName>
    <definedName name="QB_DATA_8" localSheetId="17" hidden="1">'6210'!$132:$132,'6210'!$133:$133,'6210'!$134:$134,'6210'!$135:$135,'6210'!$136:$136,'6210'!$137:$137,'6210'!$138:$138,'6210'!$139:$139,'6210'!$140:$140,'6210'!$141:$141,'6210'!$142:$142,'6210'!$143:$143,'6210'!$144:$144,'6210'!$145:$145,'6210'!$146:$146,'6210'!$147:$147</definedName>
    <definedName name="QB_DATA_8" localSheetId="20" hidden="1">'6225'!$132:$132,'6225'!$133:$133,'6225'!$134:$134,'6225'!$135:$135,'6225'!$136:$136,'6225'!$137:$137,'6225'!$138:$138,'6225'!$139:$139,'6225'!$140:$140,'6225'!$141:$141,'6225'!$142:$142,'6225'!$143:$143,'6225'!$144:$144,'6225'!$145:$145,'6225'!$146:$146,'6225'!$147:$147</definedName>
    <definedName name="QB_DATA_8" localSheetId="25" hidden="1">'6260'!$132:$132,'6260'!$133:$133,'6260'!$134:$134,'6260'!$135:$135,'6260'!$136:$136,'6260'!$137:$137,'6260'!$138:$138,'6260'!$139:$139,'6260'!$140:$140,'6260'!$141:$141,'6260'!$142:$142,'6260'!$143:$143,'6260'!$144:$144,'6260'!$145:$145,'6260'!$146:$146,'6260'!$147:$147</definedName>
    <definedName name="QB_DATA_8" localSheetId="30" hidden="1">'6310'!$132:$132,'6310'!$133:$133,'6310'!$134:$134,'6310'!$135:$135,'6310'!$136:$136,'6310'!$137:$137,'6310'!$138:$138,'6310'!$139:$139,'6310'!$140:$140,'6310'!$141:$141,'6310'!$142:$142,'6310'!$143:$143,'6310'!$144:$144,'6310'!$145:$145,'6310'!$146:$146,'6310'!$147:$147</definedName>
    <definedName name="QB_DATA_9" localSheetId="13" hidden="1">'6130'!$148:$148,'6130'!$149:$149,'6130'!$150:$150,'6130'!$151:$151,'6130'!$152:$152,'6130'!$153:$153,'6130'!$154:$154,'6130'!$155:$155,'6130'!$156:$156,'6130'!$157:$157,'6130'!$158:$158,'6130'!$159:$159,'6130'!$160:$160,'6130'!$161:$161,'6130'!$162:$162,'6130'!$163:$163</definedName>
    <definedName name="QB_DATA_9" localSheetId="17" hidden="1">'6210'!$148:$148,'6210'!$149:$149,'6210'!$150:$150,'6210'!$151:$151,'6210'!$152:$152,'6210'!$153:$153,'6210'!$154:$154,'6210'!$155:$155,'6210'!$156:$156,'6210'!$157:$157,'6210'!$158:$158,'6210'!$159:$159,'6210'!$160:$160,'6210'!$161:$161,'6210'!$162:$162,'6210'!$163:$163</definedName>
    <definedName name="QB_DATA_9" localSheetId="20" hidden="1">'6225'!$148:$148,'6225'!$149:$149,'6225'!$150:$150,'6225'!$151:$151,'6225'!$152:$152,'6225'!$153:$153,'6225'!$154:$154,'6225'!$155:$155,'6225'!$156:$156,'6225'!$157:$157,'6225'!$158:$158,'6225'!$159:$159,'6225'!$160:$160,'6225'!$161:$161,'6225'!$162:$162,'6225'!$163:$163</definedName>
    <definedName name="QB_DATA_9" localSheetId="25" hidden="1">'6260'!$148:$148,'6260'!$149:$149,'6260'!$150:$150,'6260'!$151:$151,'6260'!$152:$152,'6260'!$153:$153,'6260'!$154:$154,'6260'!$155:$155,'6260'!$156:$156,'6260'!$157:$157,'6260'!$158:$158,'6260'!$159:$159,'6260'!$160:$160,'6260'!$161:$161,'6260'!$162:$162,'6260'!$163:$163</definedName>
    <definedName name="QB_DATA_9" localSheetId="30" hidden="1">'6310'!$148:$148,'6310'!$149:$149,'6310'!$150:$150,'6310'!$151:$151,'6310'!$152:$152,'6310'!$153:$153</definedName>
    <definedName name="QB_FORMULA_0" localSheetId="11" hidden="1">'6110'!$K$149,'6110'!$K$150,'6110'!$K$151</definedName>
    <definedName name="QB_FORMULA_0" localSheetId="12" hidden="1">'6120'!$K$52,'6120'!$K$53,'6120'!$K$54</definedName>
    <definedName name="QB_FORMULA_0" localSheetId="13" hidden="1">'6130'!$K$166,'6130'!$K$167,'6130'!$K$168</definedName>
    <definedName name="QB_FORMULA_0" localSheetId="14" hidden="1">'6140'!$K$14,'6140'!$K$15,'6140'!$K$16</definedName>
    <definedName name="QB_FORMULA_0" localSheetId="15" hidden="1">'6150'!$K$81,'6150'!$K$82,'6150'!$K$83</definedName>
    <definedName name="QB_FORMULA_0" localSheetId="16" hidden="1">'6160'!$K$49,'6160'!$K$50,'6160'!$K$51</definedName>
    <definedName name="QB_FORMULA_0" localSheetId="17" hidden="1">'6210'!$K$554,'6210'!$K$555,'6210'!$K$556</definedName>
    <definedName name="QB_FORMULA_0" localSheetId="18" hidden="1">'6215'!$K$56,'6215'!$K$57,'6215'!$K$58</definedName>
    <definedName name="QB_FORMULA_0" localSheetId="19" hidden="1">'6220'!$K$102,'6220'!$K$103,'6220'!$K$104</definedName>
    <definedName name="QB_FORMULA_0" localSheetId="20" hidden="1">'6225'!$K$185,'6225'!$K$186,'6225'!$K$187</definedName>
    <definedName name="QB_FORMULA_0" localSheetId="21" hidden="1">'6235'!$K$28,'6235'!$K$29,'6235'!$K$30</definedName>
    <definedName name="QB_FORMULA_0" localSheetId="22" hidden="1">'6236'!$K$25,'6236'!$K$26,'6236'!$K$27</definedName>
    <definedName name="QB_FORMULA_0" localSheetId="23" hidden="1">'6240'!$K$78,'6240'!$K$79,'6240'!$K$80</definedName>
    <definedName name="QB_FORMULA_0" localSheetId="25" hidden="1">'6260'!$K$282,'6260'!$K$283</definedName>
    <definedName name="QB_FORMULA_0" localSheetId="26" hidden="1">'6280'!$K$56,'6280'!$K$57,'6280'!$K$58</definedName>
    <definedName name="QB_FORMULA_0" localSheetId="27" hidden="1">'6285'!$K$105,'6285'!$K$106,'6285'!$K$107</definedName>
    <definedName name="QB_FORMULA_0" localSheetId="28" hidden="1">'6290'!$K$16,'6290'!$K$17,'6290'!$K$18</definedName>
    <definedName name="QB_FORMULA_0" localSheetId="30" hidden="1">'6310'!$K$154,'6310'!$K$155,'6310'!$K$156</definedName>
    <definedName name="QB_FORMULA_0" localSheetId="31" hidden="1">'6320'!$K$6,'6320'!$K$7,'6320'!$K$8</definedName>
    <definedName name="QB_FORMULA_0" localSheetId="32" hidden="1">'6330'!$K$20,'6330'!$K$21,'6330'!$K$22</definedName>
    <definedName name="QB_FORMULA_0" localSheetId="34" hidden="1">'6350'!$K$6,'6350'!$K$7,'6350'!$K$8</definedName>
    <definedName name="QB_FORMULA_0" localSheetId="35" hidden="1">'6810'!$K$5,'6810'!$K$6,'6810'!$K$7</definedName>
    <definedName name="QB_ROW_161020" localSheetId="16" hidden="1">'6160'!$C$3</definedName>
    <definedName name="QB_ROW_161320" localSheetId="16" hidden="1">'6160'!$C$49</definedName>
    <definedName name="QB_ROW_163010" localSheetId="11" hidden="1">'6110'!$B$2</definedName>
    <definedName name="QB_ROW_163010" localSheetId="12" hidden="1">'6120'!$B$2</definedName>
    <definedName name="QB_ROW_163010" localSheetId="13" hidden="1">'6130'!$B$2</definedName>
    <definedName name="QB_ROW_163010" localSheetId="14" hidden="1">'6140'!$B$2</definedName>
    <definedName name="QB_ROW_163010" localSheetId="15" hidden="1">'6150'!$B$2</definedName>
    <definedName name="QB_ROW_163010" localSheetId="16" hidden="1">'6160'!$B$2</definedName>
    <definedName name="QB_ROW_163310" localSheetId="11" hidden="1">'6110'!$B$150</definedName>
    <definedName name="QB_ROW_163310" localSheetId="12" hidden="1">'6120'!$B$53</definedName>
    <definedName name="QB_ROW_163310" localSheetId="13" hidden="1">'6130'!$B$167</definedName>
    <definedName name="QB_ROW_163310" localSheetId="14" hidden="1">'6140'!$B$15</definedName>
    <definedName name="QB_ROW_163310" localSheetId="15" hidden="1">'6150'!$B$82</definedName>
    <definedName name="QB_ROW_163310" localSheetId="16" hidden="1">'6160'!$B$50</definedName>
    <definedName name="QB_ROW_164020" localSheetId="22" hidden="1">'6236'!$C$3</definedName>
    <definedName name="QB_ROW_164320" localSheetId="22" hidden="1">'6236'!$C$25</definedName>
    <definedName name="QB_ROW_165020" localSheetId="20" hidden="1">'6225'!$C$3</definedName>
    <definedName name="QB_ROW_165320" localSheetId="20" hidden="1">'6225'!$C$185</definedName>
    <definedName name="QB_ROW_166020" localSheetId="18" hidden="1">'6215'!$C$3</definedName>
    <definedName name="QB_ROW_166320" localSheetId="18" hidden="1">'6215'!$C$56</definedName>
    <definedName name="QB_ROW_168010" localSheetId="17" hidden="1">'6210'!$B$2</definedName>
    <definedName name="QB_ROW_168010" localSheetId="18" hidden="1">'6215'!$B$2</definedName>
    <definedName name="QB_ROW_168010" localSheetId="19" hidden="1">'6220'!$B$2</definedName>
    <definedName name="QB_ROW_168010" localSheetId="20" hidden="1">'6225'!$B$2</definedName>
    <definedName name="QB_ROW_168010" localSheetId="21" hidden="1">'6235'!$B$2</definedName>
    <definedName name="QB_ROW_168010" localSheetId="22" hidden="1">'6236'!$B$2</definedName>
    <definedName name="QB_ROW_168010" localSheetId="23" hidden="1">'6240'!$B$2</definedName>
    <definedName name="QB_ROW_168010" localSheetId="25" hidden="1">'6260'!$B$2</definedName>
    <definedName name="QB_ROW_168010" localSheetId="26" hidden="1">'6280'!$B$2</definedName>
    <definedName name="QB_ROW_168010" localSheetId="27" hidden="1">'6285'!$B$2</definedName>
    <definedName name="QB_ROW_168010" localSheetId="28" hidden="1">'6290'!$B$2</definedName>
    <definedName name="QB_ROW_168310" localSheetId="17" hidden="1">'6210'!$B$555</definedName>
    <definedName name="QB_ROW_168310" localSheetId="18" hidden="1">'6215'!$B$57</definedName>
    <definedName name="QB_ROW_168310" localSheetId="19" hidden="1">'6220'!$B$103</definedName>
    <definedName name="QB_ROW_168310" localSheetId="20" hidden="1">'6225'!$B$186</definedName>
    <definedName name="QB_ROW_168310" localSheetId="21" hidden="1">'6235'!$B$29</definedName>
    <definedName name="QB_ROW_168310" localSheetId="22" hidden="1">'6236'!$B$26</definedName>
    <definedName name="QB_ROW_168310" localSheetId="23" hidden="1">'6240'!$B$79</definedName>
    <definedName name="QB_ROW_168310" localSheetId="25" hidden="1">'6260'!$B$282</definedName>
    <definedName name="QB_ROW_168310" localSheetId="26" hidden="1">'6280'!$B$57</definedName>
    <definedName name="QB_ROW_168310" localSheetId="27" hidden="1">'6285'!$B$106</definedName>
    <definedName name="QB_ROW_168310" localSheetId="28" hidden="1">'6290'!$B$17</definedName>
    <definedName name="QB_ROW_169020" localSheetId="27" hidden="1">'6285'!$C$3</definedName>
    <definedName name="QB_ROW_169320" localSheetId="27" hidden="1">'6285'!$C$105</definedName>
    <definedName name="QB_ROW_172010" localSheetId="35" hidden="1">'6810'!$B$2</definedName>
    <definedName name="QB_ROW_172310" localSheetId="35" hidden="1">'6810'!$B$6</definedName>
    <definedName name="QB_ROW_178020" localSheetId="28" hidden="1">'6290'!$C$3</definedName>
    <definedName name="QB_ROW_178320" localSheetId="28" hidden="1">'6290'!$C$16</definedName>
    <definedName name="QB_ROW_179020" localSheetId="26" hidden="1">'6280'!$C$3</definedName>
    <definedName name="QB_ROW_179320" localSheetId="26" hidden="1">'6280'!$C$56</definedName>
    <definedName name="QB_ROW_181020" localSheetId="25" hidden="1">'6260'!$C$3</definedName>
    <definedName name="QB_ROW_181320" localSheetId="25" hidden="1">'6260'!$C$281</definedName>
    <definedName name="QB_ROW_183020" localSheetId="35" hidden="1">'6810'!$C$3</definedName>
    <definedName name="QB_ROW_183320" localSheetId="35" hidden="1">'6810'!$C$5</definedName>
    <definedName name="QB_ROW_184020" localSheetId="17" hidden="1">'6210'!$C$3</definedName>
    <definedName name="QB_ROW_184320" localSheetId="17" hidden="1">'6210'!$C$554</definedName>
    <definedName name="QB_ROW_186020" localSheetId="23" hidden="1">'6240'!$C$3</definedName>
    <definedName name="QB_ROW_186320" localSheetId="23" hidden="1">'6240'!$C$78</definedName>
    <definedName name="QB_ROW_187020" localSheetId="13" hidden="1">'6130'!$C$3</definedName>
    <definedName name="QB_ROW_187320" localSheetId="13" hidden="1">'6130'!$C$166</definedName>
    <definedName name="QB_ROW_188020" localSheetId="19" hidden="1">'6220'!$C$3</definedName>
    <definedName name="QB_ROW_188320" localSheetId="19" hidden="1">'6220'!$C$102</definedName>
    <definedName name="QB_ROW_189020" localSheetId="14" hidden="1">'6140'!$C$3</definedName>
    <definedName name="QB_ROW_189320" localSheetId="14" hidden="1">'6140'!$C$14</definedName>
    <definedName name="QB_ROW_191020" localSheetId="11" hidden="1">'6110'!$C$3</definedName>
    <definedName name="QB_ROW_191320" localSheetId="11" hidden="1">'6110'!$C$149</definedName>
    <definedName name="QB_ROW_192020" localSheetId="12" hidden="1">'6120'!$C$3</definedName>
    <definedName name="QB_ROW_192320" localSheetId="12" hidden="1">'6120'!$C$52</definedName>
    <definedName name="QB_ROW_193020" localSheetId="15" hidden="1">'6150'!$C$3</definedName>
    <definedName name="QB_ROW_193320" localSheetId="15" hidden="1">'6150'!$C$81</definedName>
    <definedName name="QB_ROW_201020" localSheetId="30" hidden="1">'6310'!$C$3</definedName>
    <definedName name="QB_ROW_201320" localSheetId="30" hidden="1">'6310'!$C$154</definedName>
    <definedName name="QB_ROW_213020" localSheetId="21" hidden="1">'6235'!$C$3</definedName>
    <definedName name="QB_ROW_213320" localSheetId="21" hidden="1">'6235'!$C$28</definedName>
    <definedName name="QB_ROW_214020" localSheetId="31" hidden="1">'6320'!$C$3</definedName>
    <definedName name="QB_ROW_214320" localSheetId="31" hidden="1">'6320'!$C$6</definedName>
    <definedName name="QB_ROW_215020" localSheetId="32" hidden="1">'6330'!$C$3</definedName>
    <definedName name="QB_ROW_215320" localSheetId="32" hidden="1">'6330'!$C$20</definedName>
    <definedName name="QB_ROW_217020" localSheetId="34" hidden="1">'6350'!$C$3</definedName>
    <definedName name="QB_ROW_217320" localSheetId="34" hidden="1">'6350'!$C$6</definedName>
    <definedName name="QB_ROW_232010" localSheetId="30" hidden="1">'6310'!$B$2</definedName>
    <definedName name="QB_ROW_232010" localSheetId="31" hidden="1">'6320'!$B$2</definedName>
    <definedName name="QB_ROW_232010" localSheetId="32" hidden="1">'6330'!$B$2</definedName>
    <definedName name="QB_ROW_232010" localSheetId="34" hidden="1">'6350'!$B$2</definedName>
    <definedName name="QB_ROW_232310" localSheetId="30" hidden="1">'6310'!$B$155</definedName>
    <definedName name="QB_ROW_232310" localSheetId="31" hidden="1">'6320'!$B$7</definedName>
    <definedName name="QB_ROW_232310" localSheetId="32" hidden="1">'6330'!$B$21</definedName>
    <definedName name="QB_ROW_232310" localSheetId="34" hidden="1">'6350'!$B$7</definedName>
    <definedName name="QB_ROW_25301" localSheetId="11" hidden="1">'6110'!$A$151</definedName>
    <definedName name="QB_ROW_25301" localSheetId="12" hidden="1">'6120'!$A$54</definedName>
    <definedName name="QB_ROW_25301" localSheetId="13" hidden="1">'6130'!$A$168</definedName>
    <definedName name="QB_ROW_25301" localSheetId="14" hidden="1">'6140'!$A$16</definedName>
    <definedName name="QB_ROW_25301" localSheetId="15" hidden="1">'6150'!$A$83</definedName>
    <definedName name="QB_ROW_25301" localSheetId="16" hidden="1">'6160'!$A$51</definedName>
    <definedName name="QB_ROW_25301" localSheetId="17" hidden="1">'6210'!$A$556</definedName>
    <definedName name="QB_ROW_25301" localSheetId="18" hidden="1">'6215'!$A$58</definedName>
    <definedName name="QB_ROW_25301" localSheetId="19" hidden="1">'6220'!$A$104</definedName>
    <definedName name="QB_ROW_25301" localSheetId="20" hidden="1">'6225'!$A$187</definedName>
    <definedName name="QB_ROW_25301" localSheetId="21" hidden="1">'6235'!$A$30</definedName>
    <definedName name="QB_ROW_25301" localSheetId="22" hidden="1">'6236'!$A$27</definedName>
    <definedName name="QB_ROW_25301" localSheetId="23" hidden="1">'6240'!$A$80</definedName>
    <definedName name="QB_ROW_25301" localSheetId="25" hidden="1">'6260'!$A$283</definedName>
    <definedName name="QB_ROW_25301" localSheetId="26" hidden="1">'6280'!$A$58</definedName>
    <definedName name="QB_ROW_25301" localSheetId="27" hidden="1">'6285'!$A$107</definedName>
    <definedName name="QB_ROW_25301" localSheetId="28" hidden="1">'6290'!$A$18</definedName>
    <definedName name="QB_ROW_25301" localSheetId="30" hidden="1">'6310'!$A$156</definedName>
    <definedName name="QB_ROW_25301" localSheetId="31" hidden="1">'6320'!$A$8</definedName>
    <definedName name="QB_ROW_25301" localSheetId="32" hidden="1">'6330'!$A$22</definedName>
    <definedName name="QB_ROW_25301" localSheetId="34" hidden="1">'6350'!$A$8</definedName>
    <definedName name="QB_ROW_25301" localSheetId="35" hidden="1">'6810'!$A$7</definedName>
    <definedName name="QBCANSUPPORTUPDATE" localSheetId="11">TRUE</definedName>
    <definedName name="QBCANSUPPORTUPDATE" localSheetId="12">TRUE</definedName>
    <definedName name="QBCANSUPPORTUPDATE" localSheetId="13">TRUE</definedName>
    <definedName name="QBCANSUPPORTUPDATE" localSheetId="14">TRUE</definedName>
    <definedName name="QBCANSUPPORTUPDATE" localSheetId="15">TRUE</definedName>
    <definedName name="QBCANSUPPORTUPDATE" localSheetId="16">TRUE</definedName>
    <definedName name="QBCANSUPPORTUPDATE" localSheetId="17">TRUE</definedName>
    <definedName name="QBCANSUPPORTUPDATE" localSheetId="18">TRUE</definedName>
    <definedName name="QBCANSUPPORTUPDATE" localSheetId="19">TRUE</definedName>
    <definedName name="QBCANSUPPORTUPDATE" localSheetId="20">TRUE</definedName>
    <definedName name="QBCANSUPPORTUPDATE" localSheetId="21">TRUE</definedName>
    <definedName name="QBCANSUPPORTUPDATE" localSheetId="22">TRUE</definedName>
    <definedName name="QBCANSUPPORTUPDATE" localSheetId="23">TRUE</definedName>
    <definedName name="QBCANSUPPORTUPDATE" localSheetId="25">TRUE</definedName>
    <definedName name="QBCANSUPPORTUPDATE" localSheetId="26">TRUE</definedName>
    <definedName name="QBCANSUPPORTUPDATE" localSheetId="27">TRUE</definedName>
    <definedName name="QBCANSUPPORTUPDATE" localSheetId="28">TRUE</definedName>
    <definedName name="QBCANSUPPORTUPDATE" localSheetId="30">TRUE</definedName>
    <definedName name="QBCANSUPPORTUPDATE" localSheetId="31">TRUE</definedName>
    <definedName name="QBCANSUPPORTUPDATE" localSheetId="32">TRUE</definedName>
    <definedName name="QBCANSUPPORTUPDATE" localSheetId="34">TRUE</definedName>
    <definedName name="QBCANSUPPORTUPDATE" localSheetId="35">TRUE</definedName>
    <definedName name="QBCOMPANYFILENAME" localSheetId="11">"Q:\williamson county appraisal district.qbw"</definedName>
    <definedName name="QBCOMPANYFILENAME" localSheetId="12">"Q:\williamson county appraisal district.qbw"</definedName>
    <definedName name="QBCOMPANYFILENAME" localSheetId="13">"Q:\williamson county appraisal district.qbw"</definedName>
    <definedName name="QBCOMPANYFILENAME" localSheetId="14">"Q:\williamson county appraisal district.qbw"</definedName>
    <definedName name="QBCOMPANYFILENAME" localSheetId="15">"Q:\williamson county appraisal district.qbw"</definedName>
    <definedName name="QBCOMPANYFILENAME" localSheetId="16">"Q:\williamson county appraisal district.qbw"</definedName>
    <definedName name="QBCOMPANYFILENAME" localSheetId="17">"Q:\williamson county appraisal district.qbw"</definedName>
    <definedName name="QBCOMPANYFILENAME" localSheetId="18">"Q:\williamson county appraisal district.qbw"</definedName>
    <definedName name="QBCOMPANYFILENAME" localSheetId="19">"Q:\williamson county appraisal district.qbw"</definedName>
    <definedName name="QBCOMPANYFILENAME" localSheetId="20">"Q:\williamson county appraisal district.qbw"</definedName>
    <definedName name="QBCOMPANYFILENAME" localSheetId="21">"Q:\williamson county appraisal district.qbw"</definedName>
    <definedName name="QBCOMPANYFILENAME" localSheetId="22">"Q:\williamson county appraisal district.qbw"</definedName>
    <definedName name="QBCOMPANYFILENAME" localSheetId="23">"Q:\williamson county appraisal district.qbw"</definedName>
    <definedName name="QBCOMPANYFILENAME" localSheetId="25">"Q:\williamson county appraisal district.qbw"</definedName>
    <definedName name="QBCOMPANYFILENAME" localSheetId="26">"Q:\williamson county appraisal district.qbw"</definedName>
    <definedName name="QBCOMPANYFILENAME" localSheetId="27">"Q:\williamson county appraisal district.qbw"</definedName>
    <definedName name="QBCOMPANYFILENAME" localSheetId="28">"Q:\williamson county appraisal district.qbw"</definedName>
    <definedName name="QBCOMPANYFILENAME" localSheetId="30">"Q:\williamson county appraisal district.qbw"</definedName>
    <definedName name="QBCOMPANYFILENAME" localSheetId="31">"Q:\williamson county appraisal district.qbw"</definedName>
    <definedName name="QBCOMPANYFILENAME" localSheetId="32">"Q:\williamson county appraisal district.qbw"</definedName>
    <definedName name="QBCOMPANYFILENAME" localSheetId="34">"Q:\williamson county appraisal district.qbw"</definedName>
    <definedName name="QBCOMPANYFILENAME" localSheetId="35">"Q:\Williamson County Appraisal District.QBW"</definedName>
    <definedName name="QBENDDATE" localSheetId="11">20231231</definedName>
    <definedName name="QBENDDATE" localSheetId="12">20231231</definedName>
    <definedName name="QBENDDATE" localSheetId="13">20231231</definedName>
    <definedName name="QBENDDATE" localSheetId="14">20231231</definedName>
    <definedName name="QBENDDATE" localSheetId="15">20231231</definedName>
    <definedName name="QBENDDATE" localSheetId="16">20231231</definedName>
    <definedName name="QBENDDATE" localSheetId="17">20231231</definedName>
    <definedName name="QBENDDATE" localSheetId="18">20231231</definedName>
    <definedName name="QBENDDATE" localSheetId="19">20231231</definedName>
    <definedName name="QBENDDATE" localSheetId="20">20231231</definedName>
    <definedName name="QBENDDATE" localSheetId="21">20231231</definedName>
    <definedName name="QBENDDATE" localSheetId="22">20231231</definedName>
    <definedName name="QBENDDATE" localSheetId="23">20231231</definedName>
    <definedName name="QBENDDATE" localSheetId="25">20231231</definedName>
    <definedName name="QBENDDATE" localSheetId="26">20231231</definedName>
    <definedName name="QBENDDATE" localSheetId="27">20231231</definedName>
    <definedName name="QBENDDATE" localSheetId="28">20231231</definedName>
    <definedName name="QBENDDATE" localSheetId="30">20231231</definedName>
    <definedName name="QBENDDATE" localSheetId="31">20230811</definedName>
    <definedName name="QBENDDATE" localSheetId="32">20231231</definedName>
    <definedName name="QBENDDATE" localSheetId="34">20231231</definedName>
    <definedName name="QBENDDATE" localSheetId="35">20210125</definedName>
    <definedName name="QBHEADERSONSCREEN" localSheetId="11">FALSE</definedName>
    <definedName name="QBHEADERSONSCREEN" localSheetId="12">FALSE</definedName>
    <definedName name="QBHEADERSONSCREEN" localSheetId="13">FALSE</definedName>
    <definedName name="QBHEADERSONSCREEN" localSheetId="14">FALSE</definedName>
    <definedName name="QBHEADERSONSCREEN" localSheetId="15">FALSE</definedName>
    <definedName name="QBHEADERSONSCREEN" localSheetId="16">FALSE</definedName>
    <definedName name="QBHEADERSONSCREEN" localSheetId="17">FALSE</definedName>
    <definedName name="QBHEADERSONSCREEN" localSheetId="18">FALSE</definedName>
    <definedName name="QBHEADERSONSCREEN" localSheetId="19">FALSE</definedName>
    <definedName name="QBHEADERSONSCREEN" localSheetId="20">FALSE</definedName>
    <definedName name="QBHEADERSONSCREEN" localSheetId="21">FALSE</definedName>
    <definedName name="QBHEADERSONSCREEN" localSheetId="22">FALSE</definedName>
    <definedName name="QBHEADERSONSCREEN" localSheetId="23">FALSE</definedName>
    <definedName name="QBHEADERSONSCREEN" localSheetId="25">FALSE</definedName>
    <definedName name="QBHEADERSONSCREEN" localSheetId="26">FALSE</definedName>
    <definedName name="QBHEADERSONSCREEN" localSheetId="27">FALSE</definedName>
    <definedName name="QBHEADERSONSCREEN" localSheetId="28">FALSE</definedName>
    <definedName name="QBHEADERSONSCREEN" localSheetId="30">FALSE</definedName>
    <definedName name="QBHEADERSONSCREEN" localSheetId="31">FALSE</definedName>
    <definedName name="QBHEADERSONSCREEN" localSheetId="32">FALSE</definedName>
    <definedName name="QBHEADERSONSCREEN" localSheetId="34">FALSE</definedName>
    <definedName name="QBHEADERSONSCREEN" localSheetId="35">FALSE</definedName>
    <definedName name="QBMETADATASIZE" localSheetId="11">7622</definedName>
    <definedName name="QBMETADATASIZE" localSheetId="12">7622</definedName>
    <definedName name="QBMETADATASIZE" localSheetId="13">7622</definedName>
    <definedName name="QBMETADATASIZE" localSheetId="14">7622</definedName>
    <definedName name="QBMETADATASIZE" localSheetId="15">7622</definedName>
    <definedName name="QBMETADATASIZE" localSheetId="16">7622</definedName>
    <definedName name="QBMETADATASIZE" localSheetId="17">7622</definedName>
    <definedName name="QBMETADATASIZE" localSheetId="18">7622</definedName>
    <definedName name="QBMETADATASIZE" localSheetId="19">7622</definedName>
    <definedName name="QBMETADATASIZE" localSheetId="20">7622</definedName>
    <definedName name="QBMETADATASIZE" localSheetId="21">7622</definedName>
    <definedName name="QBMETADATASIZE" localSheetId="22">7622</definedName>
    <definedName name="QBMETADATASIZE" localSheetId="23">7622</definedName>
    <definedName name="QBMETADATASIZE" localSheetId="25">7622</definedName>
    <definedName name="QBMETADATASIZE" localSheetId="26">7622</definedName>
    <definedName name="QBMETADATASIZE" localSheetId="27">7622</definedName>
    <definedName name="QBMETADATASIZE" localSheetId="28">7622</definedName>
    <definedName name="QBMETADATASIZE" localSheetId="30">7622</definedName>
    <definedName name="QBMETADATASIZE" localSheetId="31">7622</definedName>
    <definedName name="QBMETADATASIZE" localSheetId="32">7622</definedName>
    <definedName name="QBMETADATASIZE" localSheetId="34">7622</definedName>
    <definedName name="QBMETADATASIZE" localSheetId="35">7622</definedName>
    <definedName name="QBPRESERVECOLOR" localSheetId="11">FALSE</definedName>
    <definedName name="QBPRESERVECOLOR" localSheetId="12">FALSE</definedName>
    <definedName name="QBPRESERVECOLOR" localSheetId="13">FALSE</definedName>
    <definedName name="QBPRESERVECOLOR" localSheetId="14">FALSE</definedName>
    <definedName name="QBPRESERVECOLOR" localSheetId="15">FALSE</definedName>
    <definedName name="QBPRESERVECOLOR" localSheetId="16">FALSE</definedName>
    <definedName name="QBPRESERVECOLOR" localSheetId="17">FALSE</definedName>
    <definedName name="QBPRESERVECOLOR" localSheetId="18">FALSE</definedName>
    <definedName name="QBPRESERVECOLOR" localSheetId="19">FALSE</definedName>
    <definedName name="QBPRESERVECOLOR" localSheetId="20">FALSE</definedName>
    <definedName name="QBPRESERVECOLOR" localSheetId="21">FALSE</definedName>
    <definedName name="QBPRESERVECOLOR" localSheetId="22">FALSE</definedName>
    <definedName name="QBPRESERVECOLOR" localSheetId="23">FALSE</definedName>
    <definedName name="QBPRESERVECOLOR" localSheetId="25">FALSE</definedName>
    <definedName name="QBPRESERVECOLOR" localSheetId="26">FALSE</definedName>
    <definedName name="QBPRESERVECOLOR" localSheetId="27">FALSE</definedName>
    <definedName name="QBPRESERVECOLOR" localSheetId="28">FALSE</definedName>
    <definedName name="QBPRESERVECOLOR" localSheetId="30">FALSE</definedName>
    <definedName name="QBPRESERVECOLOR" localSheetId="31">FALSE</definedName>
    <definedName name="QBPRESERVECOLOR" localSheetId="32">FALSE</definedName>
    <definedName name="QBPRESERVECOLOR" localSheetId="34">FALSE</definedName>
    <definedName name="QBPRESERVECOLOR" localSheetId="35">FALSE</definedName>
    <definedName name="QBPRESERVEFONT" localSheetId="11">FALSE</definedName>
    <definedName name="QBPRESERVEFONT" localSheetId="12">FALSE</definedName>
    <definedName name="QBPRESERVEFONT" localSheetId="13">FALSE</definedName>
    <definedName name="QBPRESERVEFONT" localSheetId="14">FALSE</definedName>
    <definedName name="QBPRESERVEFONT" localSheetId="15">FALSE</definedName>
    <definedName name="QBPRESERVEFONT" localSheetId="16">FALSE</definedName>
    <definedName name="QBPRESERVEFONT" localSheetId="17">FALSE</definedName>
    <definedName name="QBPRESERVEFONT" localSheetId="18">FALSE</definedName>
    <definedName name="QBPRESERVEFONT" localSheetId="19">FALSE</definedName>
    <definedName name="QBPRESERVEFONT" localSheetId="20">FALSE</definedName>
    <definedName name="QBPRESERVEFONT" localSheetId="21">FALSE</definedName>
    <definedName name="QBPRESERVEFONT" localSheetId="22">FALSE</definedName>
    <definedName name="QBPRESERVEFONT" localSheetId="23">FALSE</definedName>
    <definedName name="QBPRESERVEFONT" localSheetId="25">FALSE</definedName>
    <definedName name="QBPRESERVEFONT" localSheetId="26">FALSE</definedName>
    <definedName name="QBPRESERVEFONT" localSheetId="27">FALSE</definedName>
    <definedName name="QBPRESERVEFONT" localSheetId="28">FALSE</definedName>
    <definedName name="QBPRESERVEFONT" localSheetId="30">FALSE</definedName>
    <definedName name="QBPRESERVEFONT" localSheetId="31">FALSE</definedName>
    <definedName name="QBPRESERVEFONT" localSheetId="32">FALSE</definedName>
    <definedName name="QBPRESERVEFONT" localSheetId="34">FALSE</definedName>
    <definedName name="QBPRESERVEFONT" localSheetId="35">FALSE</definedName>
    <definedName name="QBPRESERVEROWHEIGHT" localSheetId="11">FALSE</definedName>
    <definedName name="QBPRESERVEROWHEIGHT" localSheetId="12">FALSE</definedName>
    <definedName name="QBPRESERVEROWHEIGHT" localSheetId="13">FALSE</definedName>
    <definedName name="QBPRESERVEROWHEIGHT" localSheetId="14">FALSE</definedName>
    <definedName name="QBPRESERVEROWHEIGHT" localSheetId="15">FALSE</definedName>
    <definedName name="QBPRESERVEROWHEIGHT" localSheetId="16">FALSE</definedName>
    <definedName name="QBPRESERVEROWHEIGHT" localSheetId="17">FALSE</definedName>
    <definedName name="QBPRESERVEROWHEIGHT" localSheetId="18">FALSE</definedName>
    <definedName name="QBPRESERVEROWHEIGHT" localSheetId="19">FALSE</definedName>
    <definedName name="QBPRESERVEROWHEIGHT" localSheetId="20">FALSE</definedName>
    <definedName name="QBPRESERVEROWHEIGHT" localSheetId="21">FALSE</definedName>
    <definedName name="QBPRESERVEROWHEIGHT" localSheetId="22">FALSE</definedName>
    <definedName name="QBPRESERVEROWHEIGHT" localSheetId="23">FALSE</definedName>
    <definedName name="QBPRESERVEROWHEIGHT" localSheetId="25">FALSE</definedName>
    <definedName name="QBPRESERVEROWHEIGHT" localSheetId="26">FALSE</definedName>
    <definedName name="QBPRESERVEROWHEIGHT" localSheetId="27">FALSE</definedName>
    <definedName name="QBPRESERVEROWHEIGHT" localSheetId="28">FALSE</definedName>
    <definedName name="QBPRESERVEROWHEIGHT" localSheetId="30">FALSE</definedName>
    <definedName name="QBPRESERVEROWHEIGHT" localSheetId="31">FALSE</definedName>
    <definedName name="QBPRESERVEROWHEIGHT" localSheetId="32">FALSE</definedName>
    <definedName name="QBPRESERVEROWHEIGHT" localSheetId="34">FALSE</definedName>
    <definedName name="QBPRESERVEROWHEIGHT" localSheetId="35">FALSE</definedName>
    <definedName name="QBPRESERVESPACE" localSheetId="11">FALSE</definedName>
    <definedName name="QBPRESERVESPACE" localSheetId="12">FALSE</definedName>
    <definedName name="QBPRESERVESPACE" localSheetId="13">FALSE</definedName>
    <definedName name="QBPRESERVESPACE" localSheetId="14">FALSE</definedName>
    <definedName name="QBPRESERVESPACE" localSheetId="15">FALSE</definedName>
    <definedName name="QBPRESERVESPACE" localSheetId="16">FALSE</definedName>
    <definedName name="QBPRESERVESPACE" localSheetId="17">FALSE</definedName>
    <definedName name="QBPRESERVESPACE" localSheetId="18">FALSE</definedName>
    <definedName name="QBPRESERVESPACE" localSheetId="19">FALSE</definedName>
    <definedName name="QBPRESERVESPACE" localSheetId="20">FALSE</definedName>
    <definedName name="QBPRESERVESPACE" localSheetId="21">FALSE</definedName>
    <definedName name="QBPRESERVESPACE" localSheetId="22">FALSE</definedName>
    <definedName name="QBPRESERVESPACE" localSheetId="23">FALSE</definedName>
    <definedName name="QBPRESERVESPACE" localSheetId="25">FALSE</definedName>
    <definedName name="QBPRESERVESPACE" localSheetId="26">FALSE</definedName>
    <definedName name="QBPRESERVESPACE" localSheetId="27">FALSE</definedName>
    <definedName name="QBPRESERVESPACE" localSheetId="28">FALSE</definedName>
    <definedName name="QBPRESERVESPACE" localSheetId="30">FALSE</definedName>
    <definedName name="QBPRESERVESPACE" localSheetId="31">FALSE</definedName>
    <definedName name="QBPRESERVESPACE" localSheetId="32">FALSE</definedName>
    <definedName name="QBPRESERVESPACE" localSheetId="34">FALSE</definedName>
    <definedName name="QBPRESERVESPACE" localSheetId="35">FALSE</definedName>
    <definedName name="QBREPORTCOLAXIS" localSheetId="11">0</definedName>
    <definedName name="QBREPORTCOLAXIS" localSheetId="12">0</definedName>
    <definedName name="QBREPORTCOLAXIS" localSheetId="13">0</definedName>
    <definedName name="QBREPORTCOLAXIS" localSheetId="14">0</definedName>
    <definedName name="QBREPORTCOLAXIS" localSheetId="15">0</definedName>
    <definedName name="QBREPORTCOLAXIS" localSheetId="16">0</definedName>
    <definedName name="QBREPORTCOLAXIS" localSheetId="17">0</definedName>
    <definedName name="QBREPORTCOLAXIS" localSheetId="18">0</definedName>
    <definedName name="QBREPORTCOLAXIS" localSheetId="19">0</definedName>
    <definedName name="QBREPORTCOLAXIS" localSheetId="20">0</definedName>
    <definedName name="QBREPORTCOLAXIS" localSheetId="21">0</definedName>
    <definedName name="QBREPORTCOLAXIS" localSheetId="22">0</definedName>
    <definedName name="QBREPORTCOLAXIS" localSheetId="23">0</definedName>
    <definedName name="QBREPORTCOLAXIS" localSheetId="25">0</definedName>
    <definedName name="QBREPORTCOLAXIS" localSheetId="26">0</definedName>
    <definedName name="QBREPORTCOLAXIS" localSheetId="27">0</definedName>
    <definedName name="QBREPORTCOLAXIS" localSheetId="28">0</definedName>
    <definedName name="QBREPORTCOLAXIS" localSheetId="30">0</definedName>
    <definedName name="QBREPORTCOLAXIS" localSheetId="31">0</definedName>
    <definedName name="QBREPORTCOLAXIS" localSheetId="32">0</definedName>
    <definedName name="QBREPORTCOLAXIS" localSheetId="34">0</definedName>
    <definedName name="QBREPORTCOLAXIS" localSheetId="35">0</definedName>
    <definedName name="QBREPORTCOMPANYID" localSheetId="11">"b08a18a08e4f48359dec696f3262895f"</definedName>
    <definedName name="QBREPORTCOMPANYID" localSheetId="12">"b08a18a08e4f48359dec696f3262895f"</definedName>
    <definedName name="QBREPORTCOMPANYID" localSheetId="13">"b08a18a08e4f48359dec696f3262895f"</definedName>
    <definedName name="QBREPORTCOMPANYID" localSheetId="14">"b08a18a08e4f48359dec696f3262895f"</definedName>
    <definedName name="QBREPORTCOMPANYID" localSheetId="15">"b08a18a08e4f48359dec696f3262895f"</definedName>
    <definedName name="QBREPORTCOMPANYID" localSheetId="16">"b08a18a08e4f48359dec696f3262895f"</definedName>
    <definedName name="QBREPORTCOMPANYID" localSheetId="17">"b08a18a08e4f48359dec696f3262895f"</definedName>
    <definedName name="QBREPORTCOMPANYID" localSheetId="18">"b08a18a08e4f48359dec696f3262895f"</definedName>
    <definedName name="QBREPORTCOMPANYID" localSheetId="19">"b08a18a08e4f48359dec696f3262895f"</definedName>
    <definedName name="QBREPORTCOMPANYID" localSheetId="20">"b08a18a08e4f48359dec696f3262895f"</definedName>
    <definedName name="QBREPORTCOMPANYID" localSheetId="21">"b08a18a08e4f48359dec696f3262895f"</definedName>
    <definedName name="QBREPORTCOMPANYID" localSheetId="22">"b08a18a08e4f48359dec696f3262895f"</definedName>
    <definedName name="QBREPORTCOMPANYID" localSheetId="23">"b08a18a08e4f48359dec696f3262895f"</definedName>
    <definedName name="QBREPORTCOMPANYID" localSheetId="25">"b08a18a08e4f48359dec696f3262895f"</definedName>
    <definedName name="QBREPORTCOMPANYID" localSheetId="26">"b08a18a08e4f48359dec696f3262895f"</definedName>
    <definedName name="QBREPORTCOMPANYID" localSheetId="27">"b08a18a08e4f48359dec696f3262895f"</definedName>
    <definedName name="QBREPORTCOMPANYID" localSheetId="28">"b08a18a08e4f48359dec696f3262895f"</definedName>
    <definedName name="QBREPORTCOMPANYID" localSheetId="30">"b08a18a08e4f48359dec696f3262895f"</definedName>
    <definedName name="QBREPORTCOMPANYID" localSheetId="31">"b08a18a08e4f48359dec696f3262895f"</definedName>
    <definedName name="QBREPORTCOMPANYID" localSheetId="32">"b08a18a08e4f48359dec696f3262895f"</definedName>
    <definedName name="QBREPORTCOMPANYID" localSheetId="34">"b08a18a08e4f48359dec696f3262895f"</definedName>
    <definedName name="QBREPORTCOMPANYID" localSheetId="35">"b08a18a08e4f48359dec696f3262895f"</definedName>
    <definedName name="QBREPORTCOMPARECOL_ANNUALBUDGET" localSheetId="11">FALSE</definedName>
    <definedName name="QBREPORTCOMPARECOL_ANNUALBUDGET" localSheetId="12">FALSE</definedName>
    <definedName name="QBREPORTCOMPARECOL_ANNUALBUDGET" localSheetId="13">FALSE</definedName>
    <definedName name="QBREPORTCOMPARECOL_ANNUALBUDGET" localSheetId="14">FALSE</definedName>
    <definedName name="QBREPORTCOMPARECOL_ANNUALBUDGET" localSheetId="15">FALSE</definedName>
    <definedName name="QBREPORTCOMPARECOL_ANNUALBUDGET" localSheetId="16">FALSE</definedName>
    <definedName name="QBREPORTCOMPARECOL_ANNUALBUDGET" localSheetId="17">FALSE</definedName>
    <definedName name="QBREPORTCOMPARECOL_ANNUALBUDGET" localSheetId="18">FALSE</definedName>
    <definedName name="QBREPORTCOMPARECOL_ANNUALBUDGET" localSheetId="19">FALSE</definedName>
    <definedName name="QBREPORTCOMPARECOL_ANNUALBUDGET" localSheetId="20">FALSE</definedName>
    <definedName name="QBREPORTCOMPARECOL_ANNUALBUDGET" localSheetId="21">FALSE</definedName>
    <definedName name="QBREPORTCOMPARECOL_ANNUALBUDGET" localSheetId="22">FALSE</definedName>
    <definedName name="QBREPORTCOMPARECOL_ANNUALBUDGET" localSheetId="23">FALSE</definedName>
    <definedName name="QBREPORTCOMPARECOL_ANNUALBUDGET" localSheetId="25">FALSE</definedName>
    <definedName name="QBREPORTCOMPARECOL_ANNUALBUDGET" localSheetId="26">FALSE</definedName>
    <definedName name="QBREPORTCOMPARECOL_ANNUALBUDGET" localSheetId="27">FALSE</definedName>
    <definedName name="QBREPORTCOMPARECOL_ANNUALBUDGET" localSheetId="28">FALSE</definedName>
    <definedName name="QBREPORTCOMPARECOL_ANNUALBUDGET" localSheetId="30">FALSE</definedName>
    <definedName name="QBREPORTCOMPARECOL_ANNUALBUDGET" localSheetId="31">FALSE</definedName>
    <definedName name="QBREPORTCOMPARECOL_ANNUALBUDGET" localSheetId="32">FALSE</definedName>
    <definedName name="QBREPORTCOMPARECOL_ANNUALBUDGET" localSheetId="34">FALSE</definedName>
    <definedName name="QBREPORTCOMPARECOL_ANNUALBUDGET" localSheetId="35">FALSE</definedName>
    <definedName name="QBREPORTCOMPARECOL_AVGCOGS" localSheetId="11">FALSE</definedName>
    <definedName name="QBREPORTCOMPARECOL_AVGCOGS" localSheetId="12">FALSE</definedName>
    <definedName name="QBREPORTCOMPARECOL_AVGCOGS" localSheetId="13">FALSE</definedName>
    <definedName name="QBREPORTCOMPARECOL_AVGCOGS" localSheetId="14">FALSE</definedName>
    <definedName name="QBREPORTCOMPARECOL_AVGCOGS" localSheetId="15">FALSE</definedName>
    <definedName name="QBREPORTCOMPARECOL_AVGCOGS" localSheetId="16">FALSE</definedName>
    <definedName name="QBREPORTCOMPARECOL_AVGCOGS" localSheetId="17">FALSE</definedName>
    <definedName name="QBREPORTCOMPARECOL_AVGCOGS" localSheetId="18">FALSE</definedName>
    <definedName name="QBREPORTCOMPARECOL_AVGCOGS" localSheetId="19">FALSE</definedName>
    <definedName name="QBREPORTCOMPARECOL_AVGCOGS" localSheetId="20">FALSE</definedName>
    <definedName name="QBREPORTCOMPARECOL_AVGCOGS" localSheetId="21">FALSE</definedName>
    <definedName name="QBREPORTCOMPARECOL_AVGCOGS" localSheetId="22">FALSE</definedName>
    <definedName name="QBREPORTCOMPARECOL_AVGCOGS" localSheetId="23">FALSE</definedName>
    <definedName name="QBREPORTCOMPARECOL_AVGCOGS" localSheetId="25">FALSE</definedName>
    <definedName name="QBREPORTCOMPARECOL_AVGCOGS" localSheetId="26">FALSE</definedName>
    <definedName name="QBREPORTCOMPARECOL_AVGCOGS" localSheetId="27">FALSE</definedName>
    <definedName name="QBREPORTCOMPARECOL_AVGCOGS" localSheetId="28">FALSE</definedName>
    <definedName name="QBREPORTCOMPARECOL_AVGCOGS" localSheetId="30">FALSE</definedName>
    <definedName name="QBREPORTCOMPARECOL_AVGCOGS" localSheetId="31">FALSE</definedName>
    <definedName name="QBREPORTCOMPARECOL_AVGCOGS" localSheetId="32">FALSE</definedName>
    <definedName name="QBREPORTCOMPARECOL_AVGCOGS" localSheetId="34">FALSE</definedName>
    <definedName name="QBREPORTCOMPARECOL_AVGCOGS" localSheetId="35">FALSE</definedName>
    <definedName name="QBREPORTCOMPARECOL_AVGPRICE" localSheetId="11">FALSE</definedName>
    <definedName name="QBREPORTCOMPARECOL_AVGPRICE" localSheetId="12">FALSE</definedName>
    <definedName name="QBREPORTCOMPARECOL_AVGPRICE" localSheetId="13">FALSE</definedName>
    <definedName name="QBREPORTCOMPARECOL_AVGPRICE" localSheetId="14">FALSE</definedName>
    <definedName name="QBREPORTCOMPARECOL_AVGPRICE" localSheetId="15">FALSE</definedName>
    <definedName name="QBREPORTCOMPARECOL_AVGPRICE" localSheetId="16">FALSE</definedName>
    <definedName name="QBREPORTCOMPARECOL_AVGPRICE" localSheetId="17">FALSE</definedName>
    <definedName name="QBREPORTCOMPARECOL_AVGPRICE" localSheetId="18">FALSE</definedName>
    <definedName name="QBREPORTCOMPARECOL_AVGPRICE" localSheetId="19">FALSE</definedName>
    <definedName name="QBREPORTCOMPARECOL_AVGPRICE" localSheetId="20">FALSE</definedName>
    <definedName name="QBREPORTCOMPARECOL_AVGPRICE" localSheetId="21">FALSE</definedName>
    <definedName name="QBREPORTCOMPARECOL_AVGPRICE" localSheetId="22">FALSE</definedName>
    <definedName name="QBREPORTCOMPARECOL_AVGPRICE" localSheetId="23">FALSE</definedName>
    <definedName name="QBREPORTCOMPARECOL_AVGPRICE" localSheetId="25">FALSE</definedName>
    <definedName name="QBREPORTCOMPARECOL_AVGPRICE" localSheetId="26">FALSE</definedName>
    <definedName name="QBREPORTCOMPARECOL_AVGPRICE" localSheetId="27">FALSE</definedName>
    <definedName name="QBREPORTCOMPARECOL_AVGPRICE" localSheetId="28">FALSE</definedName>
    <definedName name="QBREPORTCOMPARECOL_AVGPRICE" localSheetId="30">FALSE</definedName>
    <definedName name="QBREPORTCOMPARECOL_AVGPRICE" localSheetId="31">FALSE</definedName>
    <definedName name="QBREPORTCOMPARECOL_AVGPRICE" localSheetId="32">FALSE</definedName>
    <definedName name="QBREPORTCOMPARECOL_AVGPRICE" localSheetId="34">FALSE</definedName>
    <definedName name="QBREPORTCOMPARECOL_AVGPRICE" localSheetId="35">FALSE</definedName>
    <definedName name="QBREPORTCOMPARECOL_BUDDIFF" localSheetId="11">FALSE</definedName>
    <definedName name="QBREPORTCOMPARECOL_BUDDIFF" localSheetId="12">FALSE</definedName>
    <definedName name="QBREPORTCOMPARECOL_BUDDIFF" localSheetId="13">FALSE</definedName>
    <definedName name="QBREPORTCOMPARECOL_BUDDIFF" localSheetId="14">FALSE</definedName>
    <definedName name="QBREPORTCOMPARECOL_BUDDIFF" localSheetId="15">FALSE</definedName>
    <definedName name="QBREPORTCOMPARECOL_BUDDIFF" localSheetId="16">FALSE</definedName>
    <definedName name="QBREPORTCOMPARECOL_BUDDIFF" localSheetId="17">FALSE</definedName>
    <definedName name="QBREPORTCOMPARECOL_BUDDIFF" localSheetId="18">FALSE</definedName>
    <definedName name="QBREPORTCOMPARECOL_BUDDIFF" localSheetId="19">FALSE</definedName>
    <definedName name="QBREPORTCOMPARECOL_BUDDIFF" localSheetId="20">FALSE</definedName>
    <definedName name="QBREPORTCOMPARECOL_BUDDIFF" localSheetId="21">FALSE</definedName>
    <definedName name="QBREPORTCOMPARECOL_BUDDIFF" localSheetId="22">FALSE</definedName>
    <definedName name="QBREPORTCOMPARECOL_BUDDIFF" localSheetId="23">FALSE</definedName>
    <definedName name="QBREPORTCOMPARECOL_BUDDIFF" localSheetId="25">FALSE</definedName>
    <definedName name="QBREPORTCOMPARECOL_BUDDIFF" localSheetId="26">FALSE</definedName>
    <definedName name="QBREPORTCOMPARECOL_BUDDIFF" localSheetId="27">FALSE</definedName>
    <definedName name="QBREPORTCOMPARECOL_BUDDIFF" localSheetId="28">FALSE</definedName>
    <definedName name="QBREPORTCOMPARECOL_BUDDIFF" localSheetId="30">FALSE</definedName>
    <definedName name="QBREPORTCOMPARECOL_BUDDIFF" localSheetId="31">FALSE</definedName>
    <definedName name="QBREPORTCOMPARECOL_BUDDIFF" localSheetId="32">FALSE</definedName>
    <definedName name="QBREPORTCOMPARECOL_BUDDIFF" localSheetId="34">FALSE</definedName>
    <definedName name="QBREPORTCOMPARECOL_BUDDIFF" localSheetId="35">FALSE</definedName>
    <definedName name="QBREPORTCOMPARECOL_BUDGET" localSheetId="11">FALSE</definedName>
    <definedName name="QBREPORTCOMPARECOL_BUDGET" localSheetId="12">FALSE</definedName>
    <definedName name="QBREPORTCOMPARECOL_BUDGET" localSheetId="13">FALSE</definedName>
    <definedName name="QBREPORTCOMPARECOL_BUDGET" localSheetId="14">FALSE</definedName>
    <definedName name="QBREPORTCOMPARECOL_BUDGET" localSheetId="15">FALSE</definedName>
    <definedName name="QBREPORTCOMPARECOL_BUDGET" localSheetId="16">FALSE</definedName>
    <definedName name="QBREPORTCOMPARECOL_BUDGET" localSheetId="17">FALSE</definedName>
    <definedName name="QBREPORTCOMPARECOL_BUDGET" localSheetId="18">FALSE</definedName>
    <definedName name="QBREPORTCOMPARECOL_BUDGET" localSheetId="19">FALSE</definedName>
    <definedName name="QBREPORTCOMPARECOL_BUDGET" localSheetId="20">FALSE</definedName>
    <definedName name="QBREPORTCOMPARECOL_BUDGET" localSheetId="21">FALSE</definedName>
    <definedName name="QBREPORTCOMPARECOL_BUDGET" localSheetId="22">FALSE</definedName>
    <definedName name="QBREPORTCOMPARECOL_BUDGET" localSheetId="23">FALSE</definedName>
    <definedName name="QBREPORTCOMPARECOL_BUDGET" localSheetId="25">FALSE</definedName>
    <definedName name="QBREPORTCOMPARECOL_BUDGET" localSheetId="26">FALSE</definedName>
    <definedName name="QBREPORTCOMPARECOL_BUDGET" localSheetId="27">FALSE</definedName>
    <definedName name="QBREPORTCOMPARECOL_BUDGET" localSheetId="28">FALSE</definedName>
    <definedName name="QBREPORTCOMPARECOL_BUDGET" localSheetId="30">FALSE</definedName>
    <definedName name="QBREPORTCOMPARECOL_BUDGET" localSheetId="31">FALSE</definedName>
    <definedName name="QBREPORTCOMPARECOL_BUDGET" localSheetId="32">FALSE</definedName>
    <definedName name="QBREPORTCOMPARECOL_BUDGET" localSheetId="34">FALSE</definedName>
    <definedName name="QBREPORTCOMPARECOL_BUDGET" localSheetId="35">FALSE</definedName>
    <definedName name="QBREPORTCOMPARECOL_BUDPCT" localSheetId="11">FALSE</definedName>
    <definedName name="QBREPORTCOMPARECOL_BUDPCT" localSheetId="12">FALSE</definedName>
    <definedName name="QBREPORTCOMPARECOL_BUDPCT" localSheetId="13">FALSE</definedName>
    <definedName name="QBREPORTCOMPARECOL_BUDPCT" localSheetId="14">FALSE</definedName>
    <definedName name="QBREPORTCOMPARECOL_BUDPCT" localSheetId="15">FALSE</definedName>
    <definedName name="QBREPORTCOMPARECOL_BUDPCT" localSheetId="16">FALSE</definedName>
    <definedName name="QBREPORTCOMPARECOL_BUDPCT" localSheetId="17">FALSE</definedName>
    <definedName name="QBREPORTCOMPARECOL_BUDPCT" localSheetId="18">FALSE</definedName>
    <definedName name="QBREPORTCOMPARECOL_BUDPCT" localSheetId="19">FALSE</definedName>
    <definedName name="QBREPORTCOMPARECOL_BUDPCT" localSheetId="20">FALSE</definedName>
    <definedName name="QBREPORTCOMPARECOL_BUDPCT" localSheetId="21">FALSE</definedName>
    <definedName name="QBREPORTCOMPARECOL_BUDPCT" localSheetId="22">FALSE</definedName>
    <definedName name="QBREPORTCOMPARECOL_BUDPCT" localSheetId="23">FALSE</definedName>
    <definedName name="QBREPORTCOMPARECOL_BUDPCT" localSheetId="25">FALSE</definedName>
    <definedName name="QBREPORTCOMPARECOL_BUDPCT" localSheetId="26">FALSE</definedName>
    <definedName name="QBREPORTCOMPARECOL_BUDPCT" localSheetId="27">FALSE</definedName>
    <definedName name="QBREPORTCOMPARECOL_BUDPCT" localSheetId="28">FALSE</definedName>
    <definedName name="QBREPORTCOMPARECOL_BUDPCT" localSheetId="30">FALSE</definedName>
    <definedName name="QBREPORTCOMPARECOL_BUDPCT" localSheetId="31">FALSE</definedName>
    <definedName name="QBREPORTCOMPARECOL_BUDPCT" localSheetId="32">FALSE</definedName>
    <definedName name="QBREPORTCOMPARECOL_BUDPCT" localSheetId="34">FALSE</definedName>
    <definedName name="QBREPORTCOMPARECOL_BUDPCT" localSheetId="35">FALSE</definedName>
    <definedName name="QBREPORTCOMPARECOL_COGS" localSheetId="11">FALSE</definedName>
    <definedName name="QBREPORTCOMPARECOL_COGS" localSheetId="12">FALSE</definedName>
    <definedName name="QBREPORTCOMPARECOL_COGS" localSheetId="13">FALSE</definedName>
    <definedName name="QBREPORTCOMPARECOL_COGS" localSheetId="14">FALSE</definedName>
    <definedName name="QBREPORTCOMPARECOL_COGS" localSheetId="15">FALSE</definedName>
    <definedName name="QBREPORTCOMPARECOL_COGS" localSheetId="16">FALSE</definedName>
    <definedName name="QBREPORTCOMPARECOL_COGS" localSheetId="17">FALSE</definedName>
    <definedName name="QBREPORTCOMPARECOL_COGS" localSheetId="18">FALSE</definedName>
    <definedName name="QBREPORTCOMPARECOL_COGS" localSheetId="19">FALSE</definedName>
    <definedName name="QBREPORTCOMPARECOL_COGS" localSheetId="20">FALSE</definedName>
    <definedName name="QBREPORTCOMPARECOL_COGS" localSheetId="21">FALSE</definedName>
    <definedName name="QBREPORTCOMPARECOL_COGS" localSheetId="22">FALSE</definedName>
    <definedName name="QBREPORTCOMPARECOL_COGS" localSheetId="23">FALSE</definedName>
    <definedName name="QBREPORTCOMPARECOL_COGS" localSheetId="25">FALSE</definedName>
    <definedName name="QBREPORTCOMPARECOL_COGS" localSheetId="26">FALSE</definedName>
    <definedName name="QBREPORTCOMPARECOL_COGS" localSheetId="27">FALSE</definedName>
    <definedName name="QBREPORTCOMPARECOL_COGS" localSheetId="28">FALSE</definedName>
    <definedName name="QBREPORTCOMPARECOL_COGS" localSheetId="30">FALSE</definedName>
    <definedName name="QBREPORTCOMPARECOL_COGS" localSheetId="31">FALSE</definedName>
    <definedName name="QBREPORTCOMPARECOL_COGS" localSheetId="32">FALSE</definedName>
    <definedName name="QBREPORTCOMPARECOL_COGS" localSheetId="34">FALSE</definedName>
    <definedName name="QBREPORTCOMPARECOL_COGS" localSheetId="35">FALSE</definedName>
    <definedName name="QBREPORTCOMPARECOL_EXCLUDEAMOUNT" localSheetId="11">FALSE</definedName>
    <definedName name="QBREPORTCOMPARECOL_EXCLUDEAMOUNT" localSheetId="12">FALSE</definedName>
    <definedName name="QBREPORTCOMPARECOL_EXCLUDEAMOUNT" localSheetId="13">FALSE</definedName>
    <definedName name="QBREPORTCOMPARECOL_EXCLUDEAMOUNT" localSheetId="14">FALSE</definedName>
    <definedName name="QBREPORTCOMPARECOL_EXCLUDEAMOUNT" localSheetId="15">FALSE</definedName>
    <definedName name="QBREPORTCOMPARECOL_EXCLUDEAMOUNT" localSheetId="16">FALSE</definedName>
    <definedName name="QBREPORTCOMPARECOL_EXCLUDEAMOUNT" localSheetId="17">FALSE</definedName>
    <definedName name="QBREPORTCOMPARECOL_EXCLUDEAMOUNT" localSheetId="18">FALSE</definedName>
    <definedName name="QBREPORTCOMPARECOL_EXCLUDEAMOUNT" localSheetId="19">FALSE</definedName>
    <definedName name="QBREPORTCOMPARECOL_EXCLUDEAMOUNT" localSheetId="20">FALSE</definedName>
    <definedName name="QBREPORTCOMPARECOL_EXCLUDEAMOUNT" localSheetId="21">FALSE</definedName>
    <definedName name="QBREPORTCOMPARECOL_EXCLUDEAMOUNT" localSheetId="22">FALSE</definedName>
    <definedName name="QBREPORTCOMPARECOL_EXCLUDEAMOUNT" localSheetId="23">FALSE</definedName>
    <definedName name="QBREPORTCOMPARECOL_EXCLUDEAMOUNT" localSheetId="25">FALSE</definedName>
    <definedName name="QBREPORTCOMPARECOL_EXCLUDEAMOUNT" localSheetId="26">FALSE</definedName>
    <definedName name="QBREPORTCOMPARECOL_EXCLUDEAMOUNT" localSheetId="27">FALSE</definedName>
    <definedName name="QBREPORTCOMPARECOL_EXCLUDEAMOUNT" localSheetId="28">FALSE</definedName>
    <definedName name="QBREPORTCOMPARECOL_EXCLUDEAMOUNT" localSheetId="30">FALSE</definedName>
    <definedName name="QBREPORTCOMPARECOL_EXCLUDEAMOUNT" localSheetId="31">FALSE</definedName>
    <definedName name="QBREPORTCOMPARECOL_EXCLUDEAMOUNT" localSheetId="32">FALSE</definedName>
    <definedName name="QBREPORTCOMPARECOL_EXCLUDEAMOUNT" localSheetId="34">FALSE</definedName>
    <definedName name="QBREPORTCOMPARECOL_EXCLUDEAMOUNT" localSheetId="35">FALSE</definedName>
    <definedName name="QBREPORTCOMPARECOL_EXCLUDECURPERIOD" localSheetId="11">FALSE</definedName>
    <definedName name="QBREPORTCOMPARECOL_EXCLUDECURPERIOD" localSheetId="12">FALSE</definedName>
    <definedName name="QBREPORTCOMPARECOL_EXCLUDECURPERIOD" localSheetId="13">FALSE</definedName>
    <definedName name="QBREPORTCOMPARECOL_EXCLUDECURPERIOD" localSheetId="14">FALSE</definedName>
    <definedName name="QBREPORTCOMPARECOL_EXCLUDECURPERIOD" localSheetId="15">FALSE</definedName>
    <definedName name="QBREPORTCOMPARECOL_EXCLUDECURPERIOD" localSheetId="16">FALSE</definedName>
    <definedName name="QBREPORTCOMPARECOL_EXCLUDECURPERIOD" localSheetId="17">FALSE</definedName>
    <definedName name="QBREPORTCOMPARECOL_EXCLUDECURPERIOD" localSheetId="18">FALSE</definedName>
    <definedName name="QBREPORTCOMPARECOL_EXCLUDECURPERIOD" localSheetId="19">FALSE</definedName>
    <definedName name="QBREPORTCOMPARECOL_EXCLUDECURPERIOD" localSheetId="20">FALSE</definedName>
    <definedName name="QBREPORTCOMPARECOL_EXCLUDECURPERIOD" localSheetId="21">FALSE</definedName>
    <definedName name="QBREPORTCOMPARECOL_EXCLUDECURPERIOD" localSheetId="22">FALSE</definedName>
    <definedName name="QBREPORTCOMPARECOL_EXCLUDECURPERIOD" localSheetId="23">FALSE</definedName>
    <definedName name="QBREPORTCOMPARECOL_EXCLUDECURPERIOD" localSheetId="25">FALSE</definedName>
    <definedName name="QBREPORTCOMPARECOL_EXCLUDECURPERIOD" localSheetId="26">FALSE</definedName>
    <definedName name="QBREPORTCOMPARECOL_EXCLUDECURPERIOD" localSheetId="27">FALSE</definedName>
    <definedName name="QBREPORTCOMPARECOL_EXCLUDECURPERIOD" localSheetId="28">FALSE</definedName>
    <definedName name="QBREPORTCOMPARECOL_EXCLUDECURPERIOD" localSheetId="30">FALSE</definedName>
    <definedName name="QBREPORTCOMPARECOL_EXCLUDECURPERIOD" localSheetId="31">FALSE</definedName>
    <definedName name="QBREPORTCOMPARECOL_EXCLUDECURPERIOD" localSheetId="32">FALSE</definedName>
    <definedName name="QBREPORTCOMPARECOL_EXCLUDECURPERIOD" localSheetId="34">FALSE</definedName>
    <definedName name="QBREPORTCOMPARECOL_EXCLUDECURPERIOD" localSheetId="35">FALSE</definedName>
    <definedName name="QBREPORTCOMPARECOL_FORECAST" localSheetId="11">FALSE</definedName>
    <definedName name="QBREPORTCOMPARECOL_FORECAST" localSheetId="12">FALSE</definedName>
    <definedName name="QBREPORTCOMPARECOL_FORECAST" localSheetId="13">FALSE</definedName>
    <definedName name="QBREPORTCOMPARECOL_FORECAST" localSheetId="14">FALSE</definedName>
    <definedName name="QBREPORTCOMPARECOL_FORECAST" localSheetId="15">FALSE</definedName>
    <definedName name="QBREPORTCOMPARECOL_FORECAST" localSheetId="16">FALSE</definedName>
    <definedName name="QBREPORTCOMPARECOL_FORECAST" localSheetId="17">FALSE</definedName>
    <definedName name="QBREPORTCOMPARECOL_FORECAST" localSheetId="18">FALSE</definedName>
    <definedName name="QBREPORTCOMPARECOL_FORECAST" localSheetId="19">FALSE</definedName>
    <definedName name="QBREPORTCOMPARECOL_FORECAST" localSheetId="20">FALSE</definedName>
    <definedName name="QBREPORTCOMPARECOL_FORECAST" localSheetId="21">FALSE</definedName>
    <definedName name="QBREPORTCOMPARECOL_FORECAST" localSheetId="22">FALSE</definedName>
    <definedName name="QBREPORTCOMPARECOL_FORECAST" localSheetId="23">FALSE</definedName>
    <definedName name="QBREPORTCOMPARECOL_FORECAST" localSheetId="25">FALSE</definedName>
    <definedName name="QBREPORTCOMPARECOL_FORECAST" localSheetId="26">FALSE</definedName>
    <definedName name="QBREPORTCOMPARECOL_FORECAST" localSheetId="27">FALSE</definedName>
    <definedName name="QBREPORTCOMPARECOL_FORECAST" localSheetId="28">FALSE</definedName>
    <definedName name="QBREPORTCOMPARECOL_FORECAST" localSheetId="30">FALSE</definedName>
    <definedName name="QBREPORTCOMPARECOL_FORECAST" localSheetId="31">FALSE</definedName>
    <definedName name="QBREPORTCOMPARECOL_FORECAST" localSheetId="32">FALSE</definedName>
    <definedName name="QBREPORTCOMPARECOL_FORECAST" localSheetId="34">FALSE</definedName>
    <definedName name="QBREPORTCOMPARECOL_FORECAST" localSheetId="35">FALSE</definedName>
    <definedName name="QBREPORTCOMPARECOL_GROSSMARGIN" localSheetId="11">FALSE</definedName>
    <definedName name="QBREPORTCOMPARECOL_GROSSMARGIN" localSheetId="12">FALSE</definedName>
    <definedName name="QBREPORTCOMPARECOL_GROSSMARGIN" localSheetId="13">FALSE</definedName>
    <definedName name="QBREPORTCOMPARECOL_GROSSMARGIN" localSheetId="14">FALSE</definedName>
    <definedName name="QBREPORTCOMPARECOL_GROSSMARGIN" localSheetId="15">FALSE</definedName>
    <definedName name="QBREPORTCOMPARECOL_GROSSMARGIN" localSheetId="16">FALSE</definedName>
    <definedName name="QBREPORTCOMPARECOL_GROSSMARGIN" localSheetId="17">FALSE</definedName>
    <definedName name="QBREPORTCOMPARECOL_GROSSMARGIN" localSheetId="18">FALSE</definedName>
    <definedName name="QBREPORTCOMPARECOL_GROSSMARGIN" localSheetId="19">FALSE</definedName>
    <definedName name="QBREPORTCOMPARECOL_GROSSMARGIN" localSheetId="20">FALSE</definedName>
    <definedName name="QBREPORTCOMPARECOL_GROSSMARGIN" localSheetId="21">FALSE</definedName>
    <definedName name="QBREPORTCOMPARECOL_GROSSMARGIN" localSheetId="22">FALSE</definedName>
    <definedName name="QBREPORTCOMPARECOL_GROSSMARGIN" localSheetId="23">FALSE</definedName>
    <definedName name="QBREPORTCOMPARECOL_GROSSMARGIN" localSheetId="25">FALSE</definedName>
    <definedName name="QBREPORTCOMPARECOL_GROSSMARGIN" localSheetId="26">FALSE</definedName>
    <definedName name="QBREPORTCOMPARECOL_GROSSMARGIN" localSheetId="27">FALSE</definedName>
    <definedName name="QBREPORTCOMPARECOL_GROSSMARGIN" localSheetId="28">FALSE</definedName>
    <definedName name="QBREPORTCOMPARECOL_GROSSMARGIN" localSheetId="30">FALSE</definedName>
    <definedName name="QBREPORTCOMPARECOL_GROSSMARGIN" localSheetId="31">FALSE</definedName>
    <definedName name="QBREPORTCOMPARECOL_GROSSMARGIN" localSheetId="32">FALSE</definedName>
    <definedName name="QBREPORTCOMPARECOL_GROSSMARGIN" localSheetId="34">FALSE</definedName>
    <definedName name="QBREPORTCOMPARECOL_GROSSMARGIN" localSheetId="35">FALSE</definedName>
    <definedName name="QBREPORTCOMPARECOL_GROSSMARGINPCT" localSheetId="11">FALSE</definedName>
    <definedName name="QBREPORTCOMPARECOL_GROSSMARGINPCT" localSheetId="12">FALSE</definedName>
    <definedName name="QBREPORTCOMPARECOL_GROSSMARGINPCT" localSheetId="13">FALSE</definedName>
    <definedName name="QBREPORTCOMPARECOL_GROSSMARGINPCT" localSheetId="14">FALSE</definedName>
    <definedName name="QBREPORTCOMPARECOL_GROSSMARGINPCT" localSheetId="15">FALSE</definedName>
    <definedName name="QBREPORTCOMPARECOL_GROSSMARGINPCT" localSheetId="16">FALSE</definedName>
    <definedName name="QBREPORTCOMPARECOL_GROSSMARGINPCT" localSheetId="17">FALSE</definedName>
    <definedName name="QBREPORTCOMPARECOL_GROSSMARGINPCT" localSheetId="18">FALSE</definedName>
    <definedName name="QBREPORTCOMPARECOL_GROSSMARGINPCT" localSheetId="19">FALSE</definedName>
    <definedName name="QBREPORTCOMPARECOL_GROSSMARGINPCT" localSheetId="20">FALSE</definedName>
    <definedName name="QBREPORTCOMPARECOL_GROSSMARGINPCT" localSheetId="21">FALSE</definedName>
    <definedName name="QBREPORTCOMPARECOL_GROSSMARGINPCT" localSheetId="22">FALSE</definedName>
    <definedName name="QBREPORTCOMPARECOL_GROSSMARGINPCT" localSheetId="23">FALSE</definedName>
    <definedName name="QBREPORTCOMPARECOL_GROSSMARGINPCT" localSheetId="25">FALSE</definedName>
    <definedName name="QBREPORTCOMPARECOL_GROSSMARGINPCT" localSheetId="26">FALSE</definedName>
    <definedName name="QBREPORTCOMPARECOL_GROSSMARGINPCT" localSheetId="27">FALSE</definedName>
    <definedName name="QBREPORTCOMPARECOL_GROSSMARGINPCT" localSheetId="28">FALSE</definedName>
    <definedName name="QBREPORTCOMPARECOL_GROSSMARGINPCT" localSheetId="30">FALSE</definedName>
    <definedName name="QBREPORTCOMPARECOL_GROSSMARGINPCT" localSheetId="31">FALSE</definedName>
    <definedName name="QBREPORTCOMPARECOL_GROSSMARGINPCT" localSheetId="32">FALSE</definedName>
    <definedName name="QBREPORTCOMPARECOL_GROSSMARGINPCT" localSheetId="34">FALSE</definedName>
    <definedName name="QBREPORTCOMPARECOL_GROSSMARGINPCT" localSheetId="35">FALSE</definedName>
    <definedName name="QBREPORTCOMPARECOL_HOURS" localSheetId="11">FALSE</definedName>
    <definedName name="QBREPORTCOMPARECOL_HOURS" localSheetId="12">FALSE</definedName>
    <definedName name="QBREPORTCOMPARECOL_HOURS" localSheetId="13">FALSE</definedName>
    <definedName name="QBREPORTCOMPARECOL_HOURS" localSheetId="14">FALSE</definedName>
    <definedName name="QBREPORTCOMPARECOL_HOURS" localSheetId="15">FALSE</definedName>
    <definedName name="QBREPORTCOMPARECOL_HOURS" localSheetId="16">FALSE</definedName>
    <definedName name="QBREPORTCOMPARECOL_HOURS" localSheetId="17">FALSE</definedName>
    <definedName name="QBREPORTCOMPARECOL_HOURS" localSheetId="18">FALSE</definedName>
    <definedName name="QBREPORTCOMPARECOL_HOURS" localSheetId="19">FALSE</definedName>
    <definedName name="QBREPORTCOMPARECOL_HOURS" localSheetId="20">FALSE</definedName>
    <definedName name="QBREPORTCOMPARECOL_HOURS" localSheetId="21">FALSE</definedName>
    <definedName name="QBREPORTCOMPARECOL_HOURS" localSheetId="22">FALSE</definedName>
    <definedName name="QBREPORTCOMPARECOL_HOURS" localSheetId="23">FALSE</definedName>
    <definedName name="QBREPORTCOMPARECOL_HOURS" localSheetId="25">FALSE</definedName>
    <definedName name="QBREPORTCOMPARECOL_HOURS" localSheetId="26">FALSE</definedName>
    <definedName name="QBREPORTCOMPARECOL_HOURS" localSheetId="27">FALSE</definedName>
    <definedName name="QBREPORTCOMPARECOL_HOURS" localSheetId="28">FALSE</definedName>
    <definedName name="QBREPORTCOMPARECOL_HOURS" localSheetId="30">FALSE</definedName>
    <definedName name="QBREPORTCOMPARECOL_HOURS" localSheetId="31">FALSE</definedName>
    <definedName name="QBREPORTCOMPARECOL_HOURS" localSheetId="32">FALSE</definedName>
    <definedName name="QBREPORTCOMPARECOL_HOURS" localSheetId="34">FALSE</definedName>
    <definedName name="QBREPORTCOMPARECOL_HOURS" localSheetId="35">FALSE</definedName>
    <definedName name="QBREPORTCOMPARECOL_PCTCOL" localSheetId="11">FALSE</definedName>
    <definedName name="QBREPORTCOMPARECOL_PCTCOL" localSheetId="12">FALSE</definedName>
    <definedName name="QBREPORTCOMPARECOL_PCTCOL" localSheetId="13">FALSE</definedName>
    <definedName name="QBREPORTCOMPARECOL_PCTCOL" localSheetId="14">FALSE</definedName>
    <definedName name="QBREPORTCOMPARECOL_PCTCOL" localSheetId="15">FALSE</definedName>
    <definedName name="QBREPORTCOMPARECOL_PCTCOL" localSheetId="16">FALSE</definedName>
    <definedName name="QBREPORTCOMPARECOL_PCTCOL" localSheetId="17">FALSE</definedName>
    <definedName name="QBREPORTCOMPARECOL_PCTCOL" localSheetId="18">FALSE</definedName>
    <definedName name="QBREPORTCOMPARECOL_PCTCOL" localSheetId="19">FALSE</definedName>
    <definedName name="QBREPORTCOMPARECOL_PCTCOL" localSheetId="20">FALSE</definedName>
    <definedName name="QBREPORTCOMPARECOL_PCTCOL" localSheetId="21">FALSE</definedName>
    <definedName name="QBREPORTCOMPARECOL_PCTCOL" localSheetId="22">FALSE</definedName>
    <definedName name="QBREPORTCOMPARECOL_PCTCOL" localSheetId="23">FALSE</definedName>
    <definedName name="QBREPORTCOMPARECOL_PCTCOL" localSheetId="25">FALSE</definedName>
    <definedName name="QBREPORTCOMPARECOL_PCTCOL" localSheetId="26">FALSE</definedName>
    <definedName name="QBREPORTCOMPARECOL_PCTCOL" localSheetId="27">FALSE</definedName>
    <definedName name="QBREPORTCOMPARECOL_PCTCOL" localSheetId="28">FALSE</definedName>
    <definedName name="QBREPORTCOMPARECOL_PCTCOL" localSheetId="30">FALSE</definedName>
    <definedName name="QBREPORTCOMPARECOL_PCTCOL" localSheetId="31">FALSE</definedName>
    <definedName name="QBREPORTCOMPARECOL_PCTCOL" localSheetId="32">FALSE</definedName>
    <definedName name="QBREPORTCOMPARECOL_PCTCOL" localSheetId="34">FALSE</definedName>
    <definedName name="QBREPORTCOMPARECOL_PCTCOL" localSheetId="35">FALSE</definedName>
    <definedName name="QBREPORTCOMPARECOL_PCTEXPENSE" localSheetId="11">FALSE</definedName>
    <definedName name="QBREPORTCOMPARECOL_PCTEXPENSE" localSheetId="12">FALSE</definedName>
    <definedName name="QBREPORTCOMPARECOL_PCTEXPENSE" localSheetId="13">FALSE</definedName>
    <definedName name="QBREPORTCOMPARECOL_PCTEXPENSE" localSheetId="14">FALSE</definedName>
    <definedName name="QBREPORTCOMPARECOL_PCTEXPENSE" localSheetId="15">FALSE</definedName>
    <definedName name="QBREPORTCOMPARECOL_PCTEXPENSE" localSheetId="16">FALSE</definedName>
    <definedName name="QBREPORTCOMPARECOL_PCTEXPENSE" localSheetId="17">FALSE</definedName>
    <definedName name="QBREPORTCOMPARECOL_PCTEXPENSE" localSheetId="18">FALSE</definedName>
    <definedName name="QBREPORTCOMPARECOL_PCTEXPENSE" localSheetId="19">FALSE</definedName>
    <definedName name="QBREPORTCOMPARECOL_PCTEXPENSE" localSheetId="20">FALSE</definedName>
    <definedName name="QBREPORTCOMPARECOL_PCTEXPENSE" localSheetId="21">FALSE</definedName>
    <definedName name="QBREPORTCOMPARECOL_PCTEXPENSE" localSheetId="22">FALSE</definedName>
    <definedName name="QBREPORTCOMPARECOL_PCTEXPENSE" localSheetId="23">FALSE</definedName>
    <definedName name="QBREPORTCOMPARECOL_PCTEXPENSE" localSheetId="25">FALSE</definedName>
    <definedName name="QBREPORTCOMPARECOL_PCTEXPENSE" localSheetId="26">FALSE</definedName>
    <definedName name="QBREPORTCOMPARECOL_PCTEXPENSE" localSheetId="27">FALSE</definedName>
    <definedName name="QBREPORTCOMPARECOL_PCTEXPENSE" localSheetId="28">FALSE</definedName>
    <definedName name="QBREPORTCOMPARECOL_PCTEXPENSE" localSheetId="30">FALSE</definedName>
    <definedName name="QBREPORTCOMPARECOL_PCTEXPENSE" localSheetId="31">FALSE</definedName>
    <definedName name="QBREPORTCOMPARECOL_PCTEXPENSE" localSheetId="32">FALSE</definedName>
    <definedName name="QBREPORTCOMPARECOL_PCTEXPENSE" localSheetId="34">FALSE</definedName>
    <definedName name="QBREPORTCOMPARECOL_PCTEXPENSE" localSheetId="35">FALSE</definedName>
    <definedName name="QBREPORTCOMPARECOL_PCTINCOME" localSheetId="11">FALSE</definedName>
    <definedName name="QBREPORTCOMPARECOL_PCTINCOME" localSheetId="12">FALSE</definedName>
    <definedName name="QBREPORTCOMPARECOL_PCTINCOME" localSheetId="13">FALSE</definedName>
    <definedName name="QBREPORTCOMPARECOL_PCTINCOME" localSheetId="14">FALSE</definedName>
    <definedName name="QBREPORTCOMPARECOL_PCTINCOME" localSheetId="15">FALSE</definedName>
    <definedName name="QBREPORTCOMPARECOL_PCTINCOME" localSheetId="16">FALSE</definedName>
    <definedName name="QBREPORTCOMPARECOL_PCTINCOME" localSheetId="17">FALSE</definedName>
    <definedName name="QBREPORTCOMPARECOL_PCTINCOME" localSheetId="18">FALSE</definedName>
    <definedName name="QBREPORTCOMPARECOL_PCTINCOME" localSheetId="19">FALSE</definedName>
    <definedName name="QBREPORTCOMPARECOL_PCTINCOME" localSheetId="20">FALSE</definedName>
    <definedName name="QBREPORTCOMPARECOL_PCTINCOME" localSheetId="21">FALSE</definedName>
    <definedName name="QBREPORTCOMPARECOL_PCTINCOME" localSheetId="22">FALSE</definedName>
    <definedName name="QBREPORTCOMPARECOL_PCTINCOME" localSheetId="23">FALSE</definedName>
    <definedName name="QBREPORTCOMPARECOL_PCTINCOME" localSheetId="25">FALSE</definedName>
    <definedName name="QBREPORTCOMPARECOL_PCTINCOME" localSheetId="26">FALSE</definedName>
    <definedName name="QBREPORTCOMPARECOL_PCTINCOME" localSheetId="27">FALSE</definedName>
    <definedName name="QBREPORTCOMPARECOL_PCTINCOME" localSheetId="28">FALSE</definedName>
    <definedName name="QBREPORTCOMPARECOL_PCTINCOME" localSheetId="30">FALSE</definedName>
    <definedName name="QBREPORTCOMPARECOL_PCTINCOME" localSheetId="31">FALSE</definedName>
    <definedName name="QBREPORTCOMPARECOL_PCTINCOME" localSheetId="32">FALSE</definedName>
    <definedName name="QBREPORTCOMPARECOL_PCTINCOME" localSheetId="34">FALSE</definedName>
    <definedName name="QBREPORTCOMPARECOL_PCTINCOME" localSheetId="35">FALSE</definedName>
    <definedName name="QBREPORTCOMPARECOL_PCTOFSALES" localSheetId="11">FALSE</definedName>
    <definedName name="QBREPORTCOMPARECOL_PCTOFSALES" localSheetId="12">FALSE</definedName>
    <definedName name="QBREPORTCOMPARECOL_PCTOFSALES" localSheetId="13">FALSE</definedName>
    <definedName name="QBREPORTCOMPARECOL_PCTOFSALES" localSheetId="14">FALSE</definedName>
    <definedName name="QBREPORTCOMPARECOL_PCTOFSALES" localSheetId="15">FALSE</definedName>
    <definedName name="QBREPORTCOMPARECOL_PCTOFSALES" localSheetId="16">FALSE</definedName>
    <definedName name="QBREPORTCOMPARECOL_PCTOFSALES" localSheetId="17">FALSE</definedName>
    <definedName name="QBREPORTCOMPARECOL_PCTOFSALES" localSheetId="18">FALSE</definedName>
    <definedName name="QBREPORTCOMPARECOL_PCTOFSALES" localSheetId="19">FALSE</definedName>
    <definedName name="QBREPORTCOMPARECOL_PCTOFSALES" localSheetId="20">FALSE</definedName>
    <definedName name="QBREPORTCOMPARECOL_PCTOFSALES" localSheetId="21">FALSE</definedName>
    <definedName name="QBREPORTCOMPARECOL_PCTOFSALES" localSheetId="22">FALSE</definedName>
    <definedName name="QBREPORTCOMPARECOL_PCTOFSALES" localSheetId="23">FALSE</definedName>
    <definedName name="QBREPORTCOMPARECOL_PCTOFSALES" localSheetId="25">FALSE</definedName>
    <definedName name="QBREPORTCOMPARECOL_PCTOFSALES" localSheetId="26">FALSE</definedName>
    <definedName name="QBREPORTCOMPARECOL_PCTOFSALES" localSheetId="27">FALSE</definedName>
    <definedName name="QBREPORTCOMPARECOL_PCTOFSALES" localSheetId="28">FALSE</definedName>
    <definedName name="QBREPORTCOMPARECOL_PCTOFSALES" localSheetId="30">FALSE</definedName>
    <definedName name="QBREPORTCOMPARECOL_PCTOFSALES" localSheetId="31">FALSE</definedName>
    <definedName name="QBREPORTCOMPARECOL_PCTOFSALES" localSheetId="32">FALSE</definedName>
    <definedName name="QBREPORTCOMPARECOL_PCTOFSALES" localSheetId="34">FALSE</definedName>
    <definedName name="QBREPORTCOMPARECOL_PCTOFSALES" localSheetId="35">FALSE</definedName>
    <definedName name="QBREPORTCOMPARECOL_PCTROW" localSheetId="11">FALSE</definedName>
    <definedName name="QBREPORTCOMPARECOL_PCTROW" localSheetId="12">FALSE</definedName>
    <definedName name="QBREPORTCOMPARECOL_PCTROW" localSheetId="13">FALSE</definedName>
    <definedName name="QBREPORTCOMPARECOL_PCTROW" localSheetId="14">FALSE</definedName>
    <definedName name="QBREPORTCOMPARECOL_PCTROW" localSheetId="15">FALSE</definedName>
    <definedName name="QBREPORTCOMPARECOL_PCTROW" localSheetId="16">FALSE</definedName>
    <definedName name="QBREPORTCOMPARECOL_PCTROW" localSheetId="17">FALSE</definedName>
    <definedName name="QBREPORTCOMPARECOL_PCTROW" localSheetId="18">FALSE</definedName>
    <definedName name="QBREPORTCOMPARECOL_PCTROW" localSheetId="19">FALSE</definedName>
    <definedName name="QBREPORTCOMPARECOL_PCTROW" localSheetId="20">FALSE</definedName>
    <definedName name="QBREPORTCOMPARECOL_PCTROW" localSheetId="21">FALSE</definedName>
    <definedName name="QBREPORTCOMPARECOL_PCTROW" localSheetId="22">FALSE</definedName>
    <definedName name="QBREPORTCOMPARECOL_PCTROW" localSheetId="23">FALSE</definedName>
    <definedName name="QBREPORTCOMPARECOL_PCTROW" localSheetId="25">FALSE</definedName>
    <definedName name="QBREPORTCOMPARECOL_PCTROW" localSheetId="26">FALSE</definedName>
    <definedName name="QBREPORTCOMPARECOL_PCTROW" localSheetId="27">FALSE</definedName>
    <definedName name="QBREPORTCOMPARECOL_PCTROW" localSheetId="28">FALSE</definedName>
    <definedName name="QBREPORTCOMPARECOL_PCTROW" localSheetId="30">FALSE</definedName>
    <definedName name="QBREPORTCOMPARECOL_PCTROW" localSheetId="31">FALSE</definedName>
    <definedName name="QBREPORTCOMPARECOL_PCTROW" localSheetId="32">FALSE</definedName>
    <definedName name="QBREPORTCOMPARECOL_PCTROW" localSheetId="34">FALSE</definedName>
    <definedName name="QBREPORTCOMPARECOL_PCTROW" localSheetId="35">FALSE</definedName>
    <definedName name="QBREPORTCOMPARECOL_PPDIFF" localSheetId="11">FALSE</definedName>
    <definedName name="QBREPORTCOMPARECOL_PPDIFF" localSheetId="12">FALSE</definedName>
    <definedName name="QBREPORTCOMPARECOL_PPDIFF" localSheetId="13">FALSE</definedName>
    <definedName name="QBREPORTCOMPARECOL_PPDIFF" localSheetId="14">FALSE</definedName>
    <definedName name="QBREPORTCOMPARECOL_PPDIFF" localSheetId="15">FALSE</definedName>
    <definedName name="QBREPORTCOMPARECOL_PPDIFF" localSheetId="16">FALSE</definedName>
    <definedName name="QBREPORTCOMPARECOL_PPDIFF" localSheetId="17">FALSE</definedName>
    <definedName name="QBREPORTCOMPARECOL_PPDIFF" localSheetId="18">FALSE</definedName>
    <definedName name="QBREPORTCOMPARECOL_PPDIFF" localSheetId="19">FALSE</definedName>
    <definedName name="QBREPORTCOMPARECOL_PPDIFF" localSheetId="20">FALSE</definedName>
    <definedName name="QBREPORTCOMPARECOL_PPDIFF" localSheetId="21">FALSE</definedName>
    <definedName name="QBREPORTCOMPARECOL_PPDIFF" localSheetId="22">FALSE</definedName>
    <definedName name="QBREPORTCOMPARECOL_PPDIFF" localSheetId="23">FALSE</definedName>
    <definedName name="QBREPORTCOMPARECOL_PPDIFF" localSheetId="25">FALSE</definedName>
    <definedName name="QBREPORTCOMPARECOL_PPDIFF" localSheetId="26">FALSE</definedName>
    <definedName name="QBREPORTCOMPARECOL_PPDIFF" localSheetId="27">FALSE</definedName>
    <definedName name="QBREPORTCOMPARECOL_PPDIFF" localSheetId="28">FALSE</definedName>
    <definedName name="QBREPORTCOMPARECOL_PPDIFF" localSheetId="30">FALSE</definedName>
    <definedName name="QBREPORTCOMPARECOL_PPDIFF" localSheetId="31">FALSE</definedName>
    <definedName name="QBREPORTCOMPARECOL_PPDIFF" localSheetId="32">FALSE</definedName>
    <definedName name="QBREPORTCOMPARECOL_PPDIFF" localSheetId="34">FALSE</definedName>
    <definedName name="QBREPORTCOMPARECOL_PPDIFF" localSheetId="35">FALSE</definedName>
    <definedName name="QBREPORTCOMPARECOL_PPPCT" localSheetId="11">FALSE</definedName>
    <definedName name="QBREPORTCOMPARECOL_PPPCT" localSheetId="12">FALSE</definedName>
    <definedName name="QBREPORTCOMPARECOL_PPPCT" localSheetId="13">FALSE</definedName>
    <definedName name="QBREPORTCOMPARECOL_PPPCT" localSheetId="14">FALSE</definedName>
    <definedName name="QBREPORTCOMPARECOL_PPPCT" localSheetId="15">FALSE</definedName>
    <definedName name="QBREPORTCOMPARECOL_PPPCT" localSheetId="16">FALSE</definedName>
    <definedName name="QBREPORTCOMPARECOL_PPPCT" localSheetId="17">FALSE</definedName>
    <definedName name="QBREPORTCOMPARECOL_PPPCT" localSheetId="18">FALSE</definedName>
    <definedName name="QBREPORTCOMPARECOL_PPPCT" localSheetId="19">FALSE</definedName>
    <definedName name="QBREPORTCOMPARECOL_PPPCT" localSheetId="20">FALSE</definedName>
    <definedName name="QBREPORTCOMPARECOL_PPPCT" localSheetId="21">FALSE</definedName>
    <definedName name="QBREPORTCOMPARECOL_PPPCT" localSheetId="22">FALSE</definedName>
    <definedName name="QBREPORTCOMPARECOL_PPPCT" localSheetId="23">FALSE</definedName>
    <definedName name="QBREPORTCOMPARECOL_PPPCT" localSheetId="25">FALSE</definedName>
    <definedName name="QBREPORTCOMPARECOL_PPPCT" localSheetId="26">FALSE</definedName>
    <definedName name="QBREPORTCOMPARECOL_PPPCT" localSheetId="27">FALSE</definedName>
    <definedName name="QBREPORTCOMPARECOL_PPPCT" localSheetId="28">FALSE</definedName>
    <definedName name="QBREPORTCOMPARECOL_PPPCT" localSheetId="30">FALSE</definedName>
    <definedName name="QBREPORTCOMPARECOL_PPPCT" localSheetId="31">FALSE</definedName>
    <definedName name="QBREPORTCOMPARECOL_PPPCT" localSheetId="32">FALSE</definedName>
    <definedName name="QBREPORTCOMPARECOL_PPPCT" localSheetId="34">FALSE</definedName>
    <definedName name="QBREPORTCOMPARECOL_PPPCT" localSheetId="35">FALSE</definedName>
    <definedName name="QBREPORTCOMPARECOL_PREVPERIOD" localSheetId="11">FALSE</definedName>
    <definedName name="QBREPORTCOMPARECOL_PREVPERIOD" localSheetId="12">FALSE</definedName>
    <definedName name="QBREPORTCOMPARECOL_PREVPERIOD" localSheetId="13">FALSE</definedName>
    <definedName name="QBREPORTCOMPARECOL_PREVPERIOD" localSheetId="14">FALSE</definedName>
    <definedName name="QBREPORTCOMPARECOL_PREVPERIOD" localSheetId="15">FALSE</definedName>
    <definedName name="QBREPORTCOMPARECOL_PREVPERIOD" localSheetId="16">FALSE</definedName>
    <definedName name="QBREPORTCOMPARECOL_PREVPERIOD" localSheetId="17">FALSE</definedName>
    <definedName name="QBREPORTCOMPARECOL_PREVPERIOD" localSheetId="18">FALSE</definedName>
    <definedName name="QBREPORTCOMPARECOL_PREVPERIOD" localSheetId="19">FALSE</definedName>
    <definedName name="QBREPORTCOMPARECOL_PREVPERIOD" localSheetId="20">FALSE</definedName>
    <definedName name="QBREPORTCOMPARECOL_PREVPERIOD" localSheetId="21">FALSE</definedName>
    <definedName name="QBREPORTCOMPARECOL_PREVPERIOD" localSheetId="22">FALSE</definedName>
    <definedName name="QBREPORTCOMPARECOL_PREVPERIOD" localSheetId="23">FALSE</definedName>
    <definedName name="QBREPORTCOMPARECOL_PREVPERIOD" localSheetId="25">FALSE</definedName>
    <definedName name="QBREPORTCOMPARECOL_PREVPERIOD" localSheetId="26">FALSE</definedName>
    <definedName name="QBREPORTCOMPARECOL_PREVPERIOD" localSheetId="27">FALSE</definedName>
    <definedName name="QBREPORTCOMPARECOL_PREVPERIOD" localSheetId="28">FALSE</definedName>
    <definedName name="QBREPORTCOMPARECOL_PREVPERIOD" localSheetId="30">FALSE</definedName>
    <definedName name="QBREPORTCOMPARECOL_PREVPERIOD" localSheetId="31">FALSE</definedName>
    <definedName name="QBREPORTCOMPARECOL_PREVPERIOD" localSheetId="32">FALSE</definedName>
    <definedName name="QBREPORTCOMPARECOL_PREVPERIOD" localSheetId="34">FALSE</definedName>
    <definedName name="QBREPORTCOMPARECOL_PREVPERIOD" localSheetId="35">FALSE</definedName>
    <definedName name="QBREPORTCOMPARECOL_PREVYEAR" localSheetId="11">FALSE</definedName>
    <definedName name="QBREPORTCOMPARECOL_PREVYEAR" localSheetId="12">FALSE</definedName>
    <definedName name="QBREPORTCOMPARECOL_PREVYEAR" localSheetId="13">FALSE</definedName>
    <definedName name="QBREPORTCOMPARECOL_PREVYEAR" localSheetId="14">FALSE</definedName>
    <definedName name="QBREPORTCOMPARECOL_PREVYEAR" localSheetId="15">FALSE</definedName>
    <definedName name="QBREPORTCOMPARECOL_PREVYEAR" localSheetId="16">FALSE</definedName>
    <definedName name="QBREPORTCOMPARECOL_PREVYEAR" localSheetId="17">FALSE</definedName>
    <definedName name="QBREPORTCOMPARECOL_PREVYEAR" localSheetId="18">FALSE</definedName>
    <definedName name="QBREPORTCOMPARECOL_PREVYEAR" localSheetId="19">FALSE</definedName>
    <definedName name="QBREPORTCOMPARECOL_PREVYEAR" localSheetId="20">FALSE</definedName>
    <definedName name="QBREPORTCOMPARECOL_PREVYEAR" localSheetId="21">FALSE</definedName>
    <definedName name="QBREPORTCOMPARECOL_PREVYEAR" localSheetId="22">FALSE</definedName>
    <definedName name="QBREPORTCOMPARECOL_PREVYEAR" localSheetId="23">FALSE</definedName>
    <definedName name="QBREPORTCOMPARECOL_PREVYEAR" localSheetId="25">FALSE</definedName>
    <definedName name="QBREPORTCOMPARECOL_PREVYEAR" localSheetId="26">FALSE</definedName>
    <definedName name="QBREPORTCOMPARECOL_PREVYEAR" localSheetId="27">FALSE</definedName>
    <definedName name="QBREPORTCOMPARECOL_PREVYEAR" localSheetId="28">FALSE</definedName>
    <definedName name="QBREPORTCOMPARECOL_PREVYEAR" localSheetId="30">FALSE</definedName>
    <definedName name="QBREPORTCOMPARECOL_PREVYEAR" localSheetId="31">FALSE</definedName>
    <definedName name="QBREPORTCOMPARECOL_PREVYEAR" localSheetId="32">FALSE</definedName>
    <definedName name="QBREPORTCOMPARECOL_PREVYEAR" localSheetId="34">FALSE</definedName>
    <definedName name="QBREPORTCOMPARECOL_PREVYEAR" localSheetId="35">FALSE</definedName>
    <definedName name="QBREPORTCOMPARECOL_PYDIFF" localSheetId="11">FALSE</definedName>
    <definedName name="QBREPORTCOMPARECOL_PYDIFF" localSheetId="12">FALSE</definedName>
    <definedName name="QBREPORTCOMPARECOL_PYDIFF" localSheetId="13">FALSE</definedName>
    <definedName name="QBREPORTCOMPARECOL_PYDIFF" localSheetId="14">FALSE</definedName>
    <definedName name="QBREPORTCOMPARECOL_PYDIFF" localSheetId="15">FALSE</definedName>
    <definedName name="QBREPORTCOMPARECOL_PYDIFF" localSheetId="16">FALSE</definedName>
    <definedName name="QBREPORTCOMPARECOL_PYDIFF" localSheetId="17">FALSE</definedName>
    <definedName name="QBREPORTCOMPARECOL_PYDIFF" localSheetId="18">FALSE</definedName>
    <definedName name="QBREPORTCOMPARECOL_PYDIFF" localSheetId="19">FALSE</definedName>
    <definedName name="QBREPORTCOMPARECOL_PYDIFF" localSheetId="20">FALSE</definedName>
    <definedName name="QBREPORTCOMPARECOL_PYDIFF" localSheetId="21">FALSE</definedName>
    <definedName name="QBREPORTCOMPARECOL_PYDIFF" localSheetId="22">FALSE</definedName>
    <definedName name="QBREPORTCOMPARECOL_PYDIFF" localSheetId="23">FALSE</definedName>
    <definedName name="QBREPORTCOMPARECOL_PYDIFF" localSheetId="25">FALSE</definedName>
    <definedName name="QBREPORTCOMPARECOL_PYDIFF" localSheetId="26">FALSE</definedName>
    <definedName name="QBREPORTCOMPARECOL_PYDIFF" localSheetId="27">FALSE</definedName>
    <definedName name="QBREPORTCOMPARECOL_PYDIFF" localSheetId="28">FALSE</definedName>
    <definedName name="QBREPORTCOMPARECOL_PYDIFF" localSheetId="30">FALSE</definedName>
    <definedName name="QBREPORTCOMPARECOL_PYDIFF" localSheetId="31">FALSE</definedName>
    <definedName name="QBREPORTCOMPARECOL_PYDIFF" localSheetId="32">FALSE</definedName>
    <definedName name="QBREPORTCOMPARECOL_PYDIFF" localSheetId="34">FALSE</definedName>
    <definedName name="QBREPORTCOMPARECOL_PYDIFF" localSheetId="35">FALSE</definedName>
    <definedName name="QBREPORTCOMPARECOL_PYPCT" localSheetId="11">FALSE</definedName>
    <definedName name="QBREPORTCOMPARECOL_PYPCT" localSheetId="12">FALSE</definedName>
    <definedName name="QBREPORTCOMPARECOL_PYPCT" localSheetId="13">FALSE</definedName>
    <definedName name="QBREPORTCOMPARECOL_PYPCT" localSheetId="14">FALSE</definedName>
    <definedName name="QBREPORTCOMPARECOL_PYPCT" localSheetId="15">FALSE</definedName>
    <definedName name="QBREPORTCOMPARECOL_PYPCT" localSheetId="16">FALSE</definedName>
    <definedName name="QBREPORTCOMPARECOL_PYPCT" localSheetId="17">FALSE</definedName>
    <definedName name="QBREPORTCOMPARECOL_PYPCT" localSheetId="18">FALSE</definedName>
    <definedName name="QBREPORTCOMPARECOL_PYPCT" localSheetId="19">FALSE</definedName>
    <definedName name="QBREPORTCOMPARECOL_PYPCT" localSheetId="20">FALSE</definedName>
    <definedName name="QBREPORTCOMPARECOL_PYPCT" localSheetId="21">FALSE</definedName>
    <definedName name="QBREPORTCOMPARECOL_PYPCT" localSheetId="22">FALSE</definedName>
    <definedName name="QBREPORTCOMPARECOL_PYPCT" localSheetId="23">FALSE</definedName>
    <definedName name="QBREPORTCOMPARECOL_PYPCT" localSheetId="25">FALSE</definedName>
    <definedName name="QBREPORTCOMPARECOL_PYPCT" localSheetId="26">FALSE</definedName>
    <definedName name="QBREPORTCOMPARECOL_PYPCT" localSheetId="27">FALSE</definedName>
    <definedName name="QBREPORTCOMPARECOL_PYPCT" localSheetId="28">FALSE</definedName>
    <definedName name="QBREPORTCOMPARECOL_PYPCT" localSheetId="30">FALSE</definedName>
    <definedName name="QBREPORTCOMPARECOL_PYPCT" localSheetId="31">FALSE</definedName>
    <definedName name="QBREPORTCOMPARECOL_PYPCT" localSheetId="32">FALSE</definedName>
    <definedName name="QBREPORTCOMPARECOL_PYPCT" localSheetId="34">FALSE</definedName>
    <definedName name="QBREPORTCOMPARECOL_PYPCT" localSheetId="35">FALSE</definedName>
    <definedName name="QBREPORTCOMPARECOL_QTY" localSheetId="11">FALSE</definedName>
    <definedName name="QBREPORTCOMPARECOL_QTY" localSheetId="12">FALSE</definedName>
    <definedName name="QBREPORTCOMPARECOL_QTY" localSheetId="13">FALSE</definedName>
    <definedName name="QBREPORTCOMPARECOL_QTY" localSheetId="14">FALSE</definedName>
    <definedName name="QBREPORTCOMPARECOL_QTY" localSheetId="15">FALSE</definedName>
    <definedName name="QBREPORTCOMPARECOL_QTY" localSheetId="16">FALSE</definedName>
    <definedName name="QBREPORTCOMPARECOL_QTY" localSheetId="17">FALSE</definedName>
    <definedName name="QBREPORTCOMPARECOL_QTY" localSheetId="18">FALSE</definedName>
    <definedName name="QBREPORTCOMPARECOL_QTY" localSheetId="19">FALSE</definedName>
    <definedName name="QBREPORTCOMPARECOL_QTY" localSheetId="20">FALSE</definedName>
    <definedName name="QBREPORTCOMPARECOL_QTY" localSheetId="21">FALSE</definedName>
    <definedName name="QBREPORTCOMPARECOL_QTY" localSheetId="22">FALSE</definedName>
    <definedName name="QBREPORTCOMPARECOL_QTY" localSheetId="23">FALSE</definedName>
    <definedName name="QBREPORTCOMPARECOL_QTY" localSheetId="25">FALSE</definedName>
    <definedName name="QBREPORTCOMPARECOL_QTY" localSheetId="26">FALSE</definedName>
    <definedName name="QBREPORTCOMPARECOL_QTY" localSheetId="27">FALSE</definedName>
    <definedName name="QBREPORTCOMPARECOL_QTY" localSheetId="28">FALSE</definedName>
    <definedName name="QBREPORTCOMPARECOL_QTY" localSheetId="30">FALSE</definedName>
    <definedName name="QBREPORTCOMPARECOL_QTY" localSheetId="31">FALSE</definedName>
    <definedName name="QBREPORTCOMPARECOL_QTY" localSheetId="32">FALSE</definedName>
    <definedName name="QBREPORTCOMPARECOL_QTY" localSheetId="34">FALSE</definedName>
    <definedName name="QBREPORTCOMPARECOL_QTY" localSheetId="35">FALSE</definedName>
    <definedName name="QBREPORTCOMPARECOL_RATE" localSheetId="11">FALSE</definedName>
    <definedName name="QBREPORTCOMPARECOL_RATE" localSheetId="12">FALSE</definedName>
    <definedName name="QBREPORTCOMPARECOL_RATE" localSheetId="13">FALSE</definedName>
    <definedName name="QBREPORTCOMPARECOL_RATE" localSheetId="14">FALSE</definedName>
    <definedName name="QBREPORTCOMPARECOL_RATE" localSheetId="15">FALSE</definedName>
    <definedName name="QBREPORTCOMPARECOL_RATE" localSheetId="16">FALSE</definedName>
    <definedName name="QBREPORTCOMPARECOL_RATE" localSheetId="17">FALSE</definedName>
    <definedName name="QBREPORTCOMPARECOL_RATE" localSheetId="18">FALSE</definedName>
    <definedName name="QBREPORTCOMPARECOL_RATE" localSheetId="19">FALSE</definedName>
    <definedName name="QBREPORTCOMPARECOL_RATE" localSheetId="20">FALSE</definedName>
    <definedName name="QBREPORTCOMPARECOL_RATE" localSheetId="21">FALSE</definedName>
    <definedName name="QBREPORTCOMPARECOL_RATE" localSheetId="22">FALSE</definedName>
    <definedName name="QBREPORTCOMPARECOL_RATE" localSheetId="23">FALSE</definedName>
    <definedName name="QBREPORTCOMPARECOL_RATE" localSheetId="25">FALSE</definedName>
    <definedName name="QBREPORTCOMPARECOL_RATE" localSheetId="26">FALSE</definedName>
    <definedName name="QBREPORTCOMPARECOL_RATE" localSheetId="27">FALSE</definedName>
    <definedName name="QBREPORTCOMPARECOL_RATE" localSheetId="28">FALSE</definedName>
    <definedName name="QBREPORTCOMPARECOL_RATE" localSheetId="30">FALSE</definedName>
    <definedName name="QBREPORTCOMPARECOL_RATE" localSheetId="31">FALSE</definedName>
    <definedName name="QBREPORTCOMPARECOL_RATE" localSheetId="32">FALSE</definedName>
    <definedName name="QBREPORTCOMPARECOL_RATE" localSheetId="34">FALSE</definedName>
    <definedName name="QBREPORTCOMPARECOL_RATE" localSheetId="35">FALSE</definedName>
    <definedName name="QBREPORTCOMPARECOL_TRIPBILLEDMILES" localSheetId="11">FALSE</definedName>
    <definedName name="QBREPORTCOMPARECOL_TRIPBILLEDMILES" localSheetId="12">FALSE</definedName>
    <definedName name="QBREPORTCOMPARECOL_TRIPBILLEDMILES" localSheetId="13">FALSE</definedName>
    <definedName name="QBREPORTCOMPARECOL_TRIPBILLEDMILES" localSheetId="14">FALSE</definedName>
    <definedName name="QBREPORTCOMPARECOL_TRIPBILLEDMILES" localSheetId="15">FALSE</definedName>
    <definedName name="QBREPORTCOMPARECOL_TRIPBILLEDMILES" localSheetId="16">FALSE</definedName>
    <definedName name="QBREPORTCOMPARECOL_TRIPBILLEDMILES" localSheetId="17">FALSE</definedName>
    <definedName name="QBREPORTCOMPARECOL_TRIPBILLEDMILES" localSheetId="18">FALSE</definedName>
    <definedName name="QBREPORTCOMPARECOL_TRIPBILLEDMILES" localSheetId="19">FALSE</definedName>
    <definedName name="QBREPORTCOMPARECOL_TRIPBILLEDMILES" localSheetId="20">FALSE</definedName>
    <definedName name="QBREPORTCOMPARECOL_TRIPBILLEDMILES" localSheetId="21">FALSE</definedName>
    <definedName name="QBREPORTCOMPARECOL_TRIPBILLEDMILES" localSheetId="22">FALSE</definedName>
    <definedName name="QBREPORTCOMPARECOL_TRIPBILLEDMILES" localSheetId="23">FALSE</definedName>
    <definedName name="QBREPORTCOMPARECOL_TRIPBILLEDMILES" localSheetId="25">FALSE</definedName>
    <definedName name="QBREPORTCOMPARECOL_TRIPBILLEDMILES" localSheetId="26">FALSE</definedName>
    <definedName name="QBREPORTCOMPARECOL_TRIPBILLEDMILES" localSheetId="27">FALSE</definedName>
    <definedName name="QBREPORTCOMPARECOL_TRIPBILLEDMILES" localSheetId="28">FALSE</definedName>
    <definedName name="QBREPORTCOMPARECOL_TRIPBILLEDMILES" localSheetId="30">FALSE</definedName>
    <definedName name="QBREPORTCOMPARECOL_TRIPBILLEDMILES" localSheetId="31">FALSE</definedName>
    <definedName name="QBREPORTCOMPARECOL_TRIPBILLEDMILES" localSheetId="32">FALSE</definedName>
    <definedName name="QBREPORTCOMPARECOL_TRIPBILLEDMILES" localSheetId="34">FALSE</definedName>
    <definedName name="QBREPORTCOMPARECOL_TRIPBILLEDMILES" localSheetId="35">FALSE</definedName>
    <definedName name="QBREPORTCOMPARECOL_TRIPBILLINGAMOUNT" localSheetId="11">FALSE</definedName>
    <definedName name="QBREPORTCOMPARECOL_TRIPBILLINGAMOUNT" localSheetId="12">FALSE</definedName>
    <definedName name="QBREPORTCOMPARECOL_TRIPBILLINGAMOUNT" localSheetId="13">FALSE</definedName>
    <definedName name="QBREPORTCOMPARECOL_TRIPBILLINGAMOUNT" localSheetId="14">FALSE</definedName>
    <definedName name="QBREPORTCOMPARECOL_TRIPBILLINGAMOUNT" localSheetId="15">FALSE</definedName>
    <definedName name="QBREPORTCOMPARECOL_TRIPBILLINGAMOUNT" localSheetId="16">FALSE</definedName>
    <definedName name="QBREPORTCOMPARECOL_TRIPBILLINGAMOUNT" localSheetId="17">FALSE</definedName>
    <definedName name="QBREPORTCOMPARECOL_TRIPBILLINGAMOUNT" localSheetId="18">FALSE</definedName>
    <definedName name="QBREPORTCOMPARECOL_TRIPBILLINGAMOUNT" localSheetId="19">FALSE</definedName>
    <definedName name="QBREPORTCOMPARECOL_TRIPBILLINGAMOUNT" localSheetId="20">FALSE</definedName>
    <definedName name="QBREPORTCOMPARECOL_TRIPBILLINGAMOUNT" localSheetId="21">FALSE</definedName>
    <definedName name="QBREPORTCOMPARECOL_TRIPBILLINGAMOUNT" localSheetId="22">FALSE</definedName>
    <definedName name="QBREPORTCOMPARECOL_TRIPBILLINGAMOUNT" localSheetId="23">FALSE</definedName>
    <definedName name="QBREPORTCOMPARECOL_TRIPBILLINGAMOUNT" localSheetId="25">FALSE</definedName>
    <definedName name="QBREPORTCOMPARECOL_TRIPBILLINGAMOUNT" localSheetId="26">FALSE</definedName>
    <definedName name="QBREPORTCOMPARECOL_TRIPBILLINGAMOUNT" localSheetId="27">FALSE</definedName>
    <definedName name="QBREPORTCOMPARECOL_TRIPBILLINGAMOUNT" localSheetId="28">FALSE</definedName>
    <definedName name="QBREPORTCOMPARECOL_TRIPBILLINGAMOUNT" localSheetId="30">FALSE</definedName>
    <definedName name="QBREPORTCOMPARECOL_TRIPBILLINGAMOUNT" localSheetId="31">FALSE</definedName>
    <definedName name="QBREPORTCOMPARECOL_TRIPBILLINGAMOUNT" localSheetId="32">FALSE</definedName>
    <definedName name="QBREPORTCOMPARECOL_TRIPBILLINGAMOUNT" localSheetId="34">FALSE</definedName>
    <definedName name="QBREPORTCOMPARECOL_TRIPBILLINGAMOUNT" localSheetId="35">FALSE</definedName>
    <definedName name="QBREPORTCOMPARECOL_TRIPMILES" localSheetId="11">FALSE</definedName>
    <definedName name="QBREPORTCOMPARECOL_TRIPMILES" localSheetId="12">FALSE</definedName>
    <definedName name="QBREPORTCOMPARECOL_TRIPMILES" localSheetId="13">FALSE</definedName>
    <definedName name="QBREPORTCOMPARECOL_TRIPMILES" localSheetId="14">FALSE</definedName>
    <definedName name="QBREPORTCOMPARECOL_TRIPMILES" localSheetId="15">FALSE</definedName>
    <definedName name="QBREPORTCOMPARECOL_TRIPMILES" localSheetId="16">FALSE</definedName>
    <definedName name="QBREPORTCOMPARECOL_TRIPMILES" localSheetId="17">FALSE</definedName>
    <definedName name="QBREPORTCOMPARECOL_TRIPMILES" localSheetId="18">FALSE</definedName>
    <definedName name="QBREPORTCOMPARECOL_TRIPMILES" localSheetId="19">FALSE</definedName>
    <definedName name="QBREPORTCOMPARECOL_TRIPMILES" localSheetId="20">FALSE</definedName>
    <definedName name="QBREPORTCOMPARECOL_TRIPMILES" localSheetId="21">FALSE</definedName>
    <definedName name="QBREPORTCOMPARECOL_TRIPMILES" localSheetId="22">FALSE</definedName>
    <definedName name="QBREPORTCOMPARECOL_TRIPMILES" localSheetId="23">FALSE</definedName>
    <definedName name="QBREPORTCOMPARECOL_TRIPMILES" localSheetId="25">FALSE</definedName>
    <definedName name="QBREPORTCOMPARECOL_TRIPMILES" localSheetId="26">FALSE</definedName>
    <definedName name="QBREPORTCOMPARECOL_TRIPMILES" localSheetId="27">FALSE</definedName>
    <definedName name="QBREPORTCOMPARECOL_TRIPMILES" localSheetId="28">FALSE</definedName>
    <definedName name="QBREPORTCOMPARECOL_TRIPMILES" localSheetId="30">FALSE</definedName>
    <definedName name="QBREPORTCOMPARECOL_TRIPMILES" localSheetId="31">FALSE</definedName>
    <definedName name="QBREPORTCOMPARECOL_TRIPMILES" localSheetId="32">FALSE</definedName>
    <definedName name="QBREPORTCOMPARECOL_TRIPMILES" localSheetId="34">FALSE</definedName>
    <definedName name="QBREPORTCOMPARECOL_TRIPMILES" localSheetId="35">FALSE</definedName>
    <definedName name="QBREPORTCOMPARECOL_TRIPNOTBILLABLEMILES" localSheetId="11">FALSE</definedName>
    <definedName name="QBREPORTCOMPARECOL_TRIPNOTBILLABLEMILES" localSheetId="12">FALSE</definedName>
    <definedName name="QBREPORTCOMPARECOL_TRIPNOTBILLABLEMILES" localSheetId="13">FALSE</definedName>
    <definedName name="QBREPORTCOMPARECOL_TRIPNOTBILLABLEMILES" localSheetId="14">FALSE</definedName>
    <definedName name="QBREPORTCOMPARECOL_TRIPNOTBILLABLEMILES" localSheetId="15">FALSE</definedName>
    <definedName name="QBREPORTCOMPARECOL_TRIPNOTBILLABLEMILES" localSheetId="16">FALSE</definedName>
    <definedName name="QBREPORTCOMPARECOL_TRIPNOTBILLABLEMILES" localSheetId="17">FALSE</definedName>
    <definedName name="QBREPORTCOMPARECOL_TRIPNOTBILLABLEMILES" localSheetId="18">FALSE</definedName>
    <definedName name="QBREPORTCOMPARECOL_TRIPNOTBILLABLEMILES" localSheetId="19">FALSE</definedName>
    <definedName name="QBREPORTCOMPARECOL_TRIPNOTBILLABLEMILES" localSheetId="20">FALSE</definedName>
    <definedName name="QBREPORTCOMPARECOL_TRIPNOTBILLABLEMILES" localSheetId="21">FALSE</definedName>
    <definedName name="QBREPORTCOMPARECOL_TRIPNOTBILLABLEMILES" localSheetId="22">FALSE</definedName>
    <definedName name="QBREPORTCOMPARECOL_TRIPNOTBILLABLEMILES" localSheetId="23">FALSE</definedName>
    <definedName name="QBREPORTCOMPARECOL_TRIPNOTBILLABLEMILES" localSheetId="25">FALSE</definedName>
    <definedName name="QBREPORTCOMPARECOL_TRIPNOTBILLABLEMILES" localSheetId="26">FALSE</definedName>
    <definedName name="QBREPORTCOMPARECOL_TRIPNOTBILLABLEMILES" localSheetId="27">FALSE</definedName>
    <definedName name="QBREPORTCOMPARECOL_TRIPNOTBILLABLEMILES" localSheetId="28">FALSE</definedName>
    <definedName name="QBREPORTCOMPARECOL_TRIPNOTBILLABLEMILES" localSheetId="30">FALSE</definedName>
    <definedName name="QBREPORTCOMPARECOL_TRIPNOTBILLABLEMILES" localSheetId="31">FALSE</definedName>
    <definedName name="QBREPORTCOMPARECOL_TRIPNOTBILLABLEMILES" localSheetId="32">FALSE</definedName>
    <definedName name="QBREPORTCOMPARECOL_TRIPNOTBILLABLEMILES" localSheetId="34">FALSE</definedName>
    <definedName name="QBREPORTCOMPARECOL_TRIPNOTBILLABLEMILES" localSheetId="35">FALSE</definedName>
    <definedName name="QBREPORTCOMPARECOL_TRIPTAXDEDUCTIBLEAMOUNT" localSheetId="11">FALSE</definedName>
    <definedName name="QBREPORTCOMPARECOL_TRIPTAXDEDUCTIBLEAMOUNT" localSheetId="12">FALSE</definedName>
    <definedName name="QBREPORTCOMPARECOL_TRIPTAXDEDUCTIBLEAMOUNT" localSheetId="13">FALSE</definedName>
    <definedName name="QBREPORTCOMPARECOL_TRIPTAXDEDUCTIBLEAMOUNT" localSheetId="14">FALSE</definedName>
    <definedName name="QBREPORTCOMPARECOL_TRIPTAXDEDUCTIBLEAMOUNT" localSheetId="15">FALSE</definedName>
    <definedName name="QBREPORTCOMPARECOL_TRIPTAXDEDUCTIBLEAMOUNT" localSheetId="16">FALSE</definedName>
    <definedName name="QBREPORTCOMPARECOL_TRIPTAXDEDUCTIBLEAMOUNT" localSheetId="17">FALSE</definedName>
    <definedName name="QBREPORTCOMPARECOL_TRIPTAXDEDUCTIBLEAMOUNT" localSheetId="18">FALSE</definedName>
    <definedName name="QBREPORTCOMPARECOL_TRIPTAXDEDUCTIBLEAMOUNT" localSheetId="19">FALSE</definedName>
    <definedName name="QBREPORTCOMPARECOL_TRIPTAXDEDUCTIBLEAMOUNT" localSheetId="20">FALSE</definedName>
    <definedName name="QBREPORTCOMPARECOL_TRIPTAXDEDUCTIBLEAMOUNT" localSheetId="21">FALSE</definedName>
    <definedName name="QBREPORTCOMPARECOL_TRIPTAXDEDUCTIBLEAMOUNT" localSheetId="22">FALSE</definedName>
    <definedName name="QBREPORTCOMPARECOL_TRIPTAXDEDUCTIBLEAMOUNT" localSheetId="23">FALSE</definedName>
    <definedName name="QBREPORTCOMPARECOL_TRIPTAXDEDUCTIBLEAMOUNT" localSheetId="25">FALSE</definedName>
    <definedName name="QBREPORTCOMPARECOL_TRIPTAXDEDUCTIBLEAMOUNT" localSheetId="26">FALSE</definedName>
    <definedName name="QBREPORTCOMPARECOL_TRIPTAXDEDUCTIBLEAMOUNT" localSheetId="27">FALSE</definedName>
    <definedName name="QBREPORTCOMPARECOL_TRIPTAXDEDUCTIBLEAMOUNT" localSheetId="28">FALSE</definedName>
    <definedName name="QBREPORTCOMPARECOL_TRIPTAXDEDUCTIBLEAMOUNT" localSheetId="30">FALSE</definedName>
    <definedName name="QBREPORTCOMPARECOL_TRIPTAXDEDUCTIBLEAMOUNT" localSheetId="31">FALSE</definedName>
    <definedName name="QBREPORTCOMPARECOL_TRIPTAXDEDUCTIBLEAMOUNT" localSheetId="32">FALSE</definedName>
    <definedName name="QBREPORTCOMPARECOL_TRIPTAXDEDUCTIBLEAMOUNT" localSheetId="34">FALSE</definedName>
    <definedName name="QBREPORTCOMPARECOL_TRIPTAXDEDUCTIBLEAMOUNT" localSheetId="35">FALSE</definedName>
    <definedName name="QBREPORTCOMPARECOL_TRIPUNBILLEDMILES" localSheetId="11">FALSE</definedName>
    <definedName name="QBREPORTCOMPARECOL_TRIPUNBILLEDMILES" localSheetId="12">FALSE</definedName>
    <definedName name="QBREPORTCOMPARECOL_TRIPUNBILLEDMILES" localSheetId="13">FALSE</definedName>
    <definedName name="QBREPORTCOMPARECOL_TRIPUNBILLEDMILES" localSheetId="14">FALSE</definedName>
    <definedName name="QBREPORTCOMPARECOL_TRIPUNBILLEDMILES" localSheetId="15">FALSE</definedName>
    <definedName name="QBREPORTCOMPARECOL_TRIPUNBILLEDMILES" localSheetId="16">FALSE</definedName>
    <definedName name="QBREPORTCOMPARECOL_TRIPUNBILLEDMILES" localSheetId="17">FALSE</definedName>
    <definedName name="QBREPORTCOMPARECOL_TRIPUNBILLEDMILES" localSheetId="18">FALSE</definedName>
    <definedName name="QBREPORTCOMPARECOL_TRIPUNBILLEDMILES" localSheetId="19">FALSE</definedName>
    <definedName name="QBREPORTCOMPARECOL_TRIPUNBILLEDMILES" localSheetId="20">FALSE</definedName>
    <definedName name="QBREPORTCOMPARECOL_TRIPUNBILLEDMILES" localSheetId="21">FALSE</definedName>
    <definedName name="QBREPORTCOMPARECOL_TRIPUNBILLEDMILES" localSheetId="22">FALSE</definedName>
    <definedName name="QBREPORTCOMPARECOL_TRIPUNBILLEDMILES" localSheetId="23">FALSE</definedName>
    <definedName name="QBREPORTCOMPARECOL_TRIPUNBILLEDMILES" localSheetId="25">FALSE</definedName>
    <definedName name="QBREPORTCOMPARECOL_TRIPUNBILLEDMILES" localSheetId="26">FALSE</definedName>
    <definedName name="QBREPORTCOMPARECOL_TRIPUNBILLEDMILES" localSheetId="27">FALSE</definedName>
    <definedName name="QBREPORTCOMPARECOL_TRIPUNBILLEDMILES" localSheetId="28">FALSE</definedName>
    <definedName name="QBREPORTCOMPARECOL_TRIPUNBILLEDMILES" localSheetId="30">FALSE</definedName>
    <definedName name="QBREPORTCOMPARECOL_TRIPUNBILLEDMILES" localSheetId="31">FALSE</definedName>
    <definedName name="QBREPORTCOMPARECOL_TRIPUNBILLEDMILES" localSheetId="32">FALSE</definedName>
    <definedName name="QBREPORTCOMPARECOL_TRIPUNBILLEDMILES" localSheetId="34">FALSE</definedName>
    <definedName name="QBREPORTCOMPARECOL_TRIPUNBILLEDMILES" localSheetId="35">FALSE</definedName>
    <definedName name="QBREPORTCOMPARECOL_YTD" localSheetId="11">FALSE</definedName>
    <definedName name="QBREPORTCOMPARECOL_YTD" localSheetId="12">FALSE</definedName>
    <definedName name="QBREPORTCOMPARECOL_YTD" localSheetId="13">FALSE</definedName>
    <definedName name="QBREPORTCOMPARECOL_YTD" localSheetId="14">FALSE</definedName>
    <definedName name="QBREPORTCOMPARECOL_YTD" localSheetId="15">FALSE</definedName>
    <definedName name="QBREPORTCOMPARECOL_YTD" localSheetId="16">FALSE</definedName>
    <definedName name="QBREPORTCOMPARECOL_YTD" localSheetId="17">FALSE</definedName>
    <definedName name="QBREPORTCOMPARECOL_YTD" localSheetId="18">FALSE</definedName>
    <definedName name="QBREPORTCOMPARECOL_YTD" localSheetId="19">FALSE</definedName>
    <definedName name="QBREPORTCOMPARECOL_YTD" localSheetId="20">FALSE</definedName>
    <definedName name="QBREPORTCOMPARECOL_YTD" localSheetId="21">FALSE</definedName>
    <definedName name="QBREPORTCOMPARECOL_YTD" localSheetId="22">FALSE</definedName>
    <definedName name="QBREPORTCOMPARECOL_YTD" localSheetId="23">FALSE</definedName>
    <definedName name="QBREPORTCOMPARECOL_YTD" localSheetId="25">FALSE</definedName>
    <definedName name="QBREPORTCOMPARECOL_YTD" localSheetId="26">FALSE</definedName>
    <definedName name="QBREPORTCOMPARECOL_YTD" localSheetId="27">FALSE</definedName>
    <definedName name="QBREPORTCOMPARECOL_YTD" localSheetId="28">FALSE</definedName>
    <definedName name="QBREPORTCOMPARECOL_YTD" localSheetId="30">FALSE</definedName>
    <definedName name="QBREPORTCOMPARECOL_YTD" localSheetId="31">FALSE</definedName>
    <definedName name="QBREPORTCOMPARECOL_YTD" localSheetId="32">FALSE</definedName>
    <definedName name="QBREPORTCOMPARECOL_YTD" localSheetId="34">FALSE</definedName>
    <definedName name="QBREPORTCOMPARECOL_YTD" localSheetId="35">FALSE</definedName>
    <definedName name="QBREPORTCOMPARECOL_YTDBUDGET" localSheetId="11">FALSE</definedName>
    <definedName name="QBREPORTCOMPARECOL_YTDBUDGET" localSheetId="12">FALSE</definedName>
    <definedName name="QBREPORTCOMPARECOL_YTDBUDGET" localSheetId="13">FALSE</definedName>
    <definedName name="QBREPORTCOMPARECOL_YTDBUDGET" localSheetId="14">FALSE</definedName>
    <definedName name="QBREPORTCOMPARECOL_YTDBUDGET" localSheetId="15">FALSE</definedName>
    <definedName name="QBREPORTCOMPARECOL_YTDBUDGET" localSheetId="16">FALSE</definedName>
    <definedName name="QBREPORTCOMPARECOL_YTDBUDGET" localSheetId="17">FALSE</definedName>
    <definedName name="QBREPORTCOMPARECOL_YTDBUDGET" localSheetId="18">FALSE</definedName>
    <definedName name="QBREPORTCOMPARECOL_YTDBUDGET" localSheetId="19">FALSE</definedName>
    <definedName name="QBREPORTCOMPARECOL_YTDBUDGET" localSheetId="20">FALSE</definedName>
    <definedName name="QBREPORTCOMPARECOL_YTDBUDGET" localSheetId="21">FALSE</definedName>
    <definedName name="QBREPORTCOMPARECOL_YTDBUDGET" localSheetId="22">FALSE</definedName>
    <definedName name="QBREPORTCOMPARECOL_YTDBUDGET" localSheetId="23">FALSE</definedName>
    <definedName name="QBREPORTCOMPARECOL_YTDBUDGET" localSheetId="25">FALSE</definedName>
    <definedName name="QBREPORTCOMPARECOL_YTDBUDGET" localSheetId="26">FALSE</definedName>
    <definedName name="QBREPORTCOMPARECOL_YTDBUDGET" localSheetId="27">FALSE</definedName>
    <definedName name="QBREPORTCOMPARECOL_YTDBUDGET" localSheetId="28">FALSE</definedName>
    <definedName name="QBREPORTCOMPARECOL_YTDBUDGET" localSheetId="30">FALSE</definedName>
    <definedName name="QBREPORTCOMPARECOL_YTDBUDGET" localSheetId="31">FALSE</definedName>
    <definedName name="QBREPORTCOMPARECOL_YTDBUDGET" localSheetId="32">FALSE</definedName>
    <definedName name="QBREPORTCOMPARECOL_YTDBUDGET" localSheetId="34">FALSE</definedName>
    <definedName name="QBREPORTCOMPARECOL_YTDBUDGET" localSheetId="35">FALSE</definedName>
    <definedName name="QBREPORTCOMPARECOL_YTDPCT" localSheetId="11">FALSE</definedName>
    <definedName name="QBREPORTCOMPARECOL_YTDPCT" localSheetId="12">FALSE</definedName>
    <definedName name="QBREPORTCOMPARECOL_YTDPCT" localSheetId="13">FALSE</definedName>
    <definedName name="QBREPORTCOMPARECOL_YTDPCT" localSheetId="14">FALSE</definedName>
    <definedName name="QBREPORTCOMPARECOL_YTDPCT" localSheetId="15">FALSE</definedName>
    <definedName name="QBREPORTCOMPARECOL_YTDPCT" localSheetId="16">FALSE</definedName>
    <definedName name="QBREPORTCOMPARECOL_YTDPCT" localSheetId="17">FALSE</definedName>
    <definedName name="QBREPORTCOMPARECOL_YTDPCT" localSheetId="18">FALSE</definedName>
    <definedName name="QBREPORTCOMPARECOL_YTDPCT" localSheetId="19">FALSE</definedName>
    <definedName name="QBREPORTCOMPARECOL_YTDPCT" localSheetId="20">FALSE</definedName>
    <definedName name="QBREPORTCOMPARECOL_YTDPCT" localSheetId="21">FALSE</definedName>
    <definedName name="QBREPORTCOMPARECOL_YTDPCT" localSheetId="22">FALSE</definedName>
    <definedName name="QBREPORTCOMPARECOL_YTDPCT" localSheetId="23">FALSE</definedName>
    <definedName name="QBREPORTCOMPARECOL_YTDPCT" localSheetId="25">FALSE</definedName>
    <definedName name="QBREPORTCOMPARECOL_YTDPCT" localSheetId="26">FALSE</definedName>
    <definedName name="QBREPORTCOMPARECOL_YTDPCT" localSheetId="27">FALSE</definedName>
    <definedName name="QBREPORTCOMPARECOL_YTDPCT" localSheetId="28">FALSE</definedName>
    <definedName name="QBREPORTCOMPARECOL_YTDPCT" localSheetId="30">FALSE</definedName>
    <definedName name="QBREPORTCOMPARECOL_YTDPCT" localSheetId="31">FALSE</definedName>
    <definedName name="QBREPORTCOMPARECOL_YTDPCT" localSheetId="32">FALSE</definedName>
    <definedName name="QBREPORTCOMPARECOL_YTDPCT" localSheetId="34">FALSE</definedName>
    <definedName name="QBREPORTCOMPARECOL_YTDPCT" localSheetId="35">FALSE</definedName>
    <definedName name="QBREPORTROWAXIS" localSheetId="11">12</definedName>
    <definedName name="QBREPORTROWAXIS" localSheetId="12">12</definedName>
    <definedName name="QBREPORTROWAXIS" localSheetId="13">12</definedName>
    <definedName name="QBREPORTROWAXIS" localSheetId="14">12</definedName>
    <definedName name="QBREPORTROWAXIS" localSheetId="15">12</definedName>
    <definedName name="QBREPORTROWAXIS" localSheetId="16">12</definedName>
    <definedName name="QBREPORTROWAXIS" localSheetId="17">12</definedName>
    <definedName name="QBREPORTROWAXIS" localSheetId="18">12</definedName>
    <definedName name="QBREPORTROWAXIS" localSheetId="19">12</definedName>
    <definedName name="QBREPORTROWAXIS" localSheetId="20">12</definedName>
    <definedName name="QBREPORTROWAXIS" localSheetId="21">12</definedName>
    <definedName name="QBREPORTROWAXIS" localSheetId="22">12</definedName>
    <definedName name="QBREPORTROWAXIS" localSheetId="23">12</definedName>
    <definedName name="QBREPORTROWAXIS" localSheetId="25">12</definedName>
    <definedName name="QBREPORTROWAXIS" localSheetId="26">12</definedName>
    <definedName name="QBREPORTROWAXIS" localSheetId="27">12</definedName>
    <definedName name="QBREPORTROWAXIS" localSheetId="28">12</definedName>
    <definedName name="QBREPORTROWAXIS" localSheetId="30">12</definedName>
    <definedName name="QBREPORTROWAXIS" localSheetId="31">12</definedName>
    <definedName name="QBREPORTROWAXIS" localSheetId="32">12</definedName>
    <definedName name="QBREPORTROWAXIS" localSheetId="34">12</definedName>
    <definedName name="QBREPORTROWAXIS" localSheetId="35">12</definedName>
    <definedName name="QBREPORTSUBCOLAXIS" localSheetId="11">0</definedName>
    <definedName name="QBREPORTSUBCOLAXIS" localSheetId="12">0</definedName>
    <definedName name="QBREPORTSUBCOLAXIS" localSheetId="13">0</definedName>
    <definedName name="QBREPORTSUBCOLAXIS" localSheetId="14">0</definedName>
    <definedName name="QBREPORTSUBCOLAXIS" localSheetId="15">0</definedName>
    <definedName name="QBREPORTSUBCOLAXIS" localSheetId="16">0</definedName>
    <definedName name="QBREPORTSUBCOLAXIS" localSheetId="17">0</definedName>
    <definedName name="QBREPORTSUBCOLAXIS" localSheetId="18">0</definedName>
    <definedName name="QBREPORTSUBCOLAXIS" localSheetId="19">0</definedName>
    <definedName name="QBREPORTSUBCOLAXIS" localSheetId="20">0</definedName>
    <definedName name="QBREPORTSUBCOLAXIS" localSheetId="21">0</definedName>
    <definedName name="QBREPORTSUBCOLAXIS" localSheetId="22">0</definedName>
    <definedName name="QBREPORTSUBCOLAXIS" localSheetId="23">0</definedName>
    <definedName name="QBREPORTSUBCOLAXIS" localSheetId="25">0</definedName>
    <definedName name="QBREPORTSUBCOLAXIS" localSheetId="26">0</definedName>
    <definedName name="QBREPORTSUBCOLAXIS" localSheetId="27">0</definedName>
    <definedName name="QBREPORTSUBCOLAXIS" localSheetId="28">0</definedName>
    <definedName name="QBREPORTSUBCOLAXIS" localSheetId="30">0</definedName>
    <definedName name="QBREPORTSUBCOLAXIS" localSheetId="31">0</definedName>
    <definedName name="QBREPORTSUBCOLAXIS" localSheetId="32">0</definedName>
    <definedName name="QBREPORTSUBCOLAXIS" localSheetId="34">0</definedName>
    <definedName name="QBREPORTSUBCOLAXIS" localSheetId="35">0</definedName>
    <definedName name="QBREPORTTYPE" localSheetId="11">61</definedName>
    <definedName name="QBREPORTTYPE" localSheetId="12">61</definedName>
    <definedName name="QBREPORTTYPE" localSheetId="13">61</definedName>
    <definedName name="QBREPORTTYPE" localSheetId="14">61</definedName>
    <definedName name="QBREPORTTYPE" localSheetId="15">61</definedName>
    <definedName name="QBREPORTTYPE" localSheetId="16">61</definedName>
    <definedName name="QBREPORTTYPE" localSheetId="17">61</definedName>
    <definedName name="QBREPORTTYPE" localSheetId="18">61</definedName>
    <definedName name="QBREPORTTYPE" localSheetId="19">61</definedName>
    <definedName name="QBREPORTTYPE" localSheetId="20">61</definedName>
    <definedName name="QBREPORTTYPE" localSheetId="21">61</definedName>
    <definedName name="QBREPORTTYPE" localSheetId="22">61</definedName>
    <definedName name="QBREPORTTYPE" localSheetId="23">61</definedName>
    <definedName name="QBREPORTTYPE" localSheetId="25">61</definedName>
    <definedName name="QBREPORTTYPE" localSheetId="26">61</definedName>
    <definedName name="QBREPORTTYPE" localSheetId="27">61</definedName>
    <definedName name="QBREPORTTYPE" localSheetId="28">61</definedName>
    <definedName name="QBREPORTTYPE" localSheetId="30">61</definedName>
    <definedName name="QBREPORTTYPE" localSheetId="31">61</definedName>
    <definedName name="QBREPORTTYPE" localSheetId="32">61</definedName>
    <definedName name="QBREPORTTYPE" localSheetId="34">61</definedName>
    <definedName name="QBREPORTTYPE" localSheetId="35">61</definedName>
    <definedName name="QBROWHEADERS" localSheetId="11">3</definedName>
    <definedName name="QBROWHEADERS" localSheetId="12">3</definedName>
    <definedName name="QBROWHEADERS" localSheetId="13">3</definedName>
    <definedName name="QBROWHEADERS" localSheetId="14">3</definedName>
    <definedName name="QBROWHEADERS" localSheetId="15">3</definedName>
    <definedName name="QBROWHEADERS" localSheetId="16">3</definedName>
    <definedName name="QBROWHEADERS" localSheetId="17">3</definedName>
    <definedName name="QBROWHEADERS" localSheetId="18">3</definedName>
    <definedName name="QBROWHEADERS" localSheetId="19">3</definedName>
    <definedName name="QBROWHEADERS" localSheetId="20">3</definedName>
    <definedName name="QBROWHEADERS" localSheetId="21">3</definedName>
    <definedName name="QBROWHEADERS" localSheetId="22">3</definedName>
    <definedName name="QBROWHEADERS" localSheetId="23">3</definedName>
    <definedName name="QBROWHEADERS" localSheetId="25">3</definedName>
    <definedName name="QBROWHEADERS" localSheetId="26">3</definedName>
    <definedName name="QBROWHEADERS" localSheetId="27">3</definedName>
    <definedName name="QBROWHEADERS" localSheetId="28">3</definedName>
    <definedName name="QBROWHEADERS" localSheetId="30">3</definedName>
    <definedName name="QBROWHEADERS" localSheetId="31">3</definedName>
    <definedName name="QBROWHEADERS" localSheetId="32">3</definedName>
    <definedName name="QBROWHEADERS" localSheetId="34">3</definedName>
    <definedName name="QBROWHEADERS" localSheetId="35">3</definedName>
    <definedName name="QBSTARTDATE" localSheetId="11">20230101</definedName>
    <definedName name="QBSTARTDATE" localSheetId="12">20230101</definedName>
    <definedName name="QBSTARTDATE" localSheetId="13">20230101</definedName>
    <definedName name="QBSTARTDATE" localSheetId="14">20230101</definedName>
    <definedName name="QBSTARTDATE" localSheetId="15">20230101</definedName>
    <definedName name="QBSTARTDATE" localSheetId="16">20230101</definedName>
    <definedName name="QBSTARTDATE" localSheetId="17">20230101</definedName>
    <definedName name="QBSTARTDATE" localSheetId="18">20230101</definedName>
    <definedName name="QBSTARTDATE" localSheetId="19">20230101</definedName>
    <definedName name="QBSTARTDATE" localSheetId="20">20230101</definedName>
    <definedName name="QBSTARTDATE" localSheetId="21">20230101</definedName>
    <definedName name="QBSTARTDATE" localSheetId="22">20230101</definedName>
    <definedName name="QBSTARTDATE" localSheetId="23">20230101</definedName>
    <definedName name="QBSTARTDATE" localSheetId="25">20230101</definedName>
    <definedName name="QBSTARTDATE" localSheetId="26">20230101</definedName>
    <definedName name="QBSTARTDATE" localSheetId="27">20230101</definedName>
    <definedName name="QBSTARTDATE" localSheetId="28">20230101</definedName>
    <definedName name="QBSTARTDATE" localSheetId="30">20230101</definedName>
    <definedName name="QBSTARTDATE" localSheetId="31">20230101</definedName>
    <definedName name="QBSTARTDATE" localSheetId="32">20230101</definedName>
    <definedName name="QBSTARTDATE" localSheetId="34">20230101</definedName>
    <definedName name="QBSTARTDATE" localSheetId="35">20210101</definedName>
    <definedName name="Z_1E23C528_1A93_4869_8FED_629E3BA1C1FB_.wvu.Cols" localSheetId="8">'ARB Budget'!$G:$H</definedName>
    <definedName name="Z_1E23C528_1A93_4869_8FED_629E3BA1C1FB_.wvu.Cols" localSheetId="7">'Budget-Services'!$J:$K</definedName>
    <definedName name="Z_1E23C528_1A93_4869_8FED_629E3BA1C1FB_.wvu.PrintArea" localSheetId="8">'ARB Budget'!$A$2:$I$39</definedName>
    <definedName name="Z_1E23C528_1A93_4869_8FED_629E3BA1C1FB_.wvu.PrintArea" localSheetId="7">'Budget-Services'!$B$2:$L$348</definedName>
    <definedName name="Z_1E23C528_1A93_4869_8FED_629E3BA1C1FB_.wvu.PrintTitles" localSheetId="7">'Budget-Services'!$2:$2</definedName>
    <definedName name="Z_240D0F1E_8A4A_44D9_9D18_FC2DB01D505B_.wvu.Cols" localSheetId="8">'ARB Budget'!$G:$H</definedName>
    <definedName name="Z_311A91B1_0912_4AA5_9366_B03CF50601A2_.wvu.PrintTitles" localSheetId="7">'Budget-Services'!$2:$2</definedName>
    <definedName name="Z_34964384_DFBD_46D8_9B9F_2D86A517A166_.wvu.PrintTitles" localSheetId="7">'Budget-Services'!$2:$2</definedName>
    <definedName name="Z_462CB3DC_B2E4_454C_83C1_B844BA7D19AA_.wvu.PrintTitles" localSheetId="7">'Budget-Services'!$2:$2</definedName>
    <definedName name="Z_6D2BABDE_BF95_4644_811C_B4DB4C5FF4DD_.wvu.PrintTitles" localSheetId="7">'Budget-Services'!$2:$2</definedName>
    <definedName name="Z_7B966C76_DF97_4627_BB3C_77955DB39D00_.wvu.PrintTitles" localSheetId="7">'Budget-Services'!$2:$2</definedName>
    <definedName name="Z_867852E4_99EF_4389_8FD0_AFAB4495F746_.wvu.PrintTitles" localSheetId="7">'Budget-Services'!$2:$2</definedName>
    <definedName name="Z_87C375DB_B8D6_4CDB_A372_B6AF8E723C83_.wvu.Cols" localSheetId="8">'ARB Budget'!$G:$H</definedName>
    <definedName name="Z_8AFAE271_A818_42D9_A8EF_972712D95EDE_.wvu.Cols" localSheetId="8">'ARB Budget'!$G:$H</definedName>
    <definedName name="Z_8AFAE271_A818_42D9_A8EF_972712D95EDE_.wvu.Cols" localSheetId="7">'Budget-Services'!$J:$K</definedName>
    <definedName name="Z_8AFAE271_A818_42D9_A8EF_972712D95EDE_.wvu.PrintArea" localSheetId="7">'Budget-Services'!$B$2:$L$348</definedName>
    <definedName name="Z_8AFAE271_A818_42D9_A8EF_972712D95EDE_.wvu.PrintTitles" localSheetId="7">'Budget-Services'!$2:$2</definedName>
    <definedName name="Z_C064177C_B77C_40AF_A193_4D3DF85CE067_.wvu.Cols" localSheetId="8">'ARB Budget'!$G:$H</definedName>
    <definedName name="Z_C064177C_B77C_40AF_A193_4D3DF85CE067_.wvu.Cols" localSheetId="7">'Budget-Services'!$J:$K</definedName>
    <definedName name="Z_C064177C_B77C_40AF_A193_4D3DF85CE067_.wvu.PrintArea" localSheetId="8">'ARB Budget'!$A$2:$I$39</definedName>
    <definedName name="Z_C064177C_B77C_40AF_A193_4D3DF85CE067_.wvu.PrintArea" localSheetId="7">'Budget-Services'!$B$2:$L$348</definedName>
    <definedName name="Z_C064177C_B77C_40AF_A193_4D3DF85CE067_.wvu.PrintTitles" localSheetId="7">'Budget-Services'!$2:$2</definedName>
    <definedName name="Z_C48E47E7_FA0B_4A20_94A3_280718E1E67E_.wvu.PrintTitles" localSheetId="7">'Budget-Services'!$2:$2</definedName>
    <definedName name="Z_C67EED5A_831B_42B7_8FDB_8094D4B26582_.wvu.PrintTitles" localSheetId="7">'Budget-Services'!$2:$2</definedName>
    <definedName name="Z_E4A729BB_04B9_4DDA_A845_D330ECD6C6DE_.wvu.PrintTitles" localSheetId="7">'Budget-Services'!$2:$2</definedName>
    <definedName name="Z_FB8A7251_402B_4E68_AD89_100C31417887_.wvu.Cols" localSheetId="8">'ARB Budget'!$G:$H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6" i="4" l="1"/>
  <c r="K58" i="21"/>
  <c r="K57" i="21"/>
  <c r="K56" i="21"/>
  <c r="K283" i="20"/>
  <c r="K282" i="20"/>
  <c r="K80" i="19"/>
  <c r="K79" i="19"/>
  <c r="K78" i="19"/>
  <c r="K185" i="16"/>
  <c r="K186" i="16" s="1"/>
  <c r="K187" i="16" s="1"/>
  <c r="K149" i="7"/>
  <c r="K554" i="13"/>
  <c r="K555" i="13" s="1"/>
  <c r="K556" i="13" s="1"/>
  <c r="K168" i="9"/>
  <c r="K167" i="9"/>
  <c r="K166" i="9"/>
  <c r="K54" i="8"/>
  <c r="K53" i="8"/>
  <c r="K52" i="8"/>
  <c r="K150" i="7"/>
  <c r="K151" i="7" s="1"/>
  <c r="G42" i="60"/>
  <c r="G38" i="60"/>
  <c r="G41" i="60"/>
  <c r="F41" i="60"/>
  <c r="F59" i="60"/>
  <c r="G59" i="60" s="1"/>
  <c r="F57" i="60"/>
  <c r="G57" i="60"/>
  <c r="G54" i="60"/>
  <c r="F10" i="60"/>
  <c r="G8" i="60"/>
  <c r="G9" i="60"/>
  <c r="G7" i="60"/>
  <c r="G6" i="60"/>
  <c r="K8" i="28"/>
  <c r="K7" i="28"/>
  <c r="K6" i="28"/>
  <c r="K22" i="26"/>
  <c r="K21" i="26"/>
  <c r="K20" i="26"/>
  <c r="K156" i="24"/>
  <c r="K155" i="24"/>
  <c r="K154" i="24"/>
  <c r="J122" i="4"/>
  <c r="J99" i="4"/>
  <c r="J116" i="4"/>
  <c r="J237" i="4"/>
  <c r="J117" i="4"/>
  <c r="J246" i="4"/>
  <c r="J100" i="4"/>
  <c r="J113" i="4"/>
  <c r="J129" i="4"/>
  <c r="J242" i="4"/>
  <c r="J103" i="4"/>
  <c r="J120" i="4"/>
  <c r="J114" i="4"/>
  <c r="J243" i="4"/>
  <c r="J112" i="4"/>
  <c r="J251" i="4"/>
  <c r="J123" i="4"/>
  <c r="J97" i="4"/>
  <c r="J253" i="4"/>
  <c r="J128" i="4"/>
  <c r="J252" i="4"/>
  <c r="J104" i="4"/>
  <c r="J250" i="4"/>
  <c r="J254" i="4"/>
  <c r="J121" i="4"/>
  <c r="J101" i="4"/>
  <c r="J249" i="4"/>
  <c r="J102" i="4"/>
  <c r="J247" i="4"/>
  <c r="J98" i="4"/>
  <c r="J119" i="4"/>
  <c r="J240" i="4"/>
  <c r="J110" i="4"/>
  <c r="J131" i="4"/>
  <c r="J130" i="4"/>
  <c r="J118" i="4"/>
  <c r="J238" i="4"/>
  <c r="J108" i="4"/>
  <c r="J248" i="4"/>
  <c r="J239" i="4"/>
  <c r="J111" i="4"/>
  <c r="J244" i="4"/>
  <c r="J109" i="4"/>
  <c r="J106" i="4"/>
  <c r="J124" i="4"/>
  <c r="J125" i="4"/>
  <c r="J245" i="4"/>
  <c r="J107" i="4"/>
  <c r="J105" i="4"/>
  <c r="J241" i="4"/>
  <c r="J127" i="4"/>
  <c r="J115" i="4"/>
  <c r="J126" i="4"/>
  <c r="K18" i="23" l="1"/>
  <c r="K17" i="23"/>
  <c r="K16" i="23"/>
  <c r="K105" i="22"/>
  <c r="K106" i="22" s="1"/>
  <c r="K107" i="22" s="1"/>
  <c r="H189" i="4"/>
  <c r="K27" i="18"/>
  <c r="K26" i="18"/>
  <c r="K25" i="18"/>
  <c r="K30" i="17"/>
  <c r="K29" i="17"/>
  <c r="K28" i="17"/>
  <c r="K104" i="15"/>
  <c r="K103" i="15"/>
  <c r="K102" i="15"/>
  <c r="K58" i="14"/>
  <c r="K57" i="14"/>
  <c r="K56" i="14"/>
  <c r="K51" i="12"/>
  <c r="K50" i="12"/>
  <c r="K49" i="12"/>
  <c r="K81" i="11"/>
  <c r="K82" i="11" s="1"/>
  <c r="K83" i="11" s="1"/>
  <c r="K16" i="10"/>
  <c r="K15" i="10"/>
  <c r="K14" i="10"/>
  <c r="K8" i="25"/>
  <c r="K7" i="25"/>
  <c r="K6" i="25"/>
  <c r="G8" i="5"/>
  <c r="H8" i="5" l="1"/>
  <c r="B6" i="5"/>
  <c r="B7" i="5" s="1"/>
  <c r="B8" i="5" s="1"/>
  <c r="B9" i="5" s="1"/>
  <c r="C264" i="4"/>
  <c r="I324" i="4" l="1"/>
  <c r="C323" i="4" l="1"/>
  <c r="C245" i="4"/>
  <c r="C244" i="4"/>
  <c r="C150" i="4"/>
  <c r="C149" i="4"/>
  <c r="J224" i="4"/>
  <c r="J146" i="4"/>
  <c r="J149" i="4"/>
  <c r="J204" i="4"/>
  <c r="J138" i="4"/>
  <c r="J148" i="4"/>
  <c r="J150" i="4"/>
  <c r="J137" i="4"/>
  <c r="J139" i="4"/>
  <c r="J200" i="4"/>
  <c r="J144" i="4"/>
  <c r="J147" i="4"/>
  <c r="J226" i="4"/>
  <c r="J140" i="4"/>
  <c r="J323" i="4"/>
  <c r="J202" i="4"/>
  <c r="J145" i="4"/>
  <c r="K323" i="4" l="1"/>
  <c r="K244" i="4"/>
  <c r="K226" i="4"/>
  <c r="K224" i="4"/>
  <c r="K204" i="4"/>
  <c r="K202" i="4"/>
  <c r="K200" i="4"/>
  <c r="E40" i="44" l="1"/>
  <c r="E38" i="44"/>
  <c r="C42" i="44"/>
  <c r="C40" i="44"/>
  <c r="C38" i="44"/>
  <c r="C31" i="44"/>
  <c r="B42" i="44"/>
  <c r="B40" i="44"/>
  <c r="B38" i="44"/>
  <c r="B37" i="44"/>
  <c r="B36" i="44"/>
  <c r="B35" i="44"/>
  <c r="B34" i="44"/>
  <c r="B33" i="44"/>
  <c r="B32" i="44"/>
  <c r="B31" i="44"/>
  <c r="B30" i="44"/>
  <c r="B29" i="44"/>
  <c r="B28" i="44"/>
  <c r="B27" i="44"/>
  <c r="B26" i="44"/>
  <c r="B25" i="44"/>
  <c r="B24" i="44"/>
  <c r="B23" i="44"/>
  <c r="B22" i="44"/>
  <c r="B21" i="44"/>
  <c r="B20" i="44"/>
  <c r="B19" i="44"/>
  <c r="B18" i="44"/>
  <c r="B17" i="44"/>
  <c r="B16" i="44"/>
  <c r="B15" i="44"/>
  <c r="B14" i="44"/>
  <c r="B13" i="44"/>
  <c r="B12" i="44"/>
  <c r="B11" i="44"/>
  <c r="B10" i="44"/>
  <c r="M34" i="59"/>
  <c r="M31" i="59"/>
  <c r="M28" i="59"/>
  <c r="M17" i="59"/>
  <c r="B39" i="44" l="1"/>
  <c r="B41" i="44" s="1"/>
  <c r="B43" i="44" s="1"/>
  <c r="M11" i="59"/>
  <c r="M5" i="59"/>
  <c r="E38" i="60"/>
  <c r="E37" i="60"/>
  <c r="H182" i="4" l="1"/>
  <c r="J37" i="59"/>
  <c r="E4" i="5" l="1"/>
  <c r="F4" i="5" s="1"/>
  <c r="F10" i="5" s="1"/>
  <c r="F35" i="5"/>
  <c r="F36" i="5"/>
  <c r="F31" i="5"/>
  <c r="F30" i="5"/>
  <c r="F32" i="5" s="1"/>
  <c r="F39" i="5" s="1"/>
  <c r="F27" i="5"/>
  <c r="F26" i="5"/>
  <c r="F25" i="5"/>
  <c r="F24" i="5"/>
  <c r="F23" i="5"/>
  <c r="F22" i="5"/>
  <c r="F21" i="5"/>
  <c r="F20" i="5"/>
  <c r="F19" i="5"/>
  <c r="F18" i="5"/>
  <c r="F15" i="5"/>
  <c r="F14" i="5"/>
  <c r="F13" i="5"/>
  <c r="F9" i="5"/>
  <c r="F8" i="5"/>
  <c r="F7" i="5"/>
  <c r="F6" i="5"/>
  <c r="F5" i="5"/>
  <c r="I341" i="4"/>
  <c r="I340" i="4"/>
  <c r="I339" i="4"/>
  <c r="I271" i="4"/>
  <c r="I301" i="4"/>
  <c r="I300" i="4"/>
  <c r="I299" i="4"/>
  <c r="I298" i="4"/>
  <c r="I297" i="4"/>
  <c r="I296" i="4"/>
  <c r="I295" i="4"/>
  <c r="I294" i="4"/>
  <c r="I293" i="4"/>
  <c r="I292" i="4"/>
  <c r="I291" i="4"/>
  <c r="I290" i="4"/>
  <c r="I289" i="4"/>
  <c r="I288" i="4"/>
  <c r="I287" i="4"/>
  <c r="I286" i="4"/>
  <c r="I285" i="4"/>
  <c r="I284" i="4"/>
  <c r="I283" i="4"/>
  <c r="I282" i="4"/>
  <c r="I281" i="4"/>
  <c r="I280" i="4"/>
  <c r="I279" i="4"/>
  <c r="I278" i="4"/>
  <c r="I277" i="4"/>
  <c r="I276" i="4"/>
  <c r="I275" i="4"/>
  <c r="I274" i="4"/>
  <c r="I273" i="4"/>
  <c r="I272" i="4"/>
  <c r="I270" i="4"/>
  <c r="I269" i="4"/>
  <c r="I268" i="4"/>
  <c r="I267" i="4"/>
  <c r="I266" i="4"/>
  <c r="I265" i="4"/>
  <c r="I264" i="4"/>
  <c r="I263" i="4"/>
  <c r="I262" i="4"/>
  <c r="I261" i="4"/>
  <c r="I260" i="4"/>
  <c r="I259" i="4"/>
  <c r="I258" i="4"/>
  <c r="I250" i="4"/>
  <c r="I244" i="4"/>
  <c r="I254" i="4"/>
  <c r="I253" i="4"/>
  <c r="I252" i="4"/>
  <c r="I249" i="4"/>
  <c r="I248" i="4"/>
  <c r="I247" i="4"/>
  <c r="I246" i="4"/>
  <c r="I245" i="4"/>
  <c r="I243" i="4"/>
  <c r="I242" i="4"/>
  <c r="I241" i="4"/>
  <c r="I240" i="4"/>
  <c r="I239" i="4"/>
  <c r="I238" i="4"/>
  <c r="I237" i="4"/>
  <c r="I233" i="4"/>
  <c r="I234" i="4" s="1"/>
  <c r="I209" i="4"/>
  <c r="I208" i="4"/>
  <c r="I207" i="4"/>
  <c r="I206" i="4"/>
  <c r="I205" i="4"/>
  <c r="I204" i="4"/>
  <c r="I203" i="4"/>
  <c r="I202" i="4"/>
  <c r="I201" i="4"/>
  <c r="I200" i="4"/>
  <c r="I199" i="4"/>
  <c r="I198" i="4"/>
  <c r="I197" i="4"/>
  <c r="I196" i="4"/>
  <c r="I195" i="4"/>
  <c r="I194" i="4"/>
  <c r="I193" i="4"/>
  <c r="I192" i="4"/>
  <c r="I188" i="4"/>
  <c r="I189" i="4" s="1"/>
  <c r="I184" i="4"/>
  <c r="I183" i="4"/>
  <c r="I182" i="4"/>
  <c r="I178" i="4"/>
  <c r="I177" i="4"/>
  <c r="I176" i="4"/>
  <c r="I175" i="4"/>
  <c r="I174" i="4"/>
  <c r="I172" i="4"/>
  <c r="I171" i="4"/>
  <c r="I170" i="4"/>
  <c r="I169" i="4"/>
  <c r="I168" i="4"/>
  <c r="I167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0" i="4"/>
  <c r="I149" i="4"/>
  <c r="I148" i="4"/>
  <c r="I147" i="4"/>
  <c r="I146" i="4"/>
  <c r="I145" i="4"/>
  <c r="I144" i="4"/>
  <c r="I140" i="4"/>
  <c r="I139" i="4"/>
  <c r="I137" i="4"/>
  <c r="I136" i="4"/>
  <c r="I135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3" i="4"/>
  <c r="I92" i="4"/>
  <c r="I91" i="4"/>
  <c r="I90" i="4"/>
  <c r="I89" i="4"/>
  <c r="I88" i="4"/>
  <c r="I87" i="4"/>
  <c r="I86" i="4"/>
  <c r="I85" i="4"/>
  <c r="I84" i="4"/>
  <c r="I83" i="4"/>
  <c r="I79" i="4"/>
  <c r="I78" i="4"/>
  <c r="I77" i="4"/>
  <c r="I76" i="4"/>
  <c r="I75" i="4"/>
  <c r="I74" i="4"/>
  <c r="I73" i="4"/>
  <c r="I72" i="4"/>
  <c r="I71" i="4"/>
  <c r="I70" i="4"/>
  <c r="I69" i="4"/>
  <c r="I65" i="4"/>
  <c r="I66" i="4" s="1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4" i="4"/>
  <c r="I13" i="4"/>
  <c r="I12" i="4"/>
  <c r="I11" i="4"/>
  <c r="I10" i="4"/>
  <c r="I9" i="4"/>
  <c r="I8" i="4"/>
  <c r="I7" i="4"/>
  <c r="I6" i="4"/>
  <c r="I5" i="4"/>
  <c r="I4" i="4"/>
  <c r="E75" i="60"/>
  <c r="E31" i="60"/>
  <c r="E30" i="60"/>
  <c r="E29" i="60"/>
  <c r="E28" i="60"/>
  <c r="E32" i="60" s="1"/>
  <c r="E27" i="60"/>
  <c r="E26" i="60"/>
  <c r="I307" i="4"/>
  <c r="G35" i="59"/>
  <c r="G32" i="59"/>
  <c r="G28" i="59"/>
  <c r="L10" i="60"/>
  <c r="I6" i="60"/>
  <c r="C28" i="59"/>
  <c r="I323" i="4"/>
  <c r="K31" i="59"/>
  <c r="I38" i="59"/>
  <c r="I35" i="59"/>
  <c r="I32" i="59"/>
  <c r="K6" i="60"/>
  <c r="E4" i="60" s="1"/>
  <c r="G4" i="60" s="1"/>
  <c r="E62" i="60"/>
  <c r="G62" i="60" s="1"/>
  <c r="E22" i="60"/>
  <c r="E40" i="60"/>
  <c r="E42" i="60" l="1"/>
  <c r="E5" i="60"/>
  <c r="G5" i="60" s="1"/>
  <c r="G10" i="60" s="1"/>
  <c r="E46" i="60"/>
  <c r="I62" i="4"/>
  <c r="I255" i="4"/>
  <c r="I185" i="4"/>
  <c r="I302" i="4"/>
  <c r="I15" i="4"/>
  <c r="I151" i="4"/>
  <c r="I80" i="4"/>
  <c r="I38" i="4"/>
  <c r="I342" i="4"/>
  <c r="I94" i="4"/>
  <c r="I5" i="5" l="1"/>
  <c r="I225" i="4"/>
  <c r="I335" i="4"/>
  <c r="I336" i="4"/>
  <c r="L336" i="4"/>
  <c r="J335" i="4"/>
  <c r="H336" i="4" l="1"/>
  <c r="J336" i="4"/>
  <c r="K335" i="4"/>
  <c r="K336" i="4" s="1"/>
  <c r="L38" i="4" l="1"/>
  <c r="E41" i="60" l="1"/>
  <c r="E14" i="60"/>
  <c r="E15" i="60" l="1"/>
  <c r="E47" i="60" l="1"/>
  <c r="E48" i="60" s="1"/>
  <c r="E17" i="60"/>
  <c r="E67" i="60"/>
  <c r="E69" i="60" s="1"/>
  <c r="E77" i="60" s="1"/>
  <c r="G77" i="60" s="1"/>
  <c r="H75" i="60"/>
  <c r="H69" i="60"/>
  <c r="H77" i="60" s="1"/>
  <c r="H63" i="60"/>
  <c r="E63" i="60"/>
  <c r="H59" i="60"/>
  <c r="H55" i="60"/>
  <c r="H51" i="60"/>
  <c r="H48" i="60"/>
  <c r="H43" i="60"/>
  <c r="E39" i="60"/>
  <c r="E43" i="60" s="1"/>
  <c r="H32" i="60"/>
  <c r="H23" i="60"/>
  <c r="E21" i="60"/>
  <c r="E20" i="60"/>
  <c r="E23" i="60" s="1"/>
  <c r="H17" i="60"/>
  <c r="H10" i="60"/>
  <c r="H32" i="59"/>
  <c r="H35" i="59" s="1"/>
  <c r="H38" i="59" s="1"/>
  <c r="F32" i="59"/>
  <c r="F35" i="59" s="1"/>
  <c r="F38" i="59" s="1"/>
  <c r="D32" i="59"/>
  <c r="D35" i="59" s="1"/>
  <c r="D38" i="59" s="1"/>
  <c r="E28" i="59"/>
  <c r="E32" i="59" s="1"/>
  <c r="E35" i="59" s="1"/>
  <c r="C32" i="59"/>
  <c r="C35" i="59" s="1"/>
  <c r="B26" i="59"/>
  <c r="B32" i="59" s="1"/>
  <c r="B35" i="59" s="1"/>
  <c r="B38" i="59" s="1"/>
  <c r="G17" i="60" l="1"/>
  <c r="E34" i="60"/>
  <c r="E50" i="60"/>
  <c r="E51" i="60" s="1"/>
  <c r="E53" i="60"/>
  <c r="E57" i="60"/>
  <c r="E59" i="60" s="1"/>
  <c r="E54" i="60"/>
  <c r="M32" i="59"/>
  <c r="M35" i="59" s="1"/>
  <c r="J7" i="59"/>
  <c r="D63" i="60"/>
  <c r="H34" i="60"/>
  <c r="H79" i="60" s="1"/>
  <c r="E55" i="60" l="1"/>
  <c r="C14" i="44"/>
  <c r="E14" i="44" s="1"/>
  <c r="K7" i="59"/>
  <c r="J4" i="59"/>
  <c r="D34" i="60"/>
  <c r="K4" i="59" l="1"/>
  <c r="C11" i="44"/>
  <c r="E11" i="44" s="1"/>
  <c r="E10" i="60"/>
  <c r="E79" i="60" s="1"/>
  <c r="I10" i="5"/>
  <c r="I15" i="5"/>
  <c r="I27" i="5"/>
  <c r="I32" i="5"/>
  <c r="I37" i="5"/>
  <c r="I346" i="4"/>
  <c r="L342" i="4"/>
  <c r="I312" i="4"/>
  <c r="I226" i="4"/>
  <c r="I227" i="4"/>
  <c r="I221" i="4"/>
  <c r="I222" i="4"/>
  <c r="I223" i="4"/>
  <c r="I220" i="4"/>
  <c r="I219" i="4"/>
  <c r="I218" i="4"/>
  <c r="I309" i="4"/>
  <c r="D77" i="60" l="1"/>
  <c r="J8" i="59"/>
  <c r="D10" i="60"/>
  <c r="J3" i="59"/>
  <c r="J5" i="59"/>
  <c r="D43" i="60"/>
  <c r="E15" i="5"/>
  <c r="J30" i="59"/>
  <c r="C37" i="44" s="1"/>
  <c r="I39" i="5"/>
  <c r="I224" i="4"/>
  <c r="I306" i="4"/>
  <c r="I212" i="4"/>
  <c r="K5" i="59" l="1"/>
  <c r="C12" i="44"/>
  <c r="E12" i="44" s="1"/>
  <c r="K3" i="59"/>
  <c r="C10" i="44"/>
  <c r="K8" i="59"/>
  <c r="C15" i="44"/>
  <c r="E15" i="44" s="1"/>
  <c r="J6" i="59"/>
  <c r="C13" i="44" s="1"/>
  <c r="E13" i="44" s="1"/>
  <c r="D55" i="60"/>
  <c r="L230" i="4"/>
  <c r="I320" i="4"/>
  <c r="I313" i="4"/>
  <c r="I315" i="4"/>
  <c r="I316" i="4"/>
  <c r="I317" i="4"/>
  <c r="N5" i="59" l="1"/>
  <c r="E10" i="44"/>
  <c r="D10" i="44"/>
  <c r="S7" i="59"/>
  <c r="D8" i="6" s="1"/>
  <c r="K6" i="59"/>
  <c r="D59" i="60"/>
  <c r="D79" i="60"/>
  <c r="H173" i="4"/>
  <c r="I173" i="4" s="1"/>
  <c r="H112" i="4" l="1"/>
  <c r="I112" i="4" s="1"/>
  <c r="I132" i="4" s="1"/>
  <c r="D31" i="44" l="1"/>
  <c r="D38" i="44"/>
  <c r="G37" i="36" l="1"/>
  <c r="D79" i="38" l="1"/>
  <c r="D77" i="38"/>
  <c r="D63" i="38"/>
  <c r="D59" i="38"/>
  <c r="D55" i="38"/>
  <c r="D43" i="38"/>
  <c r="D34" i="38"/>
  <c r="D10" i="38"/>
  <c r="E42" i="38"/>
  <c r="E40" i="38"/>
  <c r="E38" i="38"/>
  <c r="E37" i="38"/>
  <c r="D79" i="40"/>
  <c r="D77" i="40"/>
  <c r="D59" i="40"/>
  <c r="D55" i="40"/>
  <c r="D43" i="40"/>
  <c r="D34" i="40"/>
  <c r="D10" i="40"/>
  <c r="E42" i="40" l="1"/>
  <c r="E40" i="40"/>
  <c r="E38" i="40"/>
  <c r="E37" i="40"/>
  <c r="E57" i="38" l="1"/>
  <c r="E57" i="40"/>
  <c r="J37" i="39" l="1"/>
  <c r="J37" i="37"/>
  <c r="E37" i="36"/>
  <c r="C37" i="36"/>
  <c r="E54" i="38" l="1"/>
  <c r="E53" i="38"/>
  <c r="E54" i="40"/>
  <c r="E53" i="40"/>
  <c r="H75" i="38" l="1"/>
  <c r="H63" i="38"/>
  <c r="H59" i="38"/>
  <c r="H55" i="38"/>
  <c r="H51" i="38"/>
  <c r="H48" i="38"/>
  <c r="H43" i="38"/>
  <c r="H32" i="38"/>
  <c r="H67" i="38" s="1"/>
  <c r="H69" i="38" s="1"/>
  <c r="H77" i="38" s="1"/>
  <c r="H23" i="38"/>
  <c r="H17" i="38"/>
  <c r="H34" i="38" s="1"/>
  <c r="H10" i="38"/>
  <c r="H79" i="38" s="1"/>
  <c r="H75" i="40"/>
  <c r="H63" i="40"/>
  <c r="H59" i="40"/>
  <c r="H55" i="40"/>
  <c r="H51" i="40"/>
  <c r="H48" i="40"/>
  <c r="H43" i="40"/>
  <c r="H32" i="40"/>
  <c r="H67" i="40" s="1"/>
  <c r="H69" i="40" s="1"/>
  <c r="H77" i="40" s="1"/>
  <c r="H23" i="40"/>
  <c r="H17" i="40"/>
  <c r="H34" i="40" s="1"/>
  <c r="H10" i="40"/>
  <c r="H79" i="40" s="1"/>
  <c r="M34" i="39" l="1"/>
  <c r="M31" i="39"/>
  <c r="M28" i="39"/>
  <c r="M17" i="39"/>
  <c r="M11" i="39"/>
  <c r="M5" i="39"/>
  <c r="M34" i="37"/>
  <c r="M31" i="37"/>
  <c r="M28" i="37"/>
  <c r="M17" i="37"/>
  <c r="M11" i="37"/>
  <c r="M5" i="37"/>
  <c r="K31" i="37"/>
  <c r="E41" i="38"/>
  <c r="E39" i="38"/>
  <c r="K31" i="39"/>
  <c r="E41" i="40"/>
  <c r="E39" i="40"/>
  <c r="M32" i="37" l="1"/>
  <c r="M35" i="37" s="1"/>
  <c r="L302" i="4"/>
  <c r="E4" i="40" l="1"/>
  <c r="E5" i="40" s="1"/>
  <c r="I321" i="4" l="1"/>
  <c r="I322" i="4"/>
  <c r="I305" i="4"/>
  <c r="I308" i="4"/>
  <c r="I310" i="4"/>
  <c r="I311" i="4"/>
  <c r="I314" i="4"/>
  <c r="I318" i="4"/>
  <c r="I319" i="4"/>
  <c r="L324" i="4" l="1"/>
  <c r="H324" i="4" l="1"/>
  <c r="J26" i="59"/>
  <c r="K26" i="59" l="1"/>
  <c r="C33" i="44"/>
  <c r="E33" i="44" s="1"/>
  <c r="E24" i="36"/>
  <c r="E31" i="36"/>
  <c r="C24" i="36"/>
  <c r="C31" i="36"/>
  <c r="J7" i="39"/>
  <c r="J7" i="37"/>
  <c r="I32" i="37"/>
  <c r="I35" i="37" s="1"/>
  <c r="I38" i="37" s="1"/>
  <c r="H32" i="37"/>
  <c r="H35" i="37" s="1"/>
  <c r="H38" i="37" s="1"/>
  <c r="D32" i="37"/>
  <c r="D35" i="37" s="1"/>
  <c r="D38" i="37" s="1"/>
  <c r="C32" i="37"/>
  <c r="C35" i="37" s="1"/>
  <c r="B32" i="37"/>
  <c r="B35" i="37" s="1"/>
  <c r="B38" i="37" s="1"/>
  <c r="G28" i="37"/>
  <c r="G32" i="37" s="1"/>
  <c r="G35" i="37" s="1"/>
  <c r="E28" i="37"/>
  <c r="E32" i="37" s="1"/>
  <c r="E35" i="37" s="1"/>
  <c r="F26" i="37"/>
  <c r="F32" i="37" s="1"/>
  <c r="F35" i="37" s="1"/>
  <c r="F38" i="37" s="1"/>
  <c r="I32" i="39"/>
  <c r="I35" i="39" s="1"/>
  <c r="I38" i="39" s="1"/>
  <c r="H32" i="39"/>
  <c r="H35" i="39" s="1"/>
  <c r="H38" i="39" s="1"/>
  <c r="D32" i="39"/>
  <c r="D35" i="39" s="1"/>
  <c r="D38" i="39" s="1"/>
  <c r="C32" i="39"/>
  <c r="C35" i="39" s="1"/>
  <c r="B32" i="39"/>
  <c r="B35" i="39" s="1"/>
  <c r="B38" i="39" s="1"/>
  <c r="M32" i="39"/>
  <c r="M35" i="39" s="1"/>
  <c r="G28" i="39"/>
  <c r="G32" i="39" s="1"/>
  <c r="G35" i="39" s="1"/>
  <c r="E28" i="39"/>
  <c r="E32" i="39" s="1"/>
  <c r="E35" i="39" s="1"/>
  <c r="F26" i="39"/>
  <c r="F32" i="39" s="1"/>
  <c r="F35" i="39" s="1"/>
  <c r="F38" i="39" s="1"/>
  <c r="E75" i="38"/>
  <c r="E63" i="38"/>
  <c r="E62" i="38"/>
  <c r="E31" i="38"/>
  <c r="E30" i="38"/>
  <c r="E29" i="38"/>
  <c r="E32" i="38" s="1"/>
  <c r="E28" i="38"/>
  <c r="E27" i="38"/>
  <c r="E26" i="38"/>
  <c r="E22" i="38"/>
  <c r="E21" i="38"/>
  <c r="E20" i="38"/>
  <c r="E23" i="38" s="1"/>
  <c r="N18" i="38"/>
  <c r="E15" i="38"/>
  <c r="M14" i="38"/>
  <c r="E14" i="38"/>
  <c r="E17" i="38" s="1"/>
  <c r="M7" i="38"/>
  <c r="M8" i="38" s="1"/>
  <c r="E4" i="38"/>
  <c r="E5" i="38" s="1"/>
  <c r="E75" i="40"/>
  <c r="E62" i="40"/>
  <c r="E63" i="40" s="1"/>
  <c r="E31" i="40"/>
  <c r="E30" i="40"/>
  <c r="E29" i="40"/>
  <c r="E28" i="40"/>
  <c r="E27" i="40"/>
  <c r="E26" i="40"/>
  <c r="E32" i="40" s="1"/>
  <c r="E22" i="40"/>
  <c r="E21" i="40"/>
  <c r="E20" i="40"/>
  <c r="E23" i="40" s="1"/>
  <c r="N18" i="40"/>
  <c r="E15" i="40"/>
  <c r="E17" i="40" s="1"/>
  <c r="E34" i="40" s="1"/>
  <c r="J4" i="39" s="1"/>
  <c r="K4" i="39" s="1"/>
  <c r="M14" i="40"/>
  <c r="E14" i="40"/>
  <c r="M9" i="40"/>
  <c r="M12" i="40" s="1"/>
  <c r="M8" i="40"/>
  <c r="M7" i="40"/>
  <c r="K7" i="37" l="1"/>
  <c r="C7" i="36"/>
  <c r="D7" i="36" s="1"/>
  <c r="K7" i="39"/>
  <c r="E7" i="36"/>
  <c r="F7" i="36" s="1"/>
  <c r="E4" i="36"/>
  <c r="F4" i="36" s="1"/>
  <c r="E34" i="38"/>
  <c r="J4" i="37" s="1"/>
  <c r="K4" i="37" s="1"/>
  <c r="E43" i="38"/>
  <c r="J5" i="37" s="1"/>
  <c r="K5" i="37" s="1"/>
  <c r="E47" i="38"/>
  <c r="M9" i="38"/>
  <c r="M12" i="38" s="1"/>
  <c r="E47" i="40"/>
  <c r="E46" i="40"/>
  <c r="E48" i="40" s="1"/>
  <c r="F31" i="36"/>
  <c r="D31" i="36"/>
  <c r="C4" i="36" l="1"/>
  <c r="D4" i="36" s="1"/>
  <c r="C5" i="36"/>
  <c r="D5" i="36" s="1"/>
  <c r="E46" i="38"/>
  <c r="E48" i="38" s="1"/>
  <c r="E10" i="38"/>
  <c r="J3" i="37" s="1"/>
  <c r="E67" i="38"/>
  <c r="E69" i="38" s="1"/>
  <c r="E77" i="38" s="1"/>
  <c r="J8" i="37" s="1"/>
  <c r="K8" i="37" s="1"/>
  <c r="E50" i="40"/>
  <c r="E51" i="40" s="1"/>
  <c r="E10" i="40"/>
  <c r="J3" i="39" s="1"/>
  <c r="E67" i="40"/>
  <c r="E69" i="40" s="1"/>
  <c r="E77" i="40" s="1"/>
  <c r="J8" i="39" s="1"/>
  <c r="K8" i="39" s="1"/>
  <c r="E43" i="40"/>
  <c r="J5" i="39" s="1"/>
  <c r="K5" i="39" l="1"/>
  <c r="N5" i="39"/>
  <c r="K3" i="37"/>
  <c r="K3" i="39"/>
  <c r="E55" i="40"/>
  <c r="E3" i="36"/>
  <c r="F3" i="36" s="1"/>
  <c r="E59" i="40"/>
  <c r="E79" i="40" s="1"/>
  <c r="J6" i="39"/>
  <c r="E8" i="36"/>
  <c r="F8" i="36" s="1"/>
  <c r="E5" i="36"/>
  <c r="C8" i="36"/>
  <c r="D8" i="36" s="1"/>
  <c r="C3" i="36"/>
  <c r="E50" i="38"/>
  <c r="E51" i="38" s="1"/>
  <c r="F5" i="36" l="1"/>
  <c r="K6" i="39"/>
  <c r="D3" i="36"/>
  <c r="E6" i="36"/>
  <c r="F6" i="36" s="1"/>
  <c r="E59" i="38"/>
  <c r="E79" i="38" s="1"/>
  <c r="J6" i="37"/>
  <c r="E55" i="38"/>
  <c r="C97" i="4"/>
  <c r="C98" i="4" l="1"/>
  <c r="K6" i="37"/>
  <c r="N5" i="37"/>
  <c r="S7" i="39"/>
  <c r="C6" i="36"/>
  <c r="H346" i="4"/>
  <c r="D6" i="36" l="1"/>
  <c r="S7" i="37"/>
  <c r="E32" i="5" l="1"/>
  <c r="G24" i="36" l="1"/>
  <c r="G31" i="36"/>
  <c r="H31" i="36" s="1"/>
  <c r="B32" i="36"/>
  <c r="B35" i="36" s="1"/>
  <c r="B38" i="36" s="1"/>
  <c r="G7" i="36" l="1"/>
  <c r="H7" i="36" s="1"/>
  <c r="D63" i="40" s="1"/>
  <c r="D14" i="44"/>
  <c r="D12" i="44" l="1"/>
  <c r="G5" i="36"/>
  <c r="H5" i="36" s="1"/>
  <c r="G3" i="36"/>
  <c r="H3" i="36" s="1"/>
  <c r="G4" i="36" l="1"/>
  <c r="H4" i="36" s="1"/>
  <c r="G8" i="36"/>
  <c r="H8" i="36" s="1"/>
  <c r="D15" i="44"/>
  <c r="D13" i="44"/>
  <c r="D11" i="44" l="1"/>
  <c r="G6" i="36"/>
  <c r="D53" i="6" s="1"/>
  <c r="H6" i="36" l="1"/>
  <c r="L94" i="4"/>
  <c r="I228" i="4" l="1"/>
  <c r="L255" i="4"/>
  <c r="I210" i="4"/>
  <c r="I211" i="4"/>
  <c r="I213" i="4"/>
  <c r="I214" i="4"/>
  <c r="I215" i="4"/>
  <c r="I216" i="4"/>
  <c r="I217" i="4"/>
  <c r="I229" i="4"/>
  <c r="C237" i="4"/>
  <c r="C258" i="4"/>
  <c r="H138" i="4"/>
  <c r="C135" i="4"/>
  <c r="I331" i="4"/>
  <c r="I330" i="4"/>
  <c r="I329" i="4"/>
  <c r="C99" i="4"/>
  <c r="C192" i="4"/>
  <c r="L132" i="4"/>
  <c r="B35" i="5"/>
  <c r="B30" i="5"/>
  <c r="B18" i="5"/>
  <c r="B13" i="5"/>
  <c r="B4" i="5"/>
  <c r="J346" i="4"/>
  <c r="K346" i="4"/>
  <c r="C188" i="4"/>
  <c r="C345" i="4"/>
  <c r="C339" i="4"/>
  <c r="C340" i="4" s="1"/>
  <c r="C327" i="4"/>
  <c r="C305" i="4"/>
  <c r="C233" i="4"/>
  <c r="C182" i="4"/>
  <c r="C154" i="4"/>
  <c r="C144" i="4"/>
  <c r="C83" i="4"/>
  <c r="C69" i="4"/>
  <c r="C70" i="4" s="1"/>
  <c r="C71" i="4" s="1"/>
  <c r="C72" i="4" s="1"/>
  <c r="C73" i="4" s="1"/>
  <c r="C74" i="4" s="1"/>
  <c r="C75" i="4" s="1"/>
  <c r="C76" i="4" s="1"/>
  <c r="C77" i="4" s="1"/>
  <c r="C78" i="4" s="1"/>
  <c r="C79" i="4" s="1"/>
  <c r="C65" i="4"/>
  <c r="C41" i="4"/>
  <c r="C18" i="4"/>
  <c r="C4" i="4"/>
  <c r="H166" i="4"/>
  <c r="I166" i="4" s="1"/>
  <c r="I179" i="4" s="1"/>
  <c r="F37" i="5"/>
  <c r="E37" i="5" s="1"/>
  <c r="N11" i="6"/>
  <c r="N9" i="6"/>
  <c r="L346" i="4"/>
  <c r="I328" i="4"/>
  <c r="I327" i="4"/>
  <c r="L234" i="4"/>
  <c r="L189" i="4"/>
  <c r="L185" i="4"/>
  <c r="L179" i="4"/>
  <c r="L151" i="4"/>
  <c r="L141" i="4"/>
  <c r="L80" i="4"/>
  <c r="L66" i="4"/>
  <c r="L62" i="4"/>
  <c r="L15" i="4"/>
  <c r="G35" i="5"/>
  <c r="J135" i="4"/>
  <c r="G4" i="5"/>
  <c r="J83" i="4"/>
  <c r="G18" i="5"/>
  <c r="J258" i="4"/>
  <c r="J41" i="4"/>
  <c r="J154" i="4"/>
  <c r="G30" i="5"/>
  <c r="J182" i="4"/>
  <c r="J18" i="4"/>
  <c r="J339" i="4"/>
  <c r="J4" i="4"/>
  <c r="J69" i="4"/>
  <c r="J305" i="4"/>
  <c r="J65" i="4"/>
  <c r="J327" i="4"/>
  <c r="J233" i="4"/>
  <c r="J192" i="4"/>
  <c r="J188" i="4"/>
  <c r="G13" i="5"/>
  <c r="I138" i="4" l="1"/>
  <c r="B19" i="5"/>
  <c r="B14" i="5"/>
  <c r="B31" i="5"/>
  <c r="B36" i="5"/>
  <c r="B5" i="5"/>
  <c r="E27" i="5"/>
  <c r="H234" i="4"/>
  <c r="H342" i="4"/>
  <c r="H94" i="4"/>
  <c r="J14" i="59"/>
  <c r="J28" i="59"/>
  <c r="C35" i="44" s="1"/>
  <c r="J22" i="59"/>
  <c r="J29" i="59"/>
  <c r="C36" i="44" s="1"/>
  <c r="E36" i="44" s="1"/>
  <c r="J12" i="59"/>
  <c r="J20" i="59"/>
  <c r="I230" i="4"/>
  <c r="I332" i="4"/>
  <c r="C155" i="4"/>
  <c r="C183" i="4"/>
  <c r="C193" i="4"/>
  <c r="C328" i="4"/>
  <c r="C306" i="4"/>
  <c r="C84" i="4"/>
  <c r="C85" i="4" s="1"/>
  <c r="C86" i="4" s="1"/>
  <c r="C87" i="4" s="1"/>
  <c r="C88" i="4" s="1"/>
  <c r="C89" i="4" s="1"/>
  <c r="C90" i="4" s="1"/>
  <c r="C91" i="4" s="1"/>
  <c r="C92" i="4" s="1"/>
  <c r="C93" i="4" s="1"/>
  <c r="C42" i="4"/>
  <c r="C145" i="4"/>
  <c r="C146" i="4" s="1"/>
  <c r="C259" i="4"/>
  <c r="C238" i="4"/>
  <c r="J30" i="37"/>
  <c r="C30" i="36" s="1"/>
  <c r="J30" i="39"/>
  <c r="E30" i="36" s="1"/>
  <c r="C100" i="4"/>
  <c r="C19" i="4"/>
  <c r="C5" i="4"/>
  <c r="C136" i="4"/>
  <c r="K98" i="4"/>
  <c r="H18" i="5"/>
  <c r="K97" i="4"/>
  <c r="K41" i="4"/>
  <c r="K65" i="4"/>
  <c r="K66" i="4" s="1"/>
  <c r="J66" i="4"/>
  <c r="K192" i="4"/>
  <c r="K154" i="4"/>
  <c r="K233" i="4"/>
  <c r="K234" i="4" s="1"/>
  <c r="J234" i="4"/>
  <c r="H30" i="5"/>
  <c r="K99" i="4"/>
  <c r="K258" i="4"/>
  <c r="K144" i="4"/>
  <c r="K327" i="4"/>
  <c r="H13" i="5"/>
  <c r="H4" i="5"/>
  <c r="J189" i="4"/>
  <c r="K188" i="4"/>
  <c r="K189" i="4" s="1"/>
  <c r="H35" i="5"/>
  <c r="J328" i="4"/>
  <c r="J193" i="4"/>
  <c r="G19" i="5"/>
  <c r="J84" i="4"/>
  <c r="G31" i="5"/>
  <c r="J183" i="4"/>
  <c r="J155" i="4"/>
  <c r="J42" i="4"/>
  <c r="G36" i="5"/>
  <c r="J70" i="4"/>
  <c r="J19" i="4"/>
  <c r="G14" i="5"/>
  <c r="J259" i="4"/>
  <c r="J85" i="4"/>
  <c r="J306" i="4"/>
  <c r="G5" i="5"/>
  <c r="J136" i="4"/>
  <c r="J5" i="4"/>
  <c r="K22" i="59" l="1"/>
  <c r="C29" i="44"/>
  <c r="E29" i="44" s="1"/>
  <c r="K12" i="59"/>
  <c r="C19" i="44"/>
  <c r="E19" i="44" s="1"/>
  <c r="K14" i="59"/>
  <c r="C21" i="44"/>
  <c r="E21" i="44" s="1"/>
  <c r="K20" i="59"/>
  <c r="C27" i="44"/>
  <c r="E27" i="44" s="1"/>
  <c r="I141" i="4"/>
  <c r="I348" i="4" s="1"/>
  <c r="K29" i="59"/>
  <c r="G32" i="5"/>
  <c r="H31" i="5"/>
  <c r="H32" i="5" s="1"/>
  <c r="H5" i="5"/>
  <c r="G37" i="5"/>
  <c r="H36" i="5"/>
  <c r="H37" i="5" s="1"/>
  <c r="H14" i="5"/>
  <c r="H15" i="5" s="1"/>
  <c r="G15" i="5"/>
  <c r="H19" i="5"/>
  <c r="B20" i="5"/>
  <c r="H185" i="4"/>
  <c r="H255" i="4"/>
  <c r="H230" i="4"/>
  <c r="H179" i="4"/>
  <c r="H151" i="4"/>
  <c r="H141" i="4"/>
  <c r="H132" i="4"/>
  <c r="H80" i="4"/>
  <c r="H62" i="4"/>
  <c r="H302" i="4"/>
  <c r="H38" i="4"/>
  <c r="E10" i="5"/>
  <c r="J27" i="59"/>
  <c r="J10" i="59"/>
  <c r="J16" i="59"/>
  <c r="J15" i="59"/>
  <c r="J25" i="59"/>
  <c r="J11" i="59"/>
  <c r="N28" i="59"/>
  <c r="S10" i="59" s="1"/>
  <c r="D11" i="6" s="1"/>
  <c r="N31" i="59"/>
  <c r="S11" i="59" s="1"/>
  <c r="D12" i="6" s="1"/>
  <c r="J18" i="59"/>
  <c r="J19" i="59"/>
  <c r="J23" i="59"/>
  <c r="J17" i="59"/>
  <c r="J21" i="59"/>
  <c r="J13" i="59"/>
  <c r="C20" i="44" s="1"/>
  <c r="E20" i="44" s="1"/>
  <c r="K328" i="4"/>
  <c r="K42" i="4"/>
  <c r="K155" i="4"/>
  <c r="C101" i="4"/>
  <c r="C260" i="4"/>
  <c r="C307" i="4"/>
  <c r="C329" i="4"/>
  <c r="C194" i="4"/>
  <c r="C147" i="4"/>
  <c r="C184" i="4"/>
  <c r="C43" i="4"/>
  <c r="C156" i="4"/>
  <c r="G30" i="36"/>
  <c r="D37" i="44"/>
  <c r="K237" i="4"/>
  <c r="C239" i="4"/>
  <c r="J21" i="39"/>
  <c r="K21" i="39" s="1"/>
  <c r="J21" i="37"/>
  <c r="K21" i="37" s="1"/>
  <c r="J19" i="39"/>
  <c r="K19" i="39" s="1"/>
  <c r="J19" i="37"/>
  <c r="K19" i="37" s="1"/>
  <c r="J12" i="39"/>
  <c r="K12" i="39" s="1"/>
  <c r="J12" i="37"/>
  <c r="K12" i="37" s="1"/>
  <c r="J26" i="39"/>
  <c r="K26" i="39" s="1"/>
  <c r="J26" i="37"/>
  <c r="K26" i="37" s="1"/>
  <c r="J23" i="37"/>
  <c r="K23" i="37" s="1"/>
  <c r="J23" i="39"/>
  <c r="K23" i="39" s="1"/>
  <c r="J15" i="39"/>
  <c r="J15" i="37"/>
  <c r="J28" i="39"/>
  <c r="J28" i="37"/>
  <c r="J20" i="39"/>
  <c r="K20" i="39" s="1"/>
  <c r="J20" i="37"/>
  <c r="K20" i="37" s="1"/>
  <c r="J18" i="39"/>
  <c r="K18" i="39" s="1"/>
  <c r="J18" i="37"/>
  <c r="K18" i="37" s="1"/>
  <c r="J27" i="39"/>
  <c r="K27" i="39" s="1"/>
  <c r="J27" i="37"/>
  <c r="K27" i="37" s="1"/>
  <c r="J11" i="39"/>
  <c r="K11" i="39" s="1"/>
  <c r="J11" i="37"/>
  <c r="K11" i="37" s="1"/>
  <c r="J13" i="39"/>
  <c r="K13" i="39" s="1"/>
  <c r="J13" i="37"/>
  <c r="K13" i="37" s="1"/>
  <c r="J29" i="39"/>
  <c r="J29" i="37"/>
  <c r="J22" i="39"/>
  <c r="K22" i="39" s="1"/>
  <c r="J22" i="37"/>
  <c r="K22" i="37" s="1"/>
  <c r="J10" i="37"/>
  <c r="K10" i="37" s="1"/>
  <c r="J10" i="39"/>
  <c r="K10" i="39" s="1"/>
  <c r="J16" i="39"/>
  <c r="K16" i="39" s="1"/>
  <c r="J16" i="37"/>
  <c r="K16" i="37" s="1"/>
  <c r="J25" i="39"/>
  <c r="K25" i="39" s="1"/>
  <c r="J25" i="37"/>
  <c r="K25" i="37" s="1"/>
  <c r="J17" i="39"/>
  <c r="K17" i="39" s="1"/>
  <c r="J17" i="37"/>
  <c r="J14" i="39"/>
  <c r="K14" i="39" s="1"/>
  <c r="J14" i="37"/>
  <c r="K14" i="37" s="1"/>
  <c r="N12" i="6"/>
  <c r="L332" i="4"/>
  <c r="K69" i="4"/>
  <c r="K259" i="4"/>
  <c r="K182" i="4"/>
  <c r="K339" i="4"/>
  <c r="K193" i="4"/>
  <c r="K83" i="4"/>
  <c r="K135" i="4"/>
  <c r="K183" i="4"/>
  <c r="K305" i="4"/>
  <c r="K18" i="4"/>
  <c r="K306" i="4"/>
  <c r="K84" i="4"/>
  <c r="N8" i="6"/>
  <c r="C137" i="4"/>
  <c r="C20" i="4"/>
  <c r="N10" i="6"/>
  <c r="C6" i="4"/>
  <c r="J194" i="4"/>
  <c r="J20" i="4"/>
  <c r="J43" i="4"/>
  <c r="J71" i="4"/>
  <c r="J184" i="4"/>
  <c r="J340" i="4"/>
  <c r="J6" i="4"/>
  <c r="G20" i="5"/>
  <c r="K194" i="4" l="1"/>
  <c r="K145" i="4"/>
  <c r="K100" i="4"/>
  <c r="J329" i="4"/>
  <c r="J260" i="4"/>
  <c r="J156" i="4"/>
  <c r="J307" i="4"/>
  <c r="K11" i="59" l="1"/>
  <c r="C18" i="44"/>
  <c r="E18" i="44" s="1"/>
  <c r="K21" i="59"/>
  <c r="C28" i="44"/>
  <c r="E28" i="44" s="1"/>
  <c r="K25" i="59"/>
  <c r="C32" i="44"/>
  <c r="E32" i="44" s="1"/>
  <c r="K17" i="59"/>
  <c r="C24" i="44"/>
  <c r="E24" i="44" s="1"/>
  <c r="N17" i="59"/>
  <c r="C22" i="44"/>
  <c r="E22" i="44" s="1"/>
  <c r="K23" i="59"/>
  <c r="C30" i="44"/>
  <c r="E30" i="44" s="1"/>
  <c r="K16" i="59"/>
  <c r="C23" i="44"/>
  <c r="E23" i="44" s="1"/>
  <c r="K19" i="59"/>
  <c r="C26" i="44"/>
  <c r="E26" i="44" s="1"/>
  <c r="K10" i="59"/>
  <c r="C17" i="44"/>
  <c r="E17" i="44" s="1"/>
  <c r="K18" i="59"/>
  <c r="C25" i="44"/>
  <c r="E25" i="44" s="1"/>
  <c r="K27" i="59"/>
  <c r="C34" i="44"/>
  <c r="E34" i="44" s="1"/>
  <c r="K239" i="4"/>
  <c r="K13" i="59"/>
  <c r="K15" i="59"/>
  <c r="H20" i="5"/>
  <c r="B21" i="5"/>
  <c r="E39" i="5"/>
  <c r="J34" i="59"/>
  <c r="S9" i="59"/>
  <c r="D10" i="6" s="1"/>
  <c r="L348" i="4"/>
  <c r="K340" i="4"/>
  <c r="K260" i="4"/>
  <c r="K156" i="4"/>
  <c r="K101" i="4"/>
  <c r="K43" i="4"/>
  <c r="K184" i="4"/>
  <c r="K185" i="4" s="1"/>
  <c r="J185" i="4"/>
  <c r="K146" i="4"/>
  <c r="K329" i="4"/>
  <c r="C341" i="4"/>
  <c r="C157" i="4"/>
  <c r="C102" i="4"/>
  <c r="C44" i="4"/>
  <c r="C148" i="4"/>
  <c r="C261" i="4"/>
  <c r="C195" i="4"/>
  <c r="C7" i="4"/>
  <c r="C330" i="4"/>
  <c r="C308" i="4"/>
  <c r="C309" i="4" s="1"/>
  <c r="C310" i="4" s="1"/>
  <c r="C311" i="4" s="1"/>
  <c r="C312" i="4" s="1"/>
  <c r="C313" i="4" s="1"/>
  <c r="C314" i="4" s="1"/>
  <c r="C315" i="4" s="1"/>
  <c r="C316" i="4" s="1"/>
  <c r="C317" i="4" s="1"/>
  <c r="C318" i="4" s="1"/>
  <c r="C319" i="4" s="1"/>
  <c r="C320" i="4" s="1"/>
  <c r="C321" i="4" s="1"/>
  <c r="C322" i="4" s="1"/>
  <c r="K238" i="4"/>
  <c r="C17" i="36"/>
  <c r="D17" i="36" s="1"/>
  <c r="K17" i="37"/>
  <c r="N31" i="37"/>
  <c r="K29" i="37"/>
  <c r="N28" i="37"/>
  <c r="K28" i="37"/>
  <c r="N17" i="37"/>
  <c r="K15" i="37"/>
  <c r="N31" i="39"/>
  <c r="K29" i="39"/>
  <c r="N28" i="39"/>
  <c r="K28" i="39"/>
  <c r="N17" i="39"/>
  <c r="K15" i="39"/>
  <c r="C240" i="4"/>
  <c r="J34" i="37"/>
  <c r="J34" i="39"/>
  <c r="C14" i="36"/>
  <c r="D14" i="36" s="1"/>
  <c r="E10" i="36"/>
  <c r="F10" i="36" s="1"/>
  <c r="C11" i="36"/>
  <c r="D11" i="36" s="1"/>
  <c r="C28" i="36"/>
  <c r="D28" i="36" s="1"/>
  <c r="C12" i="36"/>
  <c r="D12" i="36" s="1"/>
  <c r="E14" i="36"/>
  <c r="F14" i="36" s="1"/>
  <c r="C10" i="36"/>
  <c r="D10" i="36" s="1"/>
  <c r="E11" i="36"/>
  <c r="F11" i="36" s="1"/>
  <c r="E28" i="36"/>
  <c r="F28" i="36" s="1"/>
  <c r="E12" i="36"/>
  <c r="F12" i="36" s="1"/>
  <c r="C22" i="36"/>
  <c r="D22" i="36" s="1"/>
  <c r="C27" i="36"/>
  <c r="D27" i="36" s="1"/>
  <c r="C15" i="36"/>
  <c r="D15" i="36" s="1"/>
  <c r="E17" i="36"/>
  <c r="F17" i="36" s="1"/>
  <c r="E22" i="36"/>
  <c r="F22" i="36" s="1"/>
  <c r="E27" i="36"/>
  <c r="F27" i="36" s="1"/>
  <c r="E15" i="36"/>
  <c r="F15" i="36" s="1"/>
  <c r="C25" i="36"/>
  <c r="D25" i="36" s="1"/>
  <c r="C29" i="36"/>
  <c r="D29" i="36" s="1"/>
  <c r="C18" i="36"/>
  <c r="D18" i="36" s="1"/>
  <c r="E23" i="36"/>
  <c r="F23" i="36" s="1"/>
  <c r="C19" i="36"/>
  <c r="D19" i="36" s="1"/>
  <c r="E25" i="36"/>
  <c r="E29" i="36"/>
  <c r="F29" i="36" s="1"/>
  <c r="E18" i="36"/>
  <c r="F18" i="36" s="1"/>
  <c r="C23" i="36"/>
  <c r="D23" i="36" s="1"/>
  <c r="E19" i="36"/>
  <c r="F19" i="36" s="1"/>
  <c r="C16" i="36"/>
  <c r="D16" i="36" s="1"/>
  <c r="C13" i="36"/>
  <c r="D13" i="36" s="1"/>
  <c r="C20" i="36"/>
  <c r="D20" i="36" s="1"/>
  <c r="C26" i="36"/>
  <c r="D26" i="36" s="1"/>
  <c r="C21" i="36"/>
  <c r="D21" i="36" s="1"/>
  <c r="E16" i="36"/>
  <c r="F16" i="36" s="1"/>
  <c r="E13" i="36"/>
  <c r="F13" i="36" s="1"/>
  <c r="E20" i="36"/>
  <c r="F20" i="36" s="1"/>
  <c r="E26" i="36"/>
  <c r="F26" i="36" s="1"/>
  <c r="E21" i="36"/>
  <c r="F21" i="36" s="1"/>
  <c r="G26" i="36"/>
  <c r="H26" i="36" s="1"/>
  <c r="G22" i="36"/>
  <c r="H22" i="36" s="1"/>
  <c r="G12" i="36"/>
  <c r="H12" i="36" s="1"/>
  <c r="G27" i="36"/>
  <c r="H27" i="36" s="1"/>
  <c r="H332" i="4" s="1"/>
  <c r="G28" i="36"/>
  <c r="G20" i="36"/>
  <c r="H20" i="36" s="1"/>
  <c r="G29" i="36"/>
  <c r="G13" i="36"/>
  <c r="H13" i="36" s="1"/>
  <c r="G25" i="36"/>
  <c r="H25" i="36" s="1"/>
  <c r="G16" i="36"/>
  <c r="H16" i="36" s="1"/>
  <c r="G14" i="36"/>
  <c r="H14" i="36" s="1"/>
  <c r="G10" i="36"/>
  <c r="H10" i="36" s="1"/>
  <c r="G19" i="36"/>
  <c r="H19" i="36" s="1"/>
  <c r="G23" i="36"/>
  <c r="H23" i="36" s="1"/>
  <c r="G15" i="36"/>
  <c r="G17" i="36"/>
  <c r="H17" i="36" s="1"/>
  <c r="G11" i="36"/>
  <c r="H11" i="36" s="1"/>
  <c r="G21" i="36"/>
  <c r="H21" i="36" s="1"/>
  <c r="G18" i="36"/>
  <c r="H18" i="36" s="1"/>
  <c r="K85" i="4"/>
  <c r="K19" i="4"/>
  <c r="K5" i="4"/>
  <c r="K136" i="4"/>
  <c r="K70" i="4"/>
  <c r="C138" i="4"/>
  <c r="C21" i="4"/>
  <c r="N13" i="6"/>
  <c r="J7" i="4"/>
  <c r="J44" i="4"/>
  <c r="J86" i="4"/>
  <c r="J261" i="4"/>
  <c r="G21" i="5"/>
  <c r="J157" i="4"/>
  <c r="G6" i="5"/>
  <c r="J195" i="4"/>
  <c r="J72" i="4"/>
  <c r="J341" i="4"/>
  <c r="J330" i="4"/>
  <c r="J21" i="4"/>
  <c r="J308" i="4"/>
  <c r="D26" i="44" l="1"/>
  <c r="K34" i="59"/>
  <c r="H6" i="5"/>
  <c r="H21" i="5"/>
  <c r="B22" i="5"/>
  <c r="N34" i="59"/>
  <c r="S12" i="59" s="1"/>
  <c r="K341" i="4"/>
  <c r="K342" i="4" s="1"/>
  <c r="D36" i="44"/>
  <c r="D40" i="44"/>
  <c r="D22" i="44"/>
  <c r="K44" i="4"/>
  <c r="K157" i="4"/>
  <c r="K330" i="4"/>
  <c r="J342" i="4"/>
  <c r="K195" i="4"/>
  <c r="K308" i="4"/>
  <c r="K147" i="4"/>
  <c r="C45" i="4"/>
  <c r="C103" i="4"/>
  <c r="C158" i="4"/>
  <c r="C331" i="4"/>
  <c r="C8" i="4"/>
  <c r="C196" i="4"/>
  <c r="C197" i="4" s="1"/>
  <c r="C198" i="4" s="1"/>
  <c r="D35" i="44"/>
  <c r="C262" i="4"/>
  <c r="C241" i="4"/>
  <c r="D55" i="6"/>
  <c r="D27" i="44"/>
  <c r="D32" i="44"/>
  <c r="D28" i="44"/>
  <c r="D33" i="44"/>
  <c r="D24" i="44"/>
  <c r="D34" i="44"/>
  <c r="D30" i="44"/>
  <c r="D23" i="44"/>
  <c r="D21" i="44"/>
  <c r="D18" i="44"/>
  <c r="D17" i="44"/>
  <c r="D25" i="44"/>
  <c r="D29" i="44"/>
  <c r="D19" i="44"/>
  <c r="D20" i="44"/>
  <c r="O8" i="6"/>
  <c r="D58" i="6"/>
  <c r="F25" i="36"/>
  <c r="C34" i="36"/>
  <c r="D34" i="36" s="1"/>
  <c r="N34" i="37"/>
  <c r="S12" i="37" s="1"/>
  <c r="K34" i="37"/>
  <c r="E34" i="36"/>
  <c r="F34" i="36" s="1"/>
  <c r="N34" i="39"/>
  <c r="S12" i="39" s="1"/>
  <c r="K34" i="39"/>
  <c r="S9" i="39"/>
  <c r="S10" i="37"/>
  <c r="S11" i="39"/>
  <c r="S9" i="37"/>
  <c r="S11" i="37"/>
  <c r="S10" i="39"/>
  <c r="H28" i="36"/>
  <c r="D56" i="6"/>
  <c r="H15" i="36"/>
  <c r="H29" i="36"/>
  <c r="D57" i="6"/>
  <c r="G34" i="36"/>
  <c r="H34" i="36" s="1"/>
  <c r="K20" i="4"/>
  <c r="K137" i="4"/>
  <c r="K71" i="4"/>
  <c r="K6" i="4"/>
  <c r="O9" i="6"/>
  <c r="O11" i="6"/>
  <c r="O12" i="6"/>
  <c r="C139" i="4"/>
  <c r="C22" i="4"/>
  <c r="O10" i="6"/>
  <c r="J87" i="4"/>
  <c r="G22" i="5"/>
  <c r="J22" i="4"/>
  <c r="K102" i="4" l="1"/>
  <c r="J331" i="4"/>
  <c r="J73" i="4"/>
  <c r="G7" i="5"/>
  <c r="J262" i="4"/>
  <c r="J310" i="4"/>
  <c r="J45" i="4"/>
  <c r="J196" i="4"/>
  <c r="J158" i="4"/>
  <c r="J8" i="4"/>
  <c r="K262" i="4" l="1"/>
  <c r="H22" i="5"/>
  <c r="H7" i="5"/>
  <c r="B23" i="5"/>
  <c r="K331" i="4"/>
  <c r="J332" i="4"/>
  <c r="K158" i="4"/>
  <c r="K310" i="4"/>
  <c r="K103" i="4"/>
  <c r="K45" i="4"/>
  <c r="K196" i="4"/>
  <c r="C9" i="4"/>
  <c r="C242" i="4"/>
  <c r="C263" i="4"/>
  <c r="C159" i="4"/>
  <c r="C104" i="4"/>
  <c r="C46" i="4"/>
  <c r="O13" i="6"/>
  <c r="K240" i="4"/>
  <c r="K72" i="4"/>
  <c r="K138" i="4"/>
  <c r="K21" i="4"/>
  <c r="K86" i="4"/>
  <c r="C140" i="4"/>
  <c r="C23" i="4"/>
  <c r="G9" i="5"/>
  <c r="J23" i="4"/>
  <c r="J74" i="4"/>
  <c r="J159" i="4"/>
  <c r="J46" i="4"/>
  <c r="J9" i="4"/>
  <c r="J91" i="4"/>
  <c r="G23" i="5"/>
  <c r="J263" i="4"/>
  <c r="K242" i="4" l="1"/>
  <c r="K263" i="4"/>
  <c r="H23" i="5"/>
  <c r="H9" i="5"/>
  <c r="H10" i="5" s="1"/>
  <c r="G10" i="5"/>
  <c r="B24" i="5"/>
  <c r="K332" i="4"/>
  <c r="K46" i="4"/>
  <c r="K159" i="4"/>
  <c r="K148" i="4"/>
  <c r="C47" i="4"/>
  <c r="C105" i="4"/>
  <c r="C160" i="4"/>
  <c r="C243" i="4"/>
  <c r="C10" i="4"/>
  <c r="K139" i="4"/>
  <c r="J141" i="4"/>
  <c r="K140" i="4"/>
  <c r="K87" i="4"/>
  <c r="K22" i="4"/>
  <c r="K7" i="4"/>
  <c r="K73" i="4"/>
  <c r="C24" i="4"/>
  <c r="J311" i="4"/>
  <c r="J47" i="4"/>
  <c r="K311" i="4" l="1"/>
  <c r="K104" i="4"/>
  <c r="J197" i="4"/>
  <c r="J75" i="4"/>
  <c r="J24" i="4"/>
  <c r="J88" i="4"/>
  <c r="J160" i="4"/>
  <c r="G24" i="5"/>
  <c r="J312" i="4"/>
  <c r="J264" i="4"/>
  <c r="J10" i="4"/>
  <c r="H24" i="5" l="1"/>
  <c r="B25" i="5"/>
  <c r="K149" i="4"/>
  <c r="K47" i="4"/>
  <c r="K197" i="4"/>
  <c r="K243" i="4"/>
  <c r="K264" i="4"/>
  <c r="K160" i="4"/>
  <c r="K312" i="4"/>
  <c r="K105" i="4"/>
  <c r="C25" i="4"/>
  <c r="C48" i="4"/>
  <c r="C11" i="4"/>
  <c r="C265" i="4"/>
  <c r="C161" i="4"/>
  <c r="C106" i="4"/>
  <c r="K241" i="4"/>
  <c r="K141" i="4"/>
  <c r="K8" i="4"/>
  <c r="K23" i="4"/>
  <c r="K74" i="4"/>
  <c r="K91" i="4"/>
  <c r="J265" i="4"/>
  <c r="J313" i="4"/>
  <c r="G25" i="5"/>
  <c r="J11" i="4"/>
  <c r="J25" i="4"/>
  <c r="J76" i="4"/>
  <c r="J48" i="4"/>
  <c r="J161" i="4"/>
  <c r="H25" i="5" l="1"/>
  <c r="B26" i="5"/>
  <c r="K265" i="4"/>
  <c r="K245" i="4"/>
  <c r="K48" i="4"/>
  <c r="K106" i="4"/>
  <c r="K313" i="4"/>
  <c r="K161" i="4"/>
  <c r="C266" i="4"/>
  <c r="C246" i="4"/>
  <c r="C247" i="4" s="1"/>
  <c r="C12" i="4"/>
  <c r="C49" i="4"/>
  <c r="C107" i="4"/>
  <c r="C26" i="4"/>
  <c r="C162" i="4"/>
  <c r="K9" i="4"/>
  <c r="K24" i="4"/>
  <c r="K75" i="4"/>
  <c r="K88" i="4"/>
  <c r="J266" i="4"/>
  <c r="J49" i="4"/>
  <c r="G26" i="5"/>
  <c r="J198" i="4"/>
  <c r="J12" i="4"/>
  <c r="J162" i="4"/>
  <c r="J90" i="4"/>
  <c r="J314" i="4"/>
  <c r="J89" i="4"/>
  <c r="K314" i="4" l="1"/>
  <c r="K247" i="4"/>
  <c r="C248" i="4"/>
  <c r="H26" i="5"/>
  <c r="H27" i="5" s="1"/>
  <c r="H39" i="5" s="1"/>
  <c r="G27" i="5"/>
  <c r="G39" i="5" s="1"/>
  <c r="K150" i="4"/>
  <c r="K151" i="4" s="1"/>
  <c r="J151" i="4"/>
  <c r="K49" i="4"/>
  <c r="K198" i="4"/>
  <c r="K162" i="4"/>
  <c r="K246" i="4"/>
  <c r="K266" i="4"/>
  <c r="C108" i="4"/>
  <c r="C50" i="4"/>
  <c r="C199" i="4"/>
  <c r="C200" i="4" s="1"/>
  <c r="C201" i="4" s="1"/>
  <c r="C202" i="4" s="1"/>
  <c r="C203" i="4" s="1"/>
  <c r="C204" i="4" s="1"/>
  <c r="C205" i="4" s="1"/>
  <c r="C206" i="4" s="1"/>
  <c r="C207" i="4" s="1"/>
  <c r="C208" i="4" s="1"/>
  <c r="C209" i="4" s="1"/>
  <c r="C210" i="4" s="1"/>
  <c r="C211" i="4" s="1"/>
  <c r="C212" i="4" s="1"/>
  <c r="C213" i="4" s="1"/>
  <c r="C214" i="4" s="1"/>
  <c r="C215" i="4" s="1"/>
  <c r="C216" i="4" s="1"/>
  <c r="C217" i="4" s="1"/>
  <c r="C218" i="4" s="1"/>
  <c r="C219" i="4" s="1"/>
  <c r="C220" i="4" s="1"/>
  <c r="C221" i="4" s="1"/>
  <c r="C222" i="4" s="1"/>
  <c r="C223" i="4" s="1"/>
  <c r="C224" i="4" s="1"/>
  <c r="C225" i="4" s="1"/>
  <c r="C226" i="4" s="1"/>
  <c r="C227" i="4" s="1"/>
  <c r="C228" i="4" s="1"/>
  <c r="C229" i="4" s="1"/>
  <c r="C13" i="4"/>
  <c r="C163" i="4"/>
  <c r="C27" i="4"/>
  <c r="C267" i="4"/>
  <c r="K76" i="4"/>
  <c r="K89" i="4"/>
  <c r="J267" i="4"/>
  <c r="J13" i="4"/>
  <c r="J163" i="4"/>
  <c r="J26" i="4"/>
  <c r="K107" i="4" l="1"/>
  <c r="J199" i="4"/>
  <c r="K26" i="4" l="1"/>
  <c r="J315" i="4"/>
  <c r="J27" i="4"/>
  <c r="J77" i="4"/>
  <c r="J50" i="4"/>
  <c r="K248" i="4" l="1"/>
  <c r="K267" i="4"/>
  <c r="K199" i="4"/>
  <c r="K50" i="4"/>
  <c r="K315" i="4"/>
  <c r="K108" i="4"/>
  <c r="K27" i="4"/>
  <c r="K163" i="4"/>
  <c r="C268" i="4"/>
  <c r="C14" i="4"/>
  <c r="C51" i="4"/>
  <c r="C109" i="4"/>
  <c r="C28" i="4"/>
  <c r="C249" i="4"/>
  <c r="C250" i="4" s="1"/>
  <c r="C251" i="4" s="1"/>
  <c r="C164" i="4"/>
  <c r="K11" i="4"/>
  <c r="K90" i="4"/>
  <c r="J268" i="4"/>
  <c r="J93" i="4"/>
  <c r="J14" i="4"/>
  <c r="J92" i="4"/>
  <c r="J164" i="4"/>
  <c r="J28" i="4"/>
  <c r="J316" i="4"/>
  <c r="J51" i="4"/>
  <c r="K251" i="4" l="1"/>
  <c r="C252" i="4"/>
  <c r="K250" i="4"/>
  <c r="K249" i="4"/>
  <c r="K268" i="4"/>
  <c r="K28" i="4"/>
  <c r="K109" i="4"/>
  <c r="K316" i="4"/>
  <c r="K51" i="4"/>
  <c r="K164" i="4"/>
  <c r="C269" i="4"/>
  <c r="C29" i="4"/>
  <c r="C110" i="4"/>
  <c r="C52" i="4"/>
  <c r="C165" i="4"/>
  <c r="K92" i="4"/>
  <c r="K12" i="4"/>
  <c r="K93" i="4"/>
  <c r="J94" i="4"/>
  <c r="K77" i="4"/>
  <c r="J29" i="4"/>
  <c r="J201" i="4"/>
  <c r="J165" i="4"/>
  <c r="J317" i="4"/>
  <c r="J269" i="4"/>
  <c r="J78" i="4"/>
  <c r="J52" i="4"/>
  <c r="K201" i="4" l="1"/>
  <c r="J203" i="4"/>
  <c r="K317" i="4" l="1"/>
  <c r="K29" i="4"/>
  <c r="K52" i="4"/>
  <c r="K269" i="4"/>
  <c r="K165" i="4"/>
  <c r="K252" i="4"/>
  <c r="K203" i="4"/>
  <c r="C111" i="4"/>
  <c r="C30" i="4"/>
  <c r="C53" i="4"/>
  <c r="C270" i="4"/>
  <c r="C166" i="4"/>
  <c r="C253" i="4"/>
  <c r="K14" i="4"/>
  <c r="J15" i="4"/>
  <c r="K13" i="4"/>
  <c r="K94" i="4"/>
  <c r="J53" i="4"/>
  <c r="J205" i="4"/>
  <c r="J270" i="4"/>
  <c r="J318" i="4"/>
  <c r="J30" i="4"/>
  <c r="J166" i="4"/>
  <c r="J79" i="4"/>
  <c r="K110" i="4" l="1"/>
  <c r="K166" i="4"/>
  <c r="K270" i="4"/>
  <c r="K53" i="4"/>
  <c r="K30" i="4"/>
  <c r="K111" i="4"/>
  <c r="K318" i="4"/>
  <c r="K205" i="4"/>
  <c r="C167" i="4"/>
  <c r="C271" i="4"/>
  <c r="C54" i="4"/>
  <c r="C31" i="4"/>
  <c r="C112" i="4"/>
  <c r="C254" i="4"/>
  <c r="J31" i="4"/>
  <c r="K253" i="4" l="1"/>
  <c r="J167" i="4"/>
  <c r="J206" i="4"/>
  <c r="J271" i="4"/>
  <c r="J319" i="4"/>
  <c r="J54" i="4"/>
  <c r="K206" i="4" l="1"/>
  <c r="K319" i="4"/>
  <c r="K54" i="4"/>
  <c r="K31" i="4"/>
  <c r="K271" i="4"/>
  <c r="K167" i="4"/>
  <c r="K254" i="4"/>
  <c r="K255" i="4" s="1"/>
  <c r="J255" i="4"/>
  <c r="C113" i="4"/>
  <c r="C55" i="4"/>
  <c r="C32" i="4"/>
  <c r="C272" i="4"/>
  <c r="C168" i="4"/>
  <c r="K78" i="4"/>
  <c r="K79" i="4"/>
  <c r="J80" i="4"/>
  <c r="J320" i="4"/>
  <c r="J32" i="4"/>
  <c r="J55" i="4"/>
  <c r="K112" i="4" l="1"/>
  <c r="J272" i="4"/>
  <c r="J168" i="4"/>
  <c r="K168" i="4" l="1"/>
  <c r="K272" i="4"/>
  <c r="K32" i="4"/>
  <c r="K55" i="4"/>
  <c r="K113" i="4"/>
  <c r="K320" i="4"/>
  <c r="C169" i="4"/>
  <c r="C273" i="4"/>
  <c r="C33" i="4"/>
  <c r="C34" i="4" s="1"/>
  <c r="C35" i="4" s="1"/>
  <c r="C36" i="4" s="1"/>
  <c r="C37" i="4" s="1"/>
  <c r="C56" i="4"/>
  <c r="C114" i="4"/>
  <c r="K80" i="4"/>
  <c r="J207" i="4"/>
  <c r="J33" i="4"/>
  <c r="K207" i="4" l="1"/>
  <c r="J321" i="4"/>
  <c r="J208" i="4"/>
  <c r="K321" i="4" l="1"/>
  <c r="K114" i="4"/>
  <c r="K33" i="4"/>
  <c r="K208" i="4"/>
  <c r="C115" i="4"/>
  <c r="C57" i="4"/>
  <c r="C274" i="4"/>
  <c r="C170" i="4"/>
  <c r="J57" i="4"/>
  <c r="J209" i="4"/>
  <c r="J169" i="4"/>
  <c r="J273" i="4"/>
  <c r="J56" i="4"/>
  <c r="K273" i="4" l="1"/>
  <c r="J274" i="4"/>
  <c r="K274" i="4" l="1"/>
  <c r="K169" i="4"/>
  <c r="J170" i="4"/>
  <c r="J322" i="4"/>
  <c r="J324" i="4" l="1"/>
  <c r="K56" i="4"/>
  <c r="K57" i="4"/>
  <c r="K322" i="4"/>
  <c r="K324" i="4" s="1"/>
  <c r="K209" i="4"/>
  <c r="K170" i="4"/>
  <c r="C275" i="4"/>
  <c r="C276" i="4" s="1"/>
  <c r="C58" i="4"/>
  <c r="C116" i="4"/>
  <c r="C171" i="4"/>
  <c r="J34" i="4"/>
  <c r="J210" i="4"/>
  <c r="J275" i="4"/>
  <c r="J171" i="4"/>
  <c r="J276" i="4"/>
  <c r="K276" i="4" l="1"/>
  <c r="C277" i="4"/>
  <c r="K115" i="4"/>
  <c r="K171" i="4"/>
  <c r="K116" i="4"/>
  <c r="K275" i="4"/>
  <c r="K34" i="4"/>
  <c r="K210" i="4"/>
  <c r="C172" i="4"/>
  <c r="C117" i="4"/>
  <c r="C59" i="4"/>
  <c r="J58" i="4"/>
  <c r="K58" i="4" l="1"/>
  <c r="J277" i="4"/>
  <c r="J59" i="4"/>
  <c r="K277" i="4" l="1"/>
  <c r="K59" i="4"/>
  <c r="C173" i="4"/>
  <c r="C278" i="4"/>
  <c r="C60" i="4"/>
  <c r="C118" i="4"/>
  <c r="J172" i="4"/>
  <c r="J35" i="4"/>
  <c r="K172" i="4" l="1"/>
  <c r="K117" i="4"/>
  <c r="J60" i="4"/>
  <c r="J211" i="4"/>
  <c r="K118" i="4" l="1"/>
  <c r="K35" i="4"/>
  <c r="J173" i="4"/>
  <c r="J278" i="4"/>
  <c r="J36" i="4"/>
  <c r="K173" i="4" l="1"/>
  <c r="K60" i="4"/>
  <c r="K278" i="4"/>
  <c r="K36" i="4"/>
  <c r="K211" i="4"/>
  <c r="C174" i="4"/>
  <c r="C61" i="4"/>
  <c r="C279" i="4"/>
  <c r="C119" i="4"/>
  <c r="J61" i="4"/>
  <c r="J37" i="4"/>
  <c r="J279" i="4"/>
  <c r="J212" i="4"/>
  <c r="K61" i="4" l="1"/>
  <c r="K62" i="4" s="1"/>
  <c r="J62" i="4"/>
  <c r="K212" i="4"/>
  <c r="K37" i="4"/>
  <c r="K38" i="4" s="1"/>
  <c r="J38" i="4"/>
  <c r="K119" i="4"/>
  <c r="K279" i="4"/>
  <c r="C175" i="4"/>
  <c r="C120" i="4"/>
  <c r="C280" i="4"/>
  <c r="J174" i="4"/>
  <c r="J213" i="4"/>
  <c r="K174" i="4" l="1"/>
  <c r="J175" i="4"/>
  <c r="K120" i="4" l="1"/>
  <c r="K213" i="4"/>
  <c r="K175" i="4"/>
  <c r="C281" i="4"/>
  <c r="C121" i="4"/>
  <c r="C176" i="4"/>
  <c r="J176" i="4"/>
  <c r="J280" i="4"/>
  <c r="J214" i="4"/>
  <c r="K280" i="4" l="1"/>
  <c r="J281" i="4"/>
  <c r="K176" i="4" l="1"/>
  <c r="K281" i="4"/>
  <c r="K214" i="4"/>
  <c r="C177" i="4"/>
  <c r="C122" i="4"/>
  <c r="C282" i="4"/>
  <c r="C283" i="4" s="1"/>
  <c r="C284" i="4" s="1"/>
  <c r="C285" i="4" s="1"/>
  <c r="C286" i="4" s="1"/>
  <c r="C287" i="4" s="1"/>
  <c r="C288" i="4" s="1"/>
  <c r="C289" i="4" s="1"/>
  <c r="C290" i="4" s="1"/>
  <c r="J290" i="4"/>
  <c r="K290" i="4" l="1"/>
  <c r="C291" i="4"/>
  <c r="C292" i="4" s="1"/>
  <c r="C293" i="4" s="1"/>
  <c r="C294" i="4" s="1"/>
  <c r="C295" i="4" s="1"/>
  <c r="C296" i="4" s="1"/>
  <c r="C297" i="4" s="1"/>
  <c r="C298" i="4" s="1"/>
  <c r="C299" i="4" s="1"/>
  <c r="K121" i="4"/>
  <c r="J299" i="4"/>
  <c r="J215" i="4"/>
  <c r="J177" i="4"/>
  <c r="J282" i="4"/>
  <c r="K299" i="4" l="1"/>
  <c r="C300" i="4"/>
  <c r="C301" i="4" s="1"/>
  <c r="K215" i="4"/>
  <c r="K122" i="4"/>
  <c r="K177" i="4"/>
  <c r="K282" i="4"/>
  <c r="C123" i="4"/>
  <c r="C178" i="4"/>
  <c r="K123" i="4" l="1"/>
  <c r="C124" i="4"/>
  <c r="J178" i="4"/>
  <c r="J283" i="4"/>
  <c r="K178" i="4" l="1"/>
  <c r="K179" i="4" s="1"/>
  <c r="J179" i="4"/>
  <c r="K283" i="4"/>
  <c r="K124" i="4"/>
  <c r="C125" i="4"/>
  <c r="J216" i="4"/>
  <c r="K216" i="4" l="1"/>
  <c r="J217" i="4"/>
  <c r="J284" i="4"/>
  <c r="K217" i="4" l="1"/>
  <c r="K284" i="4"/>
  <c r="C126" i="4"/>
  <c r="J218" i="4"/>
  <c r="K125" i="4" l="1"/>
  <c r="K126" i="4"/>
  <c r="K218" i="4"/>
  <c r="C127" i="4"/>
  <c r="J285" i="4"/>
  <c r="J219" i="4"/>
  <c r="K285" i="4" l="1"/>
  <c r="J286" i="4"/>
  <c r="K219" i="4" l="1"/>
  <c r="K286" i="4"/>
  <c r="K127" i="4"/>
  <c r="C128" i="4"/>
  <c r="J220" i="4"/>
  <c r="K128" i="4" l="1"/>
  <c r="K220" i="4"/>
  <c r="C129" i="4"/>
  <c r="J287" i="4"/>
  <c r="K287" i="4" l="1"/>
  <c r="J288" i="4"/>
  <c r="K129" i="4" l="1"/>
  <c r="K288" i="4"/>
  <c r="C130" i="4"/>
  <c r="J289" i="4"/>
  <c r="J221" i="4"/>
  <c r="K221" i="4" l="1"/>
  <c r="J222" i="4"/>
  <c r="K130" i="4" l="1"/>
  <c r="K222" i="4"/>
  <c r="K289" i="4"/>
  <c r="C131" i="4"/>
  <c r="J225" i="4"/>
  <c r="J291" i="4"/>
  <c r="J223" i="4"/>
  <c r="K223" i="4" l="1"/>
  <c r="K291" i="4"/>
  <c r="J292" i="4"/>
  <c r="J132" i="4" l="1"/>
  <c r="K131" i="4"/>
  <c r="K132" i="4" s="1"/>
  <c r="K225" i="4"/>
  <c r="K292" i="4"/>
  <c r="J227" i="4"/>
  <c r="K227" i="4" l="1"/>
  <c r="J228" i="4"/>
  <c r="J293" i="4"/>
  <c r="K293" i="4" l="1"/>
  <c r="J294" i="4"/>
  <c r="K294" i="4" l="1"/>
  <c r="K228" i="4"/>
  <c r="J295" i="4"/>
  <c r="K295" i="4" l="1"/>
  <c r="J229" i="4"/>
  <c r="J230" i="4" l="1"/>
  <c r="K229" i="4"/>
  <c r="K230" i="4" s="1"/>
  <c r="J297" i="4"/>
  <c r="J296" i="4"/>
  <c r="K296" i="4" l="1"/>
  <c r="K297" i="4"/>
  <c r="K261" i="4"/>
  <c r="J300" i="4"/>
  <c r="J298" i="4"/>
  <c r="K298" i="4" l="1"/>
  <c r="K300" i="4"/>
  <c r="J301" i="4"/>
  <c r="K301" i="4" l="1"/>
  <c r="J302" i="4"/>
  <c r="J348" i="4" s="1"/>
  <c r="K302" i="4" l="1"/>
  <c r="K10" i="4"/>
  <c r="K4" i="4" l="1"/>
  <c r="K15" i="4" s="1"/>
  <c r="K348" i="4" s="1"/>
  <c r="H15" i="4" l="1"/>
  <c r="H348" i="4"/>
  <c r="J9" i="59"/>
  <c r="J9" i="39"/>
  <c r="E9" i="36" s="1"/>
  <c r="J9" i="37"/>
  <c r="K9" i="37" s="1"/>
  <c r="C16" i="44" l="1"/>
  <c r="N11" i="59"/>
  <c r="K9" i="59"/>
  <c r="J32" i="59"/>
  <c r="K32" i="59" s="1"/>
  <c r="G9" i="36"/>
  <c r="C9" i="36"/>
  <c r="C32" i="36" s="1"/>
  <c r="J32" i="37"/>
  <c r="J35" i="37" s="1"/>
  <c r="N11" i="37"/>
  <c r="S8" i="37" s="1"/>
  <c r="J32" i="39"/>
  <c r="K32" i="39" s="1"/>
  <c r="K9" i="39"/>
  <c r="N11" i="39"/>
  <c r="S8" i="39" s="1"/>
  <c r="F9" i="36"/>
  <c r="E32" i="36"/>
  <c r="E16" i="44" l="1"/>
  <c r="C39" i="44"/>
  <c r="H9" i="36"/>
  <c r="G32" i="36"/>
  <c r="G35" i="36" s="1"/>
  <c r="D16" i="44"/>
  <c r="D39" i="44" s="1"/>
  <c r="D41" i="44" s="1"/>
  <c r="J35" i="59"/>
  <c r="S8" i="59"/>
  <c r="D9" i="6" s="1"/>
  <c r="D54" i="6" s="1"/>
  <c r="N32" i="59"/>
  <c r="D9" i="36"/>
  <c r="N32" i="37"/>
  <c r="P32" i="37" s="1"/>
  <c r="K32" i="37"/>
  <c r="J35" i="39"/>
  <c r="J38" i="39" s="1"/>
  <c r="K38" i="39" s="1"/>
  <c r="N32" i="39"/>
  <c r="P32" i="39" s="1"/>
  <c r="E35" i="36"/>
  <c r="F32" i="36"/>
  <c r="K35" i="37"/>
  <c r="J38" i="37"/>
  <c r="K38" i="37" s="1"/>
  <c r="S13" i="37"/>
  <c r="C35" i="36"/>
  <c r="D32" i="36"/>
  <c r="S13" i="39"/>
  <c r="T8" i="39" s="1"/>
  <c r="D13" i="6" l="1"/>
  <c r="E10" i="6" s="1"/>
  <c r="C41" i="44"/>
  <c r="E39" i="44"/>
  <c r="K35" i="59"/>
  <c r="J38" i="59"/>
  <c r="K38" i="59" s="1"/>
  <c r="N35" i="37"/>
  <c r="O34" i="37" s="1"/>
  <c r="H32" i="36"/>
  <c r="N35" i="59"/>
  <c r="O38" i="59" s="1"/>
  <c r="P32" i="59"/>
  <c r="S13" i="59"/>
  <c r="K35" i="39"/>
  <c r="N35" i="39"/>
  <c r="O17" i="39" s="1"/>
  <c r="T9" i="39"/>
  <c r="T7" i="39"/>
  <c r="T10" i="39"/>
  <c r="T12" i="39"/>
  <c r="T11" i="39"/>
  <c r="C38" i="36"/>
  <c r="D35" i="36"/>
  <c r="D59" i="6"/>
  <c r="T12" i="37"/>
  <c r="T11" i="37"/>
  <c r="T10" i="37"/>
  <c r="T7" i="37"/>
  <c r="T9" i="37"/>
  <c r="H35" i="36"/>
  <c r="G38" i="36"/>
  <c r="H38" i="36" s="1"/>
  <c r="T8" i="37"/>
  <c r="F35" i="36"/>
  <c r="E38" i="36"/>
  <c r="F38" i="36" s="1"/>
  <c r="E9" i="6" l="1"/>
  <c r="E12" i="6"/>
  <c r="E11" i="6"/>
  <c r="E8" i="6"/>
  <c r="O5" i="37"/>
  <c r="C43" i="44"/>
  <c r="E43" i="44" s="1"/>
  <c r="E41" i="44"/>
  <c r="O31" i="37"/>
  <c r="P35" i="37"/>
  <c r="O28" i="37"/>
  <c r="O11" i="37"/>
  <c r="O17" i="37"/>
  <c r="T9" i="59"/>
  <c r="T7" i="59"/>
  <c r="T10" i="59"/>
  <c r="T12" i="59"/>
  <c r="T11" i="59"/>
  <c r="T8" i="59"/>
  <c r="O28" i="59"/>
  <c r="O34" i="59"/>
  <c r="O5" i="59"/>
  <c r="O17" i="59"/>
  <c r="O31" i="59"/>
  <c r="O11" i="59"/>
  <c r="O11" i="39"/>
  <c r="O34" i="39"/>
  <c r="P35" i="39"/>
  <c r="O31" i="39"/>
  <c r="O28" i="39"/>
  <c r="O5" i="39"/>
  <c r="E55" i="6"/>
  <c r="E58" i="6"/>
  <c r="E57" i="6"/>
  <c r="E56" i="6"/>
  <c r="E53" i="6"/>
  <c r="E54" i="6"/>
  <c r="T13" i="39"/>
  <c r="C41" i="36"/>
  <c r="D38" i="36"/>
  <c r="T13" i="37"/>
  <c r="E13" i="6" l="1"/>
  <c r="O35" i="37"/>
  <c r="O35" i="59"/>
  <c r="T13" i="59"/>
  <c r="O35" i="39"/>
  <c r="E5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tc={A67ABA32-1B6F-43CF-B617-840F0FE0227D}</author>
  </authors>
  <commentList>
    <comment ref="E5" authorId="0" shapeId="0" xr:uid="{A67ABA32-1B6F-43CF-B617-840F0FE0227D}">
      <text>
        <t>[Threaded comment]
Your version of Excel allows you to read this threaded comment; however, any edits to it will get removed if the file is opened in a newer version of Excel. Learn more: https://go.microsoft.com/fwlink/?linkid=870924
Comment:
    we actually di 50% - 5.15.18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tc={EFED5C70-84C2-4E9A-9250-CC4C77461078}</author>
  </authors>
  <commentList>
    <comment ref="E5" authorId="0" shapeId="0" xr:uid="{EFED5C70-84C2-4E9A-9250-CC4C77461078}">
      <text>
        <t>[Threaded comment]
Your version of Excel allows you to read this threaded comment; however, any edits to it will get removed if the file is opened in a newer version of Excel. Learn more: https://go.microsoft.com/fwlink/?linkid=870924
Comment:
    we actually di 50% - 5.15.18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tc={7268B721-354E-47A0-BE88-AA2ACF3EC04D}</author>
    <author>tc={B939119B-2F72-4E07-AFE0-250DDE0B5233}</author>
  </authors>
  <commentList>
    <comment ref="N69" authorId="0" shapeId="0" xr:uid="{7268B721-354E-47A0-BE88-AA2ACF3EC04D}">
      <text>
        <t>[Threaded comment]
Your version of Excel allows you to read this threaded comment; however, any edits to it will get removed if the file is opened in a newer version of Excel. Learn more: https://go.microsoft.com/fwlink/?linkid=870924
Comment:
    Would like to remove 6150-2 and change the name to Computer Monitors added 200 to the total so its a even 5,500 or 22 at $250 each</t>
      </text>
    </comment>
    <comment ref="B309" authorId="1" shapeId="0" xr:uid="{B939119B-2F72-4E07-AFE0-250DDE0B5233}">
      <text>
        <t>[Threaded comment]
Your version of Excel allows you to read this threaded comment; however, any edits to it will get removed if the file is opened in a newer version of Excel. Learn more: https://go.microsoft.com/fwlink/?linkid=870924
Comment:
    dashboard software. alvin mentioned during 2020 planning session he'd like to see dashboards revived/expanded</t>
      </text>
    </comment>
  </commentList>
</comments>
</file>

<file path=xl/sharedStrings.xml><?xml version="1.0" encoding="utf-8"?>
<sst xmlns="http://schemas.openxmlformats.org/spreadsheetml/2006/main" count="11717" uniqueCount="3548">
  <si>
    <t xml:space="preserve"> 2021 Budget Summary Recap</t>
  </si>
  <si>
    <t>Account Name</t>
  </si>
  <si>
    <t>2020 Budget</t>
  </si>
  <si>
    <t>2021 Requested Budget 1%</t>
  </si>
  <si>
    <t>1% Changed</t>
  </si>
  <si>
    <t>2021 Requested Budget 2%</t>
  </si>
  <si>
    <t>2% Changed</t>
  </si>
  <si>
    <t>2021 Requested Budget 3%</t>
  </si>
  <si>
    <t>3% Changed</t>
  </si>
  <si>
    <t>6010 - Salaries</t>
  </si>
  <si>
    <t>6020 - Allowances</t>
  </si>
  <si>
    <t>6030 - Group Health</t>
  </si>
  <si>
    <t>6040 - Retirement</t>
  </si>
  <si>
    <t>6060 - Worker's Comp Insurance</t>
  </si>
  <si>
    <t>6070 - Social Security / Disability</t>
  </si>
  <si>
    <t xml:space="preserve">Proposing 1,2,3 percent raise </t>
  </si>
  <si>
    <t>6110 - Office Supplies</t>
  </si>
  <si>
    <t>Survey has been done but too early to tell what others are doing</t>
  </si>
  <si>
    <t>6120 - Postage</t>
  </si>
  <si>
    <t>Round Rock ISD 2% proposed - Chad?</t>
  </si>
  <si>
    <t>6130 - Forms/Printing</t>
  </si>
  <si>
    <t>Went through this budget several times to eliminate anything we can do without</t>
  </si>
  <si>
    <t>6140 - Janitorial Supplies</t>
  </si>
  <si>
    <t>I will go through and talk about some of these increases from legislation and contracts signed after 2020 budget was finalized</t>
  </si>
  <si>
    <t>6150 - Minor Equipment/Furniture</t>
  </si>
  <si>
    <t>No matter what is determined on raise I would like to suggest using the 322K in un-obligated funds to buy down our budget</t>
  </si>
  <si>
    <t>6160 - Computer Supplies</t>
  </si>
  <si>
    <t>Let's go to the 2% personell tab on page 16 of your budget</t>
  </si>
  <si>
    <t>6210 - Schools/Conferences Membership (Prof Dev)</t>
  </si>
  <si>
    <t>6215 - Equipment Lease/Rental</t>
  </si>
  <si>
    <t>6220 - Utilities</t>
  </si>
  <si>
    <t>6225 - Building Repair &amp; Maint.</t>
  </si>
  <si>
    <t>6235 - TLO Expenses</t>
  </si>
  <si>
    <t>6236 - BOD Expenses</t>
  </si>
  <si>
    <t>6240 - Publications</t>
  </si>
  <si>
    <t>6250 - Contingency Emergency</t>
  </si>
  <si>
    <t>6260 - Consulting/Professional Services</t>
  </si>
  <si>
    <t>6270 - GIS Services</t>
  </si>
  <si>
    <t>6280 - Maintenance Contracts</t>
  </si>
  <si>
    <t xml:space="preserve">6285 - Computer Services/Licenses </t>
  </si>
  <si>
    <t>6290 - Business Insurance</t>
  </si>
  <si>
    <t>6810 - Debt Service - Building</t>
  </si>
  <si>
    <t>8010 - Capital Outlay</t>
  </si>
  <si>
    <t>8020 - Furniture &amp; Fixtures</t>
  </si>
  <si>
    <t>8030 - Fund Depreciation</t>
  </si>
  <si>
    <t>TOTALS</t>
  </si>
  <si>
    <t>Appraisal Review Board Budget</t>
  </si>
  <si>
    <t>TOTAL WCAD and ARB BUDGET</t>
  </si>
  <si>
    <t>One Time Reserve Expense</t>
  </si>
  <si>
    <t>Board budget buy down from assigned fund balance</t>
  </si>
  <si>
    <t>TOTAL WCAD ALLOCATION BUDGET</t>
  </si>
  <si>
    <t>The proposed budget amount sent to our Taxing Entities in June was $9,887,200.</t>
  </si>
  <si>
    <t>What is our total of surplus funds from 2019?  We may need to apply the whole amount as a buy down so we can secure merit increases for staff</t>
  </si>
  <si>
    <t xml:space="preserve"> 2021 Budget Requested Recap 1% Personnel</t>
  </si>
  <si>
    <t>2016 Budget</t>
  </si>
  <si>
    <t>2016 Actual</t>
  </si>
  <si>
    <t>2017 Budget</t>
  </si>
  <si>
    <t>2017 Actual</t>
  </si>
  <si>
    <t>2018 Budget</t>
  </si>
  <si>
    <t>2018 Actual</t>
  </si>
  <si>
    <t>2019 Budget</t>
  </si>
  <si>
    <t>2021 Requested Budget</t>
  </si>
  <si>
    <t>% Change</t>
  </si>
  <si>
    <t>Category Totals</t>
  </si>
  <si>
    <t>Personnel</t>
  </si>
  <si>
    <t>Category</t>
  </si>
  <si>
    <t>Budget Amount</t>
  </si>
  <si>
    <t>Percent</t>
  </si>
  <si>
    <t>Supplies</t>
  </si>
  <si>
    <t>Services</t>
  </si>
  <si>
    <t>Materials &amp; Services</t>
  </si>
  <si>
    <t>Debt</t>
  </si>
  <si>
    <t>Capital Outlay</t>
  </si>
  <si>
    <t>ARB</t>
  </si>
  <si>
    <t>Total</t>
  </si>
  <si>
    <t>2021 Budget Requested - 1% Personnel</t>
  </si>
  <si>
    <t>Category/Comments</t>
  </si>
  <si>
    <t>Description</t>
  </si>
  <si>
    <t>2021 Requested Amount</t>
  </si>
  <si>
    <t>Actual Cost</t>
  </si>
  <si>
    <t>Difference</t>
  </si>
  <si>
    <t>2020 Approved Budget</t>
  </si>
  <si>
    <t xml:space="preserve">2020 Salaries </t>
  </si>
  <si>
    <t>Add prior year salaries + (merit * 2) = new salaries requested.</t>
  </si>
  <si>
    <t xml:space="preserve">Partial Year Use </t>
  </si>
  <si>
    <t>Merit 1%</t>
  </si>
  <si>
    <t>2018 Actual salaries current</t>
  </si>
  <si>
    <t xml:space="preserve">Overtime    </t>
  </si>
  <si>
    <t>merit</t>
  </si>
  <si>
    <t xml:space="preserve">Longevity </t>
  </si>
  <si>
    <t>Merit for whole year</t>
  </si>
  <si>
    <t>Based on actual expenses</t>
  </si>
  <si>
    <t xml:space="preserve">Temp / Part-time </t>
  </si>
  <si>
    <t>Merit for 4 months needed Sept-Dec</t>
  </si>
  <si>
    <t>ARB wants security here on off season days</t>
  </si>
  <si>
    <t>Security Officer</t>
  </si>
  <si>
    <t>Actual salary at the end of 2018</t>
  </si>
  <si>
    <t>Percentage is from recap sheet</t>
  </si>
  <si>
    <t>Budgeted start of 2019</t>
  </si>
  <si>
    <t>Diff between actual 2018 and budgeted start of 2019</t>
  </si>
  <si>
    <t>Car Allowance</t>
  </si>
  <si>
    <t>Amount removed from 2019 start which includes salaries for Dave and Jennifer</t>
  </si>
  <si>
    <t>Car Allowance = $600 x 12 months x 34 employees x .95(usage)</t>
  </si>
  <si>
    <t>2019 Suggested Budget Start</t>
  </si>
  <si>
    <t>Chief Appraiser Car Allowance = $600 x 12 months</t>
  </si>
  <si>
    <t xml:space="preserve">Other Personnel Avg Miles/month </t>
  </si>
  <si>
    <t>Sub-Total</t>
  </si>
  <si>
    <t>Cellular Allowances</t>
  </si>
  <si>
    <t>Chief Appraiser - $110</t>
  </si>
  <si>
    <t>Alvin</t>
  </si>
  <si>
    <t>Deputy Chief/AA/Directors = $90 x 5 ee</t>
  </si>
  <si>
    <t>Chris, Colleen, Aaron M,  KC, Jessica</t>
  </si>
  <si>
    <t>Managers/IT = $70 x 11 ee</t>
  </si>
  <si>
    <t>James, Victor, Pam, Aaron S, Kimberly, Amy, Richard, David B, Michael, David S, Rae</t>
  </si>
  <si>
    <t>Designation Achievement Pay</t>
  </si>
  <si>
    <t>Assessment Administration Specialist (AAS)</t>
  </si>
  <si>
    <t>Cadastral Mapping Specialist (CMS)</t>
  </si>
  <si>
    <t>KC</t>
  </si>
  <si>
    <t>Personal Property Specialist (PPS) + RPA</t>
  </si>
  <si>
    <t>Residential Evaluation Specialist (RES) + RPA</t>
  </si>
  <si>
    <t>Johnny R</t>
  </si>
  <si>
    <t>Certified Assessment Evaluator (CAE) + RPA</t>
  </si>
  <si>
    <t>Alvin, Chris, Aaron, James</t>
  </si>
  <si>
    <t>Society of Human Resource-Certified Professional (SHRM-CP)</t>
  </si>
  <si>
    <t>Kimberly G</t>
  </si>
  <si>
    <t>6030 - Group Insurances</t>
  </si>
  <si>
    <r>
      <t xml:space="preserve">Changed to 71 employees </t>
    </r>
    <r>
      <rPr>
        <sz val="10"/>
        <color rgb="FFFF0000"/>
        <rFont val="Arial"/>
        <family val="2"/>
      </rPr>
      <t>- Is this an old comment?  The calculations show 73 - Is this an increase over last year?  If so we probably need to remove any extra staff</t>
    </r>
  </si>
  <si>
    <t>renewal rates Sept</t>
  </si>
  <si>
    <t>Dental - ($36.51/month x 73 employees x 8)+(($36.51*5%)*73*4)</t>
  </si>
  <si>
    <t>Medical - (($621.80 month - $10.00)*73 employees*8)+((($621.80-10)*15%)*73*4)</t>
  </si>
  <si>
    <t>Dependent Coverage ($140/month x 20 x 12)</t>
  </si>
  <si>
    <t>Vision Insurance Plan B ($7.28/month*73*8)+(($7.28*5%)*73*4)</t>
  </si>
  <si>
    <t xml:space="preserve">renewal rates Sept </t>
  </si>
  <si>
    <t xml:space="preserve">Short Term Disability (($4 x 73 emp x 12 mo)+$2,370) </t>
  </si>
  <si>
    <t>Long Term Disability (.331% x annual payroll)</t>
  </si>
  <si>
    <t>Usage Reduction</t>
  </si>
  <si>
    <t>Salaries for eligible employees (Salary + Merit + OT + Longevity)*.97 (usage)</t>
  </si>
  <si>
    <t>Allowance</t>
  </si>
  <si>
    <t>2020 - rate 0.12%</t>
  </si>
  <si>
    <t>Group Term Life Rate (0.12%)</t>
  </si>
  <si>
    <t>2020 - rate 17.89%</t>
  </si>
  <si>
    <t>Required Plan Rate (16.75%)</t>
  </si>
  <si>
    <t>Group Term Life Rate (0.13%)</t>
  </si>
  <si>
    <t>Elected higher rate</t>
  </si>
  <si>
    <t>Elected higher rate (19.00% + .13% = 19.13%)</t>
  </si>
  <si>
    <t>gave 1% in 2017</t>
  </si>
  <si>
    <t>COLA for Retirees?</t>
  </si>
  <si>
    <t>6060 - Workers' Compensation</t>
  </si>
  <si>
    <t>Annual Contribution</t>
  </si>
  <si>
    <t>6070 - FICA / Medicare</t>
  </si>
  <si>
    <t xml:space="preserve">Medicare </t>
  </si>
  <si>
    <t>Qualifying Salaries: (Includes Car Allowance)</t>
  </si>
  <si>
    <t>X Medicare Rate</t>
  </si>
  <si>
    <t>Sub-total</t>
  </si>
  <si>
    <t>Social Security</t>
  </si>
  <si>
    <t>does not include temp agencies</t>
  </si>
  <si>
    <t>Qualifying Salaries (Temporaries) from 6010</t>
  </si>
  <si>
    <t>X Rate</t>
  </si>
  <si>
    <t>TOTAL</t>
  </si>
  <si>
    <t xml:space="preserve"> 2021 Budget Requested Recap 2% Personnel</t>
  </si>
  <si>
    <t>2021 Budget Requested - 2% Personnel</t>
  </si>
  <si>
    <t>Merit 2%</t>
  </si>
  <si>
    <t>Go to raise explanation drawing</t>
  </si>
  <si>
    <t>KimberlyG</t>
  </si>
  <si>
    <t>See required rate sheet in your BOD packet</t>
  </si>
  <si>
    <t xml:space="preserve">Now let's go to the budgeted services on page 23 of your budget </t>
  </si>
  <si>
    <t>2022 Budget</t>
  </si>
  <si>
    <t>2019 Actual</t>
  </si>
  <si>
    <t>2020 Actual</t>
  </si>
  <si>
    <t>2021 Budget</t>
  </si>
  <si>
    <t>2022 Approved Budget</t>
  </si>
  <si>
    <t>2023 Requested Personnel</t>
  </si>
  <si>
    <t>Add prior year salaries + (merit * 2) = new salaries requested. + new employees</t>
  </si>
  <si>
    <t>Appeal Coordinator</t>
  </si>
  <si>
    <t>Total requested salaries</t>
  </si>
  <si>
    <t>Adjusting WCAD Actual to Segal Mid Point</t>
  </si>
  <si>
    <t>Chief Appraiser Car Allowance = $700 x 12 months</t>
  </si>
  <si>
    <t>Deputy Chief/AA/Directors = $90 x 6 ee</t>
  </si>
  <si>
    <t>Chris, Colleen, Aaron M,  KC, Jessica, Johnny</t>
  </si>
  <si>
    <t>New Manager (CAMA)</t>
  </si>
  <si>
    <t>Managers/IT = $70 x 13 ee</t>
  </si>
  <si>
    <t>Alvin, Chris, Aaron M, James</t>
  </si>
  <si>
    <t>est increase 8%</t>
  </si>
  <si>
    <t>est increase 20%</t>
  </si>
  <si>
    <t>Vision Insurance Plan B ($7.28/month*78*8)+(($7.28*108%)*78*4)</t>
  </si>
  <si>
    <t xml:space="preserve">Short Term Disability (($4 x 78 emp x 12 mo)+$2,370) </t>
  </si>
  <si>
    <t>2022 - rate 0.12%</t>
  </si>
  <si>
    <t>Group Term Life Rate (0.10%)</t>
  </si>
  <si>
    <t>2022 - rate 18.10%</t>
  </si>
  <si>
    <t>Required Plan Rate (17.94%)</t>
  </si>
  <si>
    <t>Elected higher rate (19.00% + .10% = 19.10%)</t>
  </si>
  <si>
    <t>gave 1% in 2022 - Pre-fund</t>
  </si>
  <si>
    <t>Seasonal Help (6 months)</t>
  </si>
  <si>
    <t>YTD (4/15/22) on wages = $14,637.38</t>
  </si>
  <si>
    <r>
      <t xml:space="preserve">We are hiring more seasonal help w/out use of temp services YTD (4/15/22) </t>
    </r>
    <r>
      <rPr>
        <b/>
        <sz val="10"/>
        <color rgb="FF4472C4"/>
        <rFont val="Arial"/>
        <family val="2"/>
      </rPr>
      <t>$907.51</t>
    </r>
  </si>
  <si>
    <t>COLA for Retirees - ?????</t>
  </si>
  <si>
    <t>New employees + Salary alignment</t>
  </si>
  <si>
    <t xml:space="preserve">2023 Salaries </t>
  </si>
  <si>
    <t>Merit 4%</t>
  </si>
  <si>
    <t>Cama Coordinator with sql experience</t>
  </si>
  <si>
    <t>Segal only has 40 positions that they are using in this review</t>
  </si>
  <si>
    <t>I inferred another 22 positions with estimated raise</t>
  </si>
  <si>
    <t>Car Allowance = $700 x 12 months x 35 employees x .95(usage)</t>
  </si>
  <si>
    <t>There are still 22 more positions with no inferred or actual salary calculation  in this estimate</t>
  </si>
  <si>
    <t>By using this I am hoping to mitigate the amount of increase needed in the 2022 budget based on what we get n the final salary study</t>
  </si>
  <si>
    <t xml:space="preserve">Victor, Amanda B, Land Mgr, Richard, James, Charles, Michael, David B, David S, Amy, Jamie, Kimberly, Christine </t>
  </si>
  <si>
    <t>TCDRS here in June to discuss rates</t>
  </si>
  <si>
    <t>Item</t>
  </si>
  <si>
    <t>Appraisal  Est Qty</t>
  </si>
  <si>
    <t>Operations Est Qty</t>
  </si>
  <si>
    <t>Admin Est Qty.</t>
  </si>
  <si>
    <t>Estimated cost/unit</t>
  </si>
  <si>
    <t>2022 Approved Budgeted</t>
  </si>
  <si>
    <t>6110-Office Supplies</t>
  </si>
  <si>
    <t xml:space="preserve">1099's </t>
  </si>
  <si>
    <t>Reorder in 2026</t>
  </si>
  <si>
    <t>AED batteries (every 4 years)</t>
  </si>
  <si>
    <t>Reorder in 2023</t>
  </si>
  <si>
    <t>AED pads (every 2 years)</t>
  </si>
  <si>
    <t>Company Shirts</t>
  </si>
  <si>
    <r>
      <t xml:space="preserve">Copier paper </t>
    </r>
    <r>
      <rPr>
        <strike/>
        <sz val="11"/>
        <rFont val="Calibri"/>
        <family val="2"/>
      </rPr>
      <t/>
    </r>
  </si>
  <si>
    <t>Flags (US &amp; Texas)</t>
  </si>
  <si>
    <t>Price increase</t>
  </si>
  <si>
    <t>Measuring Tapes Metal</t>
  </si>
  <si>
    <t xml:space="preserve">Misc Office Supplies </t>
  </si>
  <si>
    <t>Postage Meter Ink Cartridges</t>
  </si>
  <si>
    <t>Postage Meter Tapes</t>
  </si>
  <si>
    <t xml:space="preserve">Security Badges </t>
  </si>
  <si>
    <t>6120-Postage</t>
  </si>
  <si>
    <t xml:space="preserve">Appraisal Notices </t>
  </si>
  <si>
    <t>Arbitration Correspondence</t>
  </si>
  <si>
    <t>Business Reply Usage (surveys, questionnaires, etc.)</t>
  </si>
  <si>
    <t>Certified Letters</t>
  </si>
  <si>
    <t>Certified Letters (Return Receipt Requested - RRR)</t>
  </si>
  <si>
    <t>Exemption applications  (all exemption applications)</t>
  </si>
  <si>
    <t>HS Mass Mailouts (Postcards)</t>
  </si>
  <si>
    <t>HS Mass Mailouts **new per SB2</t>
  </si>
  <si>
    <t>Income Survey forms (new for 2020)</t>
  </si>
  <si>
    <t>Misc Correspondence Letters</t>
  </si>
  <si>
    <t xml:space="preserve">Misc. Flats </t>
  </si>
  <si>
    <t>Neopost</t>
  </si>
  <si>
    <t>Parcel Shipping - Fed EX / UPS</t>
  </si>
  <si>
    <t>Permit Fees - Annual &amp; Business Reply</t>
  </si>
  <si>
    <t>Postage due Acct - Forwarding Orders</t>
  </si>
  <si>
    <t xml:space="preserve">Renditions </t>
  </si>
  <si>
    <t>Sales Questionnaires </t>
  </si>
  <si>
    <t xml:space="preserve">Survey Forms </t>
  </si>
  <si>
    <t>Tax Rate Website Postcard Notification in August</t>
  </si>
  <si>
    <t xml:space="preserve">Vendor Payments </t>
  </si>
  <si>
    <t>6130-Forms &amp; Printing</t>
  </si>
  <si>
    <t>NAV &amp; Protest Form</t>
  </si>
  <si>
    <t>25.19 Notice 'Packet' (Front and Back of NAV &amp; Protest Form)(Per Page)</t>
  </si>
  <si>
    <t>HS 3630 Requirement</t>
  </si>
  <si>
    <t>25.19 Notice 'Packet' (Same as above - With HS Insert)</t>
  </si>
  <si>
    <t>25.19 Notice 'Packet' (QC Sample freight)</t>
  </si>
  <si>
    <t xml:space="preserve">25.19 No 10 window envelopes </t>
  </si>
  <si>
    <t>Include in every NAV</t>
  </si>
  <si>
    <t xml:space="preserve">25.19 Notice R&amp;R's insert </t>
  </si>
  <si>
    <t>25.19 Notice HB3630 insert</t>
  </si>
  <si>
    <t xml:space="preserve">25.19 Folding &amp; Inserting </t>
  </si>
  <si>
    <t>25.19 CASS &amp; PAVE Certification</t>
  </si>
  <si>
    <t>25.19 Notice - Printing Svc/Misc Flats</t>
  </si>
  <si>
    <t>25.19 USB drives/hard drives</t>
  </si>
  <si>
    <t>25.192 HS Mass Mailout **new per SB2</t>
  </si>
  <si>
    <t xml:space="preserve">Envelopes - pre-paid </t>
  </si>
  <si>
    <t xml:space="preserve">Envelopes - regular, window </t>
  </si>
  <si>
    <t>Envelopes - special (security env)</t>
  </si>
  <si>
    <t xml:space="preserve">HS Application Mailout - mailing out postcards </t>
  </si>
  <si>
    <t>Income Survey Mailout</t>
  </si>
  <si>
    <t>Misc</t>
  </si>
  <si>
    <t>Renditions - Printing Service</t>
  </si>
  <si>
    <t>Rendition Postcard reminder</t>
  </si>
  <si>
    <t xml:space="preserve">Survey Cards (PS/Appraisal) </t>
  </si>
  <si>
    <t>6140-Janitorial Supplies</t>
  </si>
  <si>
    <t>Cleaning Supplies, Paper Products &amp; Miscellaneous Supplies</t>
  </si>
  <si>
    <t>6150-Minor Equipment &amp; Furniture (under $5,000)</t>
  </si>
  <si>
    <t>Computer Monitors</t>
  </si>
  <si>
    <t>Desktop Scanner (replacement)</t>
  </si>
  <si>
    <t>Electronic devices for field use (tablets or other field devices)</t>
  </si>
  <si>
    <t xml:space="preserve">Field device replacements </t>
  </si>
  <si>
    <t>Laptop computers &amp; accessories</t>
  </si>
  <si>
    <t>Misc Equipment &amp; Furniture</t>
  </si>
  <si>
    <t>Network Hardware</t>
  </si>
  <si>
    <t>Personal Computers</t>
  </si>
  <si>
    <t>Signature pads</t>
  </si>
  <si>
    <t xml:space="preserve">TV displays for Projector Replacement </t>
  </si>
  <si>
    <t>Workstation Chairs</t>
  </si>
  <si>
    <t>6160-Computer Supplies</t>
  </si>
  <si>
    <t xml:space="preserve">Bulb for projectors (replacement) </t>
  </si>
  <si>
    <t>Color Plotter (HPT1100)  M&amp;R Ink Cartridges (Bl. 5; Cl. 5)</t>
  </si>
  <si>
    <t xml:space="preserve">Color Print Heads (HPT1100) </t>
  </si>
  <si>
    <t>Field Device Accessories</t>
  </si>
  <si>
    <t>Internal Hard Drives (storage)</t>
  </si>
  <si>
    <t>Large format scanner maintenance kit</t>
  </si>
  <si>
    <t>Misc supplies</t>
  </si>
  <si>
    <t xml:space="preserve">Screen protectors </t>
  </si>
  <si>
    <t>Surface power cables</t>
  </si>
  <si>
    <t>Thumb drives</t>
  </si>
  <si>
    <t>Toner cartridges (Includes all types for all departments)</t>
  </si>
  <si>
    <t>6210-Schools &amp; Conferences Memberships (Prof Dev)</t>
  </si>
  <si>
    <t>Community Outreach (GIS Day)</t>
  </si>
  <si>
    <t>Customer &amp; Employee Survey Subscription</t>
  </si>
  <si>
    <t>Employee &amp; Board Recognition</t>
  </si>
  <si>
    <t>ESRI User Conf - San Diego, CA</t>
  </si>
  <si>
    <t xml:space="preserve">GIS &amp; CAMA Conference </t>
  </si>
  <si>
    <t>HR Classes / Training</t>
  </si>
  <si>
    <t>HR Seminars (Harassment &amp; Staff Motivational)</t>
  </si>
  <si>
    <t>IAAO Conference (Salt Lake City Utah - 8/27 - 30)</t>
  </si>
  <si>
    <t xml:space="preserve">IAAO Legal Seminar </t>
  </si>
  <si>
    <t>registration fees increased</t>
  </si>
  <si>
    <t>IAAO Membership - CAE (7), CMS (2), AAS (2) Designation</t>
  </si>
  <si>
    <t xml:space="preserve">IAAO Seminars/Course + lodging, meals, misc. </t>
  </si>
  <si>
    <t>IAAO Seminars/Course + lodging, meals, misc. (Out of State)</t>
  </si>
  <si>
    <t>IAAO-CAE / AAS Demonstration Appraisal Report / Case Study /Grading Fees</t>
  </si>
  <si>
    <t xml:space="preserve">In-house Software Training </t>
  </si>
  <si>
    <t>IT Courses/Certifications</t>
  </si>
  <si>
    <t>Misc Membership Fees</t>
  </si>
  <si>
    <t>Misc CA Business Expenses</t>
  </si>
  <si>
    <t>Misc Seminars &amp; Conference</t>
  </si>
  <si>
    <t xml:space="preserve">Notary Fees </t>
  </si>
  <si>
    <t>Property Tax Institute</t>
  </si>
  <si>
    <t>TAAD-IAAO Chapter Dues</t>
  </si>
  <si>
    <t>legislative year</t>
  </si>
  <si>
    <t xml:space="preserve">TAAD Legislative Seminar </t>
  </si>
  <si>
    <t>TAAD Membership</t>
  </si>
  <si>
    <t>TAAD Seminar 6th BPP</t>
  </si>
  <si>
    <t xml:space="preserve">TAAD Specialty Courses </t>
  </si>
  <si>
    <t>TAAD - TDLR/Comptroller - courses/seminars (travel, lodging, meals, misc.)</t>
  </si>
  <si>
    <t>TAAO Conference - Grapevine TX (8/20-23)</t>
  </si>
  <si>
    <t xml:space="preserve">TAAO Membership/Chapter fees </t>
  </si>
  <si>
    <t xml:space="preserve">TAMU Legal Seminar - San Antonio </t>
  </si>
  <si>
    <t>TCDRS Admin Seminar &amp; Perspectives Conference</t>
  </si>
  <si>
    <t>TDLR Membership - registered with the TDLR </t>
  </si>
  <si>
    <r>
      <t xml:space="preserve">TDLR Certification Review/Exams </t>
    </r>
    <r>
      <rPr>
        <sz val="11"/>
        <rFont val="Calibri"/>
        <family val="2"/>
        <scheme val="minor"/>
      </rPr>
      <t xml:space="preserve"> ($350(review)   $100(exam))</t>
    </r>
  </si>
  <si>
    <t>Out of State this year</t>
  </si>
  <si>
    <t>Tyler Connect</t>
  </si>
  <si>
    <t>Williamson County Growth Summit</t>
  </si>
  <si>
    <t xml:space="preserve">                                 Sub-Total</t>
  </si>
  <si>
    <t>6215-Equipment Lease/Rental</t>
  </si>
  <si>
    <t>5 yr agreement signed 2018</t>
  </si>
  <si>
    <t>Click charges estimated overages</t>
  </si>
  <si>
    <t xml:space="preserve">Neopost: Folder/Inserter </t>
  </si>
  <si>
    <t>new meter mach. 2020</t>
  </si>
  <si>
    <t xml:space="preserve">Postage Machine; Meter Enveloper/ Lease </t>
  </si>
  <si>
    <t>Printers &amp; Copiers Lease</t>
  </si>
  <si>
    <t>Property Tax on Copiers/Printers/Mail Machine</t>
  </si>
  <si>
    <t xml:space="preserve">Scanner - fi-4340C color duplex </t>
  </si>
  <si>
    <t>6220-Utilities</t>
  </si>
  <si>
    <t>New empl and data increase</t>
  </si>
  <si>
    <t>AT&amp;T - Field Device Data Plans (9 months)</t>
  </si>
  <si>
    <t>Data Foundry</t>
  </si>
  <si>
    <t>Spectrum</t>
  </si>
  <si>
    <t>Suddenlink</t>
  </si>
  <si>
    <t xml:space="preserve">Telephone Services - RingCentral </t>
  </si>
  <si>
    <t>Text Blast (text billing - Mobo)</t>
  </si>
  <si>
    <t>Water, Electric, Garbage, Sewer</t>
  </si>
  <si>
    <t>6225-Building Repairs/Maintenance</t>
  </si>
  <si>
    <t>A/C Preventive Maintenance</t>
  </si>
  <si>
    <t>A/C Repair</t>
  </si>
  <si>
    <t xml:space="preserve">Back flow preventive -  annual check </t>
  </si>
  <si>
    <t xml:space="preserve">Bulbs </t>
  </si>
  <si>
    <t>Carpet cleaning (upstairs &amp; downstairs) - once a year</t>
  </si>
  <si>
    <t xml:space="preserve">Cleaning Service </t>
  </si>
  <si>
    <t xml:space="preserve">Electrical work  </t>
  </si>
  <si>
    <t xml:space="preserve">Elevator Maintenance Contract </t>
  </si>
  <si>
    <t xml:space="preserve">Elevator Inspection Annual </t>
  </si>
  <si>
    <t xml:space="preserve">Elevator Certificate of Compliance (TDLR) Annual </t>
  </si>
  <si>
    <t>Fire Alarm/Sprinkler/Extinguisher Inspection</t>
  </si>
  <si>
    <t>Needs recharge in 2024</t>
  </si>
  <si>
    <t>Fire Extinguisher (Recharge every 6 yrs 2024)</t>
  </si>
  <si>
    <t xml:space="preserve">Grounds Maintenance </t>
  </si>
  <si>
    <t>Irrigation repair</t>
  </si>
  <si>
    <t>Knight Security - Secured Plan</t>
  </si>
  <si>
    <t>Misc. Maintenance (plumbing, carpentry, painting)</t>
  </si>
  <si>
    <t>Misc. Supplies</t>
  </si>
  <si>
    <t>Mulch</t>
  </si>
  <si>
    <t>Pest Control</t>
  </si>
  <si>
    <t>Power Wash Building and entryways</t>
  </si>
  <si>
    <t xml:space="preserve">Pump House Repairs </t>
  </si>
  <si>
    <t xml:space="preserve">Security &amp; Fire Monitoring Service </t>
  </si>
  <si>
    <t>Strip/Wax/Seal VCT Flooring &amp; Tile cleaning</t>
  </si>
  <si>
    <t xml:space="preserve">Wet Pond Maintenance </t>
  </si>
  <si>
    <t>Window cleaning</t>
  </si>
  <si>
    <t>6235-TLO Expense</t>
  </si>
  <si>
    <t>Increase possible raise</t>
  </si>
  <si>
    <t xml:space="preserve">TLO Expenses </t>
  </si>
  <si>
    <t>TLO Auto Allowance</t>
  </si>
  <si>
    <t>BOD decision</t>
  </si>
  <si>
    <t>6236-BOD Expense</t>
  </si>
  <si>
    <t>Board of Directors Expenses  (Includes conferences, training, mileage, meals, supplies, ink cartridges, etc)</t>
  </si>
  <si>
    <t>6240-Publications</t>
  </si>
  <si>
    <t>Aircraft Bluebook</t>
  </si>
  <si>
    <t>Airpac Plane</t>
  </si>
  <si>
    <t>ALN Apartment Data</t>
  </si>
  <si>
    <t>Austin American Statesman (on-line) Subscription</t>
  </si>
  <si>
    <t>Austin Business Journal</t>
  </si>
  <si>
    <t>Automotive News (digital &amp; data center access)</t>
  </si>
  <si>
    <t>Capitol Market Research</t>
  </si>
  <si>
    <t>Carahsoft Tecnology Corp</t>
  </si>
  <si>
    <t>CoStar Market Reports / Sales Listing Services</t>
  </si>
  <si>
    <t>ConstructConnect</t>
  </si>
  <si>
    <t>Display Ads–Protest Procedures, Public Hearing ads &amp; Property Tax Benefits</t>
  </si>
  <si>
    <t>IBIS World Industry Reports</t>
  </si>
  <si>
    <t>Infonation - Vehicle Registration List</t>
  </si>
  <si>
    <t>IRR VIEW POINT</t>
  </si>
  <si>
    <t>IT training books from Amazon</t>
  </si>
  <si>
    <t>Job Posting Ads</t>
  </si>
  <si>
    <t>Renew Every Odd Year</t>
  </si>
  <si>
    <r>
      <t>Kelley Blue Book. Used Car Guide Older Cars</t>
    </r>
    <r>
      <rPr>
        <sz val="8"/>
        <rFont val="Calibri"/>
        <family val="2"/>
        <scheme val="minor"/>
      </rPr>
      <t xml:space="preserve"> (value vehicles ’91 forward)</t>
    </r>
  </si>
  <si>
    <t>Legal Ads - request for proposals</t>
  </si>
  <si>
    <t>Lynda.com - online software tutorials</t>
  </si>
  <si>
    <t>Marshall &amp; Swift Network, Book, CD (3 Commercial licenses and 1 Residential License)</t>
  </si>
  <si>
    <t>Misc Publications</t>
  </si>
  <si>
    <t>NADA Manufactured Housing Guide (Licenses) Jan-April</t>
  </si>
  <si>
    <t>NADA – Used Car Guides (value used cars ’92 forward)</t>
  </si>
  <si>
    <t>Price Digest - Commercial Trailer Bluebook</t>
  </si>
  <si>
    <t>Price Digest - Truck Blue Book</t>
  </si>
  <si>
    <t>Pricewaterhouse Corp - Real Estate Investor Survey</t>
  </si>
  <si>
    <t>Realty Rates Investor and Market Survey</t>
  </si>
  <si>
    <t>Self Storage Almanac &amp; Expense Guide</t>
  </si>
  <si>
    <t>Senior Acquisition Report</t>
  </si>
  <si>
    <t>Senior Care Investor</t>
  </si>
  <si>
    <t>Smith Travel Research - HOST Almanac</t>
  </si>
  <si>
    <t>Source Strategies - Texas Hotel Performance 3rd Quarter Data</t>
  </si>
  <si>
    <t>Source Strategies - Texas Hotel Performance 4th Quarter Data</t>
  </si>
  <si>
    <t>Source Strategies - Texas Hotel Brand Report</t>
  </si>
  <si>
    <t>Subscription to The Sun (for research)</t>
  </si>
  <si>
    <t>Trepp</t>
  </si>
  <si>
    <t xml:space="preserve">6250-Contingency Emergency </t>
  </si>
  <si>
    <t>Emergency Reserve Funds</t>
  </si>
  <si>
    <t>6260-Consulting/Professional Services</t>
  </si>
  <si>
    <t>Auditor - 2022 Financials</t>
  </si>
  <si>
    <t>Arbitrations (binding)</t>
  </si>
  <si>
    <t>Price Increase</t>
  </si>
  <si>
    <t>BIS Consulting</t>
  </si>
  <si>
    <t>BIS MRA Project (New projects with Josh)</t>
  </si>
  <si>
    <t>Development Projects</t>
  </si>
  <si>
    <t>all picto srvcs in one contract
pool finder every 3 yrs ('24,'27,'30…) pool finder years: $304,759, non-pool finder years: $287,159.</t>
  </si>
  <si>
    <t>EagleView Aerials, ChangeFindr, PoolFindr</t>
  </si>
  <si>
    <t>started using a background check company</t>
  </si>
  <si>
    <t>Employment Screening</t>
  </si>
  <si>
    <t>added for 2023</t>
  </si>
  <si>
    <t>hyperverge - land use chg detection</t>
  </si>
  <si>
    <t>Legal Fees</t>
  </si>
  <si>
    <t>Apple Campus</t>
  </si>
  <si>
    <t>Outside Appraisal Services</t>
  </si>
  <si>
    <t>new 2022 (removed from Temp)</t>
  </si>
  <si>
    <t>Quantanite</t>
  </si>
  <si>
    <t>RSI Call Center Analytics/Dashboard</t>
  </si>
  <si>
    <t>Shredding Services</t>
  </si>
  <si>
    <t>arcgis desktop support is coming to an end soon and we need to migrate to arcgis pro</t>
  </si>
  <si>
    <t>Sidwell - migrate to arcgis pro</t>
  </si>
  <si>
    <t>Once every 6 years (IAAO Standard) (2022 from GIS Reserves)</t>
  </si>
  <si>
    <r>
      <t>sketch validation</t>
    </r>
    <r>
      <rPr>
        <i/>
        <sz val="11"/>
        <color rgb="FFFF0000"/>
        <rFont val="Calibri"/>
        <family val="2"/>
        <scheme val="minor"/>
      </rPr>
      <t xml:space="preserve"> </t>
    </r>
  </si>
  <si>
    <t>data entry added to quantanite duties</t>
  </si>
  <si>
    <t>STATCO</t>
  </si>
  <si>
    <t>Subvenion - System Network Maintenance</t>
  </si>
  <si>
    <t>moved to development prj above</t>
  </si>
  <si>
    <t>Subvenion - Additional Project Hours</t>
  </si>
  <si>
    <t>6280-Maintenance Contracts</t>
  </si>
  <si>
    <t>Apex Software - Sketching Software Maintenance</t>
  </si>
  <si>
    <t xml:space="preserve">BIS Online Forms </t>
  </si>
  <si>
    <t>BIS TNT Website Hosting</t>
  </si>
  <si>
    <t>BIS WCAD.org Web Hosting</t>
  </si>
  <si>
    <t>Cisco Amp License (antivirus) expires in 2022</t>
  </si>
  <si>
    <t>Cisco/firewall maintenance contracts</t>
  </si>
  <si>
    <t>can be replaced by zoho one</t>
  </si>
  <si>
    <t>Constant Contact</t>
  </si>
  <si>
    <t>Dell Warranty Renewal</t>
  </si>
  <si>
    <t>ESRI - ArcGIS Desktop (advanced) Concurrent use Primary Maintenance</t>
  </si>
  <si>
    <t>ESRI - ArcGIS Desktop (advanced) Concurrent use Secondary Maintenance</t>
  </si>
  <si>
    <t>ESRI - ArcGIS Desktop (standard) Concurrent use Primary Maintenance</t>
  </si>
  <si>
    <t>ESRI - ArcGIS Desktop (standard) Concurrent use Secondary Maintenance</t>
  </si>
  <si>
    <t>ESRI - ArcGIS Desktop (basic) Single use Primary Maintenance</t>
  </si>
  <si>
    <t>ESRI - ArcGIS Desktop (basic) Single use Secondary Maintenance</t>
  </si>
  <si>
    <t>ESRI - ArcGIS SDE Server Enterprise up to 4 cores maint (2)</t>
  </si>
  <si>
    <t>ESRI - ArcGIS Spatial Analyst Concurrent Use Primary Maintenance</t>
  </si>
  <si>
    <t>ESRI - ArcGIS 3D Analyst Concurrent Use Primary Maintenance</t>
  </si>
  <si>
    <t>ESRI - ArcGIS Geostatistical Analyst Concurrent Use Primary Maintenance</t>
  </si>
  <si>
    <t>ESRI - ArcGIS Community Analyst Concurrent Use Primary Maintenance</t>
  </si>
  <si>
    <t>ESRI - ArcGIS Data Reviewer Concurrent Use Primary Maintenance</t>
  </si>
  <si>
    <t>ESRI - ArcGIS Insights</t>
  </si>
  <si>
    <t>ESRI - ArcGIS Online Subscription</t>
  </si>
  <si>
    <t>Future Hardware Maintenance Contracts</t>
  </si>
  <si>
    <t>Intuit - QuickBooks Licenses / Update / Support</t>
  </si>
  <si>
    <t xml:space="preserve">Network Solutions - domain reg (wcad.org &amp; wcadonline.org) </t>
  </si>
  <si>
    <t>Plotter Maintenance</t>
  </si>
  <si>
    <t>Samanage</t>
  </si>
  <si>
    <t>Sidwell - Parcel Building Software Support</t>
  </si>
  <si>
    <t>Sidwell - Premium Software</t>
  </si>
  <si>
    <t>Sidwell - Portico Maintenance</t>
  </si>
  <si>
    <t>Teleform(verify) maintenance</t>
  </si>
  <si>
    <t>TLC Desktop Printer Management</t>
  </si>
  <si>
    <t>True Roll - Homestead and Exemption Audit</t>
  </si>
  <si>
    <t xml:space="preserve">Tyler - Orion Software Maintenance </t>
  </si>
  <si>
    <t>Tyler - Pictometry Orion Interface</t>
  </si>
  <si>
    <t>Tyler - Orion Public Access for Appraisal</t>
  </si>
  <si>
    <t>Tyler - Orion GIS Advanced</t>
  </si>
  <si>
    <t>Tyler - Apex Interface</t>
  </si>
  <si>
    <t>Tyler - Sketch Validation for New Improvements</t>
  </si>
  <si>
    <t>Tyler - Appraisal Review Software</t>
  </si>
  <si>
    <t xml:space="preserve">Tyler Field Device Software Maintenance </t>
  </si>
  <si>
    <t>need to verify contract</t>
  </si>
  <si>
    <t>Tyler Open Assessment</t>
  </si>
  <si>
    <t>VMWare maintenance</t>
  </si>
  <si>
    <t>Warranty Colo Hardware</t>
  </si>
  <si>
    <t>6285-Computer Services/Licenses</t>
  </si>
  <si>
    <t>Adobe Acrobat</t>
  </si>
  <si>
    <t>Automox- automatic desktop patching software</t>
  </si>
  <si>
    <t>Cisco Umbrella / Duo</t>
  </si>
  <si>
    <t>GoDaddy 1 year SSL Certification</t>
  </si>
  <si>
    <t>Graphana Cloud</t>
  </si>
  <si>
    <t>HR / Payroll Software</t>
  </si>
  <si>
    <t>Just Appraised (deed viewer)</t>
  </si>
  <si>
    <t>Kiosk software maintenance</t>
  </si>
  <si>
    <t xml:space="preserve">Misc Field Apps/or software </t>
  </si>
  <si>
    <t>Misc Software</t>
  </si>
  <si>
    <t xml:space="preserve">S2 License </t>
  </si>
  <si>
    <t>price increase</t>
  </si>
  <si>
    <t>Office 365</t>
  </si>
  <si>
    <t>Room Alert maintenance</t>
  </si>
  <si>
    <t>Site24x7 monitoring</t>
  </si>
  <si>
    <t>Software purchases upgrades NitroPro PDF</t>
  </si>
  <si>
    <t>Veeam backup solution</t>
  </si>
  <si>
    <t>have expanded usage to ex and m&amp;r. have moved all users under ops...</t>
  </si>
  <si>
    <t>Zoho</t>
  </si>
  <si>
    <t>category was formerly used for zoho desk users for temps.</t>
  </si>
  <si>
    <t>Zoho Forms</t>
  </si>
  <si>
    <t>gets everyone a zoho license and includes 45+ apps, including desk and forms that we already use.</t>
  </si>
  <si>
    <t>Zoho One</t>
  </si>
  <si>
    <t>6290-Business Insurance</t>
  </si>
  <si>
    <t>Commercial Auto Policy - Non Owned (2021 = $66)</t>
  </si>
  <si>
    <t>Crime (2021 = $600)</t>
  </si>
  <si>
    <t>Errors &amp; Omission (2021 = $7,167)</t>
  </si>
  <si>
    <t>General Liability (2021 = $2,822)</t>
  </si>
  <si>
    <t>Real &amp; Personal Property (2021 = $10,331)</t>
  </si>
  <si>
    <t>6810-Debt Services</t>
  </si>
  <si>
    <t>8010-Computer Capital (Over $5,000)</t>
  </si>
  <si>
    <t>Sql Server License</t>
  </si>
  <si>
    <t>Server Hardware</t>
  </si>
  <si>
    <t>Server Operating System</t>
  </si>
  <si>
    <t>8020-Furniture and Fixtures (Over $5,000)</t>
  </si>
  <si>
    <t>6310-ARB - Contract Labor</t>
  </si>
  <si>
    <t>6 Alternate members would need to attend training</t>
  </si>
  <si>
    <t xml:space="preserve">1st &amp; 2nd year - 70 meetings </t>
  </si>
  <si>
    <t>3rd &amp; 4th year - 70 meetings</t>
  </si>
  <si>
    <t>5th &amp; 6th year - 70 meetings</t>
  </si>
  <si>
    <t>ARB Secretary - $15.00 a day--1 member</t>
  </si>
  <si>
    <t>ARB Chairperson $30.00 a day--1 member</t>
  </si>
  <si>
    <t>6320-ARB - Supplies</t>
  </si>
  <si>
    <t>Misc Supplies--Pens, Pencils, Writing Tablets, Name plates, kleenex</t>
  </si>
  <si>
    <t>Paper towels (a case)</t>
  </si>
  <si>
    <t>6330-ARB - Services</t>
  </si>
  <si>
    <t>ARB Domain for Office 365 Accounts (unique email addresses)</t>
  </si>
  <si>
    <t>ARB Notice of Hearing Letters Postage</t>
  </si>
  <si>
    <t xml:space="preserve">Envelopes - special (6x9.5) for NoH ltrs (1,000/bx) </t>
  </si>
  <si>
    <t>ARB Ad</t>
  </si>
  <si>
    <t>Comptroller Taxpayer Rights &amp; Remedies &amp; Insert for Notice of Hearing ltrs</t>
  </si>
  <si>
    <t>2024 Texas Property Tax Code Books (2023 Legislative year)</t>
  </si>
  <si>
    <t>6340-ARB - Training/Seminars</t>
  </si>
  <si>
    <t>Now free online</t>
  </si>
  <si>
    <t>Comptroller ARB Comprehensive Seminar (16 members + 6 alt)</t>
  </si>
  <si>
    <t>Comptroller ARB Advanced Seminar (16 members + 6 alt)</t>
  </si>
  <si>
    <t>6350-ARB - Litigation</t>
  </si>
  <si>
    <t xml:space="preserve">Litigation </t>
  </si>
  <si>
    <t>ARB Attorney Workshop</t>
  </si>
  <si>
    <t>ARB Budget</t>
  </si>
  <si>
    <t>Contract Labor</t>
  </si>
  <si>
    <t>Forms &amp; Printing</t>
  </si>
  <si>
    <t>Training/Seminars</t>
  </si>
  <si>
    <t>Litigation</t>
  </si>
  <si>
    <t>Williamson Central Appraisal District</t>
  </si>
  <si>
    <t>Budget Expenditures</t>
  </si>
  <si>
    <t>2022 Approved</t>
  </si>
  <si>
    <r>
      <rPr>
        <sz val="12"/>
        <color rgb="FF009900"/>
        <rFont val="Arial"/>
        <family val="2"/>
      </rPr>
      <t>Increase</t>
    </r>
    <r>
      <rPr>
        <sz val="12"/>
        <color theme="0"/>
        <rFont val="Arial"/>
        <family val="2"/>
      </rPr>
      <t xml:space="preserve"> or </t>
    </r>
    <r>
      <rPr>
        <sz val="12"/>
        <color rgb="FFFF0000"/>
        <rFont val="Arial"/>
        <family val="2"/>
      </rPr>
      <t>(Decrease)</t>
    </r>
  </si>
  <si>
    <t>Percent Variance</t>
  </si>
  <si>
    <t>Salaries</t>
  </si>
  <si>
    <t>Allowances</t>
  </si>
  <si>
    <t>Group Health</t>
  </si>
  <si>
    <t>Retirement</t>
  </si>
  <si>
    <t>Worker's Comp Insurance</t>
  </si>
  <si>
    <t>Social Security / Disability</t>
  </si>
  <si>
    <t>Office Supplies</t>
  </si>
  <si>
    <t>Postage</t>
  </si>
  <si>
    <t>Forms/Printing</t>
  </si>
  <si>
    <t>Janitorial Supplies</t>
  </si>
  <si>
    <t>Minor Equipment/Furniture</t>
  </si>
  <si>
    <t>Computer Supplies</t>
  </si>
  <si>
    <t>Professional Development</t>
  </si>
  <si>
    <t>Equipment Lease/Rental</t>
  </si>
  <si>
    <t>Utilities</t>
  </si>
  <si>
    <t>Building Repair &amp; Maint.</t>
  </si>
  <si>
    <t>TLO Expenses</t>
  </si>
  <si>
    <t>BOD Expenses</t>
  </si>
  <si>
    <t>Publications</t>
  </si>
  <si>
    <t>Contingency Emergency</t>
  </si>
  <si>
    <t>Consulting/Professional Services</t>
  </si>
  <si>
    <t>GIS Services</t>
  </si>
  <si>
    <t>Maintenance Contracts</t>
  </si>
  <si>
    <t>Computer Services/Licenses</t>
  </si>
  <si>
    <t>Business Insurance</t>
  </si>
  <si>
    <t>Debt Service - Building</t>
  </si>
  <si>
    <t>Furniture &amp; Fixtures</t>
  </si>
  <si>
    <t>Fund Depreciation</t>
  </si>
  <si>
    <t>Subtotal Expenditures</t>
  </si>
  <si>
    <t>Total Expenditures</t>
  </si>
  <si>
    <t>Monies from Reserve</t>
  </si>
  <si>
    <t>Entity Allocations</t>
  </si>
  <si>
    <t>Dental - ($38.61/month x 78 employees x 8)+(($38.61*108%)*78*4)</t>
  </si>
  <si>
    <t>Medical - (($744.15 month - $10.00)*78 employees*8)+((($744.15-10)*120%)*78*4)</t>
  </si>
  <si>
    <t>TAAD Conference - Dallas TX (2/19-22)</t>
  </si>
  <si>
    <t>2023 Budget Summary Recap</t>
  </si>
  <si>
    <t>Board Approved September 14, 2022</t>
  </si>
  <si>
    <t>2023 Approved</t>
  </si>
  <si>
    <t>2023 Approved Budget</t>
  </si>
  <si>
    <t>2023 Budget Approved - Supplies, Services, Capital Expenditures</t>
  </si>
  <si>
    <t xml:space="preserve"> 2023 Budget Approved - Appraisal Review Board (ARB)</t>
  </si>
  <si>
    <t>2023 Approved Total</t>
  </si>
  <si>
    <t>2023 Approved Amount</t>
  </si>
  <si>
    <r>
      <t xml:space="preserve"> 2023 Budget Approved - 4% Merit Recap </t>
    </r>
    <r>
      <rPr>
        <b/>
        <sz val="10"/>
        <color rgb="FF000000"/>
        <rFont val="Calibri"/>
        <family val="2"/>
      </rPr>
      <t>(revised 06/07/2022)</t>
    </r>
  </si>
  <si>
    <t>2023 Budget Approved - 4% Personnel</t>
  </si>
  <si>
    <t>line #</t>
  </si>
  <si>
    <t>BOMA (Bldg Owners and Managers Assoc).</t>
  </si>
  <si>
    <t>Type</t>
  </si>
  <si>
    <t>Date</t>
  </si>
  <si>
    <t>Num</t>
  </si>
  <si>
    <t>Name</t>
  </si>
  <si>
    <t>Memo</t>
  </si>
  <si>
    <t>Split</t>
  </si>
  <si>
    <t>Amount</t>
  </si>
  <si>
    <t>6100 · Materials/Supplies</t>
  </si>
  <si>
    <t>6110 · Office Supplies</t>
  </si>
  <si>
    <t>Total 6110 · Office Supplies</t>
  </si>
  <si>
    <t>Total 6100 · Materials/Supplies</t>
  </si>
  <si>
    <t>Bill</t>
  </si>
  <si>
    <t>Credit</t>
  </si>
  <si>
    <t>1N39-G7QK-R31N</t>
  </si>
  <si>
    <t>1JHW-13RK-7KTD</t>
  </si>
  <si>
    <t>1MW7-JKWL-KKPT</t>
  </si>
  <si>
    <t>1MWP-7DRJ-4V3C</t>
  </si>
  <si>
    <t>1KNR-K677-1JHK</t>
  </si>
  <si>
    <t>97104</t>
  </si>
  <si>
    <t>7Y7-PVGG-3KNK</t>
  </si>
  <si>
    <t>1XMY-6QT9-49YT</t>
  </si>
  <si>
    <t>1XMV-MRVF-6CYM</t>
  </si>
  <si>
    <t>1T61-P1FL-G6C1</t>
  </si>
  <si>
    <t>01.2023</t>
  </si>
  <si>
    <t>Amazon Business</t>
  </si>
  <si>
    <t>Minuteman Press</t>
  </si>
  <si>
    <t>KC McDade</t>
  </si>
  <si>
    <t>6110-8 - office supplies</t>
  </si>
  <si>
    <t>6110-8 magnetic signs - "makes frequent stops"</t>
  </si>
  <si>
    <t>6110-8 cup holder mount for surface devices. 360 adjustable cup holder tablet automobile mount c...</t>
  </si>
  <si>
    <t>6110-8 tablet holder for car, dm car tablet holder back seat for kids, headrest tablet holder ca...</t>
  </si>
  <si>
    <t>6110-8 Lufkin Crescent Lufkin 12" Professional SAE measuring wheel - PSMW48N</t>
  </si>
  <si>
    <t>6110-1 - 1099 forms</t>
  </si>
  <si>
    <t>6110-8 - Business cards - HMarin &amp; CManas</t>
  </si>
  <si>
    <t>6110-7 - tape measure returned</t>
  </si>
  <si>
    <t>6110-8 - Reimbursement - sand &amp; spreader for ice on sidewalk</t>
  </si>
  <si>
    <t>2010 · Accounts Payable</t>
  </si>
  <si>
    <t>6120 · Postage</t>
  </si>
  <si>
    <t>Total 6120 · Postage</t>
  </si>
  <si>
    <t>BR 74001.2023</t>
  </si>
  <si>
    <t>BR 7400.2023</t>
  </si>
  <si>
    <t>40339</t>
  </si>
  <si>
    <t>40338</t>
  </si>
  <si>
    <t>United States Postal Service</t>
  </si>
  <si>
    <t>Variverge</t>
  </si>
  <si>
    <t>6120-14 - BRM Annual Maintenance - BR 74001</t>
  </si>
  <si>
    <t>6120-14 - BRM Permit # - BR 74000 - renewal fee 2023</t>
  </si>
  <si>
    <t>6120-16 - postage (520)</t>
  </si>
  <si>
    <t>6120-16 - postage (13,872)</t>
  </si>
  <si>
    <t>6130 · Forms, Printing &amp; Reproduction</t>
  </si>
  <si>
    <t>Total 6130 · Forms, Printing &amp; Reproduction</t>
  </si>
  <si>
    <t>6130-18 - laser printing (1,764)</t>
  </si>
  <si>
    <t>6130-18 - rendering (520)</t>
  </si>
  <si>
    <t>6130-18 - paper for laser printing (1,176)</t>
  </si>
  <si>
    <t>6130-18 - envelopes #10 regular (520)</t>
  </si>
  <si>
    <t>6130-18 - 1st insert (520)</t>
  </si>
  <si>
    <t>6130-18 - laser printing 1/3 yellow form (520)</t>
  </si>
  <si>
    <t>6130-18 - laser printing (49,566)</t>
  </si>
  <si>
    <t>6130-18 - rendering (13,881)</t>
  </si>
  <si>
    <t>6130-18 - paper for laser printing (33,160)</t>
  </si>
  <si>
    <t>6130-18 - envelopes #10 regular (13,881)</t>
  </si>
  <si>
    <t>6130-18 - 6x9</t>
  </si>
  <si>
    <t>6130-18 - flats</t>
  </si>
  <si>
    <t>6150 · Minor Equipment / Furniture</t>
  </si>
  <si>
    <t>Total 6150 · Minor Equipment / Furniture</t>
  </si>
  <si>
    <t>Check</t>
  </si>
  <si>
    <t>V40290281</t>
  </si>
  <si>
    <t>V40570913</t>
  </si>
  <si>
    <t>Huntsberger, James Wade</t>
  </si>
  <si>
    <t>6150-4 - field device replacements</t>
  </si>
  <si>
    <t>1010 · USB - Payroll Account</t>
  </si>
  <si>
    <t>6160 · Computer Supplies Expense</t>
  </si>
  <si>
    <t>Total 6160 · Computer Supplies Expense</t>
  </si>
  <si>
    <t>1LLK-P4FX-W7QG</t>
  </si>
  <si>
    <t>1KNT-KYP1-13RJ</t>
  </si>
  <si>
    <t>166P-VNGH-96QJ</t>
  </si>
  <si>
    <t>6160-7 - computer supplies</t>
  </si>
  <si>
    <t>6200 · General - Services</t>
  </si>
  <si>
    <t>6210 · Schools/Conf Mbrshp Prof Dev</t>
  </si>
  <si>
    <t>Total 6210 · Schools/Conf Mbrshp Prof Dev</t>
  </si>
  <si>
    <t>Total 6200 · General - Services</t>
  </si>
  <si>
    <t>Credit Card Charge</t>
  </si>
  <si>
    <t>Deposit</t>
  </si>
  <si>
    <t>23-00005648</t>
  </si>
  <si>
    <t>Renewal.2023</t>
  </si>
  <si>
    <t>635159</t>
  </si>
  <si>
    <t>2023.membership</t>
  </si>
  <si>
    <t>46228</t>
  </si>
  <si>
    <t>27317863</t>
  </si>
  <si>
    <t>00237</t>
  </si>
  <si>
    <t>1115-0510</t>
  </si>
  <si>
    <t>Conference.2023</t>
  </si>
  <si>
    <t>1128</t>
  </si>
  <si>
    <t>IAAO - Membership</t>
  </si>
  <si>
    <t>TAAD</t>
  </si>
  <si>
    <t>Texas Association of School Boards</t>
  </si>
  <si>
    <t>TAAD-IAAO Chapter</t>
  </si>
  <si>
    <t>HRTrainOnline</t>
  </si>
  <si>
    <t>SHRM</t>
  </si>
  <si>
    <t>Walmart</t>
  </si>
  <si>
    <t>Christine Byers</t>
  </si>
  <si>
    <t>James Griner</t>
  </si>
  <si>
    <t>Public Services Dept</t>
  </si>
  <si>
    <t>6210-16 - Certificate of Excellence yearly fee 2023</t>
  </si>
  <si>
    <t>6210-24 - membership renewal</t>
  </si>
  <si>
    <t>6210-16 - Annual Membership Fee 2023</t>
  </si>
  <si>
    <t>6210-22 - Amanda Bayler</t>
  </si>
  <si>
    <t>6210-22 - Chris Connelly</t>
  </si>
  <si>
    <t>6210-22 - James Griner</t>
  </si>
  <si>
    <t>6210-22 - Stephanie Heatley-Dugger</t>
  </si>
  <si>
    <t>6210-22 - Alvin Lankford</t>
  </si>
  <si>
    <t>6210-22 - Victor Longstreth</t>
  </si>
  <si>
    <t>6210-22 - KC McDade</t>
  </si>
  <si>
    <t>6210-22 - Jessica Miller</t>
  </si>
  <si>
    <t>6210-22 - Aaron Moore</t>
  </si>
  <si>
    <t>6210-22 - Richard Quinlan</t>
  </si>
  <si>
    <t>6210-22 - Jamie Radke</t>
  </si>
  <si>
    <t>6210-22 - Johnny Robins</t>
  </si>
  <si>
    <t>6210-22 - Amy Urbanek</t>
  </si>
  <si>
    <t>6210-22 - Charles Vasquez</t>
  </si>
  <si>
    <t>6210-22 - Valerie Brumley</t>
  </si>
  <si>
    <t>6210-22 - Heather Hayden</t>
  </si>
  <si>
    <t>6210-22 - Wade Huntsberger</t>
  </si>
  <si>
    <t>6210-22 - Amber Jones</t>
  </si>
  <si>
    <t>6210-22 - Carrie Lindquist</t>
  </si>
  <si>
    <t>6210-22 - Ramon Mata</t>
  </si>
  <si>
    <t>6210-22 - Amber Metcalfe</t>
  </si>
  <si>
    <t>6210-22 - C. Ryan Meyer</t>
  </si>
  <si>
    <t>6210-22 - Brent Morrison</t>
  </si>
  <si>
    <t>6210-7 - HR webinar - Do's &amp; Don'ts of Documenting Employee Behavior &amp; Performance</t>
  </si>
  <si>
    <t>6210-16 - SHRM membership renewal</t>
  </si>
  <si>
    <t>6210-17 - Orion user group meeting</t>
  </si>
  <si>
    <t>6210-17 - Orion user group mtg</t>
  </si>
  <si>
    <t>6210-17 - Orion User Group meeting - reimbursement</t>
  </si>
  <si>
    <t>6210-33 - Level III &amp; IV review - JRadke</t>
  </si>
  <si>
    <t>6210-21 - Chris Connelly</t>
  </si>
  <si>
    <t>6210-21 - Aaron Moore</t>
  </si>
  <si>
    <t>6210-21 - Jessica Miller</t>
  </si>
  <si>
    <t>6210-21 - Gilberto Garcia</t>
  </si>
  <si>
    <t>6210-21 - Kimberly Gamboa</t>
  </si>
  <si>
    <t>6210-21 - Colleen McElroy</t>
  </si>
  <si>
    <t>6210-21 - Michael Page</t>
  </si>
  <si>
    <t>6210-21 - Johnny Robins</t>
  </si>
  <si>
    <t>6210-21 - Heather Hayden</t>
  </si>
  <si>
    <t>6210-21 - James Griner</t>
  </si>
  <si>
    <t>6210-21 - Steven Gregory</t>
  </si>
  <si>
    <t>6210-21 - Victor Longstreth</t>
  </si>
  <si>
    <t>6210-17 - Orion User Group meeting reimbursement</t>
  </si>
  <si>
    <t>2005 · Credit Card - USB - 0113</t>
  </si>
  <si>
    <t>2007 · Credit Card - USB - 0880</t>
  </si>
  <si>
    <t>1005 · USB - Operating Account</t>
  </si>
  <si>
    <t>6215 · Equipment Lease/Rental</t>
  </si>
  <si>
    <t>Total 6215 · Equipment Lease/Rental</t>
  </si>
  <si>
    <t>23AR1201997</t>
  </si>
  <si>
    <t>33201615</t>
  </si>
  <si>
    <t>33232688</t>
  </si>
  <si>
    <t>TLC Office Systems (Dallas)</t>
  </si>
  <si>
    <t>6215-4 - copier monthly maintenance</t>
  </si>
  <si>
    <t>6215-4 - lease printer/copiers</t>
  </si>
  <si>
    <t>6220 · Utilities</t>
  </si>
  <si>
    <t>Total 6220 · Utilities</t>
  </si>
  <si>
    <t>0104757010723</t>
  </si>
  <si>
    <t>0365937011023</t>
  </si>
  <si>
    <t>310521</t>
  </si>
  <si>
    <t>CD_000523941</t>
  </si>
  <si>
    <t>287230258338X0127-23</t>
  </si>
  <si>
    <t>02.2023</t>
  </si>
  <si>
    <t>01.19.23</t>
  </si>
  <si>
    <t>01.19.2023</t>
  </si>
  <si>
    <t>Spectrum Enterprise</t>
  </si>
  <si>
    <t>Optimum Business</t>
  </si>
  <si>
    <t>RingCentral Inc.</t>
  </si>
  <si>
    <t>AT&amp;T</t>
  </si>
  <si>
    <t>City of Georgetown</t>
  </si>
  <si>
    <t>6220-3 - internet services</t>
  </si>
  <si>
    <t>6220-4 - internet services</t>
  </si>
  <si>
    <t>6220-2 - Internet services</t>
  </si>
  <si>
    <t>6220-5 - Telephone services</t>
  </si>
  <si>
    <t>6220-1 - data plans</t>
  </si>
  <si>
    <t>6220-7 - storm drainage</t>
  </si>
  <si>
    <t>6220-7 - Water, electric, sewer, garbage</t>
  </si>
  <si>
    <t>6225 · Building Repair &amp; Maintenance</t>
  </si>
  <si>
    <t>Total 6225 · Building Repair &amp; Maintenance</t>
  </si>
  <si>
    <t>31330</t>
  </si>
  <si>
    <t>13346</t>
  </si>
  <si>
    <t>SCPAY00146587</t>
  </si>
  <si>
    <t>2348080</t>
  </si>
  <si>
    <t>1QPG-K7CJ-3V3G</t>
  </si>
  <si>
    <t>6915163</t>
  </si>
  <si>
    <t>2305</t>
  </si>
  <si>
    <t>SRVCE00343241</t>
  </si>
  <si>
    <t>18305089</t>
  </si>
  <si>
    <t>SCPAY00147088</t>
  </si>
  <si>
    <t>Stillwater Landscapes</t>
  </si>
  <si>
    <t>Express Commercial Cleaning, Inc.</t>
  </si>
  <si>
    <t>Entech Sales and Services</t>
  </si>
  <si>
    <t>Kings III Emergency Communications</t>
  </si>
  <si>
    <t>King's Pest Control</t>
  </si>
  <si>
    <t>K L Turner Electric Inc</t>
  </si>
  <si>
    <t>Northstar Fire Protection of Texas, Inc</t>
  </si>
  <si>
    <t>6225-13 - grounds maintenance</t>
  </si>
  <si>
    <t>6225-13 - Fuel surcharge for gas over $3.50/gallon</t>
  </si>
  <si>
    <t>6225-6 - Janitorial services</t>
  </si>
  <si>
    <t>6225-1 - HVAC PM</t>
  </si>
  <si>
    <t>6225-17 - Elevator Phone</t>
  </si>
  <si>
    <t>6225-17 - misc building supplies</t>
  </si>
  <si>
    <t>6225-19 - pest services</t>
  </si>
  <si>
    <t>6225-19 - Rodent bait box</t>
  </si>
  <si>
    <t>6225-7 -  electrical work</t>
  </si>
  <si>
    <t>6225-2 - HVAC repair &amp; maintenance</t>
  </si>
  <si>
    <t>6225-16 - Alarm repair &amp; maintenance</t>
  </si>
  <si>
    <t>6235 · TLO Expenses</t>
  </si>
  <si>
    <t>Total 6235 · TLO Expenses</t>
  </si>
  <si>
    <t>Glenda Williams</t>
  </si>
  <si>
    <t>6235-1 - TLO Expense</t>
  </si>
  <si>
    <t>6235-2 - Auto Allowance</t>
  </si>
  <si>
    <t>6236 · Board of Directors Expenses</t>
  </si>
  <si>
    <t>Total 6236 · Board of Directors Expenses</t>
  </si>
  <si>
    <t>6236-1 - Lora Weber</t>
  </si>
  <si>
    <t>6236-1 - Hope HIsle-Piper</t>
  </si>
  <si>
    <t>6236-1 - Harry Gibbs</t>
  </si>
  <si>
    <t>TLO Training (TAAD Conference?)</t>
  </si>
  <si>
    <t>6240 · Publications</t>
  </si>
  <si>
    <t>Total 6240 · Publications</t>
  </si>
  <si>
    <t>BD0016498</t>
  </si>
  <si>
    <t>renewal.2023</t>
  </si>
  <si>
    <t>437261</t>
  </si>
  <si>
    <t>59738</t>
  </si>
  <si>
    <t>37321777INV</t>
  </si>
  <si>
    <t>120221306</t>
  </si>
  <si>
    <t>120241137</t>
  </si>
  <si>
    <t>Trepp, LLC</t>
  </si>
  <si>
    <t>Marshall &amp; Swift/Boeckh</t>
  </si>
  <si>
    <t>ALN Apartment Data, Inc</t>
  </si>
  <si>
    <t>Austin American Statesman</t>
  </si>
  <si>
    <t>IBISWorld</t>
  </si>
  <si>
    <t>Carahsoft Technology Corp.</t>
  </si>
  <si>
    <t>CoStar Realty Information, Inc.</t>
  </si>
  <si>
    <t>6240-38 - publication</t>
  </si>
  <si>
    <t>6240-21 Commercial Estimator 7</t>
  </si>
  <si>
    <t>6240-21 Marshall Valuation Service COMBO</t>
  </si>
  <si>
    <t>6240-21 shipping cost</t>
  </si>
  <si>
    <t>6240-3 - publication</t>
  </si>
  <si>
    <t>6240-4 - monthly subscription on-line</t>
  </si>
  <si>
    <t>6240-13 - publication</t>
  </si>
  <si>
    <t>6240-9 - Enhanced Real Estate Report</t>
  </si>
  <si>
    <t>6240-10 - publication</t>
  </si>
  <si>
    <t>6260 · Consulting/Professional Srvs</t>
  </si>
  <si>
    <t>Total 6260 · Consulting/Professional Srvs</t>
  </si>
  <si>
    <t>8078</t>
  </si>
  <si>
    <t>1338</t>
  </si>
  <si>
    <t>R309500-2022</t>
  </si>
  <si>
    <t>R599526-2022</t>
  </si>
  <si>
    <t>R487583-2022</t>
  </si>
  <si>
    <t>R401873-2022</t>
  </si>
  <si>
    <t>23116-001</t>
  </si>
  <si>
    <t>1342</t>
  </si>
  <si>
    <t>Subvenion</t>
  </si>
  <si>
    <t>Rob D Holcomb</t>
  </si>
  <si>
    <t>RK Valuation Advisory</t>
  </si>
  <si>
    <t>6260-3 - Yearly IT Retainer</t>
  </si>
  <si>
    <t>6260-2 - Binding Arbitration - 24622A22033 - Peripatetic LLC</t>
  </si>
  <si>
    <t>6260-2 - Binding Arbitration - 24622A22032 - Gerome F Drepaul</t>
  </si>
  <si>
    <t>6260-2 - Binding Arbitration - 24622A22038 - Mike Cheng</t>
  </si>
  <si>
    <t>6260-2 - Binding Arbitration - 24622A22029 - 8650 IH 35</t>
  </si>
  <si>
    <t>6280 · Maintenance</t>
  </si>
  <si>
    <t>Total 6280 · Maintenance</t>
  </si>
  <si>
    <t>070-108069</t>
  </si>
  <si>
    <t>070-107905</t>
  </si>
  <si>
    <t>SIDMN0001163</t>
  </si>
  <si>
    <t>320876</t>
  </si>
  <si>
    <t>9003652517</t>
  </si>
  <si>
    <t>01052023</t>
  </si>
  <si>
    <t>Tyler Technologies</t>
  </si>
  <si>
    <t>Sidwell, Harris Local Government</t>
  </si>
  <si>
    <t>Apex Software</t>
  </si>
  <si>
    <t>Open Text Inc</t>
  </si>
  <si>
    <t>6280-42 - Open Assessment &amp; Assessment Connect - 2023 year</t>
  </si>
  <si>
    <t>6280-4 - Yearly web hosting</t>
  </si>
  <si>
    <t>6280-2 - Yearly online forms</t>
  </si>
  <si>
    <t>6280-3 - Yearly TnT</t>
  </si>
  <si>
    <t>6280-34 - Appraisal</t>
  </si>
  <si>
    <t>6280-36 - Public Access for Appraisal</t>
  </si>
  <si>
    <t>6280-35 - Pictometry Interface</t>
  </si>
  <si>
    <t>6280-37 - ESRI GIS Interface</t>
  </si>
  <si>
    <t>6280-40 - ARB review</t>
  </si>
  <si>
    <t>6280-29 - Premium Software Support Program - 01/13/2023 - 01/12/2024</t>
  </si>
  <si>
    <t>6280-1 maintenance renewal</t>
  </si>
  <si>
    <t>6280-31 - teleform maintenance</t>
  </si>
  <si>
    <t>6280-7 - maintenance</t>
  </si>
  <si>
    <t>6285 · Computer Licenses/Services</t>
  </si>
  <si>
    <t>Total 6285 · Computer Licenses/Services</t>
  </si>
  <si>
    <t>11869</t>
  </si>
  <si>
    <t>31654</t>
  </si>
  <si>
    <t>68674261</t>
  </si>
  <si>
    <t>KTHY</t>
  </si>
  <si>
    <t>7912</t>
  </si>
  <si>
    <t>7907</t>
  </si>
  <si>
    <t>Just Appraised Inc</t>
  </si>
  <si>
    <t>AutoMox</t>
  </si>
  <si>
    <t>ZOHO Corporation</t>
  </si>
  <si>
    <t>microsoft.com</t>
  </si>
  <si>
    <t>Trusted Tech Team</t>
  </si>
  <si>
    <t>Port 53 Technologies Inc</t>
  </si>
  <si>
    <t>Payroll Fee</t>
  </si>
  <si>
    <t>6285-7 - Deed Viewer subscription</t>
  </si>
  <si>
    <t>6285-2 - Maintenance - manage plan</t>
  </si>
  <si>
    <t>6285-19 - computer licenses</t>
  </si>
  <si>
    <t>6285-10 - maintenance</t>
  </si>
  <si>
    <t>6285-12 - Office 365</t>
  </si>
  <si>
    <t>6285-3 - Duo MFA Edition</t>
  </si>
  <si>
    <t>6285-3 - UMB-Insights-K9</t>
  </si>
  <si>
    <t>6285-6 - payroll fee</t>
  </si>
  <si>
    <t>6300 · ARB - Services</t>
  </si>
  <si>
    <t>6350 · ARB Litigation</t>
  </si>
  <si>
    <t>Total 6350 · ARB Litigation</t>
  </si>
  <si>
    <t>Total 6300 · ARB - Services</t>
  </si>
  <si>
    <t>2023</t>
  </si>
  <si>
    <t>Armstrong &amp; Armstrong</t>
  </si>
  <si>
    <t>6350-1 - Retainer services for ARB legal services</t>
  </si>
  <si>
    <t>1RYL-MFNT-4GVW</t>
  </si>
  <si>
    <t>154653</t>
  </si>
  <si>
    <t>Quadient Finance USA, Inc</t>
  </si>
  <si>
    <t>Cothron's Safe &amp; Lock</t>
  </si>
  <si>
    <t>6110-8 - office keys made</t>
  </si>
  <si>
    <t>E85488</t>
  </si>
  <si>
    <t>40694PP</t>
  </si>
  <si>
    <t>The Master's Touch, LLC</t>
  </si>
  <si>
    <t>6120-1 - estimated postage for NAV</t>
  </si>
  <si>
    <t>6120-1 - postage deposit for BPP NAV</t>
  </si>
  <si>
    <t>6140 · Janitorial Supplies</t>
  </si>
  <si>
    <t>Total 6140 · Janitorial Supplies</t>
  </si>
  <si>
    <t>13387</t>
  </si>
  <si>
    <t>6140-1 - janitorial supplies</t>
  </si>
  <si>
    <t>9785</t>
  </si>
  <si>
    <t>1KPM-QTGY-3HJ7</t>
  </si>
  <si>
    <t>1YDP-97Y1-1QYM</t>
  </si>
  <si>
    <t>Austin Cell &amp; Tablet Repair</t>
  </si>
  <si>
    <t>Best Buy</t>
  </si>
  <si>
    <t>6150-6 - repair screen on surface pro 7</t>
  </si>
  <si>
    <t>6150-7 - minor equipment</t>
  </si>
  <si>
    <t>6150-5 - postage to mail laptops</t>
  </si>
  <si>
    <t>6150-5 - credit from PO 2022-15</t>
  </si>
  <si>
    <t>6150-5 - computer supplies</t>
  </si>
  <si>
    <t>6150-5 - Surface laptop 5 13IN i7/16/256 SSD</t>
  </si>
  <si>
    <t>17TY-J66V-3FD6</t>
  </si>
  <si>
    <t>258915K</t>
  </si>
  <si>
    <t>883796235</t>
  </si>
  <si>
    <t>2032252891</t>
  </si>
  <si>
    <t>2032252911</t>
  </si>
  <si>
    <t>2032252921</t>
  </si>
  <si>
    <t>2032252928</t>
  </si>
  <si>
    <t>2032252937</t>
  </si>
  <si>
    <t>2032252946</t>
  </si>
  <si>
    <t>2032252955</t>
  </si>
  <si>
    <t>2032264943</t>
  </si>
  <si>
    <t>1828-5382</t>
  </si>
  <si>
    <t>1001-8648</t>
  </si>
  <si>
    <t>1337-2070</t>
  </si>
  <si>
    <t>L118533250</t>
  </si>
  <si>
    <t>1329-9205</t>
  </si>
  <si>
    <t>1301-6737</t>
  </si>
  <si>
    <t>2032285205</t>
  </si>
  <si>
    <t>2032285211</t>
  </si>
  <si>
    <t>2032285219</t>
  </si>
  <si>
    <t>Membership.23</t>
  </si>
  <si>
    <t>Scott G Winter Training &amp; Consulting</t>
  </si>
  <si>
    <t>Texas Dept. of Licensing &amp; Regulation</t>
  </si>
  <si>
    <t>Access Development</t>
  </si>
  <si>
    <t>PSI</t>
  </si>
  <si>
    <t>ERS-Texas Social Security</t>
  </si>
  <si>
    <t>Texas SmartBuy Membership Program</t>
  </si>
  <si>
    <t>TAAO Capital Chapter</t>
  </si>
  <si>
    <t>6210-11 - Student reference manual - JMiller</t>
  </si>
  <si>
    <t>6210-11 - IAAO Course 102 - JMiller</t>
  </si>
  <si>
    <t>6210-32 - License renewal - CPark</t>
  </si>
  <si>
    <t>6210-32 - License renewal - JGriner</t>
  </si>
  <si>
    <t>6210-32 - License renewal - HMarin</t>
  </si>
  <si>
    <t>6210-32 - License renewal - CVasquez</t>
  </si>
  <si>
    <t>6210-32 - License renewal - KMcDade</t>
  </si>
  <si>
    <t>6210-32 - License renewal - JMiller</t>
  </si>
  <si>
    <t>6210-32 - License renewal - WHuntsberger</t>
  </si>
  <si>
    <t>6210-32 - License renewal - BEdsell</t>
  </si>
  <si>
    <t>6210-16 - discount membership</t>
  </si>
  <si>
    <t>6210-27 - Course 203 - AAnderson</t>
  </si>
  <si>
    <t>6210-27 - Course 3 - AAnderson</t>
  </si>
  <si>
    <t>6210-27 - Course 102 - KRehmann</t>
  </si>
  <si>
    <t>6210-33 - Class III exam - LSarmiento</t>
  </si>
  <si>
    <t>6210-27 - Course 7 - KMuniz</t>
  </si>
  <si>
    <t>6210-27 - Course 101 - KRehmann</t>
  </si>
  <si>
    <t>6210-16 - Admin fee for the Texas Social Security Program</t>
  </si>
  <si>
    <t>6210-32 - License renewal - JRadke</t>
  </si>
  <si>
    <t>6210-32 - License renewal - LSarmiento</t>
  </si>
  <si>
    <t>6210-32 - License renewal - AJones</t>
  </si>
  <si>
    <t>6210-16 - annual membership renewal</t>
  </si>
  <si>
    <t>6210-29 - Alvin Lankford</t>
  </si>
  <si>
    <t>6210-29 - Chris Connelly</t>
  </si>
  <si>
    <t>6210-29 - James Griner</t>
  </si>
  <si>
    <t>6210-29 - Richard Quinlan</t>
  </si>
  <si>
    <t>6210-10 - membership renewal</t>
  </si>
  <si>
    <t>N9783542</t>
  </si>
  <si>
    <t>33404334</t>
  </si>
  <si>
    <t>23AR1235829</t>
  </si>
  <si>
    <t>Quadient Leasing USA, Inc.</t>
  </si>
  <si>
    <t>6215-2 Lease folder/inserter</t>
  </si>
  <si>
    <t>6215-5 - property tax on lease</t>
  </si>
  <si>
    <t>0104757020723</t>
  </si>
  <si>
    <t>61832</t>
  </si>
  <si>
    <t>13532</t>
  </si>
  <si>
    <t>31406</t>
  </si>
  <si>
    <t>1D1Y-L7J4-1QG1</t>
  </si>
  <si>
    <t>2325</t>
  </si>
  <si>
    <t>Lochow Ranch Pond &amp; Lake</t>
  </si>
  <si>
    <t>6225-24 - monthly fee</t>
  </si>
  <si>
    <t>6225-24 - MB Pellets</t>
  </si>
  <si>
    <t>6225-17 - building maintenance</t>
  </si>
  <si>
    <t>6225-17 - building supplies</t>
  </si>
  <si>
    <t>6225-24 - water lab test</t>
  </si>
  <si>
    <t>21</t>
  </si>
  <si>
    <t>4194312</t>
  </si>
  <si>
    <t>14</t>
  </si>
  <si>
    <t>Whiskey Cake Kitchen</t>
  </si>
  <si>
    <t>Wildfire</t>
  </si>
  <si>
    <t>Grove</t>
  </si>
  <si>
    <t>6236-1 - board lunch - Mason, Lora &amp; ARL</t>
  </si>
  <si>
    <t>6236-1 - Board luncheon - HGibbs, LGaddes &amp; ARL</t>
  </si>
  <si>
    <t>6236-1 - Board lunch - ARL, HPope, JLux</t>
  </si>
  <si>
    <t>WC-6941</t>
  </si>
  <si>
    <t>321123868</t>
  </si>
  <si>
    <t>MSM-87713</t>
  </si>
  <si>
    <t>64193512975</t>
  </si>
  <si>
    <t>77603642</t>
  </si>
  <si>
    <t>Source Strategies</t>
  </si>
  <si>
    <t>Pricewaterhouse Coopers LLP</t>
  </si>
  <si>
    <t>Mini-Storage Messenger</t>
  </si>
  <si>
    <t>Realty Rates</t>
  </si>
  <si>
    <t>6240-35 - TX Hotel Performance Factbook - current issue</t>
  </si>
  <si>
    <t>6240-36 - Hotel Brand Report</t>
  </si>
  <si>
    <t>6240-27 - Real Estate Investor Survey</t>
  </si>
  <si>
    <t>6240-30 - self storage Almanac &amp; expense guide</t>
  </si>
  <si>
    <t>6240-29 - publication - Realty rates Investor</t>
  </si>
  <si>
    <t>6240-1 -Aircraft blue book</t>
  </si>
  <si>
    <t>9309</t>
  </si>
  <si>
    <t>79781</t>
  </si>
  <si>
    <t>R547287-2022</t>
  </si>
  <si>
    <t>Perdue, Brandon, Fielder, Collins &amp; Mott</t>
  </si>
  <si>
    <t>RSI Resource Software International Ltd</t>
  </si>
  <si>
    <t>6260-2 - Binding Arbitration - 24622A22047 - James Morelli</t>
  </si>
  <si>
    <t>23AR1214362</t>
  </si>
  <si>
    <t>02052023</t>
  </si>
  <si>
    <t>CN1127473</t>
  </si>
  <si>
    <t>53229508</t>
  </si>
  <si>
    <t>Solarwinds ITSM US Inc</t>
  </si>
  <si>
    <t>Network Solutions</t>
  </si>
  <si>
    <t>6280-31 - monthly printer management</t>
  </si>
  <si>
    <t>6280-25 - maintenance - domain.org - wcadonline.org</t>
  </si>
  <si>
    <t>30128</t>
  </si>
  <si>
    <t>1358400013</t>
  </si>
  <si>
    <t>11918</t>
  </si>
  <si>
    <t>32081</t>
  </si>
  <si>
    <t>121605</t>
  </si>
  <si>
    <t>02112023</t>
  </si>
  <si>
    <t>PaperCut.com</t>
  </si>
  <si>
    <t>Adobe</t>
  </si>
  <si>
    <t>Visionect Joan</t>
  </si>
  <si>
    <t>GoDaddy.com</t>
  </si>
  <si>
    <t>6285-10 - Maintenance</t>
  </si>
  <si>
    <t>6285-1 - adobe software</t>
  </si>
  <si>
    <t>6285-10 - computer licenses</t>
  </si>
  <si>
    <t>6285-4 - Standard SSL renewal</t>
  </si>
  <si>
    <t>Real Estate Research Corp. (RERC) - Basic Subscription (new for 2023)</t>
  </si>
  <si>
    <t>288371523001</t>
  </si>
  <si>
    <t>292701432001</t>
  </si>
  <si>
    <t>292175415001</t>
  </si>
  <si>
    <t>167H-HMYR-3WPP</t>
  </si>
  <si>
    <t>97425</t>
  </si>
  <si>
    <t>97448</t>
  </si>
  <si>
    <t>97468</t>
  </si>
  <si>
    <t>293244116001</t>
  </si>
  <si>
    <t>1Q47-TPPH-FYVL</t>
  </si>
  <si>
    <t>295942400001</t>
  </si>
  <si>
    <t>1LX4-R93C-PFHW</t>
  </si>
  <si>
    <t>97621</t>
  </si>
  <si>
    <t>113X-CXFX-L4JW</t>
  </si>
  <si>
    <t>1GLQ-NPDM-3W3N</t>
  </si>
  <si>
    <t>97645</t>
  </si>
  <si>
    <t>1QHC-HQYL-4F7F</t>
  </si>
  <si>
    <t>1HHG-G7NT-64WC</t>
  </si>
  <si>
    <t>16HR-KP4T-13D1</t>
  </si>
  <si>
    <t>302939965001</t>
  </si>
  <si>
    <t>167G-F1P6-CLPM</t>
  </si>
  <si>
    <t>301517942001</t>
  </si>
  <si>
    <t>1MX9-KM6Q-3RG7</t>
  </si>
  <si>
    <t>1WPD-7YWW-949M</t>
  </si>
  <si>
    <t>19CR-7176-LGNY</t>
  </si>
  <si>
    <t>295940856001</t>
  </si>
  <si>
    <t>1WPX-GQN9-NM3X</t>
  </si>
  <si>
    <t>1VQC-QKNX-3JCC</t>
  </si>
  <si>
    <t>19XK-QQGW-1GTN</t>
  </si>
  <si>
    <t>03.2023</t>
  </si>
  <si>
    <t>1RC4-RCTX-4LWV</t>
  </si>
  <si>
    <t>04052023</t>
  </si>
  <si>
    <t>98147</t>
  </si>
  <si>
    <t>98163</t>
  </si>
  <si>
    <t>35658</t>
  </si>
  <si>
    <t>98184</t>
  </si>
  <si>
    <t>98270</t>
  </si>
  <si>
    <t>98269</t>
  </si>
  <si>
    <t>1MGF-K33N-GPXC</t>
  </si>
  <si>
    <t>1K7W-XDTC-MM76</t>
  </si>
  <si>
    <t>305529185001</t>
  </si>
  <si>
    <t>11J4-YKCR-636R</t>
  </si>
  <si>
    <t>311608863001</t>
  </si>
  <si>
    <t>1K97-HY9X-VHHV</t>
  </si>
  <si>
    <t>1MDY-133J-3FF9</t>
  </si>
  <si>
    <t>11C4-T9FC-4PV6</t>
  </si>
  <si>
    <t>1TYQ-QJDP-V6YM</t>
  </si>
  <si>
    <t>314503362001</t>
  </si>
  <si>
    <t>1T39-WFW7-43HT</t>
  </si>
  <si>
    <t>1QGH-1YK4-H1DN</t>
  </si>
  <si>
    <t>98923</t>
  </si>
  <si>
    <t>1NCX-TT9K-J63K</t>
  </si>
  <si>
    <t>16406</t>
  </si>
  <si>
    <t>1FDF-GP3Y-CJKD</t>
  </si>
  <si>
    <t>99309</t>
  </si>
  <si>
    <t>99308</t>
  </si>
  <si>
    <t>1HTP-XFKV-934M</t>
  </si>
  <si>
    <t>1H1W-4YDF-RPCY</t>
  </si>
  <si>
    <t>CD4-739D-1P47</t>
  </si>
  <si>
    <t>163M-PJ4D-3MXG</t>
  </si>
  <si>
    <t>320668454001</t>
  </si>
  <si>
    <t>8006</t>
  </si>
  <si>
    <t>17T6-9WTY-NVQN</t>
  </si>
  <si>
    <t>1MGX-LPVP-NKNK</t>
  </si>
  <si>
    <t>EX13850</t>
  </si>
  <si>
    <t>ODP Business Solutions, LLC</t>
  </si>
  <si>
    <t>HEB</t>
  </si>
  <si>
    <t>Home Depot</t>
  </si>
  <si>
    <t>Capital Surveying Supplies</t>
  </si>
  <si>
    <t>On Site Signs</t>
  </si>
  <si>
    <t>Exclusive</t>
  </si>
  <si>
    <t>6110-8 - office supplies returned</t>
  </si>
  <si>
    <t>6110-8 - name plates</t>
  </si>
  <si>
    <t>6110-8 - business cards - JFarrar</t>
  </si>
  <si>
    <t>Minor equipment</t>
  </si>
  <si>
    <t>6110-5 - copy paper ltr - 10 cases</t>
  </si>
  <si>
    <t>6110-9 - office supplies</t>
  </si>
  <si>
    <t>6110-8 - office supplies - paper goods</t>
  </si>
  <si>
    <t>6110-8 - keys made for the public notice display</t>
  </si>
  <si>
    <t>6110-8 - business cards - LPerez</t>
  </si>
  <si>
    <t>6110-8 - business cards - NFrazados</t>
  </si>
  <si>
    <t>6110-8 - Office supplies</t>
  </si>
  <si>
    <t>6160-11 - toner cartridges</t>
  </si>
  <si>
    <t>6110-5 - copier paper</t>
  </si>
  <si>
    <t>6110-4 - company shirt</t>
  </si>
  <si>
    <t>6110-8 - name plates (3)</t>
  </si>
  <si>
    <t>6110-8 - business cards - WHuntsberger</t>
  </si>
  <si>
    <t>6110-8 - business cards - KPulliam</t>
  </si>
  <si>
    <t>6110-8 - business cards - TVan</t>
  </si>
  <si>
    <t>6110-8 - business cards - BBrown</t>
  </si>
  <si>
    <t>6110-8 - business cards - Generic</t>
  </si>
  <si>
    <t>6110-8 - business cards - customer services</t>
  </si>
  <si>
    <t>6110-8 - magnetic vehicle signs</t>
  </si>
  <si>
    <t>6110-7 - off by a penny</t>
  </si>
  <si>
    <t>6110-7 Hook-845174 - 8ths</t>
  </si>
  <si>
    <t>6110-7 8ths refill</t>
  </si>
  <si>
    <t>6110-8 - business cards - RCastellanos</t>
  </si>
  <si>
    <t>40867</t>
  </si>
  <si>
    <t>133172</t>
  </si>
  <si>
    <t>03132023</t>
  </si>
  <si>
    <t>04.2023</t>
  </si>
  <si>
    <t>0015406</t>
  </si>
  <si>
    <t>42004</t>
  </si>
  <si>
    <t>42295</t>
  </si>
  <si>
    <t>86726</t>
  </si>
  <si>
    <t>42390</t>
  </si>
  <si>
    <t>0015460</t>
  </si>
  <si>
    <t>3875</t>
  </si>
  <si>
    <t>42957</t>
  </si>
  <si>
    <t>42958</t>
  </si>
  <si>
    <t>8-162-69644</t>
  </si>
  <si>
    <t>87026</t>
  </si>
  <si>
    <t>E87316</t>
  </si>
  <si>
    <t>43299</t>
  </si>
  <si>
    <t>43300</t>
  </si>
  <si>
    <t>87335</t>
  </si>
  <si>
    <t>0015655</t>
  </si>
  <si>
    <t>AVTech Software</t>
  </si>
  <si>
    <t>Postmaster</t>
  </si>
  <si>
    <t>Usio Postage</t>
  </si>
  <si>
    <t>Miller Climate Control, LLC</t>
  </si>
  <si>
    <t>FedEx</t>
  </si>
  <si>
    <t>6120-16 - postage (488)</t>
  </si>
  <si>
    <t>6120-15 - Replenish Postage Due Acct PD 95017-000</t>
  </si>
  <si>
    <t>6120-3 - Replenish Business Reply Acct 74-001</t>
  </si>
  <si>
    <t>6120-6 - exemption applications</t>
  </si>
  <si>
    <t>6120-20 - vendor pymts</t>
  </si>
  <si>
    <t>6120-7 - postage for HS mailout</t>
  </si>
  <si>
    <t>6120-1 - postage</t>
  </si>
  <si>
    <t>6120-1 - postage pre-paid</t>
  </si>
  <si>
    <t>6120-1 - postage (8,250)</t>
  </si>
  <si>
    <t>6120-1 - pre-paid</t>
  </si>
  <si>
    <t>6120-11 - UPS ship overnight - thumb drive</t>
  </si>
  <si>
    <t>HVAC</t>
  </si>
  <si>
    <t>6120-1 - postage (51)</t>
  </si>
  <si>
    <t>6120-1 - postage (1,283)</t>
  </si>
  <si>
    <t>6120-13 - postage</t>
  </si>
  <si>
    <t>6120-19 - estimated postage for tax website postcard</t>
  </si>
  <si>
    <t>6120-1 - postage (93)</t>
  </si>
  <si>
    <t>6120-1 - postage (1,360)</t>
  </si>
  <si>
    <t>6120-11 - Shipping</t>
  </si>
  <si>
    <t>50224</t>
  </si>
  <si>
    <t>40890</t>
  </si>
  <si>
    <t>97509</t>
  </si>
  <si>
    <t>50739</t>
  </si>
  <si>
    <t>85488</t>
  </si>
  <si>
    <t>86336</t>
  </si>
  <si>
    <t>51267</t>
  </si>
  <si>
    <t>30258</t>
  </si>
  <si>
    <t>98715</t>
  </si>
  <si>
    <t>30318</t>
  </si>
  <si>
    <t>30550</t>
  </si>
  <si>
    <t>Roberts Printing Co</t>
  </si>
  <si>
    <t>Usio Output Solutions</t>
  </si>
  <si>
    <t>6130-14 - #10 window security 5K</t>
  </si>
  <si>
    <t>6130-18 - laser printing (1,968)</t>
  </si>
  <si>
    <t>6130-18 - rendering (488)</t>
  </si>
  <si>
    <t>6130-18 - paper for laser printing (984)</t>
  </si>
  <si>
    <t>6130-18 - envelopes #10 regular (488)</t>
  </si>
  <si>
    <t>6130-17 - disaster exemption postcard</t>
  </si>
  <si>
    <t>6130-20 - survey cards</t>
  </si>
  <si>
    <t>6130-13 - #10 window - 7,500</t>
  </si>
  <si>
    <t>6130-1 - laser printing (238,279)</t>
  </si>
  <si>
    <t>6130-7 - Rendering fold/insert/meter (260,051)</t>
  </si>
  <si>
    <t>6130-2 - HS applications (7,000)</t>
  </si>
  <si>
    <t>6130-5 - Rights &amp; Remedies (220,000)</t>
  </si>
  <si>
    <t>6130-1 - Offset printing - go green (217,500)</t>
  </si>
  <si>
    <t>6130-4 - Envelopes #10 (185,549)</t>
  </si>
  <si>
    <t>6130-4 - envelopes 9x12 (554)</t>
  </si>
  <si>
    <t>6130-3 - OCR testing &amp; USB drive</t>
  </si>
  <si>
    <t>6130-1 - pdf files (260,051)</t>
  </si>
  <si>
    <t>6130-1 - IMB Trace - track outgoing mail (260,051)</t>
  </si>
  <si>
    <t>6130-1 - Rerun data file due to bad data</t>
  </si>
  <si>
    <t>6130-1 - laser printing (1,992)</t>
  </si>
  <si>
    <t>6130-7 - Rendering fold/insert/meter (1,992)</t>
  </si>
  <si>
    <t>6130-2 - HS applications (150)</t>
  </si>
  <si>
    <t>6130-5 - Rights &amp; Remedies (1,773)</t>
  </si>
  <si>
    <t>6130-1 - Offset printing - go green (1,773)</t>
  </si>
  <si>
    <t>6130-4 - Envelopes #10 (1,768)</t>
  </si>
  <si>
    <t>6130-1 - pdf files (1,992)</t>
  </si>
  <si>
    <t>6130-1 - IMB Trace - track outgoing mail (1,992)</t>
  </si>
  <si>
    <t>6130-13 - #10 window - 2,500</t>
  </si>
  <si>
    <t>6130-15 - HS postcard mailout (1,726)</t>
  </si>
  <si>
    <t>6130-1 - rendering - 126</t>
  </si>
  <si>
    <t>6130-4 - envelopes - 126</t>
  </si>
  <si>
    <t>6130-9 - flats - 7</t>
  </si>
  <si>
    <t>6130-9 - processing fee</t>
  </si>
  <si>
    <t>6130-9 - pre-sort</t>
  </si>
  <si>
    <t>6130-9 - 6x9's - 38</t>
  </si>
  <si>
    <t>6130-1 - laser (48,498)</t>
  </si>
  <si>
    <t>6130-1 - rendering (8,258)</t>
  </si>
  <si>
    <t>6130-1 - paper for laser printing (24,248)</t>
  </si>
  <si>
    <t>6130-4 - envelopes #10 (8,258)</t>
  </si>
  <si>
    <t>6130-2 - 1st insert (8,250)</t>
  </si>
  <si>
    <t>6130-9 - 6x9's (203)</t>
  </si>
  <si>
    <t>6130-9 - flats (30)</t>
  </si>
  <si>
    <t>6130-5 - R&amp;R (8,250)</t>
  </si>
  <si>
    <t>6130-2 - go green (8,250)</t>
  </si>
  <si>
    <t>6130-1 - Mailing services for NAV 2nd correction mailing (713)</t>
  </si>
  <si>
    <t>6130-10 - Individual PDFs named by QrefID - usb</t>
  </si>
  <si>
    <t>6130-9 - regular data processing (minimum)</t>
  </si>
  <si>
    <t>6130-1 - IMB trace - tack outgoing mail</t>
  </si>
  <si>
    <t>6130-9 - 9x12 envelopes (7)</t>
  </si>
  <si>
    <t>6130-6 - HS ltr &amp; app</t>
  </si>
  <si>
    <t>6130-5 - R&amp;R inserts</t>
  </si>
  <si>
    <t>6130-1 - Protest form</t>
  </si>
  <si>
    <t>6130-1 - Cmop Grid</t>
  </si>
  <si>
    <t>6130-1 - NAV</t>
  </si>
  <si>
    <t>6130-4 - envelopes</t>
  </si>
  <si>
    <t>6130-1 - Go green</t>
  </si>
  <si>
    <t>6130-10 - ship overnight 2nd time</t>
  </si>
  <si>
    <t>6130-1 - rendering - 55</t>
  </si>
  <si>
    <t>6130-4 - envelopes - 55</t>
  </si>
  <si>
    <t>6130-15 - HS postcard mailout (1,345)</t>
  </si>
  <si>
    <t>6130-1 - laser (430)</t>
  </si>
  <si>
    <t>6130-1 - rendering (51)</t>
  </si>
  <si>
    <t>6130-1 - paper for laser printing (232)</t>
  </si>
  <si>
    <t>6130-4 - envelopes #10 (51)</t>
  </si>
  <si>
    <t>6130-2 - 1st insert (51)</t>
  </si>
  <si>
    <t>6130-9 - 6x9's (9)</t>
  </si>
  <si>
    <t>6130-1 - processing fee</t>
  </si>
  <si>
    <t>6130-5 - R&amp;R (51)</t>
  </si>
  <si>
    <t>6130-2 - go green (51)</t>
  </si>
  <si>
    <t>6130-1 - postage-presort (51)</t>
  </si>
  <si>
    <t>6130-1 - laser (15,246)</t>
  </si>
  <si>
    <t>6130-1 - rendering (1,283)</t>
  </si>
  <si>
    <t>6130-1 - paper for laser printing (6,126)</t>
  </si>
  <si>
    <t>6130-4 - envelopes #10 (1,283)</t>
  </si>
  <si>
    <t>6130-2 - 1st insert (1,283)</t>
  </si>
  <si>
    <t>6130-9 - 6x9's (189)</t>
  </si>
  <si>
    <t>6130-9 - flats (16)</t>
  </si>
  <si>
    <t>6130-5 - R&amp;R (1,283)</t>
  </si>
  <si>
    <t>6130-2 - go green (1,283)</t>
  </si>
  <si>
    <t>6130-1 - Mailing services for NAV 2nd correction mailing (161)</t>
  </si>
  <si>
    <t>6130-9 - 9x12 envelopes (2)</t>
  </si>
  <si>
    <t>6130-15 - HS postcard mailout (1,009)</t>
  </si>
  <si>
    <t>6130-1 - rendering (93)</t>
  </si>
  <si>
    <t>6130-1 - paper for laser printing (214)</t>
  </si>
  <si>
    <t>6130-4 - envelopes #10 (93)</t>
  </si>
  <si>
    <t>6130-2 - 1st insert (93)</t>
  </si>
  <si>
    <t>6130-1 - postage-presort (93)</t>
  </si>
  <si>
    <t>6130-1 - laser (10,358)</t>
  </si>
  <si>
    <t>6130-1 - rendering (1,360)</t>
  </si>
  <si>
    <t>6130-1 - paper for laser printing (5,052)</t>
  </si>
  <si>
    <t>6130-4 - envelopes #10 (1,360)</t>
  </si>
  <si>
    <t>6130-2 - 1st insert (1,360)</t>
  </si>
  <si>
    <t>6130-9 - 6x9's (98)</t>
  </si>
  <si>
    <t>6130-9 - flats (3)</t>
  </si>
  <si>
    <t>6130-5 - R&amp;R (1,360)</t>
  </si>
  <si>
    <t>6130-2 - go green (1,360)</t>
  </si>
  <si>
    <t>6130-1 - Mailing services for NAV 2nd correction mailing (23)</t>
  </si>
  <si>
    <t>6130-9 - 9x12 envelopes</t>
  </si>
  <si>
    <t>6130-5 - R&amp;R inserts (21)</t>
  </si>
  <si>
    <t>6130-1 - Protest form (23)</t>
  </si>
  <si>
    <t>6130-1 - NAV (23)</t>
  </si>
  <si>
    <t>6130-4 - envelopes (21)</t>
  </si>
  <si>
    <t>6130-1 - Go green (21)</t>
  </si>
  <si>
    <t>6130-2 - 2nd insert (8,250)</t>
  </si>
  <si>
    <t>6130-2 - 2nd insert (51)</t>
  </si>
  <si>
    <t>6130-2 - 2nd insert (1,283)</t>
  </si>
  <si>
    <t>6130-2 - 2nd insert (1,360)</t>
  </si>
  <si>
    <t>6130-2 - 2nd insert (93)</t>
  </si>
  <si>
    <t>13569</t>
  </si>
  <si>
    <t>13771</t>
  </si>
  <si>
    <t>13940</t>
  </si>
  <si>
    <t>14122</t>
  </si>
  <si>
    <t>14323</t>
  </si>
  <si>
    <t>26078</t>
  </si>
  <si>
    <t>V40856257</t>
  </si>
  <si>
    <t>6845252</t>
  </si>
  <si>
    <t>V41089034</t>
  </si>
  <si>
    <t>1VJX-YNLP-RJH6</t>
  </si>
  <si>
    <t>13CX-TKC4-69RV</t>
  </si>
  <si>
    <t>V41400794</t>
  </si>
  <si>
    <t>1MND-KKDP-3Y3X</t>
  </si>
  <si>
    <t>1TF9-J6JN-CGDD</t>
  </si>
  <si>
    <t>10660081181</t>
  </si>
  <si>
    <t>1QF1-YRL3-9LKR</t>
  </si>
  <si>
    <t>V41646703</t>
  </si>
  <si>
    <t>1HC1-WGPP-3HJJ</t>
  </si>
  <si>
    <t>1VT6-VXYQ-1KFY</t>
  </si>
  <si>
    <t>V41904188</t>
  </si>
  <si>
    <t>10664549025</t>
  </si>
  <si>
    <t>1FMH-HQGH-6F9F</t>
  </si>
  <si>
    <t>V42190943</t>
  </si>
  <si>
    <t>1WY9-KK1V-FNPX</t>
  </si>
  <si>
    <t>1NYJ-LQ4N-MTL9</t>
  </si>
  <si>
    <t>1H97-VW3W-KHW9</t>
  </si>
  <si>
    <t>19TC-MHT9-31GN</t>
  </si>
  <si>
    <t>6035782</t>
  </si>
  <si>
    <t>1W9P-9KJD-3RY6</t>
  </si>
  <si>
    <t>16XD-WNDW-3Q6T</t>
  </si>
  <si>
    <t>13JF-VG63-JJX4</t>
  </si>
  <si>
    <t>ebay.com</t>
  </si>
  <si>
    <t>Dell</t>
  </si>
  <si>
    <t>6150-7 Cisco Nexus 5548 32 port SFT+</t>
  </si>
  <si>
    <t>6150-5 -Surface laptop 5 15IN i7/16/256 SSD</t>
  </si>
  <si>
    <t>6150-6 Digital Active Power Sensor w/Temperature</t>
  </si>
  <si>
    <t>6150-6 Digital Temperature &amp; Air Flow</t>
  </si>
  <si>
    <t>6150-10 TV Displays LG 50" YQ75TV</t>
  </si>
  <si>
    <t>6150-7 47" Standing desk converter</t>
  </si>
  <si>
    <t>6150-6 Tripp Lite SRCOOL12K</t>
  </si>
  <si>
    <t>6150-7 standing desk</t>
  </si>
  <si>
    <t>6150-3 Brother ADS-3300W Scanner</t>
  </si>
  <si>
    <t>6150-11 Serta Smart Layers Arlinton Air</t>
  </si>
  <si>
    <t>6150-7 - HP Laser Jet M507n Printer - ASIN: B07PP68X8R</t>
  </si>
  <si>
    <t>6150-8 Dell Precision 3660</t>
  </si>
  <si>
    <t>6150-1 Dell 27" monitor P2722H</t>
  </si>
  <si>
    <t>6150-1 Dell 23" monitor P2319H</t>
  </si>
  <si>
    <t>6150-6 Fezibo Standing Desk 42"</t>
  </si>
  <si>
    <t>6150-3 Brother ADS-3100 desktop scanner</t>
  </si>
  <si>
    <t>6150-6 - misc equipment</t>
  </si>
  <si>
    <t>6150-5 Dell Latitude 7420 14" Laptop</t>
  </si>
  <si>
    <t>6150-7 - Network hardware</t>
  </si>
  <si>
    <t>6150-6 VIVO 42" Desk Converter Model# DESK-V042KB ASIN B09XVQ9YJN</t>
  </si>
  <si>
    <t>6150-5 - Laptop accessories</t>
  </si>
  <si>
    <t>6150-6 Misc Furniture</t>
  </si>
  <si>
    <t>6150-6 Leica LEIAD 855138 Sisto x4 Laser Distance Meter</t>
  </si>
  <si>
    <t>6150-6 - Leica Geosystem</t>
  </si>
  <si>
    <t>6150-6 - refund - product never arrived</t>
  </si>
  <si>
    <t>6150-6 - minor equipment</t>
  </si>
  <si>
    <t>6150-8 - computer supplies</t>
  </si>
  <si>
    <t>17W3-RWNT-3N3Q</t>
  </si>
  <si>
    <t>Q7G-RXWQ-14YM</t>
  </si>
  <si>
    <t>1RPR-W4NJ-WX4N</t>
  </si>
  <si>
    <t>1DHV-KCXK-HDCR</t>
  </si>
  <si>
    <t>19MJ-4NC3-H9JV</t>
  </si>
  <si>
    <t>1L1F-WFFP-QYPW</t>
  </si>
  <si>
    <t>174M-FDWC-HQYM</t>
  </si>
  <si>
    <t>1LX7-36TR-MGQT</t>
  </si>
  <si>
    <t>1HXT-P47M-1V7G</t>
  </si>
  <si>
    <t>computer supplies</t>
  </si>
  <si>
    <t>6160-8 USB c hub for laptops and tablets</t>
  </si>
  <si>
    <t xml:space="preserve">6160-8 USB PC webcam for pcs			  </t>
  </si>
  <si>
    <t>6160-8 Usb c to usb 3 adapter 2 pack</t>
  </si>
  <si>
    <t>6160-8 Wireless keyboard/mouse combo</t>
  </si>
  <si>
    <t>6160-11 - toner cartridge</t>
  </si>
  <si>
    <t>6160-7 - misc computer supplies</t>
  </si>
  <si>
    <t>6160-8 20pack retractable badge carbiner reel clip</t>
  </si>
  <si>
    <t>6160-11 - toner supplies</t>
  </si>
  <si>
    <t>6160-7 - misc supplies</t>
  </si>
  <si>
    <t>6160-11 20pack retractable badge carbiner reel clip</t>
  </si>
  <si>
    <t>6160-11 HP 85A black toner for HP p1102w 2pack</t>
  </si>
  <si>
    <t>3DXZQK</t>
  </si>
  <si>
    <t>012023</t>
  </si>
  <si>
    <t>32W1E</t>
  </si>
  <si>
    <t>32W1N</t>
  </si>
  <si>
    <t>EGEB8</t>
  </si>
  <si>
    <t>MLW3</t>
  </si>
  <si>
    <t>46970</t>
  </si>
  <si>
    <t>169101S</t>
  </si>
  <si>
    <t>1H9R-RN6F-6LW4</t>
  </si>
  <si>
    <t>5769</t>
  </si>
  <si>
    <t>4234</t>
  </si>
  <si>
    <t>303</t>
  </si>
  <si>
    <t>1507</t>
  </si>
  <si>
    <t>2115</t>
  </si>
  <si>
    <t>62538</t>
  </si>
  <si>
    <t>2032349508</t>
  </si>
  <si>
    <t>2032349521</t>
  </si>
  <si>
    <t>1458-3389</t>
  </si>
  <si>
    <t>Fall.2023</t>
  </si>
  <si>
    <t>1022-5057</t>
  </si>
  <si>
    <t>license.RC</t>
  </si>
  <si>
    <t>8509</t>
  </si>
  <si>
    <t>3DXZQL</t>
  </si>
  <si>
    <t>B5745</t>
  </si>
  <si>
    <t>715A2B</t>
  </si>
  <si>
    <t>716543</t>
  </si>
  <si>
    <t>1091002</t>
  </si>
  <si>
    <t>4326615</t>
  </si>
  <si>
    <t>7452</t>
  </si>
  <si>
    <t>6679</t>
  </si>
  <si>
    <t>1101374</t>
  </si>
  <si>
    <t>1101369</t>
  </si>
  <si>
    <t>03242023</t>
  </si>
  <si>
    <t>032723</t>
  </si>
  <si>
    <t>04032023</t>
  </si>
  <si>
    <t>1308-5482</t>
  </si>
  <si>
    <t>1847-0511</t>
  </si>
  <si>
    <t>1122-3232</t>
  </si>
  <si>
    <t>04112023</t>
  </si>
  <si>
    <t>1481-4408</t>
  </si>
  <si>
    <t>1371-7226</t>
  </si>
  <si>
    <t>2032467929</t>
  </si>
  <si>
    <t>2032467954</t>
  </si>
  <si>
    <t>2032468012</t>
  </si>
  <si>
    <t>2032467984</t>
  </si>
  <si>
    <t>2032467875</t>
  </si>
  <si>
    <t>1903-5957</t>
  </si>
  <si>
    <t>1103-9469</t>
  </si>
  <si>
    <t>1608-7890</t>
  </si>
  <si>
    <t>04132023</t>
  </si>
  <si>
    <t>44149903</t>
  </si>
  <si>
    <t>2032479904</t>
  </si>
  <si>
    <t>1113083</t>
  </si>
  <si>
    <t>08.2023</t>
  </si>
  <si>
    <t>1528-7563</t>
  </si>
  <si>
    <t>36361921112</t>
  </si>
  <si>
    <t>GR76FX</t>
  </si>
  <si>
    <t>4BISQQ</t>
  </si>
  <si>
    <t>4BISQQ-EB</t>
  </si>
  <si>
    <t>238CYB</t>
  </si>
  <si>
    <t>07.2023</t>
  </si>
  <si>
    <t>05162023</t>
  </si>
  <si>
    <t>00786C</t>
  </si>
  <si>
    <t>08.14-15.2023</t>
  </si>
  <si>
    <t>15079</t>
  </si>
  <si>
    <t>00939C</t>
  </si>
  <si>
    <t>00964C</t>
  </si>
  <si>
    <t>9671096</t>
  </si>
  <si>
    <t>1817845</t>
  </si>
  <si>
    <t>1540376</t>
  </si>
  <si>
    <t>1543771</t>
  </si>
  <si>
    <t>1540377</t>
  </si>
  <si>
    <t>05112023</t>
  </si>
  <si>
    <t>2BKP3C</t>
  </si>
  <si>
    <t>2BL527</t>
  </si>
  <si>
    <t>deposit.2023</t>
  </si>
  <si>
    <t>05192023</t>
  </si>
  <si>
    <t>1126411</t>
  </si>
  <si>
    <t>1135-9714</t>
  </si>
  <si>
    <t>08.2023.01</t>
  </si>
  <si>
    <t>05.2023</t>
  </si>
  <si>
    <t>1662-2872</t>
  </si>
  <si>
    <t>1263</t>
  </si>
  <si>
    <t>23-06339</t>
  </si>
  <si>
    <t>5741019</t>
  </si>
  <si>
    <t>69152620</t>
  </si>
  <si>
    <t>84862</t>
  </si>
  <si>
    <t>24246202</t>
  </si>
  <si>
    <t>5793</t>
  </si>
  <si>
    <t>3653</t>
  </si>
  <si>
    <t>12186</t>
  </si>
  <si>
    <t>06192023</t>
  </si>
  <si>
    <t>2032644624</t>
  </si>
  <si>
    <t>2032644663</t>
  </si>
  <si>
    <t>2032644676</t>
  </si>
  <si>
    <t>06.2023</t>
  </si>
  <si>
    <t>85611</t>
  </si>
  <si>
    <t>07032023</t>
  </si>
  <si>
    <t>10302023</t>
  </si>
  <si>
    <t>071023</t>
  </si>
  <si>
    <t>1235-0227</t>
  </si>
  <si>
    <t>014823</t>
  </si>
  <si>
    <t>07142023</t>
  </si>
  <si>
    <t>11.2023</t>
  </si>
  <si>
    <t>CAI-23</t>
  </si>
  <si>
    <t>BPP-102023</t>
  </si>
  <si>
    <t>Southwest Airlines</t>
  </si>
  <si>
    <t>Renaissance Dallas Hotel</t>
  </si>
  <si>
    <t>Oddfellows</t>
  </si>
  <si>
    <t>Sheraton</t>
  </si>
  <si>
    <t>Michael Page</t>
  </si>
  <si>
    <t>Kimberly R Gamboa</t>
  </si>
  <si>
    <t>Alvin Lankford</t>
  </si>
  <si>
    <t>Heather Hayden</t>
  </si>
  <si>
    <t>Valerie Brumley</t>
  </si>
  <si>
    <t>Aaron Moore</t>
  </si>
  <si>
    <t>Christopher Connelly</t>
  </si>
  <si>
    <t>Metro Council of Appraisal Districts</t>
  </si>
  <si>
    <t>Lone Star Kolaches</t>
  </si>
  <si>
    <t>Udemy Online Courses</t>
  </si>
  <si>
    <t>District 6</t>
  </si>
  <si>
    <t>Texas Stars Hockey Club</t>
  </si>
  <si>
    <t>Jamie Radke</t>
  </si>
  <si>
    <t>Candace Paschall</t>
  </si>
  <si>
    <t>Lyft - Taxi Services</t>
  </si>
  <si>
    <t>Survey Monkey.com</t>
  </si>
  <si>
    <t>IAAO Bank Lockbox</t>
  </si>
  <si>
    <t>Florida Department of Revenue</t>
  </si>
  <si>
    <t>Delta Airlines</t>
  </si>
  <si>
    <t>Amanda 1 Rompala</t>
  </si>
  <si>
    <t>TCDRS</t>
  </si>
  <si>
    <t>Rosario's</t>
  </si>
  <si>
    <t>Smoke BBQ Riverbar</t>
  </si>
  <si>
    <t>The River's Edge Cafe &amp; Patio</t>
  </si>
  <si>
    <t>Dough Pizzeria Napoletana</t>
  </si>
  <si>
    <t>Hyatt Hotels</t>
  </si>
  <si>
    <t>Hilton</t>
  </si>
  <si>
    <t>Teravista Community Association</t>
  </si>
  <si>
    <t>TAAO</t>
  </si>
  <si>
    <t>GameOn!</t>
  </si>
  <si>
    <t>Ad Valorem Legal Seminar</t>
  </si>
  <si>
    <t>Comp-Utility</t>
  </si>
  <si>
    <t>Lou Ann Perez</t>
  </si>
  <si>
    <t>Kassandra Pulliam</t>
  </si>
  <si>
    <t>IAAO</t>
  </si>
  <si>
    <t>Amy Urbanek</t>
  </si>
  <si>
    <t>Tiff Treats</t>
  </si>
  <si>
    <t>VALA Education</t>
  </si>
  <si>
    <t>Cliff Park</t>
  </si>
  <si>
    <t>6210-12 - IAAO Spring Leadership flights - CConnelly</t>
  </si>
  <si>
    <t>6210-18 - dir/mgr mtg</t>
  </si>
  <si>
    <t>6210-17 - early bird checkin</t>
  </si>
  <si>
    <t>6210-27 - state course</t>
  </si>
  <si>
    <t>6210-33 - review course CLindquist</t>
  </si>
  <si>
    <t>6210-11 - IAAO Course 400 - JMiller</t>
  </si>
  <si>
    <t>6210-16 - Annual Prime Membership Fee</t>
  </si>
  <si>
    <t>6210-34 - Group package - 3 employees</t>
  </si>
  <si>
    <t>6210-21 - TAAD Conference - lunch</t>
  </si>
  <si>
    <t>6210-21 - TAAD Conference - Dinner for WCAD Staff + Board members in attendance (14)</t>
  </si>
  <si>
    <t>6210-21 - TAAD Conference - lodging - CMcElroy/JMiller</t>
  </si>
  <si>
    <t>6210-21 - TAAD Conference - lodging - KGamboa/HHayden</t>
  </si>
  <si>
    <t>6210-21 - TAAD Conference - lodging - MPage</t>
  </si>
  <si>
    <t>6210-21 - TAAD Conference mileage reimbursement</t>
  </si>
  <si>
    <t>6210-21 - Reimbursement - TAAD Conference - mileage, lodging, lunch, uber</t>
  </si>
  <si>
    <t>6210-21 - Reimbursement - TAAD Conference - mileage</t>
  </si>
  <si>
    <t>6210-32 - license renewal - ABayler</t>
  </si>
  <si>
    <t>6210-32 - License renewal - VVasilev</t>
  </si>
  <si>
    <t>6210-21 - TAAD Conference - mileage reimbursement</t>
  </si>
  <si>
    <t>6210-33 - PSI Exam - Level IV/RPA fee reimbursement</t>
  </si>
  <si>
    <t>6210-33 - reimbursement - Level IV exam</t>
  </si>
  <si>
    <t>6210-27 - State Course - USPAP - CPark</t>
  </si>
  <si>
    <t>6210-21 - Reimbursement - TAAD Conference - lodging</t>
  </si>
  <si>
    <t>6210-27 - Course 7 - Hiran Marin</t>
  </si>
  <si>
    <t>6210-27 - Course 5 - Hiran Marin</t>
  </si>
  <si>
    <t>6210-27 - Course 10 - Hiran Marin</t>
  </si>
  <si>
    <t>6210-27 - Course 203 - Vasilii Vasilev</t>
  </si>
  <si>
    <t>6210-27 - Course 3 - Vasilii Vasilev</t>
  </si>
  <si>
    <t>6210-27 - Course 4 - Vasilii Vasilev</t>
  </si>
  <si>
    <t>6210-27 - credit certificate</t>
  </si>
  <si>
    <t>6210-16 - Annual dues</t>
  </si>
  <si>
    <t>6210-27 - State Course - PVS - WHuntsberger</t>
  </si>
  <si>
    <t>6210-27 - State Course - PVS Looking back before you go forward - WHuntsberger</t>
  </si>
  <si>
    <t>6210-32 - License application - RCastellanos</t>
  </si>
  <si>
    <t>6210-17 - Breakfast for Public Services Dept to celebrate 4.6 Google stars</t>
  </si>
  <si>
    <t>6210-18 - Early bird check in - CConnelly</t>
  </si>
  <si>
    <t>6210-18 - Excel from beginner to advanced - AJones</t>
  </si>
  <si>
    <t>6210-18 - excel bootcamp - VBrumley</t>
  </si>
  <si>
    <t>6210-18 - Excel beginner to advanced - AAhmad</t>
  </si>
  <si>
    <t>6210-27 - CA Ethics - ARL</t>
  </si>
  <si>
    <t>6210-3 - gift cards</t>
  </si>
  <si>
    <t>6210-27 - State Course - Course 3 - AAhmad</t>
  </si>
  <si>
    <t>6210-27 - State Course 203 - AAhmad</t>
  </si>
  <si>
    <t>6210-21 - TAAD Conference - lodging - GGarcia/SGregory</t>
  </si>
  <si>
    <t>6210-17 - Public services lunch to celebrate 4.6 Google stars</t>
  </si>
  <si>
    <t>6210-27 - Laws &amp; Rules - VLongstreth</t>
  </si>
  <si>
    <t>6210-27 - Ethics - VLongstreth</t>
  </si>
  <si>
    <t>6210-27 - USPAP Refresher - VLongstreth</t>
  </si>
  <si>
    <t>6210-17 - Orion user meeting</t>
  </si>
  <si>
    <t>6210-3 - employee appreciation</t>
  </si>
  <si>
    <t>6210-33 - PSI exam fee reimbursement</t>
  </si>
  <si>
    <t>6210-27 - Course 102 - JHashem</t>
  </si>
  <si>
    <t>6210-27 - Course 101 - JHashem</t>
  </si>
  <si>
    <t>6210-27 - State Course - Course 30 - AAhmad</t>
  </si>
  <si>
    <t>6210-27 - Course 101 - RCastellanos</t>
  </si>
  <si>
    <t>6210-27 - Course 102 - RCastellanos</t>
  </si>
  <si>
    <t>6210-27 - reimbursement - meals (state courses)</t>
  </si>
  <si>
    <t>6210-27 - Reimbursement - meals state courses</t>
  </si>
  <si>
    <t>6210-32 - license renewal - RQuinlan</t>
  </si>
  <si>
    <t>6210-32 - license renewal - BWright</t>
  </si>
  <si>
    <t>6210-32 - license renewal - BBrown</t>
  </si>
  <si>
    <t>6210-32 - license renewal - JRobins</t>
  </si>
  <si>
    <t>6210-32 - license renewal - RMata</t>
  </si>
  <si>
    <t>6210-27 - State Course - Course 30 - JFarrar</t>
  </si>
  <si>
    <t>6210-27 - Course 101 - JFarrar</t>
  </si>
  <si>
    <t>6210-27 - Course 102 - JFarrar</t>
  </si>
  <si>
    <t>6210-17 - IAAO meeting - Washington DC - ARL</t>
  </si>
  <si>
    <t>6210-2 - survey renewal</t>
  </si>
  <si>
    <t>6210-32 - license renewal - AAnderson</t>
  </si>
  <si>
    <t>6210-27 - State Course - Laws &amp; Rules - VLongstreth</t>
  </si>
  <si>
    <t>6210-27 - State Course - Laws &amp; Rules - DArrieta</t>
  </si>
  <si>
    <t>6210-8 - Alvin Lankford - Inc WIN Luncheon</t>
  </si>
  <si>
    <t>6210-8 - Chris Connelly - ($245 coupon / speaker)</t>
  </si>
  <si>
    <t>6210-8 - Aaron Moore</t>
  </si>
  <si>
    <t>6210-8 - KC McDade</t>
  </si>
  <si>
    <t>6210-27 - State Course - Course 10 - JRadke</t>
  </si>
  <si>
    <t>6210-11 - IAAO Course 402 - JMiller</t>
  </si>
  <si>
    <t>6210-8 - IAAO Conference - airline - CBC</t>
  </si>
  <si>
    <t>6210-8 - IAAO Conference - airline - CBC - earlybird checkin</t>
  </si>
  <si>
    <t>6210-8 - IAAO Conference - airline - ARL</t>
  </si>
  <si>
    <t>6210-18 - reimbursement - continuing education</t>
  </si>
  <si>
    <t>6210-31 - Kimberly Gamboa</t>
  </si>
  <si>
    <t>6210-27 - TAAD Talks - 88th Legislative Session - Midsession Update</t>
  </si>
  <si>
    <t>6210-34 - Tyler Connect - Dinner - JMiller, ARL, CVasquez</t>
  </si>
  <si>
    <t>6210-23 - Alvin Lankford</t>
  </si>
  <si>
    <t>6210-23 - Chris Connelly</t>
  </si>
  <si>
    <t>6210-23 - Aaron Moore</t>
  </si>
  <si>
    <t>6210-23 - KC McDade</t>
  </si>
  <si>
    <t>6210-23 - Jessica Miller</t>
  </si>
  <si>
    <t>6210-23 - Jamie Radke</t>
  </si>
  <si>
    <t>6210-23 - Victor Longstreth</t>
  </si>
  <si>
    <t>6210-23 - Johnny Robins</t>
  </si>
  <si>
    <t>6210-34 - Tyler Connect - Dinner - ARL, CBC, CAV &amp; JMiller</t>
  </si>
  <si>
    <t>6210-34 - Tyler Connect - Breakfast -  ARL, CBC, JMiller, CAV</t>
  </si>
  <si>
    <t>6210-34 - Tyler Connect - Dinner - ARL, CAV, JMiller</t>
  </si>
  <si>
    <t>6210-8 - IAAO Conference - lodging - deposit - ARL</t>
  </si>
  <si>
    <t>6210-34 - Tyler Connect - Breakfast -  ARL, JMiller</t>
  </si>
  <si>
    <t>6210-34 - Tyler Connect Conference - lodging - JMiller</t>
  </si>
  <si>
    <t>6210-34 - Tyler Connect Conference - lodging - ARL</t>
  </si>
  <si>
    <t>6210-34 - Tyler Connect Conference - lodging - CAV</t>
  </si>
  <si>
    <t>6210-23 - SAM</t>
  </si>
  <si>
    <t>6210-23 - KCM</t>
  </si>
  <si>
    <t>6210-23 - JER</t>
  </si>
  <si>
    <t>6210-8 - IAAO Conference - airlines - SAM</t>
  </si>
  <si>
    <t>6210-8 - IAAO Conference - airlines - KCM</t>
  </si>
  <si>
    <t>6210-3 - Deposit - Christmas Employee Recognition</t>
  </si>
  <si>
    <t>6210-18 - Deposit</t>
  </si>
  <si>
    <t>6210-27 - Ethics - LPerez</t>
  </si>
  <si>
    <t>6210-27 - Ethics - DArrieta</t>
  </si>
  <si>
    <t>6210-27 - State Course - USPAP refresher - DArrieta</t>
  </si>
  <si>
    <t>6210-27 - Laws &amp; Rules Update - LPerez</t>
  </si>
  <si>
    <t>6210-33 - State Course - RPA Level III review - LSarmiento</t>
  </si>
  <si>
    <t>6210-18 - Rental</t>
  </si>
  <si>
    <t>6210-3 - Mgmt team building</t>
  </si>
  <si>
    <t>6210-30 - 36th Annual Legal Seminar - AD Valorem Taxation - ALugo</t>
  </si>
  <si>
    <t>6210-30 - 36th Annual Legal Seminar - AD Valorem Taxation - JRobins</t>
  </si>
  <si>
    <t>Assigned funds - 100% change order #2</t>
  </si>
  <si>
    <t>6210-18 - Zoholics Tickets - roadshow - Austin - CHarris-Miller</t>
  </si>
  <si>
    <t>6210-17 - reimburse lunch @ airport for IAAO Executive mtg</t>
  </si>
  <si>
    <t>6210-17 - reimburse lyft ride for IAAO executive mtg</t>
  </si>
  <si>
    <t>6210-3 - employee guest fees Texas Stars</t>
  </si>
  <si>
    <t>6210-3 - Texas Stars guest fees</t>
  </si>
  <si>
    <t>6210-11 - IAAO - Course 7 - SAM</t>
  </si>
  <si>
    <t>6210-3 - Customer Services recognition - 4.6 google stars</t>
  </si>
  <si>
    <t>6210-34 - Tyler Connect Conference - CVasquez</t>
  </si>
  <si>
    <t>6210-27 - 2022 TAAO &amp; ICTA Conference on Demand - CMana</t>
  </si>
  <si>
    <t>6210-27 - 2022 TAAO &amp; ICTA Conference on Demand - CPark</t>
  </si>
  <si>
    <t>6210-11 - refund WIN</t>
  </si>
  <si>
    <t>6210-32 - license renewal - SGregory</t>
  </si>
  <si>
    <t>6210-32 - license renewal - AAhmad</t>
  </si>
  <si>
    <t>6210-32 - license renewal - TVan</t>
  </si>
  <si>
    <t>6210-11 - IAAO - 151 - National USPAP - JMiller</t>
  </si>
  <si>
    <t>6210-11 - IAAO Course 300 - online - JMiller</t>
  </si>
  <si>
    <t>6210-27 - SB12:CAD/TAC Implementation Strategies - JMiller</t>
  </si>
  <si>
    <t>6210-27 - Course 7 - FCastellanos</t>
  </si>
  <si>
    <t>6210-16 - reimbursed - Sam's membership</t>
  </si>
  <si>
    <t>6210-11 - IAAO - WIN - ARL</t>
  </si>
  <si>
    <t>6210-4 - Reimbursement - ESRI Conference - lodging, meals, parking</t>
  </si>
  <si>
    <t>6210-27 - CAI - JRobins</t>
  </si>
  <si>
    <t>6210-25 - AMetcalfe</t>
  </si>
  <si>
    <t>6210-25 - LPerez</t>
  </si>
  <si>
    <t>6210-25 - GGarcia</t>
  </si>
  <si>
    <t>6210-25 - DArrieta</t>
  </si>
  <si>
    <t>6210-25 - JGriner</t>
  </si>
  <si>
    <t>2008 · Credit Card-Education-1809-0827</t>
  </si>
  <si>
    <t>6210-3 - Reimbursement - WCAD gift &amp; retirement party - KTaylor</t>
  </si>
  <si>
    <t>6210-21 - Reimbursement - TAAD Conference - mileage reimbursement &amp; dinner</t>
  </si>
  <si>
    <t>6210-17 - chief appraiser</t>
  </si>
  <si>
    <t>33434997</t>
  </si>
  <si>
    <t>33603115</t>
  </si>
  <si>
    <t>N9851822</t>
  </si>
  <si>
    <t>33631358</t>
  </si>
  <si>
    <t>23AR1276837</t>
  </si>
  <si>
    <t>33805298</t>
  </si>
  <si>
    <t>23AR1303293</t>
  </si>
  <si>
    <t>N9923298</t>
  </si>
  <si>
    <t>33988118</t>
  </si>
  <si>
    <t>34010413</t>
  </si>
  <si>
    <t>23AR1336961</t>
  </si>
  <si>
    <t>23AR1352571</t>
  </si>
  <si>
    <t>34195647</t>
  </si>
  <si>
    <t>34214174</t>
  </si>
  <si>
    <t>N9980506</t>
  </si>
  <si>
    <t>24AR912731</t>
  </si>
  <si>
    <t>34386703</t>
  </si>
  <si>
    <t>34420394</t>
  </si>
  <si>
    <t>24AR1002258</t>
  </si>
  <si>
    <t>Visual Edge IT (Ohio)</t>
  </si>
  <si>
    <t>Visual Edge IT (Dallas)</t>
  </si>
  <si>
    <t>6215-5 - property tax on lease copiers</t>
  </si>
  <si>
    <t>6215-3 Lease meter</t>
  </si>
  <si>
    <t>6215-2 Lease folder/inserter - Mar - May</t>
  </si>
  <si>
    <t>6215-4 - One-time origination fee</t>
  </si>
  <si>
    <t>6215-1 - overage</t>
  </si>
  <si>
    <t>6215-4 - Lease copier/printers</t>
  </si>
  <si>
    <t>0365937021023</t>
  </si>
  <si>
    <t>318472</t>
  </si>
  <si>
    <t>CD_000539851</t>
  </si>
  <si>
    <t>287230258338X0227-23</t>
  </si>
  <si>
    <t>02.19.2023</t>
  </si>
  <si>
    <t>02.20.23</t>
  </si>
  <si>
    <t>324566</t>
  </si>
  <si>
    <t>CD_000556006</t>
  </si>
  <si>
    <t>287230258338X0327-23</t>
  </si>
  <si>
    <t>online-0327</t>
  </si>
  <si>
    <t>246028</t>
  </si>
  <si>
    <t>03.19.23</t>
  </si>
  <si>
    <t>0104757040723</t>
  </si>
  <si>
    <t>0365937041023</t>
  </si>
  <si>
    <t>332221</t>
  </si>
  <si>
    <t>CD_000573072</t>
  </si>
  <si>
    <t>287230258338X0427-23</t>
  </si>
  <si>
    <t>04.19.23</t>
  </si>
  <si>
    <t>041923</t>
  </si>
  <si>
    <t>0104757050723</t>
  </si>
  <si>
    <t>0365937051023</t>
  </si>
  <si>
    <t>48</t>
  </si>
  <si>
    <t>335120</t>
  </si>
  <si>
    <t>CD_000590248</t>
  </si>
  <si>
    <t>287230258338X0527-23</t>
  </si>
  <si>
    <t>051923</t>
  </si>
  <si>
    <t>05.21.23</t>
  </si>
  <si>
    <t>0104757060723</t>
  </si>
  <si>
    <t>0365937061023</t>
  </si>
  <si>
    <t>342939</t>
  </si>
  <si>
    <t>CD_000607537</t>
  </si>
  <si>
    <t>287230258338X0627-23</t>
  </si>
  <si>
    <t>061923</t>
  </si>
  <si>
    <t>062023</t>
  </si>
  <si>
    <t>0104757070723</t>
  </si>
  <si>
    <t>0365937071023</t>
  </si>
  <si>
    <t>348264</t>
  </si>
  <si>
    <t>CD_000625149</t>
  </si>
  <si>
    <t>287230258338X0727-23</t>
  </si>
  <si>
    <t>Data Foundry, LLC</t>
  </si>
  <si>
    <t>MoboMix</t>
  </si>
  <si>
    <t>6220-6 - text blast</t>
  </si>
  <si>
    <t>31468</t>
  </si>
  <si>
    <t>1HY6-76MX-1DKM</t>
  </si>
  <si>
    <t>20211850</t>
  </si>
  <si>
    <t>SRVCE00345594</t>
  </si>
  <si>
    <t>62139</t>
  </si>
  <si>
    <t>SCPAY00147553</t>
  </si>
  <si>
    <t>13697</t>
  </si>
  <si>
    <t>34303</t>
  </si>
  <si>
    <t>31512</t>
  </si>
  <si>
    <t>31530</t>
  </si>
  <si>
    <t>6917617</t>
  </si>
  <si>
    <t>P287394</t>
  </si>
  <si>
    <t>13733</t>
  </si>
  <si>
    <t>13713</t>
  </si>
  <si>
    <t>18363980</t>
  </si>
  <si>
    <t>34462</t>
  </si>
  <si>
    <t>62557</t>
  </si>
  <si>
    <t>31588</t>
  </si>
  <si>
    <t>2409138</t>
  </si>
  <si>
    <t>13888</t>
  </si>
  <si>
    <t>SCPAY00148143</t>
  </si>
  <si>
    <t>31626</t>
  </si>
  <si>
    <t>35503</t>
  </si>
  <si>
    <t>1788933</t>
  </si>
  <si>
    <t>SRVCE00347850</t>
  </si>
  <si>
    <t>1857</t>
  </si>
  <si>
    <t>SRVCE00348707</t>
  </si>
  <si>
    <t>2392</t>
  </si>
  <si>
    <t>230363</t>
  </si>
  <si>
    <t>63044</t>
  </si>
  <si>
    <t>14070</t>
  </si>
  <si>
    <t>SCPAY00148590</t>
  </si>
  <si>
    <t>31730</t>
  </si>
  <si>
    <t>7942</t>
  </si>
  <si>
    <t>17NP-N3Y1-FXDH</t>
  </si>
  <si>
    <t>1CHY-KT4T-FRYT</t>
  </si>
  <si>
    <t>7941</t>
  </si>
  <si>
    <t>18405436</t>
  </si>
  <si>
    <t>6920036</t>
  </si>
  <si>
    <t>31762</t>
  </si>
  <si>
    <t>841277</t>
  </si>
  <si>
    <t>35234</t>
  </si>
  <si>
    <t>2408</t>
  </si>
  <si>
    <t>SRVCE00350165</t>
  </si>
  <si>
    <t>SRVCE00350164</t>
  </si>
  <si>
    <t>18406821</t>
  </si>
  <si>
    <t>21913</t>
  </si>
  <si>
    <t>31784</t>
  </si>
  <si>
    <t>63589</t>
  </si>
  <si>
    <t>SRVCE00351191</t>
  </si>
  <si>
    <t>SCPAY00149125</t>
  </si>
  <si>
    <t>14264</t>
  </si>
  <si>
    <t>3007294939</t>
  </si>
  <si>
    <t>318236</t>
  </si>
  <si>
    <t>18431178</t>
  </si>
  <si>
    <t>3393</t>
  </si>
  <si>
    <t>2461</t>
  </si>
  <si>
    <t>6921428</t>
  </si>
  <si>
    <t>SRVCE00351760</t>
  </si>
  <si>
    <t>SRVCE00352181</t>
  </si>
  <si>
    <t>31889</t>
  </si>
  <si>
    <t>FS8427</t>
  </si>
  <si>
    <t>64260</t>
  </si>
  <si>
    <t>2473390</t>
  </si>
  <si>
    <t>SCPAY00149664</t>
  </si>
  <si>
    <t>14456</t>
  </si>
  <si>
    <t>31950</t>
  </si>
  <si>
    <t>1HRT-WCMW-6FGT</t>
  </si>
  <si>
    <t>FS8185A</t>
  </si>
  <si>
    <t>6922713</t>
  </si>
  <si>
    <t>SRVCE00353380</t>
  </si>
  <si>
    <t>758819</t>
  </si>
  <si>
    <t>35530</t>
  </si>
  <si>
    <t>35531</t>
  </si>
  <si>
    <t>14637</t>
  </si>
  <si>
    <t>SCPAY00150120</t>
  </si>
  <si>
    <t>6923745</t>
  </si>
  <si>
    <t>Cox Electric</t>
  </si>
  <si>
    <t>Mainstream Services Inc</t>
  </si>
  <si>
    <t>ComplianceSigns.com</t>
  </si>
  <si>
    <t>Meeks Family Chem-Dry LLC</t>
  </si>
  <si>
    <t>Willco Construction LLC</t>
  </si>
  <si>
    <t>Georgetown Fire and Safety</t>
  </si>
  <si>
    <t>Knight Security Systems</t>
  </si>
  <si>
    <t>512 Refrigeration Services</t>
  </si>
  <si>
    <t>TK Elevator Corporation</t>
  </si>
  <si>
    <t>Essential Electric</t>
  </si>
  <si>
    <t>Fox Commercial Services</t>
  </si>
  <si>
    <t>McCoy's</t>
  </si>
  <si>
    <t>6225-16 - grounds maintenance - trim trees and haul off (ice storm)</t>
  </si>
  <si>
    <t>6225-1 - air filters</t>
  </si>
  <si>
    <t>6225-7 - power issues</t>
  </si>
  <si>
    <t>6225-16 - Plumbing repair &amp; maintenance</t>
  </si>
  <si>
    <t>6225-13 - Installation of sod: bermuda seed and fertilizer</t>
  </si>
  <si>
    <t>6225-17 - No smoking sign - sku: NHE-14681 CS479130-1555</t>
  </si>
  <si>
    <t>6225-23 - building repair &amp; maintenance</t>
  </si>
  <si>
    <t>6225-16 - building repair &amp; maintenance</t>
  </si>
  <si>
    <t>6225-11 - annual fire alarm inspections</t>
  </si>
  <si>
    <t>6225-18 - mulch in beds &amp; tree wells</t>
  </si>
  <si>
    <t>6225-16 - trim trees 7' high on entire property &amp; haul off debris</t>
  </si>
  <si>
    <t>6225-5 - carpet cleaning</t>
  </si>
  <si>
    <t>6225-17 Misc Supplies No Fishing Sign</t>
  </si>
  <si>
    <t>6225-16 - repaired main entry panic</t>
  </si>
  <si>
    <t>6225-11 Annual Fire Extinguisher Inspections</t>
  </si>
  <si>
    <t>6225-24 - MB Petters (3 lbs)</t>
  </si>
  <si>
    <t>6225-24 - Water Lab Test</t>
  </si>
  <si>
    <t>6225-17      27"x27" White PVC Sign 30.06, 30.07 Combo</t>
  </si>
  <si>
    <t>6225-17     20"x22" White PVC Sign 1ea 30.06, 1ea 30.07</t>
  </si>
  <si>
    <t>6225-17     8.5"x5" Sign Panel Cover</t>
  </si>
  <si>
    <t>6225-17     Complete New Room Sign</t>
  </si>
  <si>
    <t>6225-1 - HVAC filters</t>
  </si>
  <si>
    <t>6225-11 - backflow repair</t>
  </si>
  <si>
    <t>6225-14 - irrigation repairs</t>
  </si>
  <si>
    <t>Computer licenses</t>
  </si>
  <si>
    <t>6225-11 - annual sprinkler inspections</t>
  </si>
  <si>
    <t>6225-16 - Building repair &amp; maintenance</t>
  </si>
  <si>
    <t>6225-16 - water fountains</t>
  </si>
  <si>
    <t>6225-14 - trim trees &amp; haul off debris</t>
  </si>
  <si>
    <t>Assigned Funds - Generator - 25% per agreement</t>
  </si>
  <si>
    <t>Assigned Funds - 75% change order #1</t>
  </si>
  <si>
    <t>6225-8 elevator annual maintenance</t>
  </si>
  <si>
    <t>6225-8 3% discount for paying in full</t>
  </si>
  <si>
    <t>6225-11 - FA &amp; FE annual inspections</t>
  </si>
  <si>
    <t>6225-21 EDB34015 Square D 3 pole 480V 15A</t>
  </si>
  <si>
    <t>6225-2 Lennox 2 Ton Heat Pump Package Unit</t>
  </si>
  <si>
    <t>6225-19 - pest service call - 4 sm rodent boxes inside</t>
  </si>
  <si>
    <t>6225-2 - Building repair &amp; maintenance - HVAC</t>
  </si>
  <si>
    <t>6225-16 Elkay ECH8 Water Chiller</t>
  </si>
  <si>
    <t>6225-16 - bldg repair &amp; maint</t>
  </si>
  <si>
    <t>6225-19 - pest service call - ants sidewalk &amp; trees</t>
  </si>
  <si>
    <t>6225-17 Shipping</t>
  </si>
  <si>
    <t>2506</t>
  </si>
  <si>
    <t>02734C</t>
  </si>
  <si>
    <t>00498J</t>
  </si>
  <si>
    <t>57691</t>
  </si>
  <si>
    <t>169131</t>
  </si>
  <si>
    <t>01142J</t>
  </si>
  <si>
    <t>Harry Gibbs</t>
  </si>
  <si>
    <t>Lora Weber</t>
  </si>
  <si>
    <t>Larry Gaddes</t>
  </si>
  <si>
    <t>El Charrito Mexican Restaurant</t>
  </si>
  <si>
    <t>Hope Hisle-Piper</t>
  </si>
  <si>
    <t>6236-1 - TAAD Conference - lodging - HGibbs</t>
  </si>
  <si>
    <t>6236-1 - mileage reimbursement</t>
  </si>
  <si>
    <t>6236-1 - Reimbursement - TAAD Conference - lodging, airfare &amp; meals</t>
  </si>
  <si>
    <t>6236-1 - board luncheon - ARL, HHPope, LWeber</t>
  </si>
  <si>
    <t>6236-1 - Board luncheon reimbursement - HGibbs, LGaddes &amp; ALankford</t>
  </si>
  <si>
    <t>6236-1 - board meeting</t>
  </si>
  <si>
    <t>6236-1 - TAAD Conference - lodging &amp; mileage reimbursement</t>
  </si>
  <si>
    <t>6236-1 - Board luncheon - MMoses, JLux, ARL</t>
  </si>
  <si>
    <t>ZSPVR</t>
  </si>
  <si>
    <t>77886</t>
  </si>
  <si>
    <t>120276914</t>
  </si>
  <si>
    <t>9144</t>
  </si>
  <si>
    <t>439898</t>
  </si>
  <si>
    <t>ORDUS212513</t>
  </si>
  <si>
    <t>17061</t>
  </si>
  <si>
    <t>6410</t>
  </si>
  <si>
    <t>120316259</t>
  </si>
  <si>
    <t>441230</t>
  </si>
  <si>
    <t>2021.code books</t>
  </si>
  <si>
    <t>120342824</t>
  </si>
  <si>
    <t>60048</t>
  </si>
  <si>
    <t>442555</t>
  </si>
  <si>
    <t>120356212</t>
  </si>
  <si>
    <t>443889</t>
  </si>
  <si>
    <t>19999631</t>
  </si>
  <si>
    <t>6077847</t>
  </si>
  <si>
    <t>120380233</t>
  </si>
  <si>
    <t>445236</t>
  </si>
  <si>
    <t>Airpac, Inc.</t>
  </si>
  <si>
    <t>CBRE</t>
  </si>
  <si>
    <t>JD Power</t>
  </si>
  <si>
    <t>Infonation Inc.</t>
  </si>
  <si>
    <t>RERC</t>
  </si>
  <si>
    <t>Comptroller of Public Accounts</t>
  </si>
  <si>
    <t>Williamson County Sun</t>
  </si>
  <si>
    <t>6240-2 publication</t>
  </si>
  <si>
    <t>6240-23 - publication</t>
  </si>
  <si>
    <t>6240-14 - publication</t>
  </si>
  <si>
    <t>6240-28 - publication</t>
  </si>
  <si>
    <t>6240-22 - code books - 8</t>
  </si>
  <si>
    <t>6240-12 - Property Tax Protest ad</t>
  </si>
  <si>
    <t>6240-22 - publication</t>
  </si>
  <si>
    <t>6240-22 CBRE 2022 Trends in the U.S. Hotel Industry</t>
  </si>
  <si>
    <t>8440</t>
  </si>
  <si>
    <t>R042528-2022</t>
  </si>
  <si>
    <t>R086899-2022</t>
  </si>
  <si>
    <t>R411158-2022</t>
  </si>
  <si>
    <t>R098501-2022</t>
  </si>
  <si>
    <t>R417960-2022</t>
  </si>
  <si>
    <t>R409227-2022</t>
  </si>
  <si>
    <t>54134022223</t>
  </si>
  <si>
    <t>US436664</t>
  </si>
  <si>
    <t>R300223-2022</t>
  </si>
  <si>
    <t>20-1670-C26-02282023</t>
  </si>
  <si>
    <t>744624</t>
  </si>
  <si>
    <t>44262</t>
  </si>
  <si>
    <t>80044</t>
  </si>
  <si>
    <t>9423</t>
  </si>
  <si>
    <t>US436827</t>
  </si>
  <si>
    <t>80854693</t>
  </si>
  <si>
    <t>R102851-2022</t>
  </si>
  <si>
    <t>R579057-2022</t>
  </si>
  <si>
    <t>R569750-2022</t>
  </si>
  <si>
    <t>R554779-2022</t>
  </si>
  <si>
    <t>R454078-2022</t>
  </si>
  <si>
    <t>R597395-2022</t>
  </si>
  <si>
    <t>R411537-2022</t>
  </si>
  <si>
    <t>wire</t>
  </si>
  <si>
    <t>070-108334</t>
  </si>
  <si>
    <t>1348</t>
  </si>
  <si>
    <t>1347</t>
  </si>
  <si>
    <t>R303305-2022</t>
  </si>
  <si>
    <t>44726</t>
  </si>
  <si>
    <t>CAGMN0000330</t>
  </si>
  <si>
    <t>R048295-2022</t>
  </si>
  <si>
    <t>R070316-2022</t>
  </si>
  <si>
    <t>298521</t>
  </si>
  <si>
    <t>80299</t>
  </si>
  <si>
    <t>04062023</t>
  </si>
  <si>
    <t>R409230-2022</t>
  </si>
  <si>
    <t>5037586</t>
  </si>
  <si>
    <t>5037585</t>
  </si>
  <si>
    <t>CM-5551</t>
  </si>
  <si>
    <t>23-101-223</t>
  </si>
  <si>
    <t>8800</t>
  </si>
  <si>
    <t>R066231.2022</t>
  </si>
  <si>
    <t>54134041923</t>
  </si>
  <si>
    <t>10377716</t>
  </si>
  <si>
    <t>802379</t>
  </si>
  <si>
    <t>45100</t>
  </si>
  <si>
    <t>80494</t>
  </si>
  <si>
    <t>5037720</t>
  </si>
  <si>
    <t>TX02-23-0554-000</t>
  </si>
  <si>
    <t>R550856.22</t>
  </si>
  <si>
    <t>102-22</t>
  </si>
  <si>
    <t>1352</t>
  </si>
  <si>
    <t>85146712</t>
  </si>
  <si>
    <t>85147189</t>
  </si>
  <si>
    <t>10380590</t>
  </si>
  <si>
    <t>9561</t>
  </si>
  <si>
    <t>CAGMN0000357</t>
  </si>
  <si>
    <t>9493</t>
  </si>
  <si>
    <t>9631</t>
  </si>
  <si>
    <t>070-108623</t>
  </si>
  <si>
    <t>45517</t>
  </si>
  <si>
    <t>0364</t>
  </si>
  <si>
    <t>20005404</t>
  </si>
  <si>
    <t>23-14663</t>
  </si>
  <si>
    <t>5037512C</t>
  </si>
  <si>
    <t>R598200-2022</t>
  </si>
  <si>
    <t>R017975-2022</t>
  </si>
  <si>
    <t>R368999-2022</t>
  </si>
  <si>
    <t>R527580-2022</t>
  </si>
  <si>
    <t>80718</t>
  </si>
  <si>
    <t>22027</t>
  </si>
  <si>
    <t>R500326-22</t>
  </si>
  <si>
    <t>R558575-22</t>
  </si>
  <si>
    <t>1356</t>
  </si>
  <si>
    <t>54134061423</t>
  </si>
  <si>
    <t>R596041-2022</t>
  </si>
  <si>
    <t>R036417-22</t>
  </si>
  <si>
    <t>1767-9789</t>
  </si>
  <si>
    <t>9711</t>
  </si>
  <si>
    <t>0380</t>
  </si>
  <si>
    <t>CAGMN0000441</t>
  </si>
  <si>
    <t>07052023</t>
  </si>
  <si>
    <t>80925</t>
  </si>
  <si>
    <t>1462808</t>
  </si>
  <si>
    <t>R350404-22</t>
  </si>
  <si>
    <t>R455033.2022</t>
  </si>
  <si>
    <t>185-2023</t>
  </si>
  <si>
    <t>R516010-2022</t>
  </si>
  <si>
    <t>10387057</t>
  </si>
  <si>
    <t>1360</t>
  </si>
  <si>
    <t>R395881-2022</t>
  </si>
  <si>
    <t>R343304-2022</t>
  </si>
  <si>
    <t>EI01540393</t>
  </si>
  <si>
    <t>1363</t>
  </si>
  <si>
    <t>Central Texas Shredding Inc.</t>
  </si>
  <si>
    <t>Pictometry International Corp</t>
  </si>
  <si>
    <t>Tammy Fleming</t>
  </si>
  <si>
    <t>McMullen Law Firm</t>
  </si>
  <si>
    <t>Checkr, Inc</t>
  </si>
  <si>
    <t>Nichols, Jackson, Dillard, Hager &amp; Smith</t>
  </si>
  <si>
    <t>Drew &amp; McCallum PLLC</t>
  </si>
  <si>
    <t>Paula Wommack</t>
  </si>
  <si>
    <t>Segal</t>
  </si>
  <si>
    <t>Capitol Appraisal Group, LLC</t>
  </si>
  <si>
    <t>On Site Services</t>
  </si>
  <si>
    <t>Law Office of Lisa Richardson, PC</t>
  </si>
  <si>
    <t>Prototype IT</t>
  </si>
  <si>
    <t>CoreRecon</t>
  </si>
  <si>
    <t>John Dorie</t>
  </si>
  <si>
    <t>Mark Fishman</t>
  </si>
  <si>
    <t>Butler Snow</t>
  </si>
  <si>
    <t>Valbridge Property Advisors</t>
  </si>
  <si>
    <t>Derek Flowers</t>
  </si>
  <si>
    <t>Quantanite USA Inc</t>
  </si>
  <si>
    <t>Quantarium</t>
  </si>
  <si>
    <t>Hornsby &amp; Company</t>
  </si>
  <si>
    <t>Robert Weston Nuzum</t>
  </si>
  <si>
    <t>Carolyn Guillory</t>
  </si>
  <si>
    <t>Lexitas</t>
  </si>
  <si>
    <t>Felicia Harris Hoss</t>
  </si>
  <si>
    <t>Eide Bailly LLP</t>
  </si>
  <si>
    <t>6260-4 - MRA Services</t>
  </si>
  <si>
    <t>6260-2 - Binding Arbitration - 24622A22059 - Williams Forest</t>
  </si>
  <si>
    <t>6260-2 - Binding Arbitration - 24622A22095 - George Q Liu</t>
  </si>
  <si>
    <t>6260-2 - Binding Arbitration - 24622A22065 - Xia Zhou</t>
  </si>
  <si>
    <t>6260-2 - Binding Arbitration - 24622A22066 - Aman Grover</t>
  </si>
  <si>
    <t>6260-2 - Binding Arbitration - 24622A22051 - Xiao Dong</t>
  </si>
  <si>
    <t>6260-2 - Binding Arbitration - 24622A22093 - Jack Thomison</t>
  </si>
  <si>
    <t>6260-13 - Shredding services</t>
  </si>
  <si>
    <t>6260-6 - Reveal Essentials Plus - Property (1,187)</t>
  </si>
  <si>
    <t>6260-6 - CONNECT image services</t>
  </si>
  <si>
    <t>6260-6 - Future view adv training</t>
  </si>
  <si>
    <t>6260-2 - Binding arbitration - 24622A22028 - DYR Real Estate</t>
  </si>
  <si>
    <t>6260-9 - Mediation - 20-1670-C26 - Westdale Hunters Chase</t>
  </si>
  <si>
    <t>6260-7 - background checks 4 employees</t>
  </si>
  <si>
    <t>6260-9 - professional services</t>
  </si>
  <si>
    <t>6260-12 - monthly reporting</t>
  </si>
  <si>
    <t>6260-6 - ChangeFinder - Change Detection (Contracted 220,000, Delivered 261,685)</t>
  </si>
  <si>
    <t>6260-6 - ChangeFinder - project fee</t>
  </si>
  <si>
    <t>6260-9 - Mediations</t>
  </si>
  <si>
    <t>6260-2 - Arbitration - Jeff Kotel - R102851 - 24622A22110</t>
  </si>
  <si>
    <t>6260-2 - Binding Arbitration - 24622A22036 - MKNGUMMAS Properties LLC</t>
  </si>
  <si>
    <t>6260-2 - Binding Arbitration - 24622A22030 - Tinakaran K Chinnachamy</t>
  </si>
  <si>
    <t>6260-2 - Binding Arbitration - 24622A22077 - Sudarshan Balasubramanian</t>
  </si>
  <si>
    <t>6260-2 - Binding Arbitration - 24622A22076 - Sunny Sehgal</t>
  </si>
  <si>
    <t>6260-2 - Binding Arbitration - 24622A22084 - Thomas Burnette</t>
  </si>
  <si>
    <t>6260-2 - Binding Arbitration - 24622A22090 - Tanuj Aggarwal</t>
  </si>
  <si>
    <t>6260-5 - market survey</t>
  </si>
  <si>
    <t>6260-5 - mass import &amp; delete</t>
  </si>
  <si>
    <t>6260-2 - Binding Arbitration - 24622A22081 - Neeraj Srivastava</t>
  </si>
  <si>
    <t>6260-10 - Appraisal services</t>
  </si>
  <si>
    <t>6260-2 - Binding Arbitration - 24622A22112 - Whisper Oaks Holdings LLC</t>
  </si>
  <si>
    <t>6260-2 - Binding Arbitration - 24622A22109 - Jeffrey Kim</t>
  </si>
  <si>
    <t>6260-7 - Employment screening - 5 employees</t>
  </si>
  <si>
    <t>6260-9 - Mediation - 5 cases</t>
  </si>
  <si>
    <t>6260-2 - Binding Arbitration - 24622A22092 - Jack Thomison</t>
  </si>
  <si>
    <t>6260-17 - IT Consulting</t>
  </si>
  <si>
    <t>6260-17 - IT Consulting - new client on-boarding</t>
  </si>
  <si>
    <t>6260-4 - Cyber Security Services</t>
  </si>
  <si>
    <t>6260-2 - Binding Arbitration - 24622A22123 - P487449</t>
  </si>
  <si>
    <t>6260-2 - Binding Arbitration - 24622A22088 - R066231</t>
  </si>
  <si>
    <t>6260-7 - background checks 1 employee</t>
  </si>
  <si>
    <t>6260-9 - Appraisal - Spicewood Centre 19-1381-C425</t>
  </si>
  <si>
    <t>6260-2 - Binding Arbitration - 24622A22089 - Gregory Larson - R550856</t>
  </si>
  <si>
    <t>6260-2 - Binding Arbitration - 24622A22102 - WBW Single Land Investment</t>
  </si>
  <si>
    <t>6260-5 - field mobile mass update</t>
  </si>
  <si>
    <t>6260-11 - Phone answering services</t>
  </si>
  <si>
    <t>6260-8 - CV image processing - land use chg detection</t>
  </si>
  <si>
    <t>6260-9 - 12342 Hunters Chase Drive - Appraisal Services</t>
  </si>
  <si>
    <t>6260-2 - Binding Arbitration - 24622A22127 - Tracy Allen</t>
  </si>
  <si>
    <t>6260-2 - Binding Arbitration - 24622A22128 - Stephanie Escobar</t>
  </si>
  <si>
    <t>6260-2 - Binding Arbitration - 24622A22173 - Bushart</t>
  </si>
  <si>
    <t>6260-2 - Binding Arbitration - 24622A22126 - Venkata</t>
  </si>
  <si>
    <t>6260-5 - development hours - Zoho</t>
  </si>
  <si>
    <t>6260-2 - Binding Arbitration - 24622A22172 - Digitts LTD - R500326</t>
  </si>
  <si>
    <t>6260-2 - Binding Arbitration - 24622A22163 - MCC Texas Enterprises LP - R558575</t>
  </si>
  <si>
    <t>6260-2 - Arbitration - 24622A22073 - Harsha Anantapatnaikuni - R596041</t>
  </si>
  <si>
    <t>6260-2 - Binding Arbitration - 24622A22166 - Pevot Family Investments LTD - R036417</t>
  </si>
  <si>
    <t>6260-7 - background checks</t>
  </si>
  <si>
    <t>6260-9 - Mediation - 9 cases</t>
  </si>
  <si>
    <t>6260-9 - Deposition - Cause #19-1381-C425 - Austintatious Enterprises LLC</t>
  </si>
  <si>
    <t>6260-2 - Binding Arbitration - 24622A22193 - Linda Bradshaw</t>
  </si>
  <si>
    <t>6260-2 - Binding Arbitration - 24622A22135 - Blue Mockingbird Homes LLC</t>
  </si>
  <si>
    <t>6260-2 - Binding Arbitration - 24622A22185</t>
  </si>
  <si>
    <t>6260-2 - Binding Arbitration - 24622A22202 - James Williams</t>
  </si>
  <si>
    <t>6260-2 - Binding Arbitration - 24622A22205 - David Dunn</t>
  </si>
  <si>
    <t>6260-2 - Binding Arbitration - 24622A222068 - Amirhossein Moeini</t>
  </si>
  <si>
    <t>6260-1 audit 2022</t>
  </si>
  <si>
    <t>6260-1 audit - asst w/GASB 87 leases</t>
  </si>
  <si>
    <t>23AR12146469</t>
  </si>
  <si>
    <t>SIDMN0001425</t>
  </si>
  <si>
    <t>03052023</t>
  </si>
  <si>
    <t>23AR1279785</t>
  </si>
  <si>
    <t>54206333</t>
  </si>
  <si>
    <t>070-108404</t>
  </si>
  <si>
    <t>042623</t>
  </si>
  <si>
    <t>P1-83930222</t>
  </si>
  <si>
    <t>05052023</t>
  </si>
  <si>
    <t>05102023</t>
  </si>
  <si>
    <t>070-108576</t>
  </si>
  <si>
    <t>06052023</t>
  </si>
  <si>
    <t>69198422</t>
  </si>
  <si>
    <t>135748</t>
  </si>
  <si>
    <t>94518865</t>
  </si>
  <si>
    <t>Intuit</t>
  </si>
  <si>
    <t>ESRI, Inc.</t>
  </si>
  <si>
    <t>6280-28 - Map Editor Maintenance</t>
  </si>
  <si>
    <t>6280-33 - TrueRoll Exemption Monitoring year 2 (04/01/2023 - 03/31/2024)</t>
  </si>
  <si>
    <t>6280-24 - annual subscription</t>
  </si>
  <si>
    <t>6280-41 - Orion Field Mobile Maintenance &amp; Support</t>
  </si>
  <si>
    <t>6280-8 ManageEngine ServiceDesk Plus 3 Techs</t>
  </si>
  <si>
    <t>6280-43 - VMware support subscription</t>
  </si>
  <si>
    <t>6280-9 - ArcGIS Desktop advanced Concurrent Use Primary Maintenance</t>
  </si>
  <si>
    <t>6280-10 - ArcGIS Desktop Advanced Concurrent Use Secondary Maintenance</t>
  </si>
  <si>
    <t>6280-11 - ArcGIS Desktop Standard Concurrent Use Primary Maintenance</t>
  </si>
  <si>
    <t>6280-12 - ArcGIS Desktop Standard Concurrent Use Secondary Maintenance</t>
  </si>
  <si>
    <t>6280-16 - ArcGIS Spatial Analyst for Desktop Concurrent Use Primary Maintenance</t>
  </si>
  <si>
    <t>6280-17 - ArcGIS 3D Analyst for Desktop Concurrent Use Primary Maintenance</t>
  </si>
  <si>
    <t>6280-18 - ArcGIS Geostatistical Analyst for Desktop Concurrent Use Primary Maintenance</t>
  </si>
  <si>
    <t>6280-13 - ArcGIS Desktop Basic Single Use Primary Maintenance</t>
  </si>
  <si>
    <t>6280-14 - ArcGIS Desktop Basic Single Use Secondary Maintenance</t>
  </si>
  <si>
    <t>6280-15 - ArcGIS Enterprise Standard Up to Four Cores Maintenance</t>
  </si>
  <si>
    <t>Credit Card Credit</t>
  </si>
  <si>
    <t>000123</t>
  </si>
  <si>
    <t>ERYS</t>
  </si>
  <si>
    <t>61362</t>
  </si>
  <si>
    <t>Refund.2023</t>
  </si>
  <si>
    <t>11956</t>
  </si>
  <si>
    <t>ECZW7M68</t>
  </si>
  <si>
    <t>refund.2023</t>
  </si>
  <si>
    <t>143986</t>
  </si>
  <si>
    <t>64252</t>
  </si>
  <si>
    <t>03222023</t>
  </si>
  <si>
    <t>03262023</t>
  </si>
  <si>
    <t>2041</t>
  </si>
  <si>
    <t>11989</t>
  </si>
  <si>
    <t>67301</t>
  </si>
  <si>
    <t>69014310</t>
  </si>
  <si>
    <t>2562</t>
  </si>
  <si>
    <t>12028</t>
  </si>
  <si>
    <t>70395</t>
  </si>
  <si>
    <t>2574892418</t>
  </si>
  <si>
    <t>PDQ44749</t>
  </si>
  <si>
    <t>2936</t>
  </si>
  <si>
    <t>12063</t>
  </si>
  <si>
    <t>82137B</t>
  </si>
  <si>
    <t>53DKY</t>
  </si>
  <si>
    <t>10119</t>
  </si>
  <si>
    <t>73681</t>
  </si>
  <si>
    <t>3402</t>
  </si>
  <si>
    <t>12082</t>
  </si>
  <si>
    <t>12140</t>
  </si>
  <si>
    <t>77102</t>
  </si>
  <si>
    <t>3869</t>
  </si>
  <si>
    <t>69307226</t>
  </si>
  <si>
    <t>12167</t>
  </si>
  <si>
    <t>Flywheel</t>
  </si>
  <si>
    <t>PDQ/SmartDeploy</t>
  </si>
  <si>
    <t>TechSmith</t>
  </si>
  <si>
    <t>Nitro Software, Inc</t>
  </si>
  <si>
    <t>6285-6 - credit (reversed taxes chrgd1/13/2023)</t>
  </si>
  <si>
    <t>6285-10 - tax</t>
  </si>
  <si>
    <t>6285-9 Kiwi Cat Tools</t>
  </si>
  <si>
    <t>6285-12 - office 365</t>
  </si>
  <si>
    <t>minor equipment</t>
  </si>
  <si>
    <t>6285-10 - agent portal renewal</t>
  </si>
  <si>
    <t>6285-10 - refund</t>
  </si>
  <si>
    <t>6285-13 1 year of professional upgrade</t>
  </si>
  <si>
    <t>6285-13 Credit for existing upgrade</t>
  </si>
  <si>
    <t>6285-4 - Standard Wildcard SSL renewal - 2yrs</t>
  </si>
  <si>
    <t>6285-11 52 Security License - 1 year</t>
  </si>
  <si>
    <t>6285-4 - license renewal</t>
  </si>
  <si>
    <t>6285-10 PDQ Deploy/Inventory  one admin license</t>
  </si>
  <si>
    <t>6285-10 - licenses</t>
  </si>
  <si>
    <t>6285-15 - computer licenses</t>
  </si>
  <si>
    <t>6285-10 50 more asset licenses for zoho ManageEngine</t>
  </si>
  <si>
    <t>6310 · ARB Contract Labor</t>
  </si>
  <si>
    <t>Total 6310 · ARB Contract Labor</t>
  </si>
  <si>
    <t>6.2023</t>
  </si>
  <si>
    <t>07.203</t>
  </si>
  <si>
    <t>Jane Schwartz</t>
  </si>
  <si>
    <t>Lavern E Curry</t>
  </si>
  <si>
    <t>Donna Cannon</t>
  </si>
  <si>
    <t>Steven Schwartz</t>
  </si>
  <si>
    <t>Stephen R Heimberg</t>
  </si>
  <si>
    <t>Amy Kahn</t>
  </si>
  <si>
    <t>James J. Greene</t>
  </si>
  <si>
    <t>Mary Bonnette</t>
  </si>
  <si>
    <t>Allen W Barr, II</t>
  </si>
  <si>
    <t>Andrew Koester</t>
  </si>
  <si>
    <t>Beth Nicoson</t>
  </si>
  <si>
    <t>Brenda Oliver</t>
  </si>
  <si>
    <t>Coletta Ruggiero</t>
  </si>
  <si>
    <t>Herbert Williams</t>
  </si>
  <si>
    <t>Irv Barenblat</t>
  </si>
  <si>
    <t>James L. Dunham</t>
  </si>
  <si>
    <t>Joan M Straach</t>
  </si>
  <si>
    <t>John Pendleton</t>
  </si>
  <si>
    <t>Kim Peterson</t>
  </si>
  <si>
    <t>Kurt Iverson</t>
  </si>
  <si>
    <t>Roysanne Drummer-Baker</t>
  </si>
  <si>
    <t>Sandra George</t>
  </si>
  <si>
    <t>Stanley Schwartz</t>
  </si>
  <si>
    <t>6310-2 - ARB hearings</t>
  </si>
  <si>
    <t>6310-2 - ARB Hearings</t>
  </si>
  <si>
    <t>6310-6 - ARB Hearings Chair</t>
  </si>
  <si>
    <t>6310-4 ARB Meetings</t>
  </si>
  <si>
    <t>6310-1 - ARB Meetings</t>
  </si>
  <si>
    <t>6310-1 - ARB meetings</t>
  </si>
  <si>
    <t>6310-3 - ARB Meetings</t>
  </si>
  <si>
    <t>6310-4 - ARB Meetings</t>
  </si>
  <si>
    <t>6310-2 - ARB Meetings</t>
  </si>
  <si>
    <t>6310-6 - Chair</t>
  </si>
  <si>
    <t>6310-4 -  ARB Meetings</t>
  </si>
  <si>
    <t>6310-5 - Secretary</t>
  </si>
  <si>
    <t>6310-3 - ARB meetings</t>
  </si>
  <si>
    <t>6310-3  ARB Meetings</t>
  </si>
  <si>
    <t>6310-1 - ARB Hearings</t>
  </si>
  <si>
    <t>6320 · ARB Supplies</t>
  </si>
  <si>
    <t>Total 6320 · ARB Supplies</t>
  </si>
  <si>
    <t>1P94-9TNQ-1GQT</t>
  </si>
  <si>
    <t>97944</t>
  </si>
  <si>
    <t>6320-1 - ARB supplies</t>
  </si>
  <si>
    <t>6320-1 - name plates</t>
  </si>
  <si>
    <t>6330 · ARB Forms &amp; Printing</t>
  </si>
  <si>
    <t>Total 6330 · ARB Forms &amp; Printing</t>
  </si>
  <si>
    <t>830348</t>
  </si>
  <si>
    <t>846666</t>
  </si>
  <si>
    <t>Print Management Partners</t>
  </si>
  <si>
    <t>6330-3 - special 6x9.5 window envelopes</t>
  </si>
  <si>
    <t>6330-2 - postage for mailing out noh ltrs</t>
  </si>
  <si>
    <t>6330-2 - ARB notice of hearing letters</t>
  </si>
  <si>
    <t>6330-4 - certified letters</t>
  </si>
  <si>
    <t>13JD-THYJ-DVLR</t>
  </si>
  <si>
    <t>1FMW-666L-GXD7</t>
  </si>
  <si>
    <t>1XQP-RCWH-7PTF</t>
  </si>
  <si>
    <t>1YR3-QV6D-77L1</t>
  </si>
  <si>
    <t>17VQ-N34H-NQGR</t>
  </si>
  <si>
    <t>1PGR-4V7V-MD41</t>
  </si>
  <si>
    <t>1J4L-N1PL-N1QW</t>
  </si>
  <si>
    <t>6160-11 - Toner cartridges</t>
  </si>
  <si>
    <t>6160-1 - computer supplies</t>
  </si>
  <si>
    <t>2651548530</t>
  </si>
  <si>
    <t>80603</t>
  </si>
  <si>
    <t>69385729</t>
  </si>
  <si>
    <t>4351</t>
  </si>
  <si>
    <t>12212</t>
  </si>
  <si>
    <t>84199</t>
  </si>
  <si>
    <t>09122023</t>
  </si>
  <si>
    <t>4771</t>
  </si>
  <si>
    <t>2736758872</t>
  </si>
  <si>
    <t>12256</t>
  </si>
  <si>
    <t>3734605</t>
  </si>
  <si>
    <t>87889</t>
  </si>
  <si>
    <t>2755674361</t>
  </si>
  <si>
    <t>12296</t>
  </si>
  <si>
    <t>5231</t>
  </si>
  <si>
    <t>69585587</t>
  </si>
  <si>
    <t>12309</t>
  </si>
  <si>
    <t>143854</t>
  </si>
  <si>
    <t>91642</t>
  </si>
  <si>
    <t>5683</t>
  </si>
  <si>
    <t>12348</t>
  </si>
  <si>
    <t>cb-95528</t>
  </si>
  <si>
    <t>6125</t>
  </si>
  <si>
    <t>Voomly</t>
  </si>
  <si>
    <t>6285-2 - subscription fee</t>
  </si>
  <si>
    <t>6285-4 - Standard Wildcard SSL renewal</t>
  </si>
  <si>
    <t>6285-4 - standard SSL renewal</t>
  </si>
  <si>
    <t>Assigned Funds - Implementation - Commercial Appeals</t>
  </si>
  <si>
    <t>6285-16 - Veeam: Suite universal license renewal</t>
  </si>
  <si>
    <t>1YX3-9M16-XK99</t>
  </si>
  <si>
    <t>17M9-VMQ6-MYMW</t>
  </si>
  <si>
    <t>WM43460749</t>
  </si>
  <si>
    <t>1WFW-9F1N-G91C</t>
  </si>
  <si>
    <t>1XTQ-CDHD-4TV7</t>
  </si>
  <si>
    <t>1VQF-V7X4-NHYW</t>
  </si>
  <si>
    <t>1FDL-J7Q7-HMGP</t>
  </si>
  <si>
    <t>131C-6GV6-3LJQ</t>
  </si>
  <si>
    <t>100360</t>
  </si>
  <si>
    <t>100353</t>
  </si>
  <si>
    <t>14NT-HPV6-1X3K</t>
  </si>
  <si>
    <t>100508</t>
  </si>
  <si>
    <t>100582</t>
  </si>
  <si>
    <t>10.2023</t>
  </si>
  <si>
    <t>1VLM-1XKW-1LQN</t>
  </si>
  <si>
    <t>1RPL-3HJY-6WKT</t>
  </si>
  <si>
    <t>1DPJ-NKMC-6F3Y</t>
  </si>
  <si>
    <t>1Y9K-J1N7-9JKV</t>
  </si>
  <si>
    <t>1MJH-DLKH-CLQ1</t>
  </si>
  <si>
    <t>1289</t>
  </si>
  <si>
    <t>1946Q7YH-4FH7</t>
  </si>
  <si>
    <t>341057988001</t>
  </si>
  <si>
    <t>4922708</t>
  </si>
  <si>
    <t>1CW9-F3CQ-9VV</t>
  </si>
  <si>
    <t>3511</t>
  </si>
  <si>
    <t>17T9-4JHY-T6YW</t>
  </si>
  <si>
    <t>1NKX-KF73-679V</t>
  </si>
  <si>
    <t>02702J</t>
  </si>
  <si>
    <t>1RLK-9F47-73HF</t>
  </si>
  <si>
    <t>1JGC-N6PF-3KXY</t>
  </si>
  <si>
    <t>1FGP-HPGV-C4XQ</t>
  </si>
  <si>
    <t>1YFF-JL49-CHTP</t>
  </si>
  <si>
    <t>1K1J-KP9G-3J6R</t>
  </si>
  <si>
    <t>17989</t>
  </si>
  <si>
    <t>19RJ-JCCP-6CH6</t>
  </si>
  <si>
    <t>1C4Y-HQMH-JRMM</t>
  </si>
  <si>
    <t>1FRR-DJNW-Q6XQ</t>
  </si>
  <si>
    <t>1KFQ-K1JV-F3KM</t>
  </si>
  <si>
    <t>1HPD-XLMY-LK4L</t>
  </si>
  <si>
    <t>11JJ-3DT3-3DM1</t>
  </si>
  <si>
    <t>1X4R-TY19-4KT4</t>
  </si>
  <si>
    <t>13JK-C6MH-JTJP</t>
  </si>
  <si>
    <t>1QJT-N6YP-TVLY</t>
  </si>
  <si>
    <t>1V19-6J7K-6GMM</t>
  </si>
  <si>
    <t>348224967001</t>
  </si>
  <si>
    <t>348225641001</t>
  </si>
  <si>
    <t>12.2023</t>
  </si>
  <si>
    <t>1KPT-6FC9-RK9M</t>
  </si>
  <si>
    <t>13FX-DLTG-YND4</t>
  </si>
  <si>
    <t>GHS - Georgettes</t>
  </si>
  <si>
    <t>GTown Cap Co LLC</t>
  </si>
  <si>
    <t>The American Registry</t>
  </si>
  <si>
    <t>Patriot Supply Company</t>
  </si>
  <si>
    <t>Hobby Lobby</t>
  </si>
  <si>
    <t>Stephanie Heatley-Dugger - HD</t>
  </si>
  <si>
    <t>6110-8 - business cards - CAvila</t>
  </si>
  <si>
    <t>6110-8 - business cards - MLopez</t>
  </si>
  <si>
    <t>6110-8 - name plate</t>
  </si>
  <si>
    <t>6110-8 - business cards - RMeyer</t>
  </si>
  <si>
    <t>6110-8 - Christmas Decorations - Poinsettias</t>
  </si>
  <si>
    <t>6110-4 - company shirts</t>
  </si>
  <si>
    <t>6110-8 - Awards</t>
  </si>
  <si>
    <t>6110-6 - Texas &amp; USA flags (3 each)</t>
  </si>
  <si>
    <t>Computer supplies</t>
  </si>
  <si>
    <t>6110-9 - postage supplies</t>
  </si>
  <si>
    <t>6110-11 (12) Sokkia Appraisal Tape 100' F/G with Appraiser's Hook 845174-8ths</t>
  </si>
  <si>
    <t>Toner cartridge</t>
  </si>
  <si>
    <t>2006 · Credit Card - The Home Depot</t>
  </si>
  <si>
    <t>0015766</t>
  </si>
  <si>
    <t>0015829</t>
  </si>
  <si>
    <t>08082023</t>
  </si>
  <si>
    <t>0015926</t>
  </si>
  <si>
    <t>092023</t>
  </si>
  <si>
    <t>0016148</t>
  </si>
  <si>
    <t>88562</t>
  </si>
  <si>
    <t>88210</t>
  </si>
  <si>
    <t>0016249</t>
  </si>
  <si>
    <t>6120-4 - trueroll certified letters</t>
  </si>
  <si>
    <t>Residential Survey</t>
  </si>
  <si>
    <t>ARB Certified determination ltrs</t>
  </si>
  <si>
    <t>29654</t>
  </si>
  <si>
    <t>87316</t>
  </si>
  <si>
    <t>30674</t>
  </si>
  <si>
    <t>30748</t>
  </si>
  <si>
    <t>30859</t>
  </si>
  <si>
    <t>30550-1</t>
  </si>
  <si>
    <t>52507</t>
  </si>
  <si>
    <t>31113</t>
  </si>
  <si>
    <t>31223</t>
  </si>
  <si>
    <t>100456</t>
  </si>
  <si>
    <t>Stolen check</t>
  </si>
  <si>
    <t>Verabank</t>
  </si>
  <si>
    <t>6130-15 - stolen check issued to Usio - name was alted to Anthony Morin and amount changed from ...</t>
  </si>
  <si>
    <t>6130-21 - Mailing services for tax rate website postcard (228,089)</t>
  </si>
  <si>
    <t>6130-15 - HS postcard mailout (min chrg)</t>
  </si>
  <si>
    <t>6130-15 - HS postcard mailout (869)</t>
  </si>
  <si>
    <t>6130-15 - HS postcard mailout (1,009) - re-issue original check was stolen and altered</t>
  </si>
  <si>
    <t>6130-13 - #10 window - 10K</t>
  </si>
  <si>
    <t>6130-15 - HS postcard mailout (846)</t>
  </si>
  <si>
    <t>6130-17 - residential survey (5,512)</t>
  </si>
  <si>
    <t>6130-15 - HS postcard mailout (4,227)</t>
  </si>
  <si>
    <t>6130-12 - Business reply envelopes (#9) - 5,000</t>
  </si>
  <si>
    <t>14688</t>
  </si>
  <si>
    <t>14888</t>
  </si>
  <si>
    <t>15067</t>
  </si>
  <si>
    <t>15264</t>
  </si>
  <si>
    <t>1JWJ-17TT-6X4G</t>
  </si>
  <si>
    <t>1DLP-JRQQ-K67M</t>
  </si>
  <si>
    <t>0579</t>
  </si>
  <si>
    <t>7278785</t>
  </si>
  <si>
    <t>10702795360</t>
  </si>
  <si>
    <t>0604</t>
  </si>
  <si>
    <t>17K9-4WCF-1QW9</t>
  </si>
  <si>
    <t>10708564984</t>
  </si>
  <si>
    <t>6809</t>
  </si>
  <si>
    <t>1WDP-YG6V-M1RQ</t>
  </si>
  <si>
    <t>17ML-4M66-N4P9</t>
  </si>
  <si>
    <t>1RDN-CMFW-6W46</t>
  </si>
  <si>
    <t>1QKT-V9P7-MVTF</t>
  </si>
  <si>
    <t>Cox Office Furniture</t>
  </si>
  <si>
    <t>6150-6 HP 12C Financial Calculator</t>
  </si>
  <si>
    <t>6150-6 Ceiling Height Measuring Tool</t>
  </si>
  <si>
    <t>6150-6 Vivo 42" Standing desk</t>
  </si>
  <si>
    <t>6150-6 - Hoover carpet cleaner</t>
  </si>
  <si>
    <t>6150-6 Microsoft Surface Laptop 5</t>
  </si>
  <si>
    <t>6150-5 Dell Latitude 7430 - J.Miller</t>
  </si>
  <si>
    <t>6150-6 Zozen Measuring Wheel in Feet and Inches, Collapsible with One key to Zero, Kickstand, St...</t>
  </si>
  <si>
    <t>6150-2 Fujitsu FI-7700 Production scanner</t>
  </si>
  <si>
    <t>6150-5 - Assigned funds Dell R740 with Datacenter</t>
  </si>
  <si>
    <t>6150-5 Surface pro 8 Tablet w/LTE</t>
  </si>
  <si>
    <t>6150-5 Surface pro 8 keyboard</t>
  </si>
  <si>
    <t>6150-5 AOAO Surface pro 8 case</t>
  </si>
  <si>
    <t>6150-6 - Manager Desk - PL177RCH 71"W Bow Front Desk Shell w/Right Ext1</t>
  </si>
  <si>
    <t>6150-6 - Manager Desk - PL143CH Credenza Shell 71 W"X24D"S30H" Cherry</t>
  </si>
  <si>
    <t>6150-6 - Manager Desk - PL170CH 48"W Bridge 24D"X29"H Cherry</t>
  </si>
  <si>
    <t>6150-6 - Manager Desk - PL166CH B/B/F Pedestal 22"D Cherry</t>
  </si>
  <si>
    <t>6150-6 - Manager Desk - PL160CH Corner Bookcase 24"WX24"Dx29"H Cherry</t>
  </si>
  <si>
    <t>6150-6 - Delivery Service fee</t>
  </si>
  <si>
    <t>6150-6 ELO Touch E326738 LCD touch monitor</t>
  </si>
  <si>
    <t>6150-6 MeLE Quieter fanless mini pc</t>
  </si>
  <si>
    <t>6150-8 ikling USB C hub</t>
  </si>
  <si>
    <t>6150-6 - promo discounts</t>
  </si>
  <si>
    <t>6150-6 Depstech Webcam Model: D04  ASIN: B088D3Y2YC</t>
  </si>
  <si>
    <t>6150-6 NUBWO HW02 USB Headset Model: HW02   ASIN: B08P37VLHY</t>
  </si>
  <si>
    <t>6150-5 5 Pack USB C to USB A 6 Foot Cable Model: L6LUC046-CS-R    ASIN: B07CZQWNCK</t>
  </si>
  <si>
    <t>6150-5 Anker USB C to USB C 6 Foot Cable Model: B8757011    ASIN: B09LCJPZ1P</t>
  </si>
  <si>
    <t>6150-5 Laptop Car Charger USB C DC Adapter UNSPSC Code: 26111704     ASIN: B08215YKYV</t>
  </si>
  <si>
    <t>6150-6 VIVO 48" standing desk convertor - AmyU</t>
  </si>
  <si>
    <t>6150-7 Locking wallmount case for surface pro x</t>
  </si>
  <si>
    <t>1M3P-9W96-XYRJ</t>
  </si>
  <si>
    <t>1G7F-CFYR-6XNY</t>
  </si>
  <si>
    <t>1DJM-NXC4-J376</t>
  </si>
  <si>
    <t>19TJ-CCFC-L6NK</t>
  </si>
  <si>
    <t>1QP7-HNQX-34NJ</t>
  </si>
  <si>
    <t>1HNJ-1XXY-6CKL</t>
  </si>
  <si>
    <t>19KQ-MKVN-MTGC</t>
  </si>
  <si>
    <t>1763H-HQWN-JTC1</t>
  </si>
  <si>
    <t>Idrive E2</t>
  </si>
  <si>
    <t>6160-7 - Computer supplies</t>
  </si>
  <si>
    <t>6160-5 Seagate IronWolf Pro 16 TB HDD Model: ST16000NE000  ASIN: B07SLPTK17</t>
  </si>
  <si>
    <t>6160-11 ANKINK 85A Toner 4 Pack for HP 1102 ASIN: B0C9LD23VZ</t>
  </si>
  <si>
    <t>6160-5 Idrive E2 100 TB 1 year of cloud storage</t>
  </si>
  <si>
    <t>6160-7 Poly CS540 Phone Headsets</t>
  </si>
  <si>
    <t>6160-8 handsfree barcode scanner</t>
  </si>
  <si>
    <t>6160-4 - computer supplies</t>
  </si>
  <si>
    <t>6160-8 - computer supplies</t>
  </si>
  <si>
    <t>6160-11 HP 58A toner cartridge for Kimberly's printer</t>
  </si>
  <si>
    <t>1150975</t>
  </si>
  <si>
    <t>1411-5510</t>
  </si>
  <si>
    <t>3863</t>
  </si>
  <si>
    <t>07192023</t>
  </si>
  <si>
    <t>1398-1084</t>
  </si>
  <si>
    <t>072823</t>
  </si>
  <si>
    <t>3943</t>
  </si>
  <si>
    <t>1781-5170</t>
  </si>
  <si>
    <t>1870-9352</t>
  </si>
  <si>
    <t>1696-1976</t>
  </si>
  <si>
    <t>1865-6190</t>
  </si>
  <si>
    <t>1501-2290</t>
  </si>
  <si>
    <t>1479-9032</t>
  </si>
  <si>
    <t>07282023</t>
  </si>
  <si>
    <t>1150626</t>
  </si>
  <si>
    <t>86697</t>
  </si>
  <si>
    <t>1159728</t>
  </si>
  <si>
    <t>1688-9136</t>
  </si>
  <si>
    <t>1795-5173</t>
  </si>
  <si>
    <t>10647724</t>
  </si>
  <si>
    <t>1736-9560</t>
  </si>
  <si>
    <t>1363-0813</t>
  </si>
  <si>
    <t>1311-4293</t>
  </si>
  <si>
    <t>1560-7873</t>
  </si>
  <si>
    <t>1868-4791</t>
  </si>
  <si>
    <t>1642-2947</t>
  </si>
  <si>
    <t>1161327</t>
  </si>
  <si>
    <t>1161325</t>
  </si>
  <si>
    <t>01397C</t>
  </si>
  <si>
    <t>86853</t>
  </si>
  <si>
    <t>730</t>
  </si>
  <si>
    <t>623-23</t>
  </si>
  <si>
    <t>624-23</t>
  </si>
  <si>
    <t>47811131</t>
  </si>
  <si>
    <t>035CIB</t>
  </si>
  <si>
    <t>INVZ00024330</t>
  </si>
  <si>
    <t>47856</t>
  </si>
  <si>
    <t>B-10647724</t>
  </si>
  <si>
    <t>81864</t>
  </si>
  <si>
    <t>1499-9490</t>
  </si>
  <si>
    <t>1542-0077</t>
  </si>
  <si>
    <t>687677</t>
  </si>
  <si>
    <t>3575-0221</t>
  </si>
  <si>
    <t>0822</t>
  </si>
  <si>
    <t>02234J</t>
  </si>
  <si>
    <t>1877-9391</t>
  </si>
  <si>
    <t>1809-8309</t>
  </si>
  <si>
    <t>1165414</t>
  </si>
  <si>
    <t>781435</t>
  </si>
  <si>
    <t>02378J</t>
  </si>
  <si>
    <t>1427</t>
  </si>
  <si>
    <t>082023</t>
  </si>
  <si>
    <t>1534-7685</t>
  </si>
  <si>
    <t>1861-5510</t>
  </si>
  <si>
    <t>1854-3579</t>
  </si>
  <si>
    <t>400027</t>
  </si>
  <si>
    <t>1239-3780</t>
  </si>
  <si>
    <t>1885-9043</t>
  </si>
  <si>
    <t>1645-5213</t>
  </si>
  <si>
    <t>1318-7692</t>
  </si>
  <si>
    <t>1794-9316</t>
  </si>
  <si>
    <t>1386-4821</t>
  </si>
  <si>
    <t>1686-0928</t>
  </si>
  <si>
    <t>1545-5715</t>
  </si>
  <si>
    <t>2032809980</t>
  </si>
  <si>
    <t>2032809478</t>
  </si>
  <si>
    <t>2032809938</t>
  </si>
  <si>
    <t>2032809946</t>
  </si>
  <si>
    <t>2032809955</t>
  </si>
  <si>
    <t>2032809965</t>
  </si>
  <si>
    <t>2032809971</t>
  </si>
  <si>
    <t>2032809975</t>
  </si>
  <si>
    <t>2032809984</t>
  </si>
  <si>
    <t>02507C</t>
  </si>
  <si>
    <t>460350</t>
  </si>
  <si>
    <t>44528487</t>
  </si>
  <si>
    <t>Sept.2023</t>
  </si>
  <si>
    <t>1216-3832</t>
  </si>
  <si>
    <t>1188-1488</t>
  </si>
  <si>
    <t>1867-8617</t>
  </si>
  <si>
    <t>2032814051</t>
  </si>
  <si>
    <t>0000030313</t>
  </si>
  <si>
    <t>EX-2023</t>
  </si>
  <si>
    <t>44939353</t>
  </si>
  <si>
    <t>44572917</t>
  </si>
  <si>
    <t>08/2023</t>
  </si>
  <si>
    <t>08-2023.1</t>
  </si>
  <si>
    <t>08312023</t>
  </si>
  <si>
    <t>1675-5734</t>
  </si>
  <si>
    <t>1638-5310</t>
  </si>
  <si>
    <t>1811-7685</t>
  </si>
  <si>
    <t>1458-9364</t>
  </si>
  <si>
    <t>2032809988</t>
  </si>
  <si>
    <t>574</t>
  </si>
  <si>
    <t>09.2023</t>
  </si>
  <si>
    <t>1679-2403</t>
  </si>
  <si>
    <t>1314-8203</t>
  </si>
  <si>
    <t>1798-9459</t>
  </si>
  <si>
    <t>1966-9776</t>
  </si>
  <si>
    <t>01468C</t>
  </si>
  <si>
    <t>08-09-2023</t>
  </si>
  <si>
    <t>66660</t>
  </si>
  <si>
    <t>09192023</t>
  </si>
  <si>
    <t>09192023.1</t>
  </si>
  <si>
    <t>2032866867</t>
  </si>
  <si>
    <t>2032866888</t>
  </si>
  <si>
    <t>2032866882</t>
  </si>
  <si>
    <t>1638-3041</t>
  </si>
  <si>
    <t>1501-6734</t>
  </si>
  <si>
    <t>1645-6043</t>
  </si>
  <si>
    <t>1323-4639</t>
  </si>
  <si>
    <t>1029-6364</t>
  </si>
  <si>
    <t>09202023</t>
  </si>
  <si>
    <t>09222023JER</t>
  </si>
  <si>
    <t>18271</t>
  </si>
  <si>
    <t>87704</t>
  </si>
  <si>
    <t>1573-6541</t>
  </si>
  <si>
    <t>1505-9026</t>
  </si>
  <si>
    <t>1182-1298</t>
  </si>
  <si>
    <t>1384-2441</t>
  </si>
  <si>
    <t>1461-1551</t>
  </si>
  <si>
    <t>UM22P3</t>
  </si>
  <si>
    <t>1864-9944</t>
  </si>
  <si>
    <t>E405543</t>
  </si>
  <si>
    <t>license.ML</t>
  </si>
  <si>
    <t>1599-5191</t>
  </si>
  <si>
    <t>1873-3139</t>
  </si>
  <si>
    <t>1566-3657</t>
  </si>
  <si>
    <t>1918-0472</t>
  </si>
  <si>
    <t>87916</t>
  </si>
  <si>
    <t>6048</t>
  </si>
  <si>
    <t>renewal.2024</t>
  </si>
  <si>
    <t>81095</t>
  </si>
  <si>
    <t>55WE</t>
  </si>
  <si>
    <t>10272023</t>
  </si>
  <si>
    <t>JR64</t>
  </si>
  <si>
    <t>1662-8807</t>
  </si>
  <si>
    <t>1108-2311</t>
  </si>
  <si>
    <t>1782-9451</t>
  </si>
  <si>
    <t>88337</t>
  </si>
  <si>
    <t>3281176</t>
  </si>
  <si>
    <t>00977693</t>
  </si>
  <si>
    <t>00912031</t>
  </si>
  <si>
    <t>0406</t>
  </si>
  <si>
    <t>F4BXF</t>
  </si>
  <si>
    <t>refund</t>
  </si>
  <si>
    <t>48345</t>
  </si>
  <si>
    <t>EFP20</t>
  </si>
  <si>
    <t>XKIJ</t>
  </si>
  <si>
    <t>1047</t>
  </si>
  <si>
    <t>license.RD-SB</t>
  </si>
  <si>
    <t>02974J</t>
  </si>
  <si>
    <t>WNS3Z5</t>
  </si>
  <si>
    <t>0520248</t>
  </si>
  <si>
    <t>1952-3381</t>
  </si>
  <si>
    <t>The American Legion Post 447</t>
  </si>
  <si>
    <t>Katrina Muniz</t>
  </si>
  <si>
    <t>Little Red Wasp Kitchen + Bar</t>
  </si>
  <si>
    <t>Abby Anderson</t>
  </si>
  <si>
    <t>Ameen Ahmad</t>
  </si>
  <si>
    <t>Hiran Marin</t>
  </si>
  <si>
    <t>Target Stores</t>
  </si>
  <si>
    <t>Johnny Robins</t>
  </si>
  <si>
    <t>Amber Jones</t>
  </si>
  <si>
    <t>Vaselii Vasilev</t>
  </si>
  <si>
    <t>Energage, LLC</t>
  </si>
  <si>
    <t>Victor N Longstreth</t>
  </si>
  <si>
    <t>Starbucks</t>
  </si>
  <si>
    <t>Recuerdos Tex Mex</t>
  </si>
  <si>
    <t>Jimmy Vega's Smokehouse</t>
  </si>
  <si>
    <t>Claudia Avila 1</t>
  </si>
  <si>
    <t>Gino's</t>
  </si>
  <si>
    <t>Uber - taxi services</t>
  </si>
  <si>
    <t>Blue Iguana</t>
  </si>
  <si>
    <t>Carrie Lindquist</t>
  </si>
  <si>
    <t>Bethany Wright</t>
  </si>
  <si>
    <t>Christopher Ryan Meyer</t>
  </si>
  <si>
    <t>Olive Garden</t>
  </si>
  <si>
    <t>McKissock</t>
  </si>
  <si>
    <t>Angie Lugo</t>
  </si>
  <si>
    <t>Effective Edge Worldwide LLC dba</t>
  </si>
  <si>
    <t>Snow Pea</t>
  </si>
  <si>
    <t>Texas A&amp;M AgriLife Extension Service</t>
  </si>
  <si>
    <t>Rene Castellanos</t>
  </si>
  <si>
    <t>Faith Castellanos</t>
  </si>
  <si>
    <t>Hotel Indigo</t>
  </si>
  <si>
    <t>Jason Hashem</t>
  </si>
  <si>
    <t>True Texas BBQ</t>
  </si>
  <si>
    <t>INFOSEC Skills</t>
  </si>
  <si>
    <t>Victoria de Vries</t>
  </si>
  <si>
    <t>Heather Hawley</t>
  </si>
  <si>
    <t>Miriam Moore</t>
  </si>
  <si>
    <t>Baudville</t>
  </si>
  <si>
    <t>RTIC.com</t>
  </si>
  <si>
    <t>Real Estate Center</t>
  </si>
  <si>
    <t>Marcos Pizza</t>
  </si>
  <si>
    <t>Larry Sarmiento</t>
  </si>
  <si>
    <t>The Sweet Tooth Parlor Bakery</t>
  </si>
  <si>
    <t>6210-27 - Course 203 - KPulliam</t>
  </si>
  <si>
    <t>6210-27 - USPAP Refresher - DArrieta</t>
  </si>
  <si>
    <t>6210-33 - Level IV Exam - CLindquest</t>
  </si>
  <si>
    <t>6210-27 - Course 5 - AJones</t>
  </si>
  <si>
    <t>6210-27 - State Course - Course 30 - RCastellanos</t>
  </si>
  <si>
    <t>6210-27 - State Course - Course 30 - JHashem</t>
  </si>
  <si>
    <t>6210-27 - State Course - Course 30 - RMeyer</t>
  </si>
  <si>
    <t>6210-27 - Course 3 - BWright</t>
  </si>
  <si>
    <t>6210-27 - Course 203 - SGregory</t>
  </si>
  <si>
    <t>6210-27 - Course 3 - SGregory</t>
  </si>
  <si>
    <t>6210-27 - USPAP - SGregory</t>
  </si>
  <si>
    <t>6210-27 - Course 3 - RMeyer</t>
  </si>
  <si>
    <t>6210-27 - Course 203 - CAvila</t>
  </si>
  <si>
    <t>6210-30 - refund for Johnny Robins</t>
  </si>
  <si>
    <t>6210-27 - Laws &amp; Rules - CPark</t>
  </si>
  <si>
    <t>6210-27 - Laws &amp; Rules - CManas</t>
  </si>
  <si>
    <t>6210-8 - JRobins</t>
  </si>
  <si>
    <t>6210-27 - Ethics - ABayler</t>
  </si>
  <si>
    <t>6210-27 - USPAP Refresher - ABayler</t>
  </si>
  <si>
    <t>6210-23 - Legislation update - JRobins</t>
  </si>
  <si>
    <t>6210-8 - IAAO Conference lodging</t>
  </si>
  <si>
    <t>6210-27 - TAAD State Course - reimbursement meals</t>
  </si>
  <si>
    <t>6210-27 - USPAP Refresher - AMetcalfe</t>
  </si>
  <si>
    <t>6210-27 - Exemption Seminar - SHDugger</t>
  </si>
  <si>
    <t>6210-27 - Wildlife Appraisal Seminar - BBrown</t>
  </si>
  <si>
    <t>6210-27 - Alternate testing for the PVS -JGriner</t>
  </si>
  <si>
    <t>6210-27 - USPAP Refresher - SHDugger</t>
  </si>
  <si>
    <t>6210-27 - Alternate Testing for the PVS - DArrieta</t>
  </si>
  <si>
    <t>6210-27 - Ethics - AMetcalfe</t>
  </si>
  <si>
    <t>6210-27 - Ethics - SHDugger</t>
  </si>
  <si>
    <t>6210-27 - Laws &amp; Rules Update - AMetcalfe</t>
  </si>
  <si>
    <t>6210-23 - TAAD Legislative Dinner - SAM, VBL, LLippe, HHayden, ARL</t>
  </si>
  <si>
    <t>6210-11 - webinar - post pandemic senior housing</t>
  </si>
  <si>
    <t>6210-27 - State Course - reimbursement - meals</t>
  </si>
  <si>
    <t>6210-27 - State Courses - reimbursement meals</t>
  </si>
  <si>
    <t>6210-27 - State course - reimbursement meals</t>
  </si>
  <si>
    <t>6210-23 - TAAD Legislative Seminar - lodging</t>
  </si>
  <si>
    <t>6210-23 - TAAD Legislative Seminar - lodging - ARL, CBC</t>
  </si>
  <si>
    <t>6210-23 - TAAD Legislative Seminar - lodging - JMiller</t>
  </si>
  <si>
    <t>6210-3 - gift cards (4)</t>
  </si>
  <si>
    <t>6210-8 - IAAO  conference - airfare - JRobins</t>
  </si>
  <si>
    <t>6210-23 - Reimbursement - TAAD Legislative Conference - mileage &amp; parking</t>
  </si>
  <si>
    <t>6210-18 - Reimbursement - TAAD Committee Mtg - mileage reimbursement</t>
  </si>
  <si>
    <t>6210-27 - State courses - reimbursement meals</t>
  </si>
  <si>
    <t>6210-23 - TAAD Legislative Conference - mileage reimbursement</t>
  </si>
  <si>
    <t>6210-6 - Insights for Small Business</t>
  </si>
  <si>
    <t>6210-27 State Course 102 Intro TX Prop Tax F.Castellanos</t>
  </si>
  <si>
    <t>6210-23 - Legislative Update - reimbursement - lodging</t>
  </si>
  <si>
    <t>6210-8 - IAAO conference - cancelled reservations</t>
  </si>
  <si>
    <t>6210-6 - Planning session - mgmt team</t>
  </si>
  <si>
    <t>6210-27 TAAD-IAAO Chapter Time Adj - A.Bayler</t>
  </si>
  <si>
    <t>6210-27 Course 151 - USPAP National -  A.Jones</t>
  </si>
  <si>
    <t>6210-18 - planning session</t>
  </si>
  <si>
    <t>6210-3 - Mgmt team building - refund</t>
  </si>
  <si>
    <t>6210-6 - planning session</t>
  </si>
  <si>
    <t>6210-6 - Planning session luncheon - mgmt team</t>
  </si>
  <si>
    <t>6210-27 State Course Alt Testing PVS J.Miller</t>
  </si>
  <si>
    <t>6210-27 USPAP Refresher B.Morrison</t>
  </si>
  <si>
    <t>6210-27 TAAD Ethics in the Workplace-B.Morrison</t>
  </si>
  <si>
    <t>6210-30 Registration-J.Robins</t>
  </si>
  <si>
    <t>6210-30 - lodging - Ad Valorum conference</t>
  </si>
  <si>
    <t>6210-31 - Reimbursement - TCDRS Conference - mileage &amp; parking</t>
  </si>
  <si>
    <t>6210-27 State Course - TAAD Ag Use Appraisal - H.Hayden</t>
  </si>
  <si>
    <t>6210-27 - TAAD - Cybersecurity - J.Miller</t>
  </si>
  <si>
    <t>6210-27 - State Courses - Reimbursement meals</t>
  </si>
  <si>
    <t>6210-18 - Mgmt Team Building Luncheon</t>
  </si>
  <si>
    <t>6210-27 State Course Alt Testing PVS R.Meyer</t>
  </si>
  <si>
    <t>6210-27 State Course 5 - L.Sarmiento</t>
  </si>
  <si>
    <t>6210-27 State Course 10 - Analyzing Prop Appr - L.Sarmiento</t>
  </si>
  <si>
    <t>6210-27 TAAD Public Records - J.Miller</t>
  </si>
  <si>
    <t>6210-27 TAAD Public Records - S.Rochford</t>
  </si>
  <si>
    <t>6210-27 State Course - USPAP Refresher - R.Mata</t>
  </si>
  <si>
    <t>6210-27 State Course - Course 7 TX Prop Tax Law - R.Mata</t>
  </si>
  <si>
    <t>6210-27 State Course - Alt Testing PVS - R.Mata</t>
  </si>
  <si>
    <t>6210-27 State Course 7 - Texas Property Law L.Jones</t>
  </si>
  <si>
    <t>6210-32 TDLR License Renewal-C.Connelly</t>
  </si>
  <si>
    <t>6210-23 - Legislative Update - reimbursement mileage, lodging</t>
  </si>
  <si>
    <t>6210-32 B.Harris TDLR License Renewal</t>
  </si>
  <si>
    <t>6210-32 C.Lindquist TDLR License Renewal</t>
  </si>
  <si>
    <t>6210-32 R.Meyer TDLR License Renewal</t>
  </si>
  <si>
    <t>6210-32 V.Brumley TDLR License Renewal</t>
  </si>
  <si>
    <t>6210-32 A.Lankford TDLR License Renewal</t>
  </si>
  <si>
    <t>6210-32 C.Avila TDLR License Renewal</t>
  </si>
  <si>
    <t>6210-32 K.Pulliam TDLR License Renewal</t>
  </si>
  <si>
    <t>6210-32 C.Manas TDLR License Renewal</t>
  </si>
  <si>
    <t>6210-17 - Uber trip - IAAO - ARL</t>
  </si>
  <si>
    <t>6210-17 - IAAO - dinner - ARL</t>
  </si>
  <si>
    <t>6210-8 - IAAO conference</t>
  </si>
  <si>
    <t>6210-27 - Course 3 - CAvila</t>
  </si>
  <si>
    <t>6210-27 - Course 3 - AAhmad</t>
  </si>
  <si>
    <t>6210-27 - TAAD Let's Talk About New Map Review - J.Miller</t>
  </si>
  <si>
    <t>6210-27 - TAAD Let's Talk About New Map Review - D.Arrieta</t>
  </si>
  <si>
    <t>6210-27 - TAAD Let's Talk About New Map Review - J.Griner</t>
  </si>
  <si>
    <t>6210-27 - TAAD Let's Talk About New Map Review - C.Byers</t>
  </si>
  <si>
    <t>6210-27 TAAD - Let's Talk About Mediation Evidence J.Griner</t>
  </si>
  <si>
    <t>6210-27 TAAD - Let's Talk About Mediation Evidence D.Arrieta</t>
  </si>
  <si>
    <t>6210-27 TAAD Public Records - A.Urbanek</t>
  </si>
  <si>
    <t>6210-32 G.Garcia TDLR License Renewal</t>
  </si>
  <si>
    <t>6210-8 - refund IAAO conference</t>
  </si>
  <si>
    <t>6210-27 - Lisa Lippe</t>
  </si>
  <si>
    <t>6210-27 - Miriam Moore</t>
  </si>
  <si>
    <t>6210-27 - Victoria de Vries</t>
  </si>
  <si>
    <t>6210-27 - Patricia Harper</t>
  </si>
  <si>
    <t>6210-27 - Heather Hawley</t>
  </si>
  <si>
    <t>6210-30 REFUND Registration-J.Robins</t>
  </si>
  <si>
    <t>6210-8 - IAAO Conference</t>
  </si>
  <si>
    <t>6210-8 - IAAO Conference - reimbursement - parking, meals</t>
  </si>
  <si>
    <t>6210-8 - IAAO Conference - reimbursement - parking, taxi, airfare</t>
  </si>
  <si>
    <t>6210-8 - Reimbursement - IAAO Conference - meals, parking &amp; air flight change</t>
  </si>
  <si>
    <t>6210-8 - Reimbursement - IAAO Conference - lodging, taxi, meal</t>
  </si>
  <si>
    <t>6210-8 - uber trip - IAAO Conference</t>
  </si>
  <si>
    <t>6210-27 State Course-HAH Commercial Land 11.6.23</t>
  </si>
  <si>
    <t>6210-27 State Course-M.Lopez Exemptions Seminar 10/24-25</t>
  </si>
  <si>
    <t>6210-27 State Course-M.Lopez Intro to Tax System 12/4/23</t>
  </si>
  <si>
    <t>6210-27 TAAD-IAAO - 9/15 Time Adjustments Seminar C.Manas</t>
  </si>
  <si>
    <t>6210-27 TAAD-IAAO - 9/15 Time Adjustments Seminar J.Hashem</t>
  </si>
  <si>
    <t>6210-27 TAAD-IAAO - 9/15 Time Adjustments Seminar KPulliam</t>
  </si>
  <si>
    <t>6210-32 TDLR Renewal J.Farrar</t>
  </si>
  <si>
    <t>6210-11 - seminar - James Griner</t>
  </si>
  <si>
    <t>6210-27 - State seminar - reimbursement meal</t>
  </si>
  <si>
    <t>6210-27 State Course K.Rehmann 203 Appraisal of Real Property 11/6-10/2023</t>
  </si>
  <si>
    <t>6210-27 State Course K.Rehmann Course 3 Income Approach to Value 12/4-7/2023</t>
  </si>
  <si>
    <t>6210-27 State Course V.Brumley Ag Use Appraisal</t>
  </si>
  <si>
    <t>6210-27 State Course V.Brumley Wildlife Appraisal Seminar</t>
  </si>
  <si>
    <t>6210-17 - CAI Prep Lunch</t>
  </si>
  <si>
    <t>6210-27 - State Course - Reimbursement ~ meal</t>
  </si>
  <si>
    <t>6210-17 - CAI Lunch - ARL, HGibbs &amp; JRobins</t>
  </si>
  <si>
    <t>6210-32 License Renewal - A.Metcalfe</t>
  </si>
  <si>
    <t>6210-32 License Renewal - A. Moore</t>
  </si>
  <si>
    <t>6210-32 License renewal - V. Longstreth</t>
  </si>
  <si>
    <t>6210-27 TAAD-Is Your Data Cybersecure- B.Edsell</t>
  </si>
  <si>
    <t>6210-27 TAAD-Let's Talk About the New Map Review - B.Edsell</t>
  </si>
  <si>
    <t>6210-27 State Course-USPAP Refresher - B. Edsell</t>
  </si>
  <si>
    <t>6210-27 TAAD - Let's Talk About Mediation - RQuinlan</t>
  </si>
  <si>
    <t>6210-27 TAAD-Let's Talk About the New Map Review - RQuinlan</t>
  </si>
  <si>
    <t>6210-27 ED-TX Flex Pkg-Appr Continuing Ed-J.Robins</t>
  </si>
  <si>
    <t>6210-30 - 2022 Ad Valorem Conference - reimbursement meals, lodging, mileage</t>
  </si>
  <si>
    <t>6210-7 - Workshop &amp; training program - mgmt - Mastering Work &amp; Life Flow</t>
  </si>
  <si>
    <t>6210-11 IAAO 191 USPAP 10/3 C.Connelly</t>
  </si>
  <si>
    <t>6210-27 TAAD-IAAO 11/6/23-R.Quinlan</t>
  </si>
  <si>
    <t>6210-27 TAAD-IAAO 11/6/23-S.Heatley-Dugger</t>
  </si>
  <si>
    <t>6210-27 TAAD-IAAO 11/6/23-C.Lindquist</t>
  </si>
  <si>
    <t>6210-27 TAAD-IAAO 11/6/23-R.Mata</t>
  </si>
  <si>
    <t>6210-27 TAAD-IAAO 11/6/23-R.Meyer</t>
  </si>
  <si>
    <t>6210-27 TAAD-IAAO 11/6/23-B.Morrison</t>
  </si>
  <si>
    <t>6210-27 TAAD-IAAO 11/6/23-L.Sarmiento</t>
  </si>
  <si>
    <t>6210-27 TAAD-IAAO 11/6/23-V.Brumley</t>
  </si>
  <si>
    <t>6210-27 TAAD-IAAO 11/6/23-WHuntsberger</t>
  </si>
  <si>
    <t>6210-27 TAAD-IAAO 11/6/23-SGregory</t>
  </si>
  <si>
    <t>6210-27 TAAD-Chief Appraiser Ethics - RQuinlan</t>
  </si>
  <si>
    <t>6210-27 TAAD - Math of the Ratio Study - BMorrison</t>
  </si>
  <si>
    <t>6210-27 TAAD- USPAP Refresher - RQuinlan</t>
  </si>
  <si>
    <t>6210-3 - Trial lunch for holiday party</t>
  </si>
  <si>
    <t>6210-11 - IAAO Course 102 - CLindquist</t>
  </si>
  <si>
    <t>6210-11 - IAAO Course 102 - LSarmiento</t>
  </si>
  <si>
    <t>6210-20 - CConnelly</t>
  </si>
  <si>
    <t>6210-20 - AMoore</t>
  </si>
  <si>
    <t>6210-20 - JRobins</t>
  </si>
  <si>
    <t>6210-20 - JMiller</t>
  </si>
  <si>
    <t>6210-20 - VLongstreth</t>
  </si>
  <si>
    <t>6210-20 - RQuinlan</t>
  </si>
  <si>
    <t>6210-20 - LLippe</t>
  </si>
  <si>
    <t>6210-27 - reimbursement meals</t>
  </si>
  <si>
    <t>6210-32 - License application - MLopez</t>
  </si>
  <si>
    <t>6210-27 TAAD-Is Your Data Cybersecure- DArrieta</t>
  </si>
  <si>
    <t>6210-27 TAAD-Is Your Data Cybersecure- JGriner</t>
  </si>
  <si>
    <t>6210-27 TAAD-Is Your Data Cybersecure- AMetcalfe</t>
  </si>
  <si>
    <t>6210-27 TAAD-Is Your Data Cybersecure- MPage</t>
  </si>
  <si>
    <t>6210-11 - IAAO - 151 - National USPAP - AUrbanek</t>
  </si>
  <si>
    <t>6210-18 - Hotel - CBC IAAO fall leadership</t>
  </si>
  <si>
    <t>6210-27 - Reimbursement - meals</t>
  </si>
  <si>
    <t>6210-27 state course</t>
  </si>
  <si>
    <t>6210-21 - Reimbursement - TAAD BPP Seminar - mileage, lodgings, meals - Dallas (JWG, LAP, DEA, GTO)</t>
  </si>
  <si>
    <t>6210-10 - Membership renewal - Alvin Lankford</t>
  </si>
  <si>
    <t>6210-10 - AAS Designation</t>
  </si>
  <si>
    <t>6210-10 - CAE Designation</t>
  </si>
  <si>
    <t>6210-10 - Membership renewal - Chris Connelly</t>
  </si>
  <si>
    <t>6210-10 - Membership renewal - James Griner</t>
  </si>
  <si>
    <t>6210-10 - CAE Candidacy</t>
  </si>
  <si>
    <t>6210-10 - AAS Candidacy</t>
  </si>
  <si>
    <t>6210-10 - Membership renewal - Stephanie Heatley-Dugger</t>
  </si>
  <si>
    <t>6210-10 - Membership renewal - John Robins III</t>
  </si>
  <si>
    <t>6210-10 - RES Designation</t>
  </si>
  <si>
    <t>6210-10 - Membership - Brent Morrison</t>
  </si>
  <si>
    <t>6210-10 - Membership renewal - Richard Quinlan</t>
  </si>
  <si>
    <t>6210-10 - Membership renewal - Amy Urbanek</t>
  </si>
  <si>
    <t>6210-10 - CMS Candidacy - Amy Urbanek</t>
  </si>
  <si>
    <t>6210-12 - Membership renewal - Jessica Miller</t>
  </si>
  <si>
    <t>6210-10 - Membership - James Wade Huntsberger</t>
  </si>
  <si>
    <t>6210-10 - Membership - C Ryan Meyer</t>
  </si>
  <si>
    <t>6210-10 - Membership renewal - Amanda Bayler</t>
  </si>
  <si>
    <t>6210-10 - RES Candidacy - Amanda Bayler</t>
  </si>
  <si>
    <t>6210-10 - Membership renewal - Victor Longstreth</t>
  </si>
  <si>
    <t>6210-10 - RES Candidacy - Victor Longstreth</t>
  </si>
  <si>
    <t>6210-10 - Membership renewal - Lisa Lippe</t>
  </si>
  <si>
    <t>6210-10 - Membership - Heather Hayden</t>
  </si>
  <si>
    <t>6210-10 - Membership - Valerie Brumley</t>
  </si>
  <si>
    <t>6210-10 - Membership - Amber Jones</t>
  </si>
  <si>
    <t>6210-10 - Membership - Ramon Mata</t>
  </si>
  <si>
    <t>6210-10 - Memership - Amber Metcalfe</t>
  </si>
  <si>
    <t>6210-10 - Membership - Carrie Lindquist</t>
  </si>
  <si>
    <t>6210-10 - Membership - Larry Sarmiento</t>
  </si>
  <si>
    <t>6210-10 - Membership - Ameen Ahmad - Free membership</t>
  </si>
  <si>
    <t>6210-10 - Membership - Steven Gregory - Free membership</t>
  </si>
  <si>
    <t>6210-10 - Membership - Marta Lopez</t>
  </si>
  <si>
    <t>6210-18 - thanksgiving luncheon</t>
  </si>
  <si>
    <t>6210-15 IT Courses Certification - Ethical Hacking Dual Cert Live Online: 12/04/23-12/08/23 - On...</t>
  </si>
  <si>
    <t>6210-27 - meals reimbursement</t>
  </si>
  <si>
    <t>6210-8 - uber trip - GFTO Conference ARL</t>
  </si>
  <si>
    <t>6210-22 - refund</t>
  </si>
  <si>
    <t>6210-27 Course 7 TX Prop Law - N.Giannelli</t>
  </si>
  <si>
    <t>6210-27 Course 4: Personal Prop Appraisal B. Wright Dec 4-7</t>
  </si>
  <si>
    <t>6210-27 Course 4: Business Pers Property C. Avila Dec 4-7</t>
  </si>
  <si>
    <t>6210-27 Misc Re-Exam J. Miller</t>
  </si>
  <si>
    <t>6210-3 - EOY awards</t>
  </si>
  <si>
    <t>6210-3 - Years of Service Awards</t>
  </si>
  <si>
    <t>6210-11 - State Course - IAAO - lodging Housont - LSarimento</t>
  </si>
  <si>
    <t>6210-11 - State Course - IAAO - lodging Housont - CLindquist</t>
  </si>
  <si>
    <t>6210-18 - legal seminar</t>
  </si>
  <si>
    <t>6210-3 - years of services awards</t>
  </si>
  <si>
    <t>6210-3 - refund</t>
  </si>
  <si>
    <t>6210-27 - Stephanie Heatley-Dugger</t>
  </si>
  <si>
    <t>6210-27 - Erin Murphy</t>
  </si>
  <si>
    <t>6210-27 - Christine Rehmann</t>
  </si>
  <si>
    <t>6210-1 - GIS Day</t>
  </si>
  <si>
    <t>6210-3 - years of services</t>
  </si>
  <si>
    <t>6210-27 - overpymt inv 582</t>
  </si>
  <si>
    <t>6210-27 - State Course - reimbursement - mileage, meals</t>
  </si>
  <si>
    <t>6210-32 - License application - RDockery</t>
  </si>
  <si>
    <t>6210-32 - License application - SBaker</t>
  </si>
  <si>
    <t>6210-3 - christmas party</t>
  </si>
  <si>
    <t>6210-3 12/2 Holiday Party Catering @ $17 PP</t>
  </si>
  <si>
    <t>6210-3 113-8476755-0520248 dinnerware,backdrop,tablecloth</t>
  </si>
  <si>
    <t>6210-26 12/11 Ext HR Exemption Presentation M.Lopez</t>
  </si>
  <si>
    <t>1206724</t>
  </si>
  <si>
    <t>1084753 A</t>
  </si>
  <si>
    <t>00365C</t>
  </si>
  <si>
    <t>1082874</t>
  </si>
  <si>
    <t>13218106</t>
  </si>
  <si>
    <t>00480C</t>
  </si>
  <si>
    <t>00434J</t>
  </si>
  <si>
    <t>2023-61</t>
  </si>
  <si>
    <t>M34234</t>
  </si>
  <si>
    <t>M34233</t>
  </si>
  <si>
    <t>M33787</t>
  </si>
  <si>
    <t>M33793</t>
  </si>
  <si>
    <t>M33781</t>
  </si>
  <si>
    <t>M33720</t>
  </si>
  <si>
    <t>M34071</t>
  </si>
  <si>
    <t>M34065</t>
  </si>
  <si>
    <t>12.2023-a</t>
  </si>
  <si>
    <t>1209014</t>
  </si>
  <si>
    <t>358924</t>
  </si>
  <si>
    <t>1046</t>
  </si>
  <si>
    <t>license.TC</t>
  </si>
  <si>
    <t>125</t>
  </si>
  <si>
    <t>1983</t>
  </si>
  <si>
    <t>122</t>
  </si>
  <si>
    <t>Razzoo's</t>
  </si>
  <si>
    <t>Crown Awards</t>
  </si>
  <si>
    <t>Kais Donuts</t>
  </si>
  <si>
    <t>C &amp; J BBQ</t>
  </si>
  <si>
    <t>Colleen McElroy</t>
  </si>
  <si>
    <t>Marriott</t>
  </si>
  <si>
    <t>Jason Farrar</t>
  </si>
  <si>
    <t>Nicole Giannelli</t>
  </si>
  <si>
    <t>Ramon Mata</t>
  </si>
  <si>
    <t>Notary Public Underwriting</t>
  </si>
  <si>
    <t>Jessica Miller</t>
  </si>
  <si>
    <t>6210-26 12/11 Ext HR Exemption Presentation M.Moore</t>
  </si>
  <si>
    <t>6210-26 12/11 Ext HR Exemption Presentation S.Willis</t>
  </si>
  <si>
    <t>6210-26 12/11 Ext HR Exemption Presentation C.Paschall</t>
  </si>
  <si>
    <t>6210-27 On Demand Laws &amp; Rules Update 2023 - S.Heatley-Dugger</t>
  </si>
  <si>
    <t>6210-18 ATP 12/3-4/2023 A.Lankford</t>
  </si>
  <si>
    <t>6210-17 - ATP user group mtg - ARL, SAM, JM, VL</t>
  </si>
  <si>
    <t>6210-20 C.Connelly PTI 12/4-6/2023</t>
  </si>
  <si>
    <t>6210-3 2023 EOY Engravements for A.Anderson Appr/K.Rehmann Operations</t>
  </si>
  <si>
    <t>6210-17 - ATP User Group mtg - breakfast - ARL, JMiller, SAM, VL, CMcElory</t>
  </si>
  <si>
    <t>6210-17 - ATP UGM meeting - lunch - Tyler Tech will reimburse the district</t>
  </si>
  <si>
    <t>6210-3 Balance due for Christmas Pary (12/2/23) room rental</t>
  </si>
  <si>
    <t>6210-18 - Reimbursement - ATP User group - lodging, snacks for meeting</t>
  </si>
  <si>
    <t>6210-20 - PTI - College Station</t>
  </si>
  <si>
    <t>6210-20 - ATP UGM &amp; PTI - reimbursement - Lodging, mileage, meals</t>
  </si>
  <si>
    <t>6210-20 - Reimbursement - PTI - mileage, meal</t>
  </si>
  <si>
    <t>6210-20 - ATP UGM &amp; PTI reimbursement - lodging, meals</t>
  </si>
  <si>
    <t>6210-27 On Demand Laws &amp; Rules Update 2023 - JGriner</t>
  </si>
  <si>
    <t>6210-3 - reimbursement - retirement gift for BHarris</t>
  </si>
  <si>
    <t>6210-27 - State Course - reimbursement meals</t>
  </si>
  <si>
    <t>6210-20 - Reimbursement - ATP &amp; PTI - mileage &amp; meals</t>
  </si>
  <si>
    <t>6210-19 - notary renewal - KGamboa</t>
  </si>
  <si>
    <t>6210-17 - ATP UGM reimbursement</t>
  </si>
  <si>
    <t>6210-10 - Reimbursement - IAAO membership partial year</t>
  </si>
  <si>
    <t>6210-20 - PTI - reimbursement meals</t>
  </si>
  <si>
    <t>6210-3 - christmas party guest fees</t>
  </si>
  <si>
    <t>6210-3 - christmas party guest fees - Doris O</t>
  </si>
  <si>
    <t>6210-3 - christmas party guest fees - LouAnn P</t>
  </si>
  <si>
    <t>6210-3 - christmas party guest fees - Doris</t>
  </si>
  <si>
    <t>6210-17 - reimbursement</t>
  </si>
  <si>
    <t>6210-27 State Course - TAAD Wildlife Appraisal - H.Hayden</t>
  </si>
  <si>
    <t>6210-3 - Reimbursement - WCAD gift &amp; retirement party - KCMcDade</t>
  </si>
  <si>
    <t>N10050256</t>
  </si>
  <si>
    <t>34599566</t>
  </si>
  <si>
    <t>34622939</t>
  </si>
  <si>
    <t>24AR1065906</t>
  </si>
  <si>
    <t>34813820</t>
  </si>
  <si>
    <t>34835804</t>
  </si>
  <si>
    <t>N10107108</t>
  </si>
  <si>
    <t>24AR1153263</t>
  </si>
  <si>
    <t>35016516</t>
  </si>
  <si>
    <t>INV-PV56675</t>
  </si>
  <si>
    <t>35049736</t>
  </si>
  <si>
    <t>24AR1250585</t>
  </si>
  <si>
    <t>Q1046352</t>
  </si>
  <si>
    <t>35226938</t>
  </si>
  <si>
    <t>INV-PV58885</t>
  </si>
  <si>
    <t>35247302</t>
  </si>
  <si>
    <t>24AR1319622</t>
  </si>
  <si>
    <t>35436032</t>
  </si>
  <si>
    <t>INV-PV61050</t>
  </si>
  <si>
    <t>35464622</t>
  </si>
  <si>
    <t>Q1102980</t>
  </si>
  <si>
    <t>PureVida Water</t>
  </si>
  <si>
    <t>6215-5 - Bottle-less water filtration system rental</t>
  </si>
  <si>
    <t>072023</t>
  </si>
  <si>
    <t>0104757080723</t>
  </si>
  <si>
    <t>0365937081023</t>
  </si>
  <si>
    <t>355992</t>
  </si>
  <si>
    <t>CD_000642891</t>
  </si>
  <si>
    <t>287230258338X0827-23</t>
  </si>
  <si>
    <t>081923</t>
  </si>
  <si>
    <t>0104757090723</t>
  </si>
  <si>
    <t>0365937090723</t>
  </si>
  <si>
    <t>364112</t>
  </si>
  <si>
    <t>CD_000659047</t>
  </si>
  <si>
    <t>287230258338X0927-23</t>
  </si>
  <si>
    <t>09302023</t>
  </si>
  <si>
    <t>184474401101423</t>
  </si>
  <si>
    <t>18477400101423</t>
  </si>
  <si>
    <t>368640</t>
  </si>
  <si>
    <t>CD_000677350</t>
  </si>
  <si>
    <t>287230258338X1027-23</t>
  </si>
  <si>
    <t>6047516</t>
  </si>
  <si>
    <t>10202023 - B01708555</t>
  </si>
  <si>
    <t>10242023 - B01705410</t>
  </si>
  <si>
    <t>184774001110723</t>
  </si>
  <si>
    <t>184474401110723</t>
  </si>
  <si>
    <t>375316</t>
  </si>
  <si>
    <t>CD_000694818</t>
  </si>
  <si>
    <t>287230258338X1127-23</t>
  </si>
  <si>
    <t>11202023 - B01784593</t>
  </si>
  <si>
    <t>184474401120723</t>
  </si>
  <si>
    <t>184774001120723</t>
  </si>
  <si>
    <t>11222023 - B01794569</t>
  </si>
  <si>
    <t>380496</t>
  </si>
  <si>
    <t>CD_000715260</t>
  </si>
  <si>
    <t>287230258338X1227-23</t>
  </si>
  <si>
    <t>12202023 - B01858968</t>
  </si>
  <si>
    <t>12202023 - B01861476</t>
  </si>
  <si>
    <t>EZ Texting</t>
  </si>
  <si>
    <t>6220-6 - text blasting</t>
  </si>
  <si>
    <t>6220-1 - data plan reimbursement</t>
  </si>
  <si>
    <t>FS8098</t>
  </si>
  <si>
    <t>50381138</t>
  </si>
  <si>
    <t>SRVCE00355164</t>
  </si>
  <si>
    <t>64929</t>
  </si>
  <si>
    <t>32042</t>
  </si>
  <si>
    <t>32154</t>
  </si>
  <si>
    <t>14648</t>
  </si>
  <si>
    <t>35622</t>
  </si>
  <si>
    <t>35624</t>
  </si>
  <si>
    <t>35623</t>
  </si>
  <si>
    <t>FS9161</t>
  </si>
  <si>
    <t>18519947</t>
  </si>
  <si>
    <t>8519949</t>
  </si>
  <si>
    <t>SRVCE00357520</t>
  </si>
  <si>
    <t>65461</t>
  </si>
  <si>
    <t>14823</t>
  </si>
  <si>
    <t>32139</t>
  </si>
  <si>
    <t>6925342</t>
  </si>
  <si>
    <t>2567</t>
  </si>
  <si>
    <t>31998</t>
  </si>
  <si>
    <t>3633</t>
  </si>
  <si>
    <t>6538</t>
  </si>
  <si>
    <t>356851</t>
  </si>
  <si>
    <t>32227</t>
  </si>
  <si>
    <t>65875</t>
  </si>
  <si>
    <t>2539893</t>
  </si>
  <si>
    <t>15011</t>
  </si>
  <si>
    <t>32222</t>
  </si>
  <si>
    <t>32229</t>
  </si>
  <si>
    <t>225595</t>
  </si>
  <si>
    <t>356895</t>
  </si>
  <si>
    <t>14KJ-KLXL-1447</t>
  </si>
  <si>
    <t>1JN9-6LY9-16DG</t>
  </si>
  <si>
    <t>844383</t>
  </si>
  <si>
    <t>844428</t>
  </si>
  <si>
    <t>SRVCE00361364</t>
  </si>
  <si>
    <t>15193</t>
  </si>
  <si>
    <t>66285</t>
  </si>
  <si>
    <t>32308</t>
  </si>
  <si>
    <t>32331</t>
  </si>
  <si>
    <t>6927840</t>
  </si>
  <si>
    <t>2634</t>
  </si>
  <si>
    <t>006420</t>
  </si>
  <si>
    <t>66750</t>
  </si>
  <si>
    <t>15378</t>
  </si>
  <si>
    <t>32377</t>
  </si>
  <si>
    <t>18647221</t>
  </si>
  <si>
    <t>6929738</t>
  </si>
  <si>
    <t>67206</t>
  </si>
  <si>
    <t>Austin Generator</t>
  </si>
  <si>
    <t>6225-24 - MB Pellets (3 lbs)</t>
  </si>
  <si>
    <t>6225-14 - Irrigation repair</t>
  </si>
  <si>
    <t>6225-5 - spot carpet cleaning</t>
  </si>
  <si>
    <t>6225-11 - FA troubleshooting NAC trouble</t>
  </si>
  <si>
    <t>6225-11 - FA in trouble</t>
  </si>
  <si>
    <t>6225-19 - fire ant treatment</t>
  </si>
  <si>
    <t>6225-17 Annual Maintenance Agreement</t>
  </si>
  <si>
    <t>6225-9 Elevator inspection</t>
  </si>
  <si>
    <t>6225-15 - Service charge - ticket 129964</t>
  </si>
  <si>
    <t>6225-15 - Service charge - ticket 127046</t>
  </si>
  <si>
    <t>6225-24 - MB Pellets (1 lb)</t>
  </si>
  <si>
    <t>6225-11 - FA smoke detector replacement</t>
  </si>
  <si>
    <t>00299J</t>
  </si>
  <si>
    <t>01443J</t>
  </si>
  <si>
    <t>10</t>
  </si>
  <si>
    <t>01141J</t>
  </si>
  <si>
    <t>6236-1 - Board lunch - ARL, JLux &amp; MMoses</t>
  </si>
  <si>
    <t>6236-1 - 9/14 BOD Breakfast Tacos</t>
  </si>
  <si>
    <t>6236-1 - 10/11 BOD Breakfast Tacos</t>
  </si>
  <si>
    <t>120405492</t>
  </si>
  <si>
    <t>446580</t>
  </si>
  <si>
    <t>20059973</t>
  </si>
  <si>
    <t>60974</t>
  </si>
  <si>
    <t>120430130</t>
  </si>
  <si>
    <t>447924</t>
  </si>
  <si>
    <t>120454764</t>
  </si>
  <si>
    <t>449247</t>
  </si>
  <si>
    <t>87919</t>
  </si>
  <si>
    <t>INV-Q924189</t>
  </si>
  <si>
    <t>2023-12</t>
  </si>
  <si>
    <t>120477885</t>
  </si>
  <si>
    <t>450566</t>
  </si>
  <si>
    <t>1NLV-TCJN-LY1X</t>
  </si>
  <si>
    <t>4131316</t>
  </si>
  <si>
    <t>0602128</t>
  </si>
  <si>
    <t>renewal.24</t>
  </si>
  <si>
    <t>78635999</t>
  </si>
  <si>
    <t>120505551</t>
  </si>
  <si>
    <t>451837</t>
  </si>
  <si>
    <t>Appraisal Institute</t>
  </si>
  <si>
    <t>6240-21 Residential Estimator 7</t>
  </si>
  <si>
    <t>6240-12 - Public Hearing Budget Ad</t>
  </si>
  <si>
    <t>6240-11 - Publication</t>
  </si>
  <si>
    <t>6240-21 Residential Cost Handbook</t>
  </si>
  <si>
    <t>6240-17 Appraisal Institute 30 day job posting - Litigation Appraiser</t>
  </si>
  <si>
    <t>6240-37 - Subscription</t>
  </si>
  <si>
    <t>6240-5 - publication renewal</t>
  </si>
  <si>
    <t>I-04464</t>
  </si>
  <si>
    <t>I-04465</t>
  </si>
  <si>
    <t>9789</t>
  </si>
  <si>
    <t>89172137</t>
  </si>
  <si>
    <t>1051</t>
  </si>
  <si>
    <t>23-14887</t>
  </si>
  <si>
    <t>49-ach</t>
  </si>
  <si>
    <t>50-ach</t>
  </si>
  <si>
    <t>51-ach</t>
  </si>
  <si>
    <t>33674</t>
  </si>
  <si>
    <t>46123</t>
  </si>
  <si>
    <t>81162</t>
  </si>
  <si>
    <t>23-14899</t>
  </si>
  <si>
    <t>298947</t>
  </si>
  <si>
    <t>R547101-2022</t>
  </si>
  <si>
    <t>54134080923</t>
  </si>
  <si>
    <t>R580464-2022</t>
  </si>
  <si>
    <t>10391452</t>
  </si>
  <si>
    <t>9861</t>
  </si>
  <si>
    <t>I-04467</t>
  </si>
  <si>
    <t>08162023</t>
  </si>
  <si>
    <t>5037723C</t>
  </si>
  <si>
    <t>5037942C</t>
  </si>
  <si>
    <t>R373693-2022</t>
  </si>
  <si>
    <t>R589216-2022</t>
  </si>
  <si>
    <t>R-2022</t>
  </si>
  <si>
    <t>1365</t>
  </si>
  <si>
    <t>R055187-2022</t>
  </si>
  <si>
    <t>22127</t>
  </si>
  <si>
    <t>4369499-JF</t>
  </si>
  <si>
    <t>81325</t>
  </si>
  <si>
    <t>5038151C</t>
  </si>
  <si>
    <t>R590692-2022</t>
  </si>
  <si>
    <t>R479698-2022</t>
  </si>
  <si>
    <t>R405419-2022</t>
  </si>
  <si>
    <t>R390091-2022</t>
  </si>
  <si>
    <t>R455369-2022</t>
  </si>
  <si>
    <t>22254-2022</t>
  </si>
  <si>
    <t>R5582111-2022</t>
  </si>
  <si>
    <t>R305311-2022</t>
  </si>
  <si>
    <t>R458554-2022</t>
  </si>
  <si>
    <t>1217-2833</t>
  </si>
  <si>
    <t>A22406-22</t>
  </si>
  <si>
    <t>R597567-2022</t>
  </si>
  <si>
    <t>R051046-2022</t>
  </si>
  <si>
    <t>R093196-2022</t>
  </si>
  <si>
    <t>22275-2022</t>
  </si>
  <si>
    <t>22364-2022</t>
  </si>
  <si>
    <t>R031926-2022</t>
  </si>
  <si>
    <t>R066261-2022</t>
  </si>
  <si>
    <t>R602890-2022</t>
  </si>
  <si>
    <t>R568256-2022</t>
  </si>
  <si>
    <t>R350044-2022</t>
  </si>
  <si>
    <t>R441181-2022</t>
  </si>
  <si>
    <t>R372420-2022</t>
  </si>
  <si>
    <t>1063</t>
  </si>
  <si>
    <t>9930</t>
  </si>
  <si>
    <t>23-14957</t>
  </si>
  <si>
    <t>10395609</t>
  </si>
  <si>
    <t>09182023</t>
  </si>
  <si>
    <t>1061</t>
  </si>
  <si>
    <t>R465597-2022</t>
  </si>
  <si>
    <t>R092259-2022</t>
  </si>
  <si>
    <t>R480307-2022</t>
  </si>
  <si>
    <t>R014677-2022</t>
  </si>
  <si>
    <t>R558272-2022</t>
  </si>
  <si>
    <t>R507966-2022</t>
  </si>
  <si>
    <t>R467759-2022</t>
  </si>
  <si>
    <t>92902922</t>
  </si>
  <si>
    <t>47323</t>
  </si>
  <si>
    <t>1069</t>
  </si>
  <si>
    <t>CAGMN0000598</t>
  </si>
  <si>
    <t>1370</t>
  </si>
  <si>
    <t>466</t>
  </si>
  <si>
    <t>R529772-2022</t>
  </si>
  <si>
    <t>Illa-2022</t>
  </si>
  <si>
    <t>BOBO-2022</t>
  </si>
  <si>
    <t>R600959-2022</t>
  </si>
  <si>
    <t>R537387-2022</t>
  </si>
  <si>
    <t>R391237-2022</t>
  </si>
  <si>
    <t>R521748-2022</t>
  </si>
  <si>
    <t>5040222</t>
  </si>
  <si>
    <t>092823</t>
  </si>
  <si>
    <t>54134100423</t>
  </si>
  <si>
    <t>R033392-2022</t>
  </si>
  <si>
    <t>R546566-2022</t>
  </si>
  <si>
    <t>R523388-2022</t>
  </si>
  <si>
    <t>Wheeler-2022</t>
  </si>
  <si>
    <t>81559</t>
  </si>
  <si>
    <t>10398573</t>
  </si>
  <si>
    <t>9240</t>
  </si>
  <si>
    <t>R453303-2022</t>
  </si>
  <si>
    <t>R459360-2022</t>
  </si>
  <si>
    <t>R378573-2022</t>
  </si>
  <si>
    <t>R406000-2022</t>
  </si>
  <si>
    <t>R571159-2022</t>
  </si>
  <si>
    <t>R347820-2022</t>
  </si>
  <si>
    <t>R480304-2022</t>
  </si>
  <si>
    <t>R597333-2022</t>
  </si>
  <si>
    <t>R416800-2022</t>
  </si>
  <si>
    <t>R316422-2022</t>
  </si>
  <si>
    <t>22386-2022</t>
  </si>
  <si>
    <t>R407076-2022</t>
  </si>
  <si>
    <t>R468731-2023</t>
  </si>
  <si>
    <t>1373</t>
  </si>
  <si>
    <t>1079</t>
  </si>
  <si>
    <t>95039186</t>
  </si>
  <si>
    <t>R361-2022</t>
  </si>
  <si>
    <t>R355-2022</t>
  </si>
  <si>
    <t>SIDCT0002571</t>
  </si>
  <si>
    <t>23-15019</t>
  </si>
  <si>
    <t>11012023</t>
  </si>
  <si>
    <t>5040430</t>
  </si>
  <si>
    <t>1501695</t>
  </si>
  <si>
    <t>492</t>
  </si>
  <si>
    <t>11022023</t>
  </si>
  <si>
    <t>1501896</t>
  </si>
  <si>
    <t>81774</t>
  </si>
  <si>
    <t>R402-2022</t>
  </si>
  <si>
    <t>R409-2022</t>
  </si>
  <si>
    <t>10004</t>
  </si>
  <si>
    <t>R419-2022</t>
  </si>
  <si>
    <t>R420-2022</t>
  </si>
  <si>
    <t>R417946-2022</t>
  </si>
  <si>
    <t>R038412-2022</t>
  </si>
  <si>
    <t>96365149</t>
  </si>
  <si>
    <t>10403741</t>
  </si>
  <si>
    <t>624909</t>
  </si>
  <si>
    <t>1509294</t>
  </si>
  <si>
    <t>1375</t>
  </si>
  <si>
    <t>I-05607</t>
  </si>
  <si>
    <t>96973995</t>
  </si>
  <si>
    <t>96977200</t>
  </si>
  <si>
    <t>54134112923</t>
  </si>
  <si>
    <t>49325</t>
  </si>
  <si>
    <t>SIDCT0002627</t>
  </si>
  <si>
    <t>81994</t>
  </si>
  <si>
    <t>1077</t>
  </si>
  <si>
    <t>507</t>
  </si>
  <si>
    <t>10071</t>
  </si>
  <si>
    <t>5040642</t>
  </si>
  <si>
    <t>12072023</t>
  </si>
  <si>
    <t>10122</t>
  </si>
  <si>
    <t>R072884-2023</t>
  </si>
  <si>
    <t>12182023.am</t>
  </si>
  <si>
    <t>12182023.pm</t>
  </si>
  <si>
    <t>98323224</t>
  </si>
  <si>
    <t>299422</t>
  </si>
  <si>
    <t>10207</t>
  </si>
  <si>
    <t>50047</t>
  </si>
  <si>
    <t>R390727-2022</t>
  </si>
  <si>
    <t>SIDXT0006605</t>
  </si>
  <si>
    <t>Enterprix LLC</t>
  </si>
  <si>
    <t>The Law Office of Tory Vonder Haar</t>
  </si>
  <si>
    <t>Senon Moya</t>
  </si>
  <si>
    <t>Nextcare</t>
  </si>
  <si>
    <t>Stephen Riddle</t>
  </si>
  <si>
    <t>Jessica Hughes</t>
  </si>
  <si>
    <t>Terry Hogwood</t>
  </si>
  <si>
    <t>TEAM Consulting</t>
  </si>
  <si>
    <t>Bobby Griffith</t>
  </si>
  <si>
    <t>Planet Depos</t>
  </si>
  <si>
    <t>6260-17 - computer consultant</t>
  </si>
  <si>
    <t>6260-9 - Expert retainer - BPP Target (4 locations)</t>
  </si>
  <si>
    <t>6260-9 - professional services - September Expenses</t>
  </si>
  <si>
    <t>6260-9 - professional services - January Expenses</t>
  </si>
  <si>
    <t>6260-9 - Other litigation expenses</t>
  </si>
  <si>
    <t>6260-9 - professional services - March Expenses</t>
  </si>
  <si>
    <t>6260-9 - professional services - February Expenses</t>
  </si>
  <si>
    <t>6260-9 - professional services - April Expenses</t>
  </si>
  <si>
    <t>6260-9 - Experts - Two Aspen Lake - TX02-23-0685-000</t>
  </si>
  <si>
    <t>6260-9 - Experts - Two Aspen Lake - TX02-23-0685-001</t>
  </si>
  <si>
    <t>6260-9 - professional services - May Expenses</t>
  </si>
  <si>
    <t>6260-9 - professional services - June Expenses</t>
  </si>
  <si>
    <t>6260-9 - Mediation - WMCI Austin II LLC</t>
  </si>
  <si>
    <t>6260-9 - 2021 &amp; 2022 EU Appraisal Reports</t>
  </si>
  <si>
    <t>6260-11 - phone answering services</t>
  </si>
  <si>
    <t>6260-9 - litigation deposition (patrick o'connor)</t>
  </si>
  <si>
    <t>6260-9 - 2022 EU Report Review PPF Amli - Appraisal Services - 22-0947-C26</t>
  </si>
  <si>
    <t>6260-7 - Employment screening - CAvila</t>
  </si>
  <si>
    <t>6260-2 - Binding Arbitration - 24622A22224 - Heather Lindeman</t>
  </si>
  <si>
    <t>6260-2 - Binding Arbitration - 24622A22186 - Krishna Tumuluru</t>
  </si>
  <si>
    <t>6260-9 - professional services - July Expenses</t>
  </si>
  <si>
    <t>6260-9 - Experts - Round Rock Premium Outlets</t>
  </si>
  <si>
    <t>6260-9 - Mediation - Akiva Holdings LLC 22-1225-C395</t>
  </si>
  <si>
    <t>6260-2 - Binding Arbitration - 24622A22286 - 2903 Whisper Oaks LLC</t>
  </si>
  <si>
    <t>6260-2 - Binding Arbitration - 24622A22226 - Jeanne A Johnston</t>
  </si>
  <si>
    <t>6260-2 - Binding Arbitration - 24622A22271 - Suposh Dandamudi</t>
  </si>
  <si>
    <t>6260-2 - Binding Arbitration - 24622A221559 - Drive-In Realty Partners, LP</t>
  </si>
  <si>
    <t>6260-5 - development hours - MVP Proposal - Zoho</t>
  </si>
  <si>
    <t>6260-7 - Workers Comp - Drug screening - JFarrar</t>
  </si>
  <si>
    <t>6260-2 - Binding Arbitration - 24622A22222 - Donald L Orlando</t>
  </si>
  <si>
    <t>6260-2 - Binding Arbitration - 24622A22231 - Brian J Simons</t>
  </si>
  <si>
    <t>6260-2 - Binding Arbitration - 24622A22248 - Yogeshwar Srikrishnan</t>
  </si>
  <si>
    <t>6260-2 - Binding Arbitration - 24622A22249 - Alon Rozental</t>
  </si>
  <si>
    <t>6260-2 - Binding Arbitration - 24622A22250 - Kathryn A Clair</t>
  </si>
  <si>
    <t>6260-2 - Binding Arbitration - 24622A22254 - Sebastian Delascurain</t>
  </si>
  <si>
    <t>6260-2 - Binding Arbitration - 24622A22260 - Robert A Basque</t>
  </si>
  <si>
    <t>6260-2 - Binding Arbitration - 24622A22262 - Eddy S Lin</t>
  </si>
  <si>
    <t>6260-2 - Binding Arbitration - 24622A22263 - Huy V Nguyen</t>
  </si>
  <si>
    <t>6260-2 - Binding Arbitration 24622A22406 - David Harding</t>
  </si>
  <si>
    <t>6260-2 - Binding Arbitration - 24622A22257 - Tanbir S Pathania</t>
  </si>
  <si>
    <t>6260-2 - Binding Arbitration - 24622A22266 - Kathy L Jones</t>
  </si>
  <si>
    <t>6260-2 - Binding Arbitration - 24622A22268 - Eric J Martina</t>
  </si>
  <si>
    <t>6260-2 - Binding Arbitration - 24622A22275 - Vikas Goyal</t>
  </si>
  <si>
    <t>6260-2 - Binding Arbitration - 24622A22364 - Todor Donchev</t>
  </si>
  <si>
    <t>6260-2 - Binding Arbitration - 24622A22220 - Vescott Investments LLC</t>
  </si>
  <si>
    <t>6260-2 - Binding Arbitration - 24622A22328 - Seth Webber</t>
  </si>
  <si>
    <t>6260-2 - Binding Arbitration - 24622A22293 - Kia M Teo</t>
  </si>
  <si>
    <t>6260-2 - Binding Arbitration - 24622A22292 - Huai Pan</t>
  </si>
  <si>
    <t>6260-2 - Binding Arbitration - 24622A22338 - Kelly S Spitzer</t>
  </si>
  <si>
    <t>6260-2 - Binding Arbitration - 24622A22295 - Mengran Chen</t>
  </si>
  <si>
    <t>6260-2 - Arbitration - 24622A22336 - Austin FCS Limited</t>
  </si>
  <si>
    <t>6260-9 - Mediations - 4 hrs - 22-1288-C395 - Emory Residential LP</t>
  </si>
  <si>
    <t>6260-9 - Mediation - 1 case</t>
  </si>
  <si>
    <t>6260-9 - professional services - August Expenses</t>
  </si>
  <si>
    <t>6260-9 - Mediation - 19 cases</t>
  </si>
  <si>
    <t>6260-9 - Mediations - 4 hrs - 22-1271-C425 - Tides on Copper Creek Owner LLC</t>
  </si>
  <si>
    <t>6260-2 - Binding Arbitration - 24622A22243 - Kimberly J Bullock</t>
  </si>
  <si>
    <t>6260-2 - Binding Arbitration - 24622A22296 - Yunsi Yang</t>
  </si>
  <si>
    <t>6260-2 - Binding Arbitration - 24622A22297 - David A Valverde</t>
  </si>
  <si>
    <t>6260-2 - Binding Arbitration - 24622A22302 - David M Linzenmeyer</t>
  </si>
  <si>
    <t>6260-2 - Binding Arbitration - 24622A22304 - AKF Holdings, LLC</t>
  </si>
  <si>
    <t>6260-2 - Binding Arbitration - 24622A22310 - Ashwini Krishna</t>
  </si>
  <si>
    <t>6260-2 - Binding Arbitration - 24622A22337 - National Retail Properties LP</t>
  </si>
  <si>
    <t>6260-9 - Mediations - 4 hrs - 22-1130-C368 - several lawsuits</t>
  </si>
  <si>
    <t>6260-9 - Reimbursement - Attorney for CA contract</t>
  </si>
  <si>
    <t>6260-2 - Binding Arbitration - 24622A22319 - RS West LLC</t>
  </si>
  <si>
    <t>6260-2 - Binding Arbitration - 24622A22320 - Prasanna K Illa</t>
  </si>
  <si>
    <t>6260-2 - Binding Arbitration - 24622A22321 - Abigail R Bobo</t>
  </si>
  <si>
    <t>6260-2 - Binding Arbitration - 24622A22330 - Tanya Rodriguez</t>
  </si>
  <si>
    <t>6260-2 - Binding Arbitration - 24622A22332 - Rajani K Markala</t>
  </si>
  <si>
    <t>6260-2 - Binding Arbitration - 24622A22350 - Wendy W Xie</t>
  </si>
  <si>
    <t>6260-2 - Binding Arbitration - 24622A22367 - 205 Cherokee Rose Circle, LLC</t>
  </si>
  <si>
    <t>6260-9 - Retainer Fee -  Appraisal for Samsung Semiconductor Plant in Taylor, TX</t>
  </si>
  <si>
    <t>6260-2 - Binding Arbitration - 24622A22352 - Catherine E Ryan</t>
  </si>
  <si>
    <t>6260-2 - Binding Arbitration - 24622A22339 - Rithvik Kasireddy</t>
  </si>
  <si>
    <t>6260-2 - Binding Arbitration - 24622A22331 - Ramesh Arvapalli</t>
  </si>
  <si>
    <t>6260-2 - Binding Arbitration - 24622A22385 - Raymond Wheeler</t>
  </si>
  <si>
    <t>6260-9 - professional services - November 2022 Expenses</t>
  </si>
  <si>
    <t>6210-10 - Membership renewal - Aaron Moore</t>
  </si>
  <si>
    <t>6260-2 - Binding Arbitration - 24622A22378 - Wendy W Xie</t>
  </si>
  <si>
    <t>6260-2 - Binding Arbitration - 24622A22379 - Wendy W Xie</t>
  </si>
  <si>
    <t>6260-2 - Binding Arbitration - 24622A22383 - Philip N Lenton</t>
  </si>
  <si>
    <t>6260-2 - Binding Arbitration - 24622A22349 - Liangzheng Huang</t>
  </si>
  <si>
    <t>6260-2 - Binding Arbitration - 24622A22353 - Sarosh Prasla</t>
  </si>
  <si>
    <t>6260-2 - Binding Arbitration - 24622A22356 - Sergaty Lenny Samuel Markus &amp; Diana Yiman Chang MA</t>
  </si>
  <si>
    <t>6260-2 - Binding Arbitration - 24622A22357 - John Martin</t>
  </si>
  <si>
    <t>6260-2 - Binding Arbitration - 24622A22359 - Bhargav Vaddavalli</t>
  </si>
  <si>
    <t>6260-2 - Binding Arbitration - 24622A22372 - David R Parker</t>
  </si>
  <si>
    <t>6260-2 - Binding Arbitration - 24622A22376 - Mark O Wilcox</t>
  </si>
  <si>
    <t>6260-2 - Binding Arbitration - 24622A22386 - Ryne Pul I Do</t>
  </si>
  <si>
    <t>6260-2 - Binding Arbitration - 24622A22377 - Wendy W Xie</t>
  </si>
  <si>
    <t>6260-2 - Binding Arbitration 24622A22358 - Granite Media Partners, Inc</t>
  </si>
  <si>
    <t>6260-9 - Mediations - 4 hrs - 22-1601-C368 - 1700 University Blvd &amp; 22-1458-C368 - Breit Steadfa...</t>
  </si>
  <si>
    <t>6260-2 - Binding Arbitration - 24622A22361 - Ahmad Ayyoub</t>
  </si>
  <si>
    <t>6260-2 - Binding Arbitration - 24622A22355 - Daniel Feng</t>
  </si>
  <si>
    <t>6260-14 - GIS Audit Services</t>
  </si>
  <si>
    <t>6260-9 - Ambrose Report - Appraisal Services - Austin Leander support</t>
  </si>
  <si>
    <t>6260-9 - Mediation - 11 cases</t>
  </si>
  <si>
    <t>6260-9 - Deposition - Cause #22-0946-C368 - Austin Leander Investments</t>
  </si>
  <si>
    <t>6260-9 - Mediation - 6 cases</t>
  </si>
  <si>
    <t>6260-2 - Binding Arbitration - 24622A22402 - Arjun Khurana</t>
  </si>
  <si>
    <t>6260-2 - Binding Arbitration - 24622A22409 - Whitis Mustand Creek Ranch, LLC</t>
  </si>
  <si>
    <t>6260-9 - professional services - September 2023 Expenses</t>
  </si>
  <si>
    <t>6260-9 - SOAH</t>
  </si>
  <si>
    <t>6260-9 - Exemption issue Duncan House</t>
  </si>
  <si>
    <t>6260-9 - Home Rent 2 LLC - AOA issue</t>
  </si>
  <si>
    <t>6260-2 - Binding Arbitration - 24622A22418 - Gabriela E marin</t>
  </si>
  <si>
    <t>6260-2 - Binding Arbitration - 24622A22419 - Sizhe Liu</t>
  </si>
  <si>
    <t>6260-2 - Binding Arbitration - 24622A22420 - Bruce C Eppinger</t>
  </si>
  <si>
    <t>6260-2 - Binding Arbitration - 24622A22424 - Ankit Talwar</t>
  </si>
  <si>
    <t>6260-2 - Binding Arbitration - 24622A22426 - Or Yochanan</t>
  </si>
  <si>
    <t>6260-9 - Deposition - Leander Investments</t>
  </si>
  <si>
    <t>6260-9 - Deposition - Cause #22-0948-C368 - TMP Parkside Project LLC</t>
  </si>
  <si>
    <t>6260-9 - Experts - Parkside @ Round Rock</t>
  </si>
  <si>
    <t>6260-9 - Mediation - KV Oakville Apartments</t>
  </si>
  <si>
    <t>6260-9 - professional services - October 2023 Expenses</t>
  </si>
  <si>
    <t>6260-4 - Time Trend Analysis</t>
  </si>
  <si>
    <t>6260-2 - Binding Arbitration - 2462323001C - Mayfair Equities, LLC</t>
  </si>
  <si>
    <t>6260-9 - Mediation - 2 cases - morning</t>
  </si>
  <si>
    <t>6260-9 - Mediation - 2 cases - afternoon</t>
  </si>
  <si>
    <t>6260-7 - Employment screening - SBaker</t>
  </si>
  <si>
    <t>6260-7 - Employment screening - HMontanez</t>
  </si>
  <si>
    <t>6260-7 - Employment screening - RDockery</t>
  </si>
  <si>
    <t>6260-9 - professional services - November 2023 Expenses</t>
  </si>
  <si>
    <t>6260-2 - Binding Arbitration - 24622A22313 - Yu S Chan</t>
  </si>
  <si>
    <t>1250146470</t>
  </si>
  <si>
    <t>6013223012819</t>
  </si>
  <si>
    <t>80036151</t>
  </si>
  <si>
    <t>6013223013648</t>
  </si>
  <si>
    <t>Presidio Network Solutions</t>
  </si>
  <si>
    <t>6280-24 - QuickBooks Online Advanced</t>
  </si>
  <si>
    <t>6280-6 - Maintenance</t>
  </si>
  <si>
    <t>5XXS3</t>
  </si>
  <si>
    <t>Power B1 Tiles</t>
  </si>
  <si>
    <t>6285-10 Power B1 Tilescoverts Power B1 to Word</t>
  </si>
  <si>
    <t>6290 · Business Insurance</t>
  </si>
  <si>
    <t>Total 6290 · Business Insurance</t>
  </si>
  <si>
    <t>TML Intergovernmental Risk Pool</t>
  </si>
  <si>
    <t>6290-1 - Automobile Liability</t>
  </si>
  <si>
    <t>6290-3 - Errors &amp; Omission</t>
  </si>
  <si>
    <t>6290-4 - General Liability</t>
  </si>
  <si>
    <t>6290-2 - Crime Pub Emp Dis</t>
  </si>
  <si>
    <t>6290-5 - Real &amp; Pers Prop</t>
  </si>
  <si>
    <t>6290-4 - Cyber Liability</t>
  </si>
  <si>
    <t>6290-2 - Pre-pymt discount - crime</t>
  </si>
  <si>
    <t>6290-3 - Pre-pymt discount - errors &amp; omissions liability</t>
  </si>
  <si>
    <t>6290-1 - Pre-pymt discount - automobile</t>
  </si>
  <si>
    <t>6290-5 - Pre-pymt discount - real &amp; personal property</t>
  </si>
  <si>
    <t>6290-4 - Pre-pymt discount - general liability</t>
  </si>
  <si>
    <t>6290-4 - Pre-pymt discount - cyber liability</t>
  </si>
  <si>
    <t>197414</t>
  </si>
  <si>
    <t>197497</t>
  </si>
  <si>
    <t>JG Media / Community Impact Newspaper</t>
  </si>
  <si>
    <t>6330-4 - ARB determination</t>
  </si>
  <si>
    <t>6330-7 - ARB Job Ad - Georgetown</t>
  </si>
  <si>
    <t>6330-7 - ARB Job Ad - Cedar Park Far Northwest Austin</t>
  </si>
  <si>
    <t>6330-7 - ARB Job Ad - Round Rock</t>
  </si>
  <si>
    <t>6330-7 - ARB Job Ad - Leander Liberty HIll</t>
  </si>
  <si>
    <t>6330-7 - ARB Job Ad - Pflugerville - Hutto</t>
  </si>
  <si>
    <t>6330-7 - ARB Job Ad - Cedar Park - Far Northwest Austin</t>
  </si>
  <si>
    <t>6330-4 - arb determination ltrs (33)</t>
  </si>
  <si>
    <t>5753</t>
  </si>
  <si>
    <t>6350-2 - ARB training - half day workshop</t>
  </si>
  <si>
    <t>6285-14 - Computer Services</t>
  </si>
  <si>
    <t>12022023</t>
  </si>
  <si>
    <t>0016372</t>
  </si>
  <si>
    <t>31363</t>
  </si>
  <si>
    <t>6130-15 refund fraud check that was stolen</t>
  </si>
  <si>
    <t>6130-15 - HS postcard mailout (1,374)</t>
  </si>
  <si>
    <t>1214687</t>
  </si>
  <si>
    <t>1377-5368</t>
  </si>
  <si>
    <t>1582-8895</t>
  </si>
  <si>
    <t>1306-8787</t>
  </si>
  <si>
    <t>1841-2623</t>
  </si>
  <si>
    <t>Griner</t>
  </si>
  <si>
    <t>6210-32 - License application - TChandler</t>
  </si>
  <si>
    <t>6210-27 - State Course - RQuinlan</t>
  </si>
  <si>
    <t>6210-27 - MLopes</t>
  </si>
  <si>
    <t>6210-27 - State Course - KMuniz</t>
  </si>
  <si>
    <t>6210-27 - Webinar - LPerez</t>
  </si>
  <si>
    <t>6210-27 - State Course - MLopez</t>
  </si>
  <si>
    <t>6210-27 - Webinar - JGiner</t>
  </si>
  <si>
    <t>6210-1 - GIS Day - refund pizza was never delivered</t>
  </si>
  <si>
    <t>6225-6 Refund unused credit</t>
  </si>
  <si>
    <t>12012023</t>
  </si>
  <si>
    <t>010312</t>
  </si>
  <si>
    <t>6240-21 - Residential Cost Handbook</t>
  </si>
  <si>
    <t>6240-36 - Factbook Annual Issue</t>
  </si>
  <si>
    <t>6240-35 - HBR 4Q: Hotel Brand Report</t>
  </si>
  <si>
    <t>2023-152</t>
  </si>
  <si>
    <t>82172</t>
  </si>
  <si>
    <t>10275</t>
  </si>
  <si>
    <t>CycloMedia Technology, Inc.</t>
  </si>
  <si>
    <t>6260 - GeoCyclomedia 50% of the project license fee</t>
  </si>
  <si>
    <t>6260-9 - other legal expenses</t>
  </si>
  <si>
    <t>6260-9 - professional services - December 2023 Expenses</t>
  </si>
  <si>
    <t>6260-6 GeoCyclomedia 50% of the project license fee</t>
  </si>
  <si>
    <t>347538</t>
  </si>
  <si>
    <t>80636200</t>
  </si>
  <si>
    <t>6280-32 Papercut Maintenance &amp; Support (36 months)</t>
  </si>
  <si>
    <t>6280-20  - ArcGIS Data Reviewer for Desktop Concurrent Use Primary Maintenance</t>
  </si>
  <si>
    <t>6280-22 - ArcGIS Online Creator - Term License (pre 4.4 pricing)</t>
  </si>
  <si>
    <t>6280-19 - ArcGIS Community Analyst Web App Online Term License</t>
  </si>
  <si>
    <t>6280-21 - Insights for ArcGIS in ArcGIS Online Term License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</si>
</sst>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_);_(&quot;$&quot;* \(#,##0\);_(&quot;$&quot;* &quot;-&quot;??_);_(@_)"/>
    <numFmt numFmtId="166" formatCode="_(* #,##0_);_(* \(#,##0\);_(* &quot;-&quot;??_);_(@_)"/>
    <numFmt numFmtId="167" formatCode="00000"/>
    <numFmt numFmtId="168" formatCode="&quot;$&quot;#,##0"/>
    <numFmt numFmtId="169" formatCode="&quot;$&quot;#,##0.000_);[Red]\(&quot;$&quot;#,##0.000\)"/>
    <numFmt numFmtId="170" formatCode="mm/dd/yyyy"/>
    <numFmt numFmtId="171" formatCode="#,##0.00;\-#,##0.00"/>
    <numFmt numFmtId="172" formatCode="_([$$-409]* #,##0_);_([$$-409]* \(#,##0\);_([$$-409]* &quot;-&quot;??_);_(@_)"/>
  </numFmts>
  <fonts count="124" x14ac:knownFonts="1">
    <font>
      <sz val="11"/>
      <color rgb="FF000000"/>
      <name val="Calibri"/>
    </font>
    <font>
      <b/>
      <sz val="11"/>
      <color rgb="FFFFFFFF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b/>
      <sz val="11"/>
      <color rgb="FFFFFFFF"/>
      <name val="Arial"/>
      <family val="2"/>
    </font>
    <font>
      <sz val="10"/>
      <color rgb="FFFFFFFF"/>
      <name val="Arial"/>
      <family val="2"/>
    </font>
    <font>
      <sz val="10"/>
      <color rgb="FF4472C4"/>
      <name val="Arial"/>
      <family val="2"/>
    </font>
    <font>
      <b/>
      <sz val="15"/>
      <name val="Calibri"/>
      <family val="2"/>
    </font>
    <font>
      <sz val="11"/>
      <color rgb="FF00B050"/>
      <name val="Calibri"/>
      <family val="2"/>
    </font>
    <font>
      <b/>
      <i/>
      <sz val="8"/>
      <color rgb="FF000000"/>
      <name val="Calibri"/>
      <family val="2"/>
    </font>
    <font>
      <sz val="11"/>
      <color rgb="FF009900"/>
      <name val="Calibri"/>
      <family val="2"/>
    </font>
    <font>
      <sz val="10"/>
      <color rgb="FF000000"/>
      <name val="Arial"/>
      <family val="2"/>
    </font>
    <font>
      <b/>
      <i/>
      <sz val="7"/>
      <color rgb="FF000000"/>
      <name val="Arial"/>
      <family val="2"/>
    </font>
    <font>
      <sz val="10"/>
      <name val="Arial"/>
      <family val="2"/>
    </font>
    <font>
      <b/>
      <sz val="8"/>
      <name val="Calibri"/>
      <family val="2"/>
    </font>
    <font>
      <b/>
      <sz val="11"/>
      <name val="Calibri"/>
      <family val="2"/>
    </font>
    <font>
      <b/>
      <sz val="11"/>
      <color rgb="FF00B050"/>
      <name val="Calibri"/>
      <family val="2"/>
    </font>
    <font>
      <b/>
      <sz val="11"/>
      <color rgb="FF000000"/>
      <name val="Calibri"/>
      <family val="2"/>
    </font>
    <font>
      <b/>
      <u/>
      <sz val="11"/>
      <name val="Calibri"/>
      <family val="2"/>
    </font>
    <font>
      <i/>
      <sz val="11"/>
      <name val="Calibri"/>
      <family val="2"/>
    </font>
    <font>
      <b/>
      <sz val="8"/>
      <color rgb="FF000000"/>
      <name val="Calibri"/>
      <family val="2"/>
    </font>
    <font>
      <sz val="11"/>
      <color rgb="FFFF0000"/>
      <name val="Arial"/>
      <family val="2"/>
    </font>
    <font>
      <sz val="11"/>
      <name val="Arial"/>
      <family val="2"/>
    </font>
    <font>
      <i/>
      <sz val="8"/>
      <color rgb="FF000000"/>
      <name val="Calibri"/>
      <family val="2"/>
    </font>
    <font>
      <b/>
      <i/>
      <sz val="8"/>
      <name val="Calibri"/>
      <family val="2"/>
    </font>
    <font>
      <b/>
      <i/>
      <sz val="8"/>
      <name val="Arial"/>
      <family val="2"/>
    </font>
    <font>
      <b/>
      <sz val="10"/>
      <name val="Arial"/>
      <family val="2"/>
    </font>
    <font>
      <sz val="11"/>
      <color rgb="FF4472C4"/>
      <name val="Calibri"/>
      <family val="2"/>
    </font>
    <font>
      <strike/>
      <sz val="11"/>
      <color rgb="FF000000"/>
      <name val="Calibri"/>
      <family val="2"/>
    </font>
    <font>
      <b/>
      <sz val="15"/>
      <color rgb="FFFFFFFF"/>
      <name val="Calibri"/>
      <family val="2"/>
    </font>
    <font>
      <sz val="8"/>
      <name val="Calibri"/>
      <family val="2"/>
    </font>
    <font>
      <strike/>
      <sz val="11"/>
      <name val="Calibri"/>
      <family val="2"/>
    </font>
    <font>
      <b/>
      <sz val="11"/>
      <color rgb="FFFF0000"/>
      <name val="Calibri"/>
      <family val="2"/>
    </font>
    <font>
      <b/>
      <sz val="8"/>
      <name val="Arial"/>
      <family val="2"/>
    </font>
    <font>
      <sz val="10"/>
      <name val="Calibri"/>
      <family val="2"/>
    </font>
    <font>
      <b/>
      <sz val="10"/>
      <color rgb="FF000000"/>
      <name val="Arial"/>
      <family val="2"/>
    </font>
    <font>
      <sz val="10"/>
      <color rgb="FF009900"/>
      <name val="Arial"/>
      <family val="2"/>
    </font>
    <font>
      <b/>
      <i/>
      <sz val="8"/>
      <color rgb="FFFF0000"/>
      <name val="Calibri"/>
      <family val="2"/>
    </font>
    <font>
      <b/>
      <sz val="22"/>
      <color rgb="FF000000"/>
      <name val="Calibri"/>
      <family val="2"/>
    </font>
    <font>
      <i/>
      <sz val="8"/>
      <name val="Calibri"/>
      <family val="2"/>
    </font>
    <font>
      <b/>
      <sz val="11"/>
      <color rgb="FF0099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8"/>
      <name val="Calibri"/>
      <family val="2"/>
      <scheme val="minor"/>
    </font>
    <font>
      <sz val="11"/>
      <color rgb="FF000000"/>
      <name val="Calibri"/>
      <family val="2"/>
    </font>
    <font>
      <sz val="11"/>
      <color theme="0" tint="-0.499984740745262"/>
      <name val="Calibri"/>
      <family val="2"/>
    </font>
    <font>
      <sz val="10"/>
      <color rgb="FF000000"/>
      <name val="Calibri"/>
      <family val="2"/>
      <scheme val="minor"/>
    </font>
    <font>
      <b/>
      <i/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b/>
      <sz val="8"/>
      <color rgb="FF444444"/>
      <name val="Calibri"/>
      <family val="2"/>
    </font>
    <font>
      <b/>
      <sz val="20"/>
      <color rgb="FF000000"/>
      <name val="Calibri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7030A0"/>
      <name val="Calibri"/>
      <family val="2"/>
    </font>
    <font>
      <sz val="10"/>
      <color rgb="FF7030A0"/>
      <name val="Arial"/>
      <family val="2"/>
    </font>
    <font>
      <sz val="10"/>
      <color rgb="FFFF0000"/>
      <name val="Arial"/>
      <family val="2"/>
    </font>
    <font>
      <sz val="11"/>
      <color rgb="FF000000"/>
      <name val="Arial"/>
      <family val="2"/>
    </font>
    <font>
      <b/>
      <sz val="16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8000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2"/>
      <color rgb="FF00800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99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99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0"/>
      <color rgb="FFFFFFFF"/>
      <name val="Calibri"/>
      <family val="2"/>
      <scheme val="minor"/>
    </font>
    <font>
      <b/>
      <i/>
      <sz val="8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b/>
      <sz val="8"/>
      <color rgb="FFFFFFFF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strike/>
      <sz val="1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trike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8"/>
      <name val="Calibri"/>
      <family val="2"/>
      <scheme val="minor"/>
    </font>
    <font>
      <b/>
      <i/>
      <u/>
      <sz val="8"/>
      <name val="Calibri"/>
      <family val="2"/>
      <scheme val="minor"/>
    </font>
    <font>
      <b/>
      <i/>
      <strike/>
      <sz val="8"/>
      <name val="Calibri"/>
      <family val="2"/>
      <scheme val="minor"/>
    </font>
    <font>
      <i/>
      <sz val="8"/>
      <color rgb="FF000000"/>
      <name val="Calibri"/>
      <family val="2"/>
      <scheme val="minor"/>
    </font>
    <font>
      <b/>
      <i/>
      <sz val="8"/>
      <color rgb="FFFFFFFF"/>
      <name val="Calibri"/>
      <family val="2"/>
      <scheme val="minor"/>
    </font>
    <font>
      <sz val="11"/>
      <color rgb="FFFFFFFF"/>
      <name val="Calibri"/>
      <family val="2"/>
      <scheme val="minor"/>
    </font>
    <font>
      <i/>
      <sz val="1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8"/>
      <name val="Calibri"/>
      <family val="2"/>
    </font>
    <font>
      <b/>
      <i/>
      <sz val="8"/>
      <color rgb="FF444444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2"/>
      <color theme="0"/>
      <name val="Arial"/>
      <family val="2"/>
    </font>
    <font>
      <sz val="12"/>
      <color rgb="FF009900"/>
      <name val="Arial"/>
      <family val="2"/>
    </font>
    <font>
      <b/>
      <sz val="11"/>
      <color rgb="FFFFFFFF"/>
      <name val="Calibri"/>
      <family val="2"/>
    </font>
    <font>
      <sz val="11"/>
      <color rgb="FF444444"/>
      <name val="Calibri"/>
      <family val="2"/>
      <charset val="1"/>
    </font>
    <font>
      <b/>
      <u/>
      <sz val="11"/>
      <color rgb="FF000000"/>
      <name val="Calibri"/>
      <family val="2"/>
    </font>
    <font>
      <b/>
      <sz val="10"/>
      <color rgb="FF4472C4"/>
      <name val="Arial"/>
      <family val="2"/>
    </font>
    <font>
      <sz val="11"/>
      <color rgb="FFFF0000"/>
      <name val="Calibri"/>
      <family val="2"/>
    </font>
    <font>
      <b/>
      <i/>
      <sz val="8"/>
      <color rgb="FF00B050"/>
      <name val="Calibri"/>
      <family val="2"/>
      <scheme val="minor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444444"/>
      <name val="Calibri"/>
      <family val="2"/>
    </font>
    <font>
      <b/>
      <sz val="10"/>
      <color rgb="FF000000"/>
      <name val="Calibri"/>
      <family val="2"/>
    </font>
    <font>
      <sz val="1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rgb="FF741B47"/>
      </patternFill>
    </fill>
    <fill>
      <patternFill patternType="solid">
        <fgColor theme="5"/>
        <bgColor rgb="FF5B9BD5"/>
      </patternFill>
    </fill>
    <fill>
      <patternFill patternType="solid">
        <fgColor theme="5" tint="0.79998168889431442"/>
        <bgColor rgb="FF9CC2E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rgb="FF741B47"/>
      </patternFill>
    </fill>
    <fill>
      <patternFill patternType="solid">
        <fgColor theme="1"/>
        <bgColor indexed="64"/>
      </patternFill>
    </fill>
    <fill>
      <patternFill patternType="solid">
        <fgColor theme="3"/>
        <bgColor rgb="FF5B9BD5"/>
      </patternFill>
    </fill>
    <fill>
      <patternFill patternType="solid">
        <fgColor theme="7" tint="0.79998168889431442"/>
        <bgColor rgb="FF9CC2E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/>
        <bgColor rgb="FF741B47"/>
      </patternFill>
    </fill>
  </fills>
  <borders count="44">
    <border>
      <left/>
      <right/>
      <top/>
      <bottom/>
      <diagonal/>
    </border>
    <border>
      <left style="thin">
        <color rgb="FFB2A1C7"/>
      </left>
      <right/>
      <top style="thin">
        <color rgb="FFB2A1C7"/>
      </top>
      <bottom/>
      <diagonal/>
    </border>
    <border>
      <left/>
      <right/>
      <top style="thin">
        <color rgb="FFB2A1C7"/>
      </top>
      <bottom/>
      <diagonal/>
    </border>
    <border>
      <left/>
      <right style="thin">
        <color rgb="FFB2A1C7"/>
      </right>
      <top style="thin">
        <color rgb="FFB2A1C7"/>
      </top>
      <bottom/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 style="thin">
        <color rgb="FFDBE5F1"/>
      </left>
      <right style="thin">
        <color rgb="FFDBE5F1"/>
      </right>
      <top style="thin">
        <color rgb="FFDBE5F1"/>
      </top>
      <bottom style="thin">
        <color rgb="FFDBE5F1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B2A1C7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/>
      <right style="thin">
        <color theme="5"/>
      </right>
      <top/>
      <bottom/>
      <diagonal/>
    </border>
    <border>
      <left style="thin">
        <color theme="5"/>
      </left>
      <right/>
      <top/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rgb="FF000000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</borders>
  <cellStyleXfs count="10">
    <xf numFmtId="0" fontId="0" fillId="0" borderId="0"/>
    <xf numFmtId="43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3" fillId="0" borderId="7"/>
    <xf numFmtId="44" fontId="13" fillId="0" borderId="7" applyFont="0" applyFill="0" applyBorder="0" applyAlignment="0" applyProtection="0"/>
    <xf numFmtId="0" fontId="13" fillId="0" borderId="7"/>
    <xf numFmtId="0" fontId="73" fillId="0" borderId="7"/>
    <xf numFmtId="0" fontId="74" fillId="0" borderId="0" applyNumberFormat="0" applyFill="0" applyBorder="0" applyAlignment="0" applyProtection="0"/>
    <xf numFmtId="0" fontId="123" fillId="0" borderId="7"/>
  </cellStyleXfs>
  <cellXfs count="1000">
    <xf numFmtId="0" fontId="0" fillId="0" borderId="0" xfId="0"/>
    <xf numFmtId="0" fontId="2" fillId="0" borderId="0" xfId="0" applyFont="1"/>
    <xf numFmtId="0" fontId="6" fillId="0" borderId="0" xfId="0" applyFont="1"/>
    <xf numFmtId="0" fontId="3" fillId="0" borderId="0" xfId="0" applyFont="1"/>
    <xf numFmtId="165" fontId="3" fillId="0" borderId="0" xfId="0" applyNumberFormat="1" applyFont="1"/>
    <xf numFmtId="165" fontId="0" fillId="0" borderId="0" xfId="0" applyNumberFormat="1"/>
    <xf numFmtId="165" fontId="2" fillId="0" borderId="0" xfId="0" applyNumberFormat="1" applyFont="1"/>
    <xf numFmtId="8" fontId="6" fillId="0" borderId="0" xfId="0" applyNumberFormat="1" applyFont="1"/>
    <xf numFmtId="167" fontId="3" fillId="0" borderId="0" xfId="0" applyNumberFormat="1" applyFont="1"/>
    <xf numFmtId="167" fontId="3" fillId="0" borderId="0" xfId="0" applyNumberFormat="1" applyFont="1" applyAlignment="1">
      <alignment horizontal="center"/>
    </xf>
    <xf numFmtId="6" fontId="10" fillId="0" borderId="0" xfId="0" applyNumberFormat="1" applyFont="1"/>
    <xf numFmtId="6" fontId="3" fillId="0" borderId="0" xfId="0" applyNumberFormat="1" applyFont="1"/>
    <xf numFmtId="166" fontId="6" fillId="0" borderId="0" xfId="0" applyNumberFormat="1" applyFont="1"/>
    <xf numFmtId="0" fontId="11" fillId="0" borderId="0" xfId="0" applyFont="1"/>
    <xf numFmtId="167" fontId="3" fillId="0" borderId="0" xfId="0" applyNumberFormat="1" applyFont="1" applyAlignment="1">
      <alignment horizontal="left"/>
    </xf>
    <xf numFmtId="6" fontId="3" fillId="0" borderId="0" xfId="0" applyNumberFormat="1" applyFont="1" applyAlignment="1">
      <alignment horizontal="right"/>
    </xf>
    <xf numFmtId="6" fontId="0" fillId="0" borderId="0" xfId="0" applyNumberFormat="1" applyAlignment="1">
      <alignment horizontal="right"/>
    </xf>
    <xf numFmtId="167" fontId="13" fillId="0" borderId="0" xfId="0" applyNumberFormat="1" applyFont="1" applyAlignment="1">
      <alignment horizontal="center" vertical="top"/>
    </xf>
    <xf numFmtId="167" fontId="14" fillId="0" borderId="0" xfId="0" applyNumberFormat="1" applyFont="1" applyAlignment="1">
      <alignment horizontal="right"/>
    </xf>
    <xf numFmtId="167" fontId="14" fillId="0" borderId="0" xfId="0" applyNumberFormat="1" applyFont="1" applyAlignment="1">
      <alignment horizontal="center"/>
    </xf>
    <xf numFmtId="10" fontId="10" fillId="0" borderId="0" xfId="0" applyNumberFormat="1" applyFont="1"/>
    <xf numFmtId="0" fontId="15" fillId="0" borderId="0" xfId="0" applyFont="1"/>
    <xf numFmtId="165" fontId="15" fillId="0" borderId="0" xfId="0" applyNumberFormat="1" applyFont="1"/>
    <xf numFmtId="165" fontId="17" fillId="0" borderId="0" xfId="0" applyNumberFormat="1" applyFont="1"/>
    <xf numFmtId="167" fontId="13" fillId="0" borderId="0" xfId="0" applyNumberFormat="1" applyFont="1"/>
    <xf numFmtId="167" fontId="13" fillId="0" borderId="0" xfId="0" applyNumberFormat="1" applyFont="1" applyAlignment="1">
      <alignment horizontal="center"/>
    </xf>
    <xf numFmtId="0" fontId="13" fillId="0" borderId="0" xfId="0" applyFont="1"/>
    <xf numFmtId="6" fontId="13" fillId="0" borderId="0" xfId="0" applyNumberFormat="1" applyFont="1"/>
    <xf numFmtId="0" fontId="18" fillId="0" borderId="0" xfId="0" applyFont="1"/>
    <xf numFmtId="0" fontId="17" fillId="0" borderId="0" xfId="0" applyFont="1"/>
    <xf numFmtId="0" fontId="15" fillId="0" borderId="5" xfId="0" applyFont="1" applyBorder="1"/>
    <xf numFmtId="165" fontId="3" fillId="0" borderId="6" xfId="0" applyNumberFormat="1" applyFont="1" applyBorder="1"/>
    <xf numFmtId="165" fontId="15" fillId="0" borderId="6" xfId="0" applyNumberFormat="1" applyFont="1" applyBorder="1"/>
    <xf numFmtId="0" fontId="13" fillId="0" borderId="0" xfId="0" applyFont="1" applyAlignment="1">
      <alignment horizontal="right"/>
    </xf>
    <xf numFmtId="44" fontId="13" fillId="0" borderId="0" xfId="0" applyNumberFormat="1" applyFont="1"/>
    <xf numFmtId="8" fontId="3" fillId="0" borderId="0" xfId="0" applyNumberFormat="1" applyFont="1"/>
    <xf numFmtId="167" fontId="15" fillId="0" borderId="0" xfId="0" applyNumberFormat="1" applyFont="1" applyAlignment="1">
      <alignment horizontal="right"/>
    </xf>
    <xf numFmtId="8" fontId="13" fillId="0" borderId="0" xfId="0" applyNumberFormat="1" applyFont="1"/>
    <xf numFmtId="167" fontId="15" fillId="0" borderId="0" xfId="0" applyNumberFormat="1" applyFont="1" applyAlignment="1">
      <alignment horizontal="center"/>
    </xf>
    <xf numFmtId="6" fontId="16" fillId="0" borderId="0" xfId="0" applyNumberFormat="1" applyFont="1"/>
    <xf numFmtId="8" fontId="0" fillId="0" borderId="0" xfId="0" applyNumberFormat="1" applyAlignment="1">
      <alignment horizontal="right"/>
    </xf>
    <xf numFmtId="6" fontId="15" fillId="0" borderId="0" xfId="0" applyNumberFormat="1" applyFont="1"/>
    <xf numFmtId="8" fontId="21" fillId="0" borderId="0" xfId="0" applyNumberFormat="1" applyFont="1"/>
    <xf numFmtId="0" fontId="23" fillId="0" borderId="0" xfId="0" applyFont="1"/>
    <xf numFmtId="167" fontId="15" fillId="0" borderId="0" xfId="0" applyNumberFormat="1" applyFont="1" applyAlignment="1">
      <alignment horizontal="left"/>
    </xf>
    <xf numFmtId="1" fontId="15" fillId="0" borderId="0" xfId="0" applyNumberFormat="1" applyFont="1" applyAlignment="1">
      <alignment horizontal="center"/>
    </xf>
    <xf numFmtId="167" fontId="25" fillId="0" borderId="0" xfId="0" applyNumberFormat="1" applyFont="1"/>
    <xf numFmtId="1" fontId="3" fillId="0" borderId="0" xfId="0" applyNumberFormat="1" applyFont="1" applyAlignment="1">
      <alignment horizontal="center"/>
    </xf>
    <xf numFmtId="8" fontId="1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8" fontId="0" fillId="0" borderId="0" xfId="0" applyNumberFormat="1"/>
    <xf numFmtId="8" fontId="26" fillId="0" borderId="0" xfId="0" applyNumberFormat="1" applyFont="1" applyAlignment="1">
      <alignment horizontal="right"/>
    </xf>
    <xf numFmtId="1" fontId="13" fillId="0" borderId="0" xfId="0" applyNumberFormat="1" applyFont="1" applyAlignment="1">
      <alignment horizontal="right"/>
    </xf>
    <xf numFmtId="8" fontId="13" fillId="0" borderId="0" xfId="0" applyNumberFormat="1" applyFont="1" applyAlignment="1">
      <alignment horizontal="right"/>
    </xf>
    <xf numFmtId="8" fontId="26" fillId="0" borderId="0" xfId="0" applyNumberFormat="1" applyFont="1"/>
    <xf numFmtId="8" fontId="3" fillId="0" borderId="0" xfId="0" applyNumberFormat="1" applyFont="1" applyAlignment="1">
      <alignment horizontal="right"/>
    </xf>
    <xf numFmtId="0" fontId="27" fillId="0" borderId="0" xfId="0" applyFont="1"/>
    <xf numFmtId="8" fontId="30" fillId="0" borderId="0" xfId="0" applyNumberFormat="1" applyFont="1"/>
    <xf numFmtId="6" fontId="0" fillId="0" borderId="0" xfId="0" applyNumberFormat="1"/>
    <xf numFmtId="167" fontId="22" fillId="0" borderId="0" xfId="0" applyNumberFormat="1" applyFont="1" applyAlignment="1">
      <alignment horizontal="center"/>
    </xf>
    <xf numFmtId="0" fontId="17" fillId="0" borderId="0" xfId="0" applyFont="1" applyAlignment="1">
      <alignment horizontal="right"/>
    </xf>
    <xf numFmtId="8" fontId="11" fillId="0" borderId="0" xfId="0" applyNumberFormat="1" applyFont="1"/>
    <xf numFmtId="8" fontId="14" fillId="0" borderId="0" xfId="0" applyNumberFormat="1" applyFont="1" applyAlignment="1">
      <alignment wrapText="1"/>
    </xf>
    <xf numFmtId="8" fontId="26" fillId="0" borderId="0" xfId="0" applyNumberFormat="1" applyFont="1" applyAlignment="1">
      <alignment wrapText="1"/>
    </xf>
    <xf numFmtId="8" fontId="15" fillId="0" borderId="0" xfId="0" applyNumberFormat="1" applyFont="1" applyAlignment="1">
      <alignment horizontal="right" wrapText="1"/>
    </xf>
    <xf numFmtId="1" fontId="15" fillId="0" borderId="0" xfId="0" applyNumberFormat="1" applyFont="1" applyAlignment="1">
      <alignment horizontal="right"/>
    </xf>
    <xf numFmtId="8" fontId="11" fillId="0" borderId="0" xfId="0" applyNumberFormat="1" applyFont="1" applyAlignment="1">
      <alignment horizontal="center"/>
    </xf>
    <xf numFmtId="8" fontId="26" fillId="0" borderId="0" xfId="0" applyNumberFormat="1" applyFont="1" applyAlignment="1">
      <alignment horizontal="right" wrapText="1"/>
    </xf>
    <xf numFmtId="1" fontId="26" fillId="0" borderId="0" xfId="0" applyNumberFormat="1" applyFont="1" applyAlignment="1">
      <alignment horizontal="right"/>
    </xf>
    <xf numFmtId="8" fontId="26" fillId="0" borderId="0" xfId="0" applyNumberFormat="1" applyFont="1" applyAlignment="1">
      <alignment vertical="top"/>
    </xf>
    <xf numFmtId="6" fontId="36" fillId="0" borderId="0" xfId="0" applyNumberFormat="1" applyFont="1"/>
    <xf numFmtId="166" fontId="3" fillId="0" borderId="0" xfId="0" applyNumberFormat="1" applyFont="1"/>
    <xf numFmtId="8" fontId="35" fillId="0" borderId="0" xfId="0" applyNumberFormat="1" applyFont="1"/>
    <xf numFmtId="44" fontId="0" fillId="0" borderId="0" xfId="0" applyNumberFormat="1"/>
    <xf numFmtId="44" fontId="17" fillId="2" borderId="11" xfId="0" applyNumberFormat="1" applyFont="1" applyFill="1" applyBorder="1"/>
    <xf numFmtId="166" fontId="8" fillId="0" borderId="0" xfId="0" applyNumberFormat="1" applyFont="1"/>
    <xf numFmtId="6" fontId="16" fillId="0" borderId="10" xfId="0" applyNumberFormat="1" applyFont="1" applyBorder="1"/>
    <xf numFmtId="6" fontId="15" fillId="0" borderId="10" xfId="0" applyNumberFormat="1" applyFont="1" applyBorder="1"/>
    <xf numFmtId="10" fontId="11" fillId="0" borderId="0" xfId="0" applyNumberFormat="1" applyFont="1"/>
    <xf numFmtId="8" fontId="15" fillId="0" borderId="0" xfId="0" applyNumberFormat="1" applyFont="1"/>
    <xf numFmtId="49" fontId="17" fillId="0" borderId="12" xfId="0" applyNumberFormat="1" applyFont="1" applyBorder="1" applyAlignment="1">
      <alignment horizontal="center"/>
    </xf>
    <xf numFmtId="49" fontId="17" fillId="0" borderId="12" xfId="0" applyNumberFormat="1" applyFont="1" applyBorder="1" applyAlignment="1">
      <alignment horizontal="center" wrapText="1"/>
    </xf>
    <xf numFmtId="49" fontId="0" fillId="0" borderId="0" xfId="0" applyNumberFormat="1"/>
    <xf numFmtId="170" fontId="0" fillId="0" borderId="0" xfId="0" applyNumberFormat="1"/>
    <xf numFmtId="8" fontId="3" fillId="0" borderId="0" xfId="0" applyNumberFormat="1" applyFont="1" applyAlignment="1">
      <alignment wrapText="1"/>
    </xf>
    <xf numFmtId="171" fontId="0" fillId="0" borderId="0" xfId="0" applyNumberFormat="1"/>
    <xf numFmtId="49" fontId="17" fillId="0" borderId="0" xfId="0" applyNumberFormat="1" applyFont="1"/>
    <xf numFmtId="171" fontId="17" fillId="0" borderId="0" xfId="0" applyNumberFormat="1" applyFont="1"/>
    <xf numFmtId="8" fontId="14" fillId="0" borderId="0" xfId="0" applyNumberFormat="1" applyFont="1"/>
    <xf numFmtId="0" fontId="32" fillId="0" borderId="0" xfId="0" applyFont="1"/>
    <xf numFmtId="8" fontId="17" fillId="0" borderId="0" xfId="0" applyNumberFormat="1" applyFont="1"/>
    <xf numFmtId="8" fontId="3" fillId="0" borderId="0" xfId="0" applyNumberFormat="1" applyFont="1" applyAlignment="1">
      <alignment horizontal="left" wrapText="1"/>
    </xf>
    <xf numFmtId="8" fontId="29" fillId="0" borderId="0" xfId="0" applyNumberFormat="1" applyFont="1" applyAlignment="1">
      <alignment wrapText="1"/>
    </xf>
    <xf numFmtId="8" fontId="10" fillId="0" borderId="0" xfId="0" applyNumberFormat="1" applyFont="1" applyAlignment="1">
      <alignment horizontal="right"/>
    </xf>
    <xf numFmtId="8" fontId="3" fillId="0" borderId="0" xfId="0" applyNumberFormat="1" applyFont="1" applyAlignment="1">
      <alignment horizontal="right" wrapText="1"/>
    </xf>
    <xf numFmtId="1" fontId="13" fillId="0" borderId="0" xfId="0" applyNumberFormat="1" applyFont="1"/>
    <xf numFmtId="8" fontId="39" fillId="0" borderId="0" xfId="0" applyNumberFormat="1" applyFont="1" applyAlignment="1">
      <alignment wrapText="1"/>
    </xf>
    <xf numFmtId="8" fontId="22" fillId="0" borderId="0" xfId="0" applyNumberFormat="1" applyFont="1" applyAlignment="1">
      <alignment wrapText="1"/>
    </xf>
    <xf numFmtId="6" fontId="10" fillId="4" borderId="0" xfId="0" applyNumberFormat="1" applyFont="1" applyFill="1"/>
    <xf numFmtId="6" fontId="40" fillId="0" borderId="16" xfId="0" applyNumberFormat="1" applyFont="1" applyBorder="1"/>
    <xf numFmtId="6" fontId="10" fillId="2" borderId="13" xfId="0" applyNumberFormat="1" applyFont="1" applyFill="1" applyBorder="1"/>
    <xf numFmtId="10" fontId="40" fillId="0" borderId="0" xfId="0" applyNumberFormat="1" applyFont="1"/>
    <xf numFmtId="10" fontId="40" fillId="4" borderId="0" xfId="0" applyNumberFormat="1" applyFont="1" applyFill="1"/>
    <xf numFmtId="10" fontId="3" fillId="2" borderId="13" xfId="0" applyNumberFormat="1" applyFont="1" applyFill="1" applyBorder="1"/>
    <xf numFmtId="6" fontId="40" fillId="0" borderId="10" xfId="0" applyNumberFormat="1" applyFont="1" applyBorder="1"/>
    <xf numFmtId="6" fontId="40" fillId="2" borderId="16" xfId="0" applyNumberFormat="1" applyFont="1" applyFill="1" applyBorder="1"/>
    <xf numFmtId="6" fontId="15" fillId="0" borderId="9" xfId="0" applyNumberFormat="1" applyFont="1" applyBorder="1" applyAlignment="1">
      <alignment horizontal="right"/>
    </xf>
    <xf numFmtId="6" fontId="13" fillId="0" borderId="9" xfId="0" applyNumberFormat="1" applyFont="1" applyBorder="1"/>
    <xf numFmtId="6" fontId="15" fillId="2" borderId="11" xfId="0" applyNumberFormat="1" applyFont="1" applyFill="1" applyBorder="1"/>
    <xf numFmtId="8" fontId="14" fillId="4" borderId="0" xfId="0" applyNumberFormat="1" applyFont="1" applyFill="1" applyAlignment="1">
      <alignment wrapText="1"/>
    </xf>
    <xf numFmtId="8" fontId="14" fillId="4" borderId="0" xfId="0" applyNumberFormat="1" applyFont="1" applyFill="1"/>
    <xf numFmtId="8" fontId="43" fillId="0" borderId="0" xfId="0" applyNumberFormat="1" applyFont="1" applyAlignment="1">
      <alignment wrapText="1"/>
    </xf>
    <xf numFmtId="0" fontId="41" fillId="0" borderId="0" xfId="0" applyFont="1"/>
    <xf numFmtId="8" fontId="14" fillId="4" borderId="0" xfId="0" applyNumberFormat="1" applyFont="1" applyFill="1" applyAlignment="1">
      <alignment vertical="center"/>
    </xf>
    <xf numFmtId="165" fontId="0" fillId="0" borderId="16" xfId="0" applyNumberFormat="1" applyBorder="1"/>
    <xf numFmtId="165" fontId="0" fillId="0" borderId="0" xfId="2" applyNumberFormat="1" applyFont="1"/>
    <xf numFmtId="43" fontId="0" fillId="0" borderId="0" xfId="1" applyFont="1"/>
    <xf numFmtId="8" fontId="45" fillId="0" borderId="0" xfId="0" applyNumberFormat="1" applyFont="1"/>
    <xf numFmtId="0" fontId="46" fillId="0" borderId="0" xfId="0" applyFont="1"/>
    <xf numFmtId="0" fontId="48" fillId="0" borderId="0" xfId="0" applyFont="1"/>
    <xf numFmtId="0" fontId="49" fillId="0" borderId="0" xfId="0" applyFont="1"/>
    <xf numFmtId="0" fontId="42" fillId="0" borderId="0" xfId="0" applyFont="1"/>
    <xf numFmtId="8" fontId="14" fillId="4" borderId="7" xfId="0" applyNumberFormat="1" applyFont="1" applyFill="1" applyBorder="1" applyAlignment="1">
      <alignment wrapText="1"/>
    </xf>
    <xf numFmtId="8" fontId="33" fillId="4" borderId="0" xfId="0" applyNumberFormat="1" applyFont="1" applyFill="1"/>
    <xf numFmtId="8" fontId="13" fillId="0" borderId="8" xfId="0" applyNumberFormat="1" applyFont="1" applyBorder="1"/>
    <xf numFmtId="165" fontId="17" fillId="0" borderId="16" xfId="0" applyNumberFormat="1" applyFont="1" applyBorder="1"/>
    <xf numFmtId="9" fontId="0" fillId="0" borderId="0" xfId="0" applyNumberFormat="1"/>
    <xf numFmtId="164" fontId="0" fillId="0" borderId="0" xfId="3" applyNumberFormat="1" applyFont="1"/>
    <xf numFmtId="164" fontId="0" fillId="0" borderId="0" xfId="0" applyNumberFormat="1"/>
    <xf numFmtId="8" fontId="14" fillId="4" borderId="7" xfId="0" applyNumberFormat="1" applyFont="1" applyFill="1" applyBorder="1"/>
    <xf numFmtId="0" fontId="20" fillId="0" borderId="0" xfId="0" applyFont="1"/>
    <xf numFmtId="8" fontId="14" fillId="0" borderId="7" xfId="0" applyNumberFormat="1" applyFont="1" applyBorder="1" applyAlignment="1">
      <alignment wrapText="1"/>
    </xf>
    <xf numFmtId="8" fontId="14" fillId="2" borderId="7" xfId="0" applyNumberFormat="1" applyFont="1" applyFill="1" applyBorder="1"/>
    <xf numFmtId="8" fontId="14" fillId="0" borderId="7" xfId="0" applyNumberFormat="1" applyFont="1" applyBorder="1"/>
    <xf numFmtId="8" fontId="14" fillId="0" borderId="7" xfId="0" applyNumberFormat="1" applyFont="1" applyBorder="1" applyAlignment="1">
      <alignment vertical="center"/>
    </xf>
    <xf numFmtId="8" fontId="7" fillId="0" borderId="0" xfId="0" applyNumberFormat="1" applyFont="1" applyAlignment="1">
      <alignment wrapText="1"/>
    </xf>
    <xf numFmtId="8" fontId="33" fillId="0" borderId="0" xfId="0" applyNumberFormat="1" applyFont="1" applyAlignment="1">
      <alignment wrapText="1"/>
    </xf>
    <xf numFmtId="8" fontId="33" fillId="0" borderId="0" xfId="0" applyNumberFormat="1" applyFont="1"/>
    <xf numFmtId="8" fontId="33" fillId="2" borderId="7" xfId="0" applyNumberFormat="1" applyFont="1" applyFill="1" applyBorder="1"/>
    <xf numFmtId="165" fontId="0" fillId="4" borderId="7" xfId="0" applyNumberFormat="1" applyFill="1" applyBorder="1"/>
    <xf numFmtId="165" fontId="0" fillId="2" borderId="7" xfId="0" applyNumberFormat="1" applyFill="1" applyBorder="1"/>
    <xf numFmtId="165" fontId="0" fillId="0" borderId="7" xfId="0" applyNumberFormat="1" applyBorder="1"/>
    <xf numFmtId="165" fontId="0" fillId="2" borderId="4" xfId="0" applyNumberFormat="1" applyFill="1" applyBorder="1"/>
    <xf numFmtId="44" fontId="3" fillId="2" borderId="7" xfId="0" applyNumberFormat="1" applyFont="1" applyFill="1" applyBorder="1"/>
    <xf numFmtId="165" fontId="15" fillId="2" borderId="4" xfId="0" applyNumberFormat="1" applyFont="1" applyFill="1" applyBorder="1"/>
    <xf numFmtId="165" fontId="2" fillId="0" borderId="7" xfId="0" applyNumberFormat="1" applyFont="1" applyBorder="1"/>
    <xf numFmtId="165" fontId="3" fillId="0" borderId="16" xfId="0" applyNumberFormat="1" applyFont="1" applyBorder="1"/>
    <xf numFmtId="0" fontId="3" fillId="4" borderId="7" xfId="0" applyFont="1" applyFill="1" applyBorder="1"/>
    <xf numFmtId="165" fontId="3" fillId="4" borderId="7" xfId="0" applyNumberFormat="1" applyFont="1" applyFill="1" applyBorder="1"/>
    <xf numFmtId="10" fontId="8" fillId="4" borderId="7" xfId="0" applyNumberFormat="1" applyFont="1" applyFill="1" applyBorder="1"/>
    <xf numFmtId="10" fontId="8" fillId="0" borderId="7" xfId="0" applyNumberFormat="1" applyFont="1" applyBorder="1"/>
    <xf numFmtId="0" fontId="3" fillId="2" borderId="7" xfId="0" applyFont="1" applyFill="1" applyBorder="1"/>
    <xf numFmtId="165" fontId="3" fillId="2" borderId="7" xfId="0" applyNumberFormat="1" applyFont="1" applyFill="1" applyBorder="1"/>
    <xf numFmtId="0" fontId="3" fillId="0" borderId="7" xfId="0" applyFont="1" applyBorder="1"/>
    <xf numFmtId="165" fontId="3" fillId="0" borderId="7" xfId="0" applyNumberFormat="1" applyFont="1" applyBorder="1"/>
    <xf numFmtId="165" fontId="3" fillId="2" borderId="4" xfId="0" applyNumberFormat="1" applyFont="1" applyFill="1" applyBorder="1"/>
    <xf numFmtId="10" fontId="16" fillId="0" borderId="17" xfId="0" applyNumberFormat="1" applyFont="1" applyBorder="1"/>
    <xf numFmtId="10" fontId="8" fillId="2" borderId="7" xfId="0" applyNumberFormat="1" applyFont="1" applyFill="1" applyBorder="1"/>
    <xf numFmtId="0" fontId="15" fillId="2" borderId="7" xfId="0" applyFont="1" applyFill="1" applyBorder="1"/>
    <xf numFmtId="165" fontId="15" fillId="5" borderId="4" xfId="0" applyNumberFormat="1" applyFont="1" applyFill="1" applyBorder="1"/>
    <xf numFmtId="10" fontId="16" fillId="2" borderId="14" xfId="0" applyNumberFormat="1" applyFont="1" applyFill="1" applyBorder="1"/>
    <xf numFmtId="0" fontId="19" fillId="0" borderId="7" xfId="0" applyFont="1" applyBorder="1"/>
    <xf numFmtId="6" fontId="10" fillId="2" borderId="7" xfId="0" applyNumberFormat="1" applyFont="1" applyFill="1" applyBorder="1"/>
    <xf numFmtId="10" fontId="16" fillId="0" borderId="15" xfId="0" applyNumberFormat="1" applyFont="1" applyBorder="1"/>
    <xf numFmtId="0" fontId="11" fillId="2" borderId="7" xfId="0" applyFont="1" applyFill="1" applyBorder="1"/>
    <xf numFmtId="167" fontId="0" fillId="2" borderId="7" xfId="0" applyNumberFormat="1" applyFill="1" applyBorder="1" applyAlignment="1">
      <alignment horizontal="left"/>
    </xf>
    <xf numFmtId="167" fontId="0" fillId="2" borderId="7" xfId="0" applyNumberFormat="1" applyFill="1" applyBorder="1" applyAlignment="1">
      <alignment horizontal="center"/>
    </xf>
    <xf numFmtId="0" fontId="12" fillId="2" borderId="7" xfId="0" applyFont="1" applyFill="1" applyBorder="1"/>
    <xf numFmtId="167" fontId="0" fillId="2" borderId="7" xfId="0" applyNumberFormat="1" applyFill="1" applyBorder="1"/>
    <xf numFmtId="6" fontId="8" fillId="2" borderId="7" xfId="0" applyNumberFormat="1" applyFont="1" applyFill="1" applyBorder="1"/>
    <xf numFmtId="6" fontId="0" fillId="2" borderId="7" xfId="0" applyNumberFormat="1" applyFill="1" applyBorder="1"/>
    <xf numFmtId="0" fontId="20" fillId="2" borderId="7" xfId="0" applyFont="1" applyFill="1" applyBorder="1"/>
    <xf numFmtId="167" fontId="3" fillId="2" borderId="7" xfId="0" applyNumberFormat="1" applyFont="1" applyFill="1" applyBorder="1"/>
    <xf numFmtId="167" fontId="3" fillId="2" borderId="7" xfId="0" applyNumberFormat="1" applyFont="1" applyFill="1" applyBorder="1" applyAlignment="1">
      <alignment horizontal="center"/>
    </xf>
    <xf numFmtId="6" fontId="16" fillId="0" borderId="11" xfId="0" applyNumberFormat="1" applyFont="1" applyBorder="1"/>
    <xf numFmtId="6" fontId="15" fillId="0" borderId="11" xfId="0" applyNumberFormat="1" applyFont="1" applyBorder="1"/>
    <xf numFmtId="0" fontId="18" fillId="0" borderId="0" xfId="0" applyFont="1" applyAlignment="1">
      <alignment horizontal="center"/>
    </xf>
    <xf numFmtId="6" fontId="10" fillId="0" borderId="7" xfId="0" applyNumberFormat="1" applyFont="1" applyBorder="1"/>
    <xf numFmtId="167" fontId="42" fillId="2" borderId="7" xfId="0" applyNumberFormat="1" applyFont="1" applyFill="1" applyBorder="1" applyAlignment="1">
      <alignment horizontal="left"/>
    </xf>
    <xf numFmtId="6" fontId="8" fillId="2" borderId="4" xfId="0" applyNumberFormat="1" applyFont="1" applyFill="1" applyBorder="1"/>
    <xf numFmtId="6" fontId="0" fillId="2" borderId="4" xfId="0" applyNumberFormat="1" applyFill="1" applyBorder="1"/>
    <xf numFmtId="6" fontId="40" fillId="0" borderId="7" xfId="0" applyNumberFormat="1" applyFont="1" applyBorder="1"/>
    <xf numFmtId="167" fontId="18" fillId="0" borderId="0" xfId="0" applyNumberFormat="1" applyFont="1"/>
    <xf numFmtId="167" fontId="18" fillId="0" borderId="0" xfId="0" applyNumberFormat="1" applyFont="1" applyAlignment="1">
      <alignment horizontal="center"/>
    </xf>
    <xf numFmtId="0" fontId="0" fillId="2" borderId="7" xfId="0" applyFill="1" applyBorder="1"/>
    <xf numFmtId="6" fontId="3" fillId="2" borderId="7" xfId="0" applyNumberFormat="1" applyFont="1" applyFill="1" applyBorder="1"/>
    <xf numFmtId="0" fontId="9" fillId="2" borderId="7" xfId="0" applyFont="1" applyFill="1" applyBorder="1"/>
    <xf numFmtId="6" fontId="3" fillId="2" borderId="4" xfId="0" applyNumberFormat="1" applyFont="1" applyFill="1" applyBorder="1"/>
    <xf numFmtId="167" fontId="25" fillId="2" borderId="7" xfId="0" applyNumberFormat="1" applyFont="1" applyFill="1" applyBorder="1"/>
    <xf numFmtId="167" fontId="3" fillId="2" borderId="7" xfId="0" applyNumberFormat="1" applyFont="1" applyFill="1" applyBorder="1" applyAlignment="1">
      <alignment horizontal="left"/>
    </xf>
    <xf numFmtId="1" fontId="3" fillId="2" borderId="7" xfId="0" applyNumberFormat="1" applyFont="1" applyFill="1" applyBorder="1" applyAlignment="1">
      <alignment horizontal="center"/>
    </xf>
    <xf numFmtId="6" fontId="15" fillId="2" borderId="7" xfId="0" applyNumberFormat="1" applyFont="1" applyFill="1" applyBorder="1"/>
    <xf numFmtId="167" fontId="34" fillId="0" borderId="0" xfId="0" applyNumberFormat="1" applyFont="1"/>
    <xf numFmtId="165" fontId="15" fillId="0" borderId="11" xfId="0" applyNumberFormat="1" applyFont="1" applyBorder="1"/>
    <xf numFmtId="8" fontId="29" fillId="0" borderId="7" xfId="0" applyNumberFormat="1" applyFont="1" applyBorder="1" applyAlignment="1">
      <alignment horizontal="left"/>
    </xf>
    <xf numFmtId="0" fontId="0" fillId="0" borderId="7" xfId="0" applyBorder="1"/>
    <xf numFmtId="0" fontId="0" fillId="0" borderId="7" xfId="0" applyBorder="1" applyAlignment="1">
      <alignment horizontal="center"/>
    </xf>
    <xf numFmtId="8" fontId="6" fillId="0" borderId="7" xfId="0" applyNumberFormat="1" applyFont="1" applyBorder="1"/>
    <xf numFmtId="0" fontId="48" fillId="2" borderId="7" xfId="0" applyFont="1" applyFill="1" applyBorder="1"/>
    <xf numFmtId="167" fontId="22" fillId="2" borderId="7" xfId="0" applyNumberFormat="1" applyFont="1" applyFill="1" applyBorder="1"/>
    <xf numFmtId="167" fontId="22" fillId="2" borderId="7" xfId="0" applyNumberFormat="1" applyFont="1" applyFill="1" applyBorder="1" applyAlignment="1">
      <alignment horizontal="center"/>
    </xf>
    <xf numFmtId="10" fontId="10" fillId="2" borderId="7" xfId="0" applyNumberFormat="1" applyFont="1" applyFill="1" applyBorder="1"/>
    <xf numFmtId="168" fontId="16" fillId="2" borderId="7" xfId="0" applyNumberFormat="1" applyFont="1" applyFill="1" applyBorder="1" applyAlignment="1">
      <alignment horizontal="right"/>
    </xf>
    <xf numFmtId="6" fontId="15" fillId="2" borderId="7" xfId="0" applyNumberFormat="1" applyFont="1" applyFill="1" applyBorder="1" applyAlignment="1">
      <alignment horizontal="right"/>
    </xf>
    <xf numFmtId="168" fontId="16" fillId="0" borderId="11" xfId="0" applyNumberFormat="1" applyFont="1" applyBorder="1" applyAlignment="1">
      <alignment horizontal="right"/>
    </xf>
    <xf numFmtId="167" fontId="22" fillId="0" borderId="0" xfId="0" applyNumberFormat="1" applyFont="1"/>
    <xf numFmtId="8" fontId="11" fillId="2" borderId="7" xfId="0" applyNumberFormat="1" applyFont="1" applyFill="1" applyBorder="1"/>
    <xf numFmtId="6" fontId="13" fillId="2" borderId="7" xfId="0" applyNumberFormat="1" applyFont="1" applyFill="1" applyBorder="1"/>
    <xf numFmtId="8" fontId="11" fillId="2" borderId="7" xfId="0" applyNumberFormat="1" applyFont="1" applyFill="1" applyBorder="1" applyAlignment="1">
      <alignment horizontal="center"/>
    </xf>
    <xf numFmtId="6" fontId="26" fillId="0" borderId="11" xfId="0" applyNumberFormat="1" applyFont="1" applyBorder="1"/>
    <xf numFmtId="0" fontId="11" fillId="2" borderId="7" xfId="0" applyFont="1" applyFill="1" applyBorder="1" applyAlignment="1">
      <alignment horizontal="right"/>
    </xf>
    <xf numFmtId="167" fontId="14" fillId="2" borderId="7" xfId="0" applyNumberFormat="1" applyFont="1" applyFill="1" applyBorder="1" applyAlignment="1">
      <alignment horizontal="right"/>
    </xf>
    <xf numFmtId="167" fontId="14" fillId="2" borderId="7" xfId="0" applyNumberFormat="1" applyFont="1" applyFill="1" applyBorder="1" applyAlignment="1">
      <alignment horizontal="center"/>
    </xf>
    <xf numFmtId="167" fontId="18" fillId="0" borderId="0" xfId="0" applyNumberFormat="1" applyFont="1" applyAlignment="1">
      <alignment horizontal="left"/>
    </xf>
    <xf numFmtId="10" fontId="3" fillId="2" borderId="4" xfId="0" applyNumberFormat="1" applyFont="1" applyFill="1" applyBorder="1"/>
    <xf numFmtId="10" fontId="0" fillId="2" borderId="4" xfId="0" applyNumberFormat="1" applyFill="1" applyBorder="1"/>
    <xf numFmtId="5" fontId="3" fillId="0" borderId="7" xfId="0" applyNumberFormat="1" applyFont="1" applyBorder="1"/>
    <xf numFmtId="166" fontId="16" fillId="0" borderId="11" xfId="0" applyNumberFormat="1" applyFont="1" applyBorder="1"/>
    <xf numFmtId="10" fontId="15" fillId="0" borderId="0" xfId="0" applyNumberFormat="1" applyFont="1" applyAlignment="1">
      <alignment horizontal="right"/>
    </xf>
    <xf numFmtId="8" fontId="29" fillId="3" borderId="7" xfId="0" applyNumberFormat="1" applyFont="1" applyFill="1" applyBorder="1" applyAlignment="1">
      <alignment horizontal="left" wrapText="1"/>
    </xf>
    <xf numFmtId="8" fontId="7" fillId="3" borderId="7" xfId="0" applyNumberFormat="1" applyFont="1" applyFill="1" applyBorder="1" applyAlignment="1">
      <alignment horizontal="left" wrapText="1"/>
    </xf>
    <xf numFmtId="10" fontId="3" fillId="0" borderId="0" xfId="0" applyNumberFormat="1" applyFont="1" applyAlignment="1">
      <alignment horizontal="right"/>
    </xf>
    <xf numFmtId="8" fontId="14" fillId="6" borderId="7" xfId="0" applyNumberFormat="1" applyFont="1" applyFill="1" applyBorder="1"/>
    <xf numFmtId="8" fontId="14" fillId="6" borderId="7" xfId="0" applyNumberFormat="1" applyFont="1" applyFill="1" applyBorder="1" applyAlignment="1">
      <alignment wrapText="1"/>
    </xf>
    <xf numFmtId="8" fontId="14" fillId="6" borderId="0" xfId="0" applyNumberFormat="1" applyFont="1" applyFill="1"/>
    <xf numFmtId="8" fontId="15" fillId="0" borderId="7" xfId="0" applyNumberFormat="1" applyFont="1" applyBorder="1"/>
    <xf numFmtId="8" fontId="17" fillId="0" borderId="7" xfId="0" applyNumberFormat="1" applyFont="1" applyBorder="1"/>
    <xf numFmtId="8" fontId="14" fillId="0" borderId="7" xfId="0" applyNumberFormat="1" applyFont="1" applyBorder="1" applyAlignment="1">
      <alignment horizontal="left" wrapText="1"/>
    </xf>
    <xf numFmtId="8" fontId="14" fillId="4" borderId="7" xfId="0" applyNumberFormat="1" applyFont="1" applyFill="1" applyBorder="1" applyAlignment="1">
      <alignment horizontal="left" wrapText="1"/>
    </xf>
    <xf numFmtId="0" fontId="3" fillId="8" borderId="7" xfId="0" applyFont="1" applyFill="1" applyBorder="1"/>
    <xf numFmtId="165" fontId="55" fillId="8" borderId="7" xfId="0" applyNumberFormat="1" applyFont="1" applyFill="1" applyBorder="1"/>
    <xf numFmtId="165" fontId="55" fillId="8" borderId="7" xfId="2" applyNumberFormat="1" applyFont="1" applyFill="1" applyBorder="1"/>
    <xf numFmtId="165" fontId="55" fillId="0" borderId="7" xfId="0" applyNumberFormat="1" applyFont="1" applyBorder="1"/>
    <xf numFmtId="165" fontId="55" fillId="0" borderId="7" xfId="2" applyNumberFormat="1" applyFont="1" applyBorder="1"/>
    <xf numFmtId="44" fontId="3" fillId="8" borderId="7" xfId="0" applyNumberFormat="1" applyFont="1" applyFill="1" applyBorder="1"/>
    <xf numFmtId="165" fontId="56" fillId="0" borderId="9" xfId="0" applyNumberFormat="1" applyFont="1" applyBorder="1"/>
    <xf numFmtId="165" fontId="56" fillId="0" borderId="17" xfId="2" applyNumberFormat="1" applyFont="1" applyBorder="1"/>
    <xf numFmtId="165" fontId="2" fillId="0" borderId="9" xfId="0" applyNumberFormat="1" applyFont="1" applyBorder="1"/>
    <xf numFmtId="165" fontId="55" fillId="0" borderId="17" xfId="2" applyNumberFormat="1" applyFont="1" applyBorder="1"/>
    <xf numFmtId="165" fontId="55" fillId="0" borderId="7" xfId="2" applyNumberFormat="1" applyFont="1" applyFill="1" applyBorder="1"/>
    <xf numFmtId="165" fontId="55" fillId="4" borderId="7" xfId="0" applyNumberFormat="1" applyFont="1" applyFill="1" applyBorder="1"/>
    <xf numFmtId="165" fontId="55" fillId="4" borderId="7" xfId="2" applyNumberFormat="1" applyFont="1" applyFill="1" applyBorder="1"/>
    <xf numFmtId="0" fontId="3" fillId="4" borderId="19" xfId="0" applyFont="1" applyFill="1" applyBorder="1"/>
    <xf numFmtId="165" fontId="55" fillId="4" borderId="19" xfId="0" applyNumberFormat="1" applyFont="1" applyFill="1" applyBorder="1"/>
    <xf numFmtId="165" fontId="55" fillId="4" borderId="19" xfId="2" applyNumberFormat="1" applyFont="1" applyFill="1" applyBorder="1"/>
    <xf numFmtId="165" fontId="0" fillId="0" borderId="4" xfId="0" applyNumberFormat="1" applyBorder="1"/>
    <xf numFmtId="165" fontId="3" fillId="0" borderId="4" xfId="0" applyNumberFormat="1" applyFont="1" applyBorder="1"/>
    <xf numFmtId="165" fontId="0" fillId="0" borderId="0" xfId="2" applyNumberFormat="1" applyFont="1" applyFill="1"/>
    <xf numFmtId="164" fontId="0" fillId="0" borderId="0" xfId="3" applyNumberFormat="1" applyFont="1" applyFill="1"/>
    <xf numFmtId="0" fontId="3" fillId="5" borderId="7" xfId="0" applyFont="1" applyFill="1" applyBorder="1"/>
    <xf numFmtId="165" fontId="0" fillId="5" borderId="7" xfId="0" applyNumberFormat="1" applyFill="1" applyBorder="1"/>
    <xf numFmtId="165" fontId="3" fillId="5" borderId="7" xfId="0" applyNumberFormat="1" applyFont="1" applyFill="1" applyBorder="1"/>
    <xf numFmtId="0" fontId="20" fillId="0" borderId="7" xfId="0" applyFont="1" applyBorder="1" applyAlignment="1">
      <alignment wrapText="1"/>
    </xf>
    <xf numFmtId="6" fontId="8" fillId="0" borderId="0" xfId="0" applyNumberFormat="1" applyFont="1"/>
    <xf numFmtId="0" fontId="51" fillId="5" borderId="7" xfId="0" applyFont="1" applyFill="1" applyBorder="1"/>
    <xf numFmtId="167" fontId="42" fillId="5" borderId="7" xfId="0" applyNumberFormat="1" applyFont="1" applyFill="1" applyBorder="1" applyAlignment="1">
      <alignment horizontal="left"/>
    </xf>
    <xf numFmtId="167" fontId="0" fillId="5" borderId="7" xfId="0" applyNumberFormat="1" applyFill="1" applyBorder="1" applyAlignment="1">
      <alignment horizontal="center"/>
    </xf>
    <xf numFmtId="167" fontId="0" fillId="5" borderId="7" xfId="0" applyNumberFormat="1" applyFill="1" applyBorder="1" applyAlignment="1">
      <alignment horizontal="left"/>
    </xf>
    <xf numFmtId="6" fontId="8" fillId="5" borderId="7" xfId="0" applyNumberFormat="1" applyFont="1" applyFill="1" applyBorder="1" applyAlignment="1">
      <alignment horizontal="right"/>
    </xf>
    <xf numFmtId="6" fontId="0" fillId="5" borderId="7" xfId="0" applyNumberFormat="1" applyFill="1" applyBorder="1" applyAlignment="1">
      <alignment horizontal="right"/>
    </xf>
    <xf numFmtId="0" fontId="20" fillId="5" borderId="7" xfId="0" applyFont="1" applyFill="1" applyBorder="1"/>
    <xf numFmtId="6" fontId="10" fillId="5" borderId="7" xfId="0" applyNumberFormat="1" applyFont="1" applyFill="1" applyBorder="1"/>
    <xf numFmtId="6" fontId="0" fillId="5" borderId="7" xfId="0" applyNumberFormat="1" applyFill="1" applyBorder="1"/>
    <xf numFmtId="0" fontId="47" fillId="5" borderId="7" xfId="0" applyFont="1" applyFill="1" applyBorder="1"/>
    <xf numFmtId="0" fontId="0" fillId="5" borderId="7" xfId="0" applyFill="1" applyBorder="1"/>
    <xf numFmtId="6" fontId="10" fillId="5" borderId="13" xfId="0" applyNumberFormat="1" applyFont="1" applyFill="1" applyBorder="1"/>
    <xf numFmtId="6" fontId="3" fillId="5" borderId="4" xfId="0" applyNumberFormat="1" applyFont="1" applyFill="1" applyBorder="1"/>
    <xf numFmtId="0" fontId="52" fillId="4" borderId="0" xfId="0" applyFont="1" applyFill="1"/>
    <xf numFmtId="0" fontId="0" fillId="0" borderId="20" xfId="0" applyBorder="1"/>
    <xf numFmtId="168" fontId="0" fillId="0" borderId="21" xfId="0" applyNumberFormat="1" applyBorder="1"/>
    <xf numFmtId="9" fontId="0" fillId="0" borderId="22" xfId="0" applyNumberFormat="1" applyBorder="1"/>
    <xf numFmtId="0" fontId="0" fillId="2" borderId="20" xfId="0" applyFill="1" applyBorder="1"/>
    <xf numFmtId="168" fontId="0" fillId="2" borderId="21" xfId="0" applyNumberFormat="1" applyFill="1" applyBorder="1"/>
    <xf numFmtId="9" fontId="0" fillId="2" borderId="22" xfId="0" applyNumberFormat="1" applyFill="1" applyBorder="1"/>
    <xf numFmtId="0" fontId="0" fillId="4" borderId="23" xfId="0" applyFill="1" applyBorder="1"/>
    <xf numFmtId="168" fontId="0" fillId="4" borderId="19" xfId="0" applyNumberFormat="1" applyFill="1" applyBorder="1"/>
    <xf numFmtId="9" fontId="0" fillId="4" borderId="24" xfId="0" applyNumberFormat="1" applyFill="1" applyBorder="1"/>
    <xf numFmtId="168" fontId="17" fillId="0" borderId="26" xfId="0" applyNumberFormat="1" applyFont="1" applyBorder="1"/>
    <xf numFmtId="9" fontId="17" fillId="0" borderId="27" xfId="0" applyNumberFormat="1" applyFont="1" applyBorder="1"/>
    <xf numFmtId="0" fontId="17" fillId="0" borderId="25" xfId="0" applyFont="1" applyBorder="1" applyAlignment="1">
      <alignment horizontal="right"/>
    </xf>
    <xf numFmtId="0" fontId="1" fillId="9" borderId="20" xfId="0" applyFont="1" applyFill="1" applyBorder="1" applyAlignment="1">
      <alignment horizontal="center"/>
    </xf>
    <xf numFmtId="0" fontId="1" fillId="9" borderId="21" xfId="0" applyFont="1" applyFill="1" applyBorder="1" applyAlignment="1">
      <alignment horizontal="center"/>
    </xf>
    <xf numFmtId="0" fontId="1" fillId="9" borderId="22" xfId="0" applyFont="1" applyFill="1" applyBorder="1" applyAlignment="1">
      <alignment horizontal="center"/>
    </xf>
    <xf numFmtId="166" fontId="3" fillId="0" borderId="0" xfId="1" applyNumberFormat="1" applyFont="1" applyFill="1" applyAlignment="1">
      <alignment horizontal="right"/>
    </xf>
    <xf numFmtId="166" fontId="0" fillId="0" borderId="7" xfId="0" applyNumberFormat="1" applyBorder="1"/>
    <xf numFmtId="8" fontId="4" fillId="10" borderId="7" xfId="0" applyNumberFormat="1" applyFont="1" applyFill="1" applyBorder="1" applyAlignment="1">
      <alignment horizontal="center"/>
    </xf>
    <xf numFmtId="8" fontId="4" fillId="10" borderId="7" xfId="0" applyNumberFormat="1" applyFont="1" applyFill="1" applyBorder="1" applyAlignment="1">
      <alignment horizontal="center" wrapText="1"/>
    </xf>
    <xf numFmtId="8" fontId="14" fillId="0" borderId="0" xfId="0" applyNumberFormat="1" applyFont="1" applyAlignment="1">
      <alignment vertical="center"/>
    </xf>
    <xf numFmtId="0" fontId="5" fillId="10" borderId="7" xfId="0" applyFont="1" applyFill="1" applyBorder="1"/>
    <xf numFmtId="167" fontId="25" fillId="0" borderId="7" xfId="0" applyNumberFormat="1" applyFont="1" applyBorder="1"/>
    <xf numFmtId="167" fontId="3" fillId="0" borderId="7" xfId="0" applyNumberFormat="1" applyFont="1" applyBorder="1" applyAlignment="1">
      <alignment horizontal="left"/>
    </xf>
    <xf numFmtId="1" fontId="3" fillId="0" borderId="7" xfId="0" applyNumberFormat="1" applyFont="1" applyBorder="1" applyAlignment="1">
      <alignment horizontal="center"/>
    </xf>
    <xf numFmtId="6" fontId="10" fillId="0" borderId="13" xfId="0" applyNumberFormat="1" applyFont="1" applyBorder="1"/>
    <xf numFmtId="6" fontId="15" fillId="0" borderId="13" xfId="0" applyNumberFormat="1" applyFont="1" applyBorder="1"/>
    <xf numFmtId="6" fontId="3" fillId="0" borderId="13" xfId="0" applyNumberFormat="1" applyFont="1" applyBorder="1"/>
    <xf numFmtId="0" fontId="1" fillId="10" borderId="1" xfId="0" applyFont="1" applyFill="1" applyBorder="1" applyAlignment="1">
      <alignment horizontal="center"/>
    </xf>
    <xf numFmtId="44" fontId="1" fillId="10" borderId="2" xfId="0" applyNumberFormat="1" applyFont="1" applyFill="1" applyBorder="1" applyAlignment="1">
      <alignment horizontal="center" wrapText="1"/>
    </xf>
    <xf numFmtId="164" fontId="1" fillId="10" borderId="3" xfId="0" applyNumberFormat="1" applyFont="1" applyFill="1" applyBorder="1" applyAlignment="1">
      <alignment horizontal="center"/>
    </xf>
    <xf numFmtId="0" fontId="1" fillId="10" borderId="19" xfId="0" applyFont="1" applyFill="1" applyBorder="1" applyAlignment="1">
      <alignment horizontal="center"/>
    </xf>
    <xf numFmtId="44" fontId="1" fillId="10" borderId="19" xfId="0" applyNumberFormat="1" applyFont="1" applyFill="1" applyBorder="1" applyAlignment="1">
      <alignment horizontal="center" wrapText="1"/>
    </xf>
    <xf numFmtId="0" fontId="54" fillId="13" borderId="19" xfId="0" applyFont="1" applyFill="1" applyBorder="1" applyAlignment="1">
      <alignment horizontal="center"/>
    </xf>
    <xf numFmtId="0" fontId="58" fillId="0" borderId="0" xfId="0" applyFont="1"/>
    <xf numFmtId="8" fontId="14" fillId="6" borderId="0" xfId="0" applyNumberFormat="1" applyFont="1" applyFill="1" applyAlignment="1">
      <alignment wrapText="1"/>
    </xf>
    <xf numFmtId="10" fontId="55" fillId="4" borderId="19" xfId="3" applyNumberFormat="1" applyFont="1" applyFill="1" applyBorder="1"/>
    <xf numFmtId="10" fontId="55" fillId="0" borderId="7" xfId="3" applyNumberFormat="1" applyFont="1" applyFill="1" applyBorder="1"/>
    <xf numFmtId="10" fontId="55" fillId="4" borderId="7" xfId="3" applyNumberFormat="1" applyFont="1" applyFill="1" applyBorder="1"/>
    <xf numFmtId="10" fontId="55" fillId="4" borderId="13" xfId="3" applyNumberFormat="1" applyFont="1" applyFill="1" applyBorder="1"/>
    <xf numFmtId="10" fontId="55" fillId="0" borderId="17" xfId="3" applyNumberFormat="1" applyFont="1" applyBorder="1"/>
    <xf numFmtId="10" fontId="3" fillId="8" borderId="7" xfId="3" applyNumberFormat="1" applyFont="1" applyFill="1" applyBorder="1"/>
    <xf numFmtId="10" fontId="55" fillId="0" borderId="0" xfId="3" applyNumberFormat="1" applyFont="1" applyFill="1"/>
    <xf numFmtId="10" fontId="55" fillId="0" borderId="18" xfId="3" applyNumberFormat="1" applyFont="1" applyBorder="1"/>
    <xf numFmtId="10" fontId="55" fillId="8" borderId="7" xfId="3" applyNumberFormat="1" applyFont="1" applyFill="1" applyBorder="1"/>
    <xf numFmtId="10" fontId="55" fillId="0" borderId="7" xfId="3" applyNumberFormat="1" applyFont="1" applyBorder="1"/>
    <xf numFmtId="10" fontId="55" fillId="8" borderId="0" xfId="3" applyNumberFormat="1" applyFont="1" applyFill="1"/>
    <xf numFmtId="9" fontId="6" fillId="0" borderId="0" xfId="0" applyNumberFormat="1" applyFont="1" applyAlignment="1">
      <alignment horizontal="left"/>
    </xf>
    <xf numFmtId="8" fontId="14" fillId="6" borderId="7" xfId="0" applyNumberFormat="1" applyFont="1" applyFill="1" applyBorder="1" applyAlignment="1">
      <alignment horizontal="left" wrapText="1"/>
    </xf>
    <xf numFmtId="172" fontId="0" fillId="0" borderId="0" xfId="0" applyNumberFormat="1"/>
    <xf numFmtId="0" fontId="17" fillId="0" borderId="0" xfId="0" applyFont="1" applyAlignment="1">
      <alignment horizontal="center"/>
    </xf>
    <xf numFmtId="8" fontId="60" fillId="2" borderId="7" xfId="0" applyNumberFormat="1" applyFont="1" applyFill="1" applyBorder="1"/>
    <xf numFmtId="8" fontId="60" fillId="0" borderId="0" xfId="0" applyNumberFormat="1" applyFont="1"/>
    <xf numFmtId="0" fontId="6" fillId="14" borderId="0" xfId="0" applyFont="1" applyFill="1"/>
    <xf numFmtId="8" fontId="6" fillId="14" borderId="0" xfId="0" applyNumberFormat="1" applyFont="1" applyFill="1"/>
    <xf numFmtId="0" fontId="27" fillId="14" borderId="0" xfId="0" applyFont="1" applyFill="1"/>
    <xf numFmtId="8" fontId="13" fillId="0" borderId="7" xfId="0" applyNumberFormat="1" applyFont="1" applyBorder="1"/>
    <xf numFmtId="0" fontId="3" fillId="14" borderId="7" xfId="0" applyFont="1" applyFill="1" applyBorder="1"/>
    <xf numFmtId="10" fontId="8" fillId="14" borderId="7" xfId="0" applyNumberFormat="1" applyFont="1" applyFill="1" applyBorder="1"/>
    <xf numFmtId="165" fontId="0" fillId="14" borderId="7" xfId="0" applyNumberFormat="1" applyFill="1" applyBorder="1"/>
    <xf numFmtId="165" fontId="3" fillId="14" borderId="7" xfId="0" applyNumberFormat="1" applyFont="1" applyFill="1" applyBorder="1"/>
    <xf numFmtId="0" fontId="1" fillId="15" borderId="29" xfId="0" applyFont="1" applyFill="1" applyBorder="1"/>
    <xf numFmtId="0" fontId="1" fillId="15" borderId="30" xfId="0" applyFont="1" applyFill="1" applyBorder="1"/>
    <xf numFmtId="168" fontId="0" fillId="0" borderId="30" xfId="0" applyNumberFormat="1" applyBorder="1"/>
    <xf numFmtId="10" fontId="0" fillId="0" borderId="31" xfId="0" applyNumberFormat="1" applyBorder="1"/>
    <xf numFmtId="10" fontId="0" fillId="2" borderId="32" xfId="0" applyNumberFormat="1" applyFill="1" applyBorder="1"/>
    <xf numFmtId="0" fontId="0" fillId="0" borderId="29" xfId="0" applyBorder="1"/>
    <xf numFmtId="0" fontId="0" fillId="2" borderId="29" xfId="0" applyFill="1" applyBorder="1"/>
    <xf numFmtId="10" fontId="0" fillId="2" borderId="31" xfId="0" applyNumberFormat="1" applyFill="1" applyBorder="1"/>
    <xf numFmtId="0" fontId="1" fillId="15" borderId="31" xfId="0" applyFont="1" applyFill="1" applyBorder="1"/>
    <xf numFmtId="0" fontId="0" fillId="2" borderId="33" xfId="0" applyFill="1" applyBorder="1"/>
    <xf numFmtId="168" fontId="0" fillId="4" borderId="30" xfId="0" applyNumberFormat="1" applyFill="1" applyBorder="1"/>
    <xf numFmtId="168" fontId="0" fillId="4" borderId="0" xfId="0" applyNumberFormat="1" applyFill="1"/>
    <xf numFmtId="0" fontId="17" fillId="0" borderId="29" xfId="0" applyFont="1" applyBorder="1" applyAlignment="1">
      <alignment horizontal="right"/>
    </xf>
    <xf numFmtId="168" fontId="17" fillId="0" borderId="30" xfId="0" applyNumberFormat="1" applyFont="1" applyBorder="1"/>
    <xf numFmtId="10" fontId="17" fillId="0" borderId="31" xfId="0" applyNumberFormat="1" applyFont="1" applyBorder="1"/>
    <xf numFmtId="42" fontId="2" fillId="8" borderId="7" xfId="0" applyNumberFormat="1" applyFont="1" applyFill="1" applyBorder="1"/>
    <xf numFmtId="165" fontId="2" fillId="8" borderId="7" xfId="2" applyNumberFormat="1" applyFont="1" applyFill="1" applyBorder="1"/>
    <xf numFmtId="10" fontId="2" fillId="8" borderId="7" xfId="3" applyNumberFormat="1" applyFont="1" applyFill="1" applyBorder="1"/>
    <xf numFmtId="42" fontId="2" fillId="5" borderId="7" xfId="0" applyNumberFormat="1" applyFont="1" applyFill="1" applyBorder="1"/>
    <xf numFmtId="165" fontId="2" fillId="5" borderId="7" xfId="0" applyNumberFormat="1" applyFont="1" applyFill="1" applyBorder="1"/>
    <xf numFmtId="10" fontId="8" fillId="5" borderId="7" xfId="0" applyNumberFormat="1" applyFont="1" applyFill="1" applyBorder="1"/>
    <xf numFmtId="165" fontId="55" fillId="14" borderId="7" xfId="0" applyNumberFormat="1" applyFont="1" applyFill="1" applyBorder="1"/>
    <xf numFmtId="165" fontId="55" fillId="14" borderId="7" xfId="2" applyNumberFormat="1" applyFont="1" applyFill="1" applyBorder="1"/>
    <xf numFmtId="10" fontId="55" fillId="14" borderId="7" xfId="3" applyNumberFormat="1" applyFont="1" applyFill="1" applyBorder="1"/>
    <xf numFmtId="165" fontId="8" fillId="0" borderId="0" xfId="0" applyNumberFormat="1" applyFont="1"/>
    <xf numFmtId="0" fontId="20" fillId="4" borderId="7" xfId="0" applyFont="1" applyFill="1" applyBorder="1"/>
    <xf numFmtId="167" fontId="42" fillId="4" borderId="7" xfId="0" applyNumberFormat="1" applyFont="1" applyFill="1" applyBorder="1" applyAlignment="1">
      <alignment horizontal="left"/>
    </xf>
    <xf numFmtId="167" fontId="0" fillId="4" borderId="7" xfId="0" applyNumberFormat="1" applyFill="1" applyBorder="1" applyAlignment="1">
      <alignment horizontal="center"/>
    </xf>
    <xf numFmtId="166" fontId="0" fillId="4" borderId="7" xfId="1" applyNumberFormat="1" applyFont="1" applyFill="1" applyBorder="1" applyAlignment="1">
      <alignment horizontal="right"/>
    </xf>
    <xf numFmtId="6" fontId="10" fillId="4" borderId="7" xfId="0" applyNumberFormat="1" applyFont="1" applyFill="1" applyBorder="1"/>
    <xf numFmtId="6" fontId="8" fillId="4" borderId="7" xfId="0" applyNumberFormat="1" applyFont="1" applyFill="1" applyBorder="1"/>
    <xf numFmtId="6" fontId="3" fillId="4" borderId="7" xfId="0" applyNumberFormat="1" applyFont="1" applyFill="1" applyBorder="1"/>
    <xf numFmtId="167" fontId="3" fillId="4" borderId="7" xfId="0" applyNumberFormat="1" applyFont="1" applyFill="1" applyBorder="1" applyAlignment="1">
      <alignment horizontal="left"/>
    </xf>
    <xf numFmtId="167" fontId="3" fillId="4" borderId="7" xfId="0" applyNumberFormat="1" applyFont="1" applyFill="1" applyBorder="1" applyAlignment="1">
      <alignment horizontal="center"/>
    </xf>
    <xf numFmtId="166" fontId="3" fillId="4" borderId="7" xfId="1" applyNumberFormat="1" applyFont="1" applyFill="1" applyBorder="1" applyAlignment="1">
      <alignment horizontal="right"/>
    </xf>
    <xf numFmtId="0" fontId="15" fillId="4" borderId="7" xfId="0" applyFont="1" applyFill="1" applyBorder="1"/>
    <xf numFmtId="165" fontId="15" fillId="4" borderId="9" xfId="0" applyNumberFormat="1" applyFont="1" applyFill="1" applyBorder="1"/>
    <xf numFmtId="165" fontId="56" fillId="4" borderId="17" xfId="2" applyNumberFormat="1" applyFont="1" applyFill="1" applyBorder="1"/>
    <xf numFmtId="10" fontId="55" fillId="4" borderId="17" xfId="3" applyNumberFormat="1" applyFont="1" applyFill="1" applyBorder="1"/>
    <xf numFmtId="0" fontId="66" fillId="4" borderId="7" xfId="4" applyFont="1" applyFill="1"/>
    <xf numFmtId="10" fontId="68" fillId="4" borderId="0" xfId="0" applyNumberFormat="1" applyFont="1" applyFill="1"/>
    <xf numFmtId="0" fontId="66" fillId="0" borderId="7" xfId="4" applyFont="1"/>
    <xf numFmtId="10" fontId="68" fillId="0" borderId="0" xfId="0" applyNumberFormat="1" applyFont="1"/>
    <xf numFmtId="10" fontId="66" fillId="0" borderId="0" xfId="0" applyNumberFormat="1" applyFont="1"/>
    <xf numFmtId="10" fontId="69" fillId="0" borderId="0" xfId="0" applyNumberFormat="1" applyFont="1"/>
    <xf numFmtId="10" fontId="69" fillId="4" borderId="0" xfId="0" applyNumberFormat="1" applyFont="1" applyFill="1"/>
    <xf numFmtId="10" fontId="66" fillId="4" borderId="0" xfId="0" applyNumberFormat="1" applyFont="1" applyFill="1"/>
    <xf numFmtId="10" fontId="67" fillId="0" borderId="0" xfId="0" applyNumberFormat="1" applyFont="1"/>
    <xf numFmtId="10" fontId="67" fillId="4" borderId="7" xfId="0" applyNumberFormat="1" applyFont="1" applyFill="1" applyBorder="1"/>
    <xf numFmtId="0" fontId="70" fillId="0" borderId="0" xfId="0" applyFont="1" applyAlignment="1">
      <alignment horizontal="right"/>
    </xf>
    <xf numFmtId="10" fontId="68" fillId="0" borderId="17" xfId="0" applyNumberFormat="1" applyFont="1" applyBorder="1"/>
    <xf numFmtId="10" fontId="68" fillId="4" borderId="7" xfId="0" applyNumberFormat="1" applyFont="1" applyFill="1" applyBorder="1"/>
    <xf numFmtId="0" fontId="67" fillId="4" borderId="0" xfId="0" applyFont="1" applyFill="1" applyAlignment="1">
      <alignment horizontal="left"/>
    </xf>
    <xf numFmtId="0" fontId="70" fillId="14" borderId="25" xfId="0" applyFont="1" applyFill="1" applyBorder="1" applyAlignment="1">
      <alignment horizontal="right"/>
    </xf>
    <xf numFmtId="42" fontId="67" fillId="4" borderId="0" xfId="0" applyNumberFormat="1" applyFont="1" applyFill="1"/>
    <xf numFmtId="42" fontId="66" fillId="4" borderId="7" xfId="5" applyNumberFormat="1" applyFont="1" applyFill="1" applyBorder="1"/>
    <xf numFmtId="42" fontId="69" fillId="4" borderId="0" xfId="0" applyNumberFormat="1" applyFont="1" applyFill="1"/>
    <xf numFmtId="42" fontId="69" fillId="4" borderId="7" xfId="5" applyNumberFormat="1" applyFont="1" applyFill="1" applyBorder="1"/>
    <xf numFmtId="42" fontId="70" fillId="14" borderId="26" xfId="2" applyNumberFormat="1" applyFont="1" applyFill="1" applyBorder="1"/>
    <xf numFmtId="42" fontId="71" fillId="14" borderId="26" xfId="2" applyNumberFormat="1" applyFont="1" applyFill="1" applyBorder="1"/>
    <xf numFmtId="42" fontId="68" fillId="4" borderId="7" xfId="0" applyNumberFormat="1" applyFont="1" applyFill="1" applyBorder="1"/>
    <xf numFmtId="42" fontId="67" fillId="0" borderId="0" xfId="0" applyNumberFormat="1" applyFont="1"/>
    <xf numFmtId="42" fontId="66" fillId="0" borderId="7" xfId="5" applyNumberFormat="1" applyFont="1" applyFill="1" applyBorder="1"/>
    <xf numFmtId="42" fontId="68" fillId="0" borderId="7" xfId="0" applyNumberFormat="1" applyFont="1" applyBorder="1"/>
    <xf numFmtId="42" fontId="66" fillId="0" borderId="7" xfId="0" applyNumberFormat="1" applyFont="1" applyBorder="1"/>
    <xf numFmtId="42" fontId="69" fillId="0" borderId="7" xfId="0" applyNumberFormat="1" applyFont="1" applyBorder="1"/>
    <xf numFmtId="42" fontId="69" fillId="4" borderId="7" xfId="0" applyNumberFormat="1" applyFont="1" applyFill="1" applyBorder="1"/>
    <xf numFmtId="42" fontId="66" fillId="4" borderId="7" xfId="0" applyNumberFormat="1" applyFont="1" applyFill="1" applyBorder="1"/>
    <xf numFmtId="42" fontId="67" fillId="0" borderId="7" xfId="0" applyNumberFormat="1" applyFont="1" applyBorder="1"/>
    <xf numFmtId="42" fontId="67" fillId="4" borderId="13" xfId="0" applyNumberFormat="1" applyFont="1" applyFill="1" applyBorder="1"/>
    <xf numFmtId="42" fontId="66" fillId="4" borderId="13" xfId="5" applyNumberFormat="1" applyFont="1" applyFill="1" applyBorder="1"/>
    <xf numFmtId="42" fontId="67" fillId="4" borderId="7" xfId="0" applyNumberFormat="1" applyFont="1" applyFill="1" applyBorder="1"/>
    <xf numFmtId="42" fontId="68" fillId="0" borderId="17" xfId="0" applyNumberFormat="1" applyFont="1" applyBorder="1"/>
    <xf numFmtId="42" fontId="67" fillId="0" borderId="16" xfId="0" applyNumberFormat="1" applyFont="1" applyBorder="1"/>
    <xf numFmtId="42" fontId="66" fillId="0" borderId="16" xfId="5" applyNumberFormat="1" applyFont="1" applyFill="1" applyBorder="1"/>
    <xf numFmtId="42" fontId="65" fillId="4" borderId="35" xfId="0" applyNumberFormat="1" applyFont="1" applyFill="1" applyBorder="1"/>
    <xf numFmtId="42" fontId="65" fillId="14" borderId="26" xfId="0" applyNumberFormat="1" applyFont="1" applyFill="1" applyBorder="1"/>
    <xf numFmtId="0" fontId="65" fillId="4" borderId="7" xfId="0" applyFont="1" applyFill="1" applyBorder="1"/>
    <xf numFmtId="10" fontId="71" fillId="0" borderId="16" xfId="0" applyNumberFormat="1" applyFont="1" applyBorder="1"/>
    <xf numFmtId="10" fontId="72" fillId="14" borderId="26" xfId="0" applyNumberFormat="1" applyFont="1" applyFill="1" applyBorder="1"/>
    <xf numFmtId="0" fontId="65" fillId="0" borderId="0" xfId="0" applyFont="1"/>
    <xf numFmtId="0" fontId="53" fillId="0" borderId="0" xfId="0" applyFont="1"/>
    <xf numFmtId="0" fontId="0" fillId="0" borderId="0" xfId="0" applyAlignment="1">
      <alignment horizontal="center"/>
    </xf>
    <xf numFmtId="171" fontId="0" fillId="0" borderId="7" xfId="0" applyNumberFormat="1" applyBorder="1"/>
    <xf numFmtId="171" fontId="0" fillId="0" borderId="37" xfId="0" applyNumberFormat="1" applyBorder="1"/>
    <xf numFmtId="171" fontId="0" fillId="0" borderId="38" xfId="0" applyNumberFormat="1" applyBorder="1"/>
    <xf numFmtId="49" fontId="0" fillId="0" borderId="0" xfId="0" applyNumberFormat="1" applyAlignment="1">
      <alignment horizontal="center"/>
    </xf>
    <xf numFmtId="49" fontId="0" fillId="0" borderId="36" xfId="0" applyNumberFormat="1" applyBorder="1" applyAlignment="1">
      <alignment horizontal="center"/>
    </xf>
    <xf numFmtId="10" fontId="74" fillId="0" borderId="7" xfId="8" applyNumberFormat="1" applyFill="1" applyBorder="1"/>
    <xf numFmtId="8" fontId="77" fillId="0" borderId="0" xfId="0" applyNumberFormat="1" applyFont="1"/>
    <xf numFmtId="8" fontId="77" fillId="2" borderId="7" xfId="0" applyNumberFormat="1" applyFont="1" applyFill="1" applyBorder="1"/>
    <xf numFmtId="167" fontId="43" fillId="0" borderId="0" xfId="0" applyNumberFormat="1" applyFont="1" applyAlignment="1">
      <alignment horizontal="right"/>
    </xf>
    <xf numFmtId="167" fontId="78" fillId="0" borderId="0" xfId="0" applyNumberFormat="1" applyFont="1"/>
    <xf numFmtId="6" fontId="79" fillId="0" borderId="0" xfId="0" applyNumberFormat="1" applyFont="1"/>
    <xf numFmtId="6" fontId="78" fillId="0" borderId="0" xfId="0" applyNumberFormat="1" applyFont="1"/>
    <xf numFmtId="6" fontId="80" fillId="0" borderId="7" xfId="0" applyNumberFormat="1" applyFont="1" applyBorder="1"/>
    <xf numFmtId="6" fontId="77" fillId="0" borderId="7" xfId="0" applyNumberFormat="1" applyFont="1" applyBorder="1"/>
    <xf numFmtId="6" fontId="81" fillId="0" borderId="16" xfId="0" applyNumberFormat="1" applyFont="1" applyBorder="1"/>
    <xf numFmtId="6" fontId="82" fillId="0" borderId="11" xfId="0" applyNumberFormat="1" applyFont="1" applyBorder="1"/>
    <xf numFmtId="6" fontId="83" fillId="0" borderId="11" xfId="0" applyNumberFormat="1" applyFont="1" applyBorder="1"/>
    <xf numFmtId="167" fontId="78" fillId="0" borderId="7" xfId="0" applyNumberFormat="1" applyFont="1" applyBorder="1"/>
    <xf numFmtId="167" fontId="87" fillId="2" borderId="7" xfId="0" applyNumberFormat="1" applyFont="1" applyFill="1" applyBorder="1"/>
    <xf numFmtId="167" fontId="87" fillId="0" borderId="0" xfId="0" applyNumberFormat="1" applyFont="1"/>
    <xf numFmtId="167" fontId="87" fillId="0" borderId="7" xfId="0" applyNumberFormat="1" applyFont="1" applyBorder="1"/>
    <xf numFmtId="0" fontId="84" fillId="0" borderId="0" xfId="0" applyFont="1"/>
    <xf numFmtId="0" fontId="84" fillId="2" borderId="7" xfId="0" applyFont="1" applyFill="1" applyBorder="1"/>
    <xf numFmtId="167" fontId="88" fillId="0" borderId="0" xfId="0" applyNumberFormat="1" applyFont="1"/>
    <xf numFmtId="0" fontId="89" fillId="0" borderId="0" xfId="0" applyFont="1"/>
    <xf numFmtId="0" fontId="89" fillId="0" borderId="0" xfId="0" applyFont="1" applyAlignment="1">
      <alignment horizontal="center"/>
    </xf>
    <xf numFmtId="0" fontId="78" fillId="0" borderId="0" xfId="0" applyFont="1"/>
    <xf numFmtId="167" fontId="78" fillId="0" borderId="0" xfId="0" applyNumberFormat="1" applyFont="1" applyAlignment="1">
      <alignment horizontal="left"/>
    </xf>
    <xf numFmtId="167" fontId="78" fillId="0" borderId="0" xfId="0" applyNumberFormat="1" applyFont="1" applyAlignment="1">
      <alignment horizontal="center"/>
    </xf>
    <xf numFmtId="6" fontId="79" fillId="0" borderId="7" xfId="0" applyNumberFormat="1" applyFont="1" applyBorder="1"/>
    <xf numFmtId="167" fontId="77" fillId="2" borderId="7" xfId="0" applyNumberFormat="1" applyFont="1" applyFill="1" applyBorder="1" applyAlignment="1">
      <alignment horizontal="left"/>
    </xf>
    <xf numFmtId="167" fontId="77" fillId="2" borderId="7" xfId="0" applyNumberFormat="1" applyFont="1" applyFill="1" applyBorder="1" applyAlignment="1">
      <alignment horizontal="center"/>
    </xf>
    <xf numFmtId="6" fontId="79" fillId="2" borderId="13" xfId="0" applyNumberFormat="1" applyFont="1" applyFill="1" applyBorder="1"/>
    <xf numFmtId="6" fontId="80" fillId="2" borderId="4" xfId="0" applyNumberFormat="1" applyFont="1" applyFill="1" applyBorder="1"/>
    <xf numFmtId="6" fontId="77" fillId="2" borderId="4" xfId="0" applyNumberFormat="1" applyFont="1" applyFill="1" applyBorder="1"/>
    <xf numFmtId="167" fontId="83" fillId="0" borderId="0" xfId="0" applyNumberFormat="1" applyFont="1" applyAlignment="1">
      <alignment horizontal="right"/>
    </xf>
    <xf numFmtId="167" fontId="83" fillId="0" borderId="0" xfId="0" applyNumberFormat="1" applyFont="1" applyAlignment="1">
      <alignment horizontal="center"/>
    </xf>
    <xf numFmtId="0" fontId="77" fillId="0" borderId="0" xfId="0" applyFont="1"/>
    <xf numFmtId="6" fontId="81" fillId="0" borderId="7" xfId="0" applyNumberFormat="1" applyFont="1" applyBorder="1"/>
    <xf numFmtId="6" fontId="82" fillId="0" borderId="0" xfId="0" applyNumberFormat="1" applyFont="1"/>
    <xf numFmtId="6" fontId="83" fillId="0" borderId="0" xfId="0" applyNumberFormat="1" applyFont="1"/>
    <xf numFmtId="0" fontId="77" fillId="0" borderId="0" xfId="0" applyFont="1" applyAlignment="1">
      <alignment horizontal="center"/>
    </xf>
    <xf numFmtId="167" fontId="89" fillId="0" borderId="0" xfId="0" applyNumberFormat="1" applyFont="1"/>
    <xf numFmtId="167" fontId="89" fillId="0" borderId="0" xfId="0" applyNumberFormat="1" applyFont="1" applyAlignment="1">
      <alignment horizontal="center"/>
    </xf>
    <xf numFmtId="167" fontId="77" fillId="2" borderId="7" xfId="0" applyNumberFormat="1" applyFont="1" applyFill="1" applyBorder="1"/>
    <xf numFmtId="0" fontId="77" fillId="2" borderId="7" xfId="0" applyFont="1" applyFill="1" applyBorder="1"/>
    <xf numFmtId="6" fontId="79" fillId="2" borderId="7" xfId="0" applyNumberFormat="1" applyFont="1" applyFill="1" applyBorder="1"/>
    <xf numFmtId="6" fontId="78" fillId="2" borderId="7" xfId="0" applyNumberFormat="1" applyFont="1" applyFill="1" applyBorder="1"/>
    <xf numFmtId="6" fontId="78" fillId="2" borderId="4" xfId="0" applyNumberFormat="1" applyFont="1" applyFill="1" applyBorder="1"/>
    <xf numFmtId="167" fontId="83" fillId="0" borderId="0" xfId="0" applyNumberFormat="1" applyFont="1" applyAlignment="1">
      <alignment horizontal="left"/>
    </xf>
    <xf numFmtId="1" fontId="83" fillId="0" borderId="0" xfId="0" applyNumberFormat="1" applyFont="1" applyAlignment="1">
      <alignment horizontal="center"/>
    </xf>
    <xf numFmtId="167" fontId="78" fillId="2" borderId="7" xfId="0" applyNumberFormat="1" applyFont="1" applyFill="1" applyBorder="1" applyAlignment="1">
      <alignment horizontal="left"/>
    </xf>
    <xf numFmtId="1" fontId="78" fillId="2" borderId="7" xfId="0" applyNumberFormat="1" applyFont="1" applyFill="1" applyBorder="1" applyAlignment="1">
      <alignment horizontal="center"/>
    </xf>
    <xf numFmtId="165" fontId="77" fillId="2" borderId="7" xfId="0" applyNumberFormat="1" applyFont="1" applyFill="1" applyBorder="1"/>
    <xf numFmtId="6" fontId="83" fillId="2" borderId="7" xfId="0" applyNumberFormat="1" applyFont="1" applyFill="1" applyBorder="1"/>
    <xf numFmtId="1" fontId="78" fillId="0" borderId="0" xfId="0" applyNumberFormat="1" applyFont="1" applyAlignment="1">
      <alignment horizontal="center"/>
    </xf>
    <xf numFmtId="165" fontId="77" fillId="0" borderId="0" xfId="0" applyNumberFormat="1" applyFont="1"/>
    <xf numFmtId="167" fontId="78" fillId="0" borderId="7" xfId="0" applyNumberFormat="1" applyFont="1" applyBorder="1" applyAlignment="1">
      <alignment horizontal="left"/>
    </xf>
    <xf numFmtId="1" fontId="78" fillId="0" borderId="7" xfId="0" applyNumberFormat="1" applyFont="1" applyBorder="1" applyAlignment="1">
      <alignment horizontal="center"/>
    </xf>
    <xf numFmtId="165" fontId="77" fillId="0" borderId="7" xfId="0" applyNumberFormat="1" applyFont="1" applyBorder="1"/>
    <xf numFmtId="6" fontId="79" fillId="0" borderId="13" xfId="0" applyNumberFormat="1" applyFont="1" applyBorder="1"/>
    <xf numFmtId="6" fontId="83" fillId="0" borderId="13" xfId="0" applyNumberFormat="1" applyFont="1" applyBorder="1"/>
    <xf numFmtId="6" fontId="78" fillId="0" borderId="13" xfId="0" applyNumberFormat="1" applyFont="1" applyBorder="1"/>
    <xf numFmtId="10" fontId="81" fillId="0" borderId="0" xfId="0" applyNumberFormat="1" applyFont="1"/>
    <xf numFmtId="166" fontId="78" fillId="0" borderId="0" xfId="1" applyNumberFormat="1" applyFont="1" applyFill="1" applyAlignment="1">
      <alignment horizontal="right"/>
    </xf>
    <xf numFmtId="168" fontId="82" fillId="0" borderId="11" xfId="0" applyNumberFormat="1" applyFont="1" applyBorder="1" applyAlignment="1">
      <alignment horizontal="right"/>
    </xf>
    <xf numFmtId="6" fontId="83" fillId="0" borderId="9" xfId="0" applyNumberFormat="1" applyFont="1" applyBorder="1" applyAlignment="1">
      <alignment horizontal="right"/>
    </xf>
    <xf numFmtId="10" fontId="79" fillId="0" borderId="0" xfId="0" applyNumberFormat="1" applyFont="1"/>
    <xf numFmtId="8" fontId="77" fillId="0" borderId="0" xfId="0" applyNumberFormat="1" applyFont="1" applyAlignment="1">
      <alignment horizontal="center"/>
    </xf>
    <xf numFmtId="0" fontId="84" fillId="2" borderId="7" xfId="0" applyFont="1" applyFill="1" applyBorder="1" applyAlignment="1">
      <alignment horizontal="right"/>
    </xf>
    <xf numFmtId="6" fontId="77" fillId="0" borderId="0" xfId="0" applyNumberFormat="1" applyFont="1"/>
    <xf numFmtId="167" fontId="43" fillId="2" borderId="7" xfId="0" applyNumberFormat="1" applyFont="1" applyFill="1" applyBorder="1" applyAlignment="1">
      <alignment horizontal="right"/>
    </xf>
    <xf numFmtId="6" fontId="81" fillId="2" borderId="16" xfId="0" applyNumberFormat="1" applyFont="1" applyFill="1" applyBorder="1"/>
    <xf numFmtId="6" fontId="83" fillId="2" borderId="11" xfId="0" applyNumberFormat="1" applyFont="1" applyFill="1" applyBorder="1"/>
    <xf numFmtId="167" fontId="83" fillId="2" borderId="7" xfId="0" applyNumberFormat="1" applyFont="1" applyFill="1" applyBorder="1" applyAlignment="1">
      <alignment horizontal="center"/>
    </xf>
    <xf numFmtId="167" fontId="89" fillId="0" borderId="0" xfId="0" applyNumberFormat="1" applyFont="1" applyAlignment="1">
      <alignment horizontal="left"/>
    </xf>
    <xf numFmtId="10" fontId="78" fillId="2" borderId="4" xfId="0" applyNumberFormat="1" applyFont="1" applyFill="1" applyBorder="1"/>
    <xf numFmtId="10" fontId="77" fillId="2" borderId="4" xfId="0" applyNumberFormat="1" applyFont="1" applyFill="1" applyBorder="1"/>
    <xf numFmtId="166" fontId="80" fillId="0" borderId="0" xfId="0" applyNumberFormat="1" applyFont="1"/>
    <xf numFmtId="166" fontId="78" fillId="0" borderId="0" xfId="0" applyNumberFormat="1" applyFont="1"/>
    <xf numFmtId="5" fontId="78" fillId="0" borderId="7" xfId="0" applyNumberFormat="1" applyFont="1" applyBorder="1"/>
    <xf numFmtId="10" fontId="78" fillId="2" borderId="13" xfId="0" applyNumberFormat="1" applyFont="1" applyFill="1" applyBorder="1"/>
    <xf numFmtId="0" fontId="90" fillId="0" borderId="0" xfId="0" applyFont="1" applyAlignment="1">
      <alignment horizontal="right"/>
    </xf>
    <xf numFmtId="0" fontId="90" fillId="0" borderId="0" xfId="0" applyFont="1" applyAlignment="1">
      <alignment horizontal="center"/>
    </xf>
    <xf numFmtId="6" fontId="81" fillId="0" borderId="10" xfId="0" applyNumberFormat="1" applyFont="1" applyBorder="1"/>
    <xf numFmtId="6" fontId="82" fillId="0" borderId="10" xfId="0" applyNumberFormat="1" applyFont="1" applyBorder="1"/>
    <xf numFmtId="6" fontId="83" fillId="0" borderId="10" xfId="0" applyNumberFormat="1" applyFont="1" applyBorder="1"/>
    <xf numFmtId="0" fontId="78" fillId="2" borderId="7" xfId="0" applyFont="1" applyFill="1" applyBorder="1"/>
    <xf numFmtId="0" fontId="78" fillId="5" borderId="7" xfId="0" applyFont="1" applyFill="1" applyBorder="1"/>
    <xf numFmtId="0" fontId="78" fillId="0" borderId="7" xfId="0" applyFont="1" applyBorder="1"/>
    <xf numFmtId="165" fontId="78" fillId="0" borderId="7" xfId="0" applyNumberFormat="1" applyFont="1" applyBorder="1"/>
    <xf numFmtId="0" fontId="83" fillId="0" borderId="0" xfId="0" applyFont="1"/>
    <xf numFmtId="165" fontId="90" fillId="0" borderId="0" xfId="0" applyNumberFormat="1" applyFont="1"/>
    <xf numFmtId="165" fontId="83" fillId="0" borderId="0" xfId="0" applyNumberFormat="1" applyFont="1"/>
    <xf numFmtId="10" fontId="82" fillId="0" borderId="17" xfId="0" applyNumberFormat="1" applyFont="1" applyBorder="1"/>
    <xf numFmtId="44" fontId="78" fillId="2" borderId="7" xfId="0" applyNumberFormat="1" applyFont="1" applyFill="1" applyBorder="1"/>
    <xf numFmtId="10" fontId="80" fillId="2" borderId="7" xfId="0" applyNumberFormat="1" applyFont="1" applyFill="1" applyBorder="1"/>
    <xf numFmtId="0" fontId="83" fillId="2" borderId="7" xfId="0" applyFont="1" applyFill="1" applyBorder="1"/>
    <xf numFmtId="165" fontId="83" fillId="2" borderId="4" xfId="0" applyNumberFormat="1" applyFont="1" applyFill="1" applyBorder="1"/>
    <xf numFmtId="10" fontId="82" fillId="2" borderId="14" xfId="0" applyNumberFormat="1" applyFont="1" applyFill="1" applyBorder="1"/>
    <xf numFmtId="0" fontId="91" fillId="0" borderId="7" xfId="0" applyFont="1" applyBorder="1"/>
    <xf numFmtId="165" fontId="76" fillId="0" borderId="7" xfId="0" applyNumberFormat="1" applyFont="1" applyBorder="1"/>
    <xf numFmtId="10" fontId="80" fillId="0" borderId="7" xfId="0" applyNumberFormat="1" applyFont="1" applyBorder="1"/>
    <xf numFmtId="42" fontId="76" fillId="5" borderId="7" xfId="0" applyNumberFormat="1" applyFont="1" applyFill="1" applyBorder="1"/>
    <xf numFmtId="165" fontId="76" fillId="5" borderId="7" xfId="0" applyNumberFormat="1" applyFont="1" applyFill="1" applyBorder="1"/>
    <xf numFmtId="10" fontId="80" fillId="5" borderId="7" xfId="0" applyNumberFormat="1" applyFont="1" applyFill="1" applyBorder="1"/>
    <xf numFmtId="0" fontId="83" fillId="0" borderId="5" xfId="0" applyFont="1" applyBorder="1"/>
    <xf numFmtId="165" fontId="78" fillId="0" borderId="6" xfId="0" applyNumberFormat="1" applyFont="1" applyBorder="1"/>
    <xf numFmtId="165" fontId="83" fillId="0" borderId="6" xfId="0" applyNumberFormat="1" applyFont="1" applyBorder="1"/>
    <xf numFmtId="10" fontId="82" fillId="0" borderId="15" xfId="0" applyNumberFormat="1" applyFont="1" applyBorder="1"/>
    <xf numFmtId="167" fontId="78" fillId="0" borderId="7" xfId="0" applyNumberFormat="1" applyFont="1" applyBorder="1" applyAlignment="1">
      <alignment horizontal="center"/>
    </xf>
    <xf numFmtId="8" fontId="92" fillId="0" borderId="7" xfId="0" applyNumberFormat="1" applyFont="1" applyBorder="1" applyAlignment="1">
      <alignment horizontal="left"/>
    </xf>
    <xf numFmtId="0" fontId="77" fillId="0" borderId="7" xfId="0" applyFont="1" applyBorder="1"/>
    <xf numFmtId="8" fontId="88" fillId="0" borderId="0" xfId="0" applyNumberFormat="1" applyFont="1" applyAlignment="1">
      <alignment wrapText="1"/>
    </xf>
    <xf numFmtId="0" fontId="77" fillId="0" borderId="0" xfId="0" applyFont="1" applyAlignment="1">
      <alignment wrapText="1"/>
    </xf>
    <xf numFmtId="8" fontId="77" fillId="0" borderId="0" xfId="0" applyNumberFormat="1" applyFont="1" applyAlignment="1">
      <alignment horizontal="right"/>
    </xf>
    <xf numFmtId="8" fontId="78" fillId="0" borderId="0" xfId="0" applyNumberFormat="1" applyFont="1"/>
    <xf numFmtId="0" fontId="78" fillId="4" borderId="7" xfId="0" applyFont="1" applyFill="1" applyBorder="1" applyAlignment="1">
      <alignment horizontal="left" wrapText="1"/>
    </xf>
    <xf numFmtId="8" fontId="78" fillId="4" borderId="7" xfId="0" applyNumberFormat="1" applyFont="1" applyFill="1" applyBorder="1" applyAlignment="1">
      <alignment horizontal="right"/>
    </xf>
    <xf numFmtId="8" fontId="78" fillId="4" borderId="0" xfId="0" applyNumberFormat="1" applyFont="1" applyFill="1"/>
    <xf numFmtId="8" fontId="78" fillId="2" borderId="7" xfId="0" applyNumberFormat="1" applyFont="1" applyFill="1" applyBorder="1"/>
    <xf numFmtId="0" fontId="78" fillId="0" borderId="0" xfId="0" applyFont="1" applyAlignment="1">
      <alignment horizontal="left" wrapText="1"/>
    </xf>
    <xf numFmtId="8" fontId="78" fillId="0" borderId="0" xfId="0" applyNumberFormat="1" applyFont="1" applyAlignment="1">
      <alignment horizontal="right"/>
    </xf>
    <xf numFmtId="0" fontId="77" fillId="4" borderId="0" xfId="0" applyFont="1" applyFill="1" applyAlignment="1">
      <alignment horizontal="left" wrapText="1"/>
    </xf>
    <xf numFmtId="8" fontId="77" fillId="4" borderId="0" xfId="0" applyNumberFormat="1" applyFont="1" applyFill="1" applyAlignment="1">
      <alignment horizontal="right"/>
    </xf>
    <xf numFmtId="0" fontId="78" fillId="0" borderId="7" xfId="0" applyFont="1" applyBorder="1" applyAlignment="1">
      <alignment horizontal="left" wrapText="1"/>
    </xf>
    <xf numFmtId="8" fontId="78" fillId="0" borderId="7" xfId="0" applyNumberFormat="1" applyFont="1" applyBorder="1" applyAlignment="1">
      <alignment horizontal="right"/>
    </xf>
    <xf numFmtId="8" fontId="78" fillId="0" borderId="7" xfId="0" applyNumberFormat="1" applyFont="1" applyBorder="1"/>
    <xf numFmtId="8" fontId="78" fillId="4" borderId="7" xfId="0" applyNumberFormat="1" applyFont="1" applyFill="1" applyBorder="1"/>
    <xf numFmtId="0" fontId="77" fillId="4" borderId="7" xfId="0" applyFont="1" applyFill="1" applyBorder="1" applyAlignment="1">
      <alignment horizontal="left" wrapText="1"/>
    </xf>
    <xf numFmtId="8" fontId="77" fillId="4" borderId="7" xfId="0" applyNumberFormat="1" applyFont="1" applyFill="1" applyBorder="1" applyAlignment="1">
      <alignment horizontal="right"/>
    </xf>
    <xf numFmtId="8" fontId="83" fillId="0" borderId="0" xfId="0" applyNumberFormat="1" applyFont="1" applyAlignment="1">
      <alignment horizontal="right" wrapText="1"/>
    </xf>
    <xf numFmtId="1" fontId="83" fillId="0" borderId="0" xfId="0" applyNumberFormat="1" applyFont="1" applyAlignment="1">
      <alignment horizontal="right"/>
    </xf>
    <xf numFmtId="10" fontId="83" fillId="0" borderId="0" xfId="0" applyNumberFormat="1" applyFont="1" applyAlignment="1">
      <alignment horizontal="right"/>
    </xf>
    <xf numFmtId="8" fontId="83" fillId="0" borderId="16" xfId="0" applyNumberFormat="1" applyFont="1" applyBorder="1"/>
    <xf numFmtId="8" fontId="83" fillId="0" borderId="11" xfId="0" applyNumberFormat="1" applyFont="1" applyBorder="1"/>
    <xf numFmtId="8" fontId="83" fillId="0" borderId="0" xfId="0" applyNumberFormat="1" applyFont="1" applyAlignment="1">
      <alignment horizontal="right"/>
    </xf>
    <xf numFmtId="8" fontId="83" fillId="0" borderId="0" xfId="0" applyNumberFormat="1" applyFont="1" applyAlignment="1">
      <alignment vertical="top"/>
    </xf>
    <xf numFmtId="0" fontId="78" fillId="0" borderId="0" xfId="0" applyFont="1" applyAlignment="1">
      <alignment wrapText="1"/>
    </xf>
    <xf numFmtId="0" fontId="77" fillId="6" borderId="7" xfId="0" applyFont="1" applyFill="1" applyBorder="1" applyAlignment="1">
      <alignment horizontal="left" wrapText="1"/>
    </xf>
    <xf numFmtId="8" fontId="77" fillId="6" borderId="7" xfId="0" applyNumberFormat="1" applyFont="1" applyFill="1" applyBorder="1" applyAlignment="1">
      <alignment horizontal="right"/>
    </xf>
    <xf numFmtId="8" fontId="78" fillId="6" borderId="7" xfId="0" applyNumberFormat="1" applyFont="1" applyFill="1" applyBorder="1"/>
    <xf numFmtId="0" fontId="77" fillId="2" borderId="7" xfId="0" applyFont="1" applyFill="1" applyBorder="1" applyAlignment="1">
      <alignment wrapText="1"/>
    </xf>
    <xf numFmtId="8" fontId="77" fillId="2" borderId="7" xfId="0" applyNumberFormat="1" applyFont="1" applyFill="1" applyBorder="1" applyAlignment="1">
      <alignment horizontal="right"/>
    </xf>
    <xf numFmtId="0" fontId="78" fillId="2" borderId="7" xfId="0" applyFont="1" applyFill="1" applyBorder="1" applyAlignment="1">
      <alignment horizontal="left" wrapText="1"/>
    </xf>
    <xf numFmtId="8" fontId="78" fillId="2" borderId="7" xfId="0" applyNumberFormat="1" applyFont="1" applyFill="1" applyBorder="1" applyAlignment="1">
      <alignment horizontal="right"/>
    </xf>
    <xf numFmtId="0" fontId="78" fillId="4" borderId="0" xfId="0" applyFont="1" applyFill="1" applyAlignment="1">
      <alignment horizontal="left" wrapText="1"/>
    </xf>
    <xf numFmtId="8" fontId="78" fillId="4" borderId="0" xfId="0" applyNumberFormat="1" applyFont="1" applyFill="1" applyAlignment="1">
      <alignment horizontal="right"/>
    </xf>
    <xf numFmtId="0" fontId="77" fillId="4" borderId="7" xfId="0" applyFont="1" applyFill="1" applyBorder="1" applyAlignment="1">
      <alignment wrapText="1"/>
    </xf>
    <xf numFmtId="0" fontId="77" fillId="0" borderId="7" xfId="0" applyFont="1" applyBorder="1" applyAlignment="1">
      <alignment horizontal="left" wrapText="1"/>
    </xf>
    <xf numFmtId="8" fontId="77" fillId="0" borderId="7" xfId="0" applyNumberFormat="1" applyFont="1" applyBorder="1" applyAlignment="1">
      <alignment horizontal="right"/>
    </xf>
    <xf numFmtId="0" fontId="77" fillId="4" borderId="0" xfId="0" applyFont="1" applyFill="1" applyAlignment="1">
      <alignment wrapText="1"/>
    </xf>
    <xf numFmtId="0" fontId="77" fillId="0" borderId="7" xfId="0" applyFont="1" applyBorder="1" applyAlignment="1">
      <alignment wrapText="1"/>
    </xf>
    <xf numFmtId="0" fontId="78" fillId="4" borderId="0" xfId="0" applyFont="1" applyFill="1" applyAlignment="1">
      <alignment wrapText="1"/>
    </xf>
    <xf numFmtId="10" fontId="80" fillId="0" borderId="0" xfId="0" applyNumberFormat="1" applyFont="1" applyAlignment="1">
      <alignment horizontal="right"/>
    </xf>
    <xf numFmtId="8" fontId="83" fillId="0" borderId="0" xfId="0" applyNumberFormat="1" applyFont="1"/>
    <xf numFmtId="0" fontId="78" fillId="6" borderId="0" xfId="0" applyFont="1" applyFill="1" applyAlignment="1">
      <alignment horizontal="left" wrapText="1"/>
    </xf>
    <xf numFmtId="8" fontId="78" fillId="6" borderId="0" xfId="0" applyNumberFormat="1" applyFont="1" applyFill="1" applyAlignment="1">
      <alignment horizontal="right"/>
    </xf>
    <xf numFmtId="8" fontId="78" fillId="6" borderId="0" xfId="0" applyNumberFormat="1" applyFont="1" applyFill="1"/>
    <xf numFmtId="0" fontId="77" fillId="0" borderId="0" xfId="0" applyFont="1" applyAlignment="1">
      <alignment horizontal="left" wrapText="1"/>
    </xf>
    <xf numFmtId="0" fontId="78" fillId="0" borderId="7" xfId="0" applyFont="1" applyBorder="1" applyAlignment="1">
      <alignment wrapText="1"/>
    </xf>
    <xf numFmtId="8" fontId="78" fillId="0" borderId="7" xfId="0" applyNumberFormat="1" applyFont="1" applyBorder="1" applyAlignment="1">
      <alignment wrapText="1"/>
    </xf>
    <xf numFmtId="8" fontId="76" fillId="0" borderId="0" xfId="0" applyNumberFormat="1" applyFont="1" applyAlignment="1">
      <alignment horizontal="right"/>
    </xf>
    <xf numFmtId="1" fontId="78" fillId="0" borderId="0" xfId="0" applyNumberFormat="1" applyFont="1" applyAlignment="1">
      <alignment horizontal="right"/>
    </xf>
    <xf numFmtId="8" fontId="78" fillId="0" borderId="13" xfId="0" applyNumberFormat="1" applyFont="1" applyBorder="1"/>
    <xf numFmtId="8" fontId="83" fillId="0" borderId="39" xfId="0" applyNumberFormat="1" applyFont="1" applyBorder="1"/>
    <xf numFmtId="8" fontId="43" fillId="4" borderId="0" xfId="0" applyNumberFormat="1" applyFont="1" applyFill="1"/>
    <xf numFmtId="8" fontId="43" fillId="0" borderId="7" xfId="0" applyNumberFormat="1" applyFont="1" applyBorder="1"/>
    <xf numFmtId="8" fontId="78" fillId="0" borderId="0" xfId="0" applyNumberFormat="1" applyFont="1" applyAlignment="1">
      <alignment wrapText="1"/>
    </xf>
    <xf numFmtId="1" fontId="94" fillId="0" borderId="0" xfId="0" applyNumberFormat="1" applyFont="1" applyAlignment="1">
      <alignment horizontal="right"/>
    </xf>
    <xf numFmtId="167" fontId="94" fillId="0" borderId="0" xfId="0" applyNumberFormat="1" applyFont="1" applyAlignment="1">
      <alignment horizontal="right"/>
    </xf>
    <xf numFmtId="1" fontId="78" fillId="2" borderId="7" xfId="0" applyNumberFormat="1" applyFont="1" applyFill="1" applyBorder="1" applyAlignment="1">
      <alignment horizontal="right"/>
    </xf>
    <xf numFmtId="1" fontId="78" fillId="0" borderId="7" xfId="0" applyNumberFormat="1" applyFont="1" applyBorder="1" applyAlignment="1">
      <alignment horizontal="right"/>
    </xf>
    <xf numFmtId="8" fontId="77" fillId="0" borderId="7" xfId="0" applyNumberFormat="1" applyFont="1" applyBorder="1"/>
    <xf numFmtId="1" fontId="77" fillId="4" borderId="0" xfId="0" applyNumberFormat="1" applyFont="1" applyFill="1" applyAlignment="1">
      <alignment horizontal="right"/>
    </xf>
    <xf numFmtId="8" fontId="77" fillId="4" borderId="0" xfId="0" applyNumberFormat="1" applyFont="1" applyFill="1"/>
    <xf numFmtId="1" fontId="77" fillId="0" borderId="0" xfId="0" applyNumberFormat="1" applyFont="1" applyAlignment="1">
      <alignment horizontal="right"/>
    </xf>
    <xf numFmtId="8" fontId="77" fillId="4" borderId="0" xfId="0" applyNumberFormat="1" applyFont="1" applyFill="1" applyAlignment="1">
      <alignment wrapText="1"/>
    </xf>
    <xf numFmtId="1" fontId="77" fillId="0" borderId="7" xfId="0" applyNumberFormat="1" applyFont="1" applyBorder="1" applyAlignment="1">
      <alignment horizontal="right"/>
    </xf>
    <xf numFmtId="1" fontId="78" fillId="4" borderId="0" xfId="0" applyNumberFormat="1" applyFont="1" applyFill="1" applyAlignment="1">
      <alignment horizontal="right"/>
    </xf>
    <xf numFmtId="1" fontId="78" fillId="0" borderId="0" xfId="0" applyNumberFormat="1" applyFont="1"/>
    <xf numFmtId="1" fontId="78" fillId="6" borderId="0" xfId="0" applyNumberFormat="1" applyFont="1" applyFill="1" applyAlignment="1">
      <alignment horizontal="right"/>
    </xf>
    <xf numFmtId="8" fontId="77" fillId="6" borderId="0" xfId="0" applyNumberFormat="1" applyFont="1" applyFill="1"/>
    <xf numFmtId="1" fontId="78" fillId="0" borderId="7" xfId="0" applyNumberFormat="1" applyFont="1" applyBorder="1"/>
    <xf numFmtId="8" fontId="90" fillId="0" borderId="11" xfId="0" applyNumberFormat="1" applyFont="1" applyBorder="1"/>
    <xf numFmtId="1" fontId="78" fillId="0" borderId="0" xfId="0" applyNumberFormat="1" applyFont="1" applyAlignment="1">
      <alignment horizontal="left"/>
    </xf>
    <xf numFmtId="1" fontId="77" fillId="4" borderId="0" xfId="0" applyNumberFormat="1" applyFont="1" applyFill="1"/>
    <xf numFmtId="1" fontId="77" fillId="0" borderId="7" xfId="0" applyNumberFormat="1" applyFont="1" applyBorder="1" applyAlignment="1">
      <alignment horizontal="left"/>
    </xf>
    <xf numFmtId="1" fontId="77" fillId="4" borderId="0" xfId="0" applyNumberFormat="1" applyFont="1" applyFill="1" applyAlignment="1">
      <alignment horizontal="left"/>
    </xf>
    <xf numFmtId="0" fontId="78" fillId="4" borderId="7" xfId="0" applyFont="1" applyFill="1" applyBorder="1" applyAlignment="1">
      <alignment wrapText="1"/>
    </xf>
    <xf numFmtId="1" fontId="78" fillId="4" borderId="7" xfId="0" applyNumberFormat="1" applyFont="1" applyFill="1" applyBorder="1"/>
    <xf numFmtId="8" fontId="77" fillId="4" borderId="7" xfId="0" applyNumberFormat="1" applyFont="1" applyFill="1" applyBorder="1"/>
    <xf numFmtId="8" fontId="43" fillId="6" borderId="7" xfId="0" applyNumberFormat="1" applyFont="1" applyFill="1" applyBorder="1"/>
    <xf numFmtId="8" fontId="78" fillId="0" borderId="7" xfId="0" applyNumberFormat="1" applyFont="1" applyBorder="1" applyAlignment="1">
      <alignment horizontal="right" vertical="top"/>
    </xf>
    <xf numFmtId="1" fontId="78" fillId="0" borderId="7" xfId="0" applyNumberFormat="1" applyFont="1" applyBorder="1" applyAlignment="1">
      <alignment horizontal="left"/>
    </xf>
    <xf numFmtId="3" fontId="78" fillId="0" borderId="0" xfId="0" applyNumberFormat="1" applyFont="1"/>
    <xf numFmtId="1" fontId="77" fillId="4" borderId="7" xfId="0" applyNumberFormat="1" applyFont="1" applyFill="1" applyBorder="1" applyAlignment="1">
      <alignment horizontal="right"/>
    </xf>
    <xf numFmtId="1" fontId="77" fillId="0" borderId="0" xfId="0" applyNumberFormat="1" applyFont="1"/>
    <xf numFmtId="0" fontId="77" fillId="6" borderId="7" xfId="0" applyFont="1" applyFill="1" applyBorder="1" applyAlignment="1">
      <alignment wrapText="1"/>
    </xf>
    <xf numFmtId="1" fontId="77" fillId="6" borderId="7" xfId="0" applyNumberFormat="1" applyFont="1" applyFill="1" applyBorder="1" applyAlignment="1">
      <alignment horizontal="right"/>
    </xf>
    <xf numFmtId="8" fontId="77" fillId="6" borderId="7" xfId="0" applyNumberFormat="1" applyFont="1" applyFill="1" applyBorder="1"/>
    <xf numFmtId="1" fontId="77" fillId="4" borderId="7" xfId="0" applyNumberFormat="1" applyFont="1" applyFill="1" applyBorder="1"/>
    <xf numFmtId="1" fontId="78" fillId="4" borderId="7" xfId="0" applyNumberFormat="1" applyFont="1" applyFill="1" applyBorder="1" applyAlignment="1">
      <alignment horizontal="right"/>
    </xf>
    <xf numFmtId="1" fontId="78" fillId="4" borderId="7" xfId="0" applyNumberFormat="1" applyFont="1" applyFill="1" applyBorder="1" applyAlignment="1">
      <alignment horizontal="left"/>
    </xf>
    <xf numFmtId="1" fontId="77" fillId="0" borderId="7" xfId="0" applyNumberFormat="1" applyFont="1" applyBorder="1"/>
    <xf numFmtId="0" fontId="78" fillId="6" borderId="7" xfId="0" applyFont="1" applyFill="1" applyBorder="1" applyAlignment="1">
      <alignment horizontal="left" wrapText="1"/>
    </xf>
    <xf numFmtId="1" fontId="78" fillId="6" borderId="7" xfId="0" applyNumberFormat="1" applyFont="1" applyFill="1" applyBorder="1" applyAlignment="1">
      <alignment horizontal="right"/>
    </xf>
    <xf numFmtId="8" fontId="88" fillId="0" borderId="0" xfId="0" applyNumberFormat="1" applyFont="1"/>
    <xf numFmtId="8" fontId="29" fillId="0" borderId="7" xfId="0" applyNumberFormat="1" applyFont="1" applyBorder="1" applyAlignment="1">
      <alignment horizontal="left" wrapText="1"/>
    </xf>
    <xf numFmtId="8" fontId="87" fillId="0" borderId="0" xfId="0" applyNumberFormat="1" applyFont="1"/>
    <xf numFmtId="8" fontId="87" fillId="2" borderId="7" xfId="0" applyNumberFormat="1" applyFont="1" applyFill="1" applyBorder="1"/>
    <xf numFmtId="8" fontId="98" fillId="5" borderId="7" xfId="0" applyNumberFormat="1" applyFont="1" applyFill="1" applyBorder="1" applyAlignment="1">
      <alignment wrapText="1"/>
    </xf>
    <xf numFmtId="8" fontId="87" fillId="0" borderId="0" xfId="0" applyNumberFormat="1" applyFont="1" applyAlignment="1">
      <alignment wrapText="1"/>
    </xf>
    <xf numFmtId="8" fontId="87" fillId="0" borderId="7" xfId="0" applyNumberFormat="1" applyFont="1" applyBorder="1"/>
    <xf numFmtId="8" fontId="87" fillId="4" borderId="0" xfId="0" applyNumberFormat="1" applyFont="1" applyFill="1" applyAlignment="1">
      <alignment wrapText="1"/>
    </xf>
    <xf numFmtId="8" fontId="87" fillId="0" borderId="7" xfId="0" applyNumberFormat="1" applyFont="1" applyBorder="1" applyAlignment="1">
      <alignment wrapText="1"/>
    </xf>
    <xf numFmtId="8" fontId="87" fillId="4" borderId="7" xfId="0" applyNumberFormat="1" applyFont="1" applyFill="1" applyBorder="1" applyAlignment="1">
      <alignment wrapText="1"/>
    </xf>
    <xf numFmtId="8" fontId="87" fillId="6" borderId="7" xfId="0" applyNumberFormat="1" applyFont="1" applyFill="1" applyBorder="1"/>
    <xf numFmtId="0" fontId="87" fillId="0" borderId="0" xfId="0" applyFont="1" applyAlignment="1">
      <alignment wrapText="1"/>
    </xf>
    <xf numFmtId="8" fontId="87" fillId="4" borderId="7" xfId="0" applyNumberFormat="1" applyFont="1" applyFill="1" applyBorder="1"/>
    <xf numFmtId="8" fontId="87" fillId="4" borderId="0" xfId="0" applyNumberFormat="1" applyFont="1" applyFill="1"/>
    <xf numFmtId="8" fontId="47" fillId="4" borderId="0" xfId="0" applyNumberFormat="1" applyFont="1" applyFill="1" applyAlignment="1">
      <alignment wrapText="1"/>
    </xf>
    <xf numFmtId="8" fontId="87" fillId="6" borderId="0" xfId="0" applyNumberFormat="1" applyFont="1" applyFill="1"/>
    <xf numFmtId="8" fontId="99" fillId="0" borderId="0" xfId="0" applyNumberFormat="1" applyFont="1" applyAlignment="1">
      <alignment wrapText="1"/>
    </xf>
    <xf numFmtId="8" fontId="87" fillId="2" borderId="7" xfId="0" applyNumberFormat="1" applyFont="1" applyFill="1" applyBorder="1" applyAlignment="1">
      <alignment wrapText="1"/>
    </xf>
    <xf numFmtId="8" fontId="87" fillId="6" borderId="0" xfId="0" applyNumberFormat="1" applyFont="1" applyFill="1" applyAlignment="1">
      <alignment wrapText="1"/>
    </xf>
    <xf numFmtId="8" fontId="93" fillId="0" borderId="7" xfId="0" applyNumberFormat="1" applyFont="1" applyBorder="1" applyAlignment="1">
      <alignment wrapText="1"/>
    </xf>
    <xf numFmtId="8" fontId="87" fillId="6" borderId="7" xfId="0" applyNumberFormat="1" applyFont="1" applyFill="1" applyBorder="1" applyAlignment="1">
      <alignment wrapText="1"/>
    </xf>
    <xf numFmtId="8" fontId="100" fillId="0" borderId="0" xfId="0" applyNumberFormat="1" applyFont="1" applyAlignment="1">
      <alignment vertical="top"/>
    </xf>
    <xf numFmtId="0" fontId="77" fillId="2" borderId="7" xfId="0" applyFont="1" applyFill="1" applyBorder="1" applyAlignment="1">
      <alignment horizontal="left" wrapText="1"/>
    </xf>
    <xf numFmtId="1" fontId="77" fillId="2" borderId="7" xfId="0" applyNumberFormat="1" applyFont="1" applyFill="1" applyBorder="1" applyAlignment="1">
      <alignment horizontal="right"/>
    </xf>
    <xf numFmtId="0" fontId="77" fillId="5" borderId="7" xfId="0" applyFont="1" applyFill="1" applyBorder="1" applyAlignment="1">
      <alignment horizontal="left" wrapText="1"/>
    </xf>
    <xf numFmtId="8" fontId="77" fillId="5" borderId="7" xfId="0" applyNumberFormat="1" applyFont="1" applyFill="1" applyBorder="1" applyAlignment="1">
      <alignment horizontal="right"/>
    </xf>
    <xf numFmtId="8" fontId="78" fillId="5" borderId="7" xfId="0" applyNumberFormat="1" applyFont="1" applyFill="1" applyBorder="1"/>
    <xf numFmtId="8" fontId="85" fillId="0" borderId="7" xfId="0" applyNumberFormat="1" applyFont="1" applyBorder="1" applyAlignment="1">
      <alignment horizontal="left" wrapText="1"/>
    </xf>
    <xf numFmtId="8" fontId="83" fillId="0" borderId="7" xfId="0" applyNumberFormat="1" applyFont="1" applyBorder="1" applyAlignment="1">
      <alignment horizontal="left" wrapText="1"/>
    </xf>
    <xf numFmtId="1" fontId="78" fillId="4" borderId="0" xfId="0" applyNumberFormat="1" applyFont="1" applyFill="1"/>
    <xf numFmtId="1" fontId="78" fillId="4" borderId="0" xfId="0" applyNumberFormat="1" applyFont="1" applyFill="1" applyAlignment="1">
      <alignment horizontal="left"/>
    </xf>
    <xf numFmtId="8" fontId="87" fillId="4" borderId="0" xfId="0" applyNumberFormat="1" applyFont="1" applyFill="1" applyAlignment="1">
      <alignment horizontal="left" wrapText="1"/>
    </xf>
    <xf numFmtId="1" fontId="77" fillId="2" borderId="7" xfId="0" applyNumberFormat="1" applyFont="1" applyFill="1" applyBorder="1"/>
    <xf numFmtId="1" fontId="78" fillId="2" borderId="7" xfId="0" applyNumberFormat="1" applyFont="1" applyFill="1" applyBorder="1"/>
    <xf numFmtId="8" fontId="78" fillId="0" borderId="0" xfId="0" applyNumberFormat="1" applyFont="1" applyAlignment="1">
      <alignment horizontal="right" wrapText="1"/>
    </xf>
    <xf numFmtId="8" fontId="87" fillId="0" borderId="0" xfId="0" applyNumberFormat="1" applyFont="1" applyAlignment="1">
      <alignment horizontal="left" wrapText="1"/>
    </xf>
    <xf numFmtId="8" fontId="99" fillId="0" borderId="0" xfId="0" applyNumberFormat="1" applyFont="1" applyAlignment="1">
      <alignment horizontal="left" wrapText="1"/>
    </xf>
    <xf numFmtId="8" fontId="78" fillId="0" borderId="0" xfId="0" applyNumberFormat="1" applyFont="1" applyAlignment="1">
      <alignment horizontal="left" wrapText="1"/>
    </xf>
    <xf numFmtId="38" fontId="78" fillId="0" borderId="0" xfId="0" applyNumberFormat="1" applyFont="1" applyAlignment="1">
      <alignment horizontal="right" wrapText="1"/>
    </xf>
    <xf numFmtId="8" fontId="83" fillId="0" borderId="11" xfId="0" applyNumberFormat="1" applyFont="1" applyBorder="1" applyAlignment="1">
      <alignment horizontal="right"/>
    </xf>
    <xf numFmtId="8" fontId="87" fillId="0" borderId="0" xfId="0" applyNumberFormat="1" applyFont="1" applyAlignment="1">
      <alignment vertical="center"/>
    </xf>
    <xf numFmtId="8" fontId="87" fillId="0" borderId="7" xfId="0" applyNumberFormat="1" applyFont="1" applyBorder="1" applyAlignment="1">
      <alignment vertical="center"/>
    </xf>
    <xf numFmtId="8" fontId="87" fillId="4" borderId="0" xfId="0" applyNumberFormat="1" applyFont="1" applyFill="1" applyAlignment="1">
      <alignment vertical="center"/>
    </xf>
    <xf numFmtId="8" fontId="87" fillId="4" borderId="7" xfId="0" applyNumberFormat="1" applyFont="1" applyFill="1" applyBorder="1" applyAlignment="1">
      <alignment vertical="center"/>
    </xf>
    <xf numFmtId="0" fontId="77" fillId="6" borderId="0" xfId="0" applyFont="1" applyFill="1" applyAlignment="1">
      <alignment horizontal="left" wrapText="1"/>
    </xf>
    <xf numFmtId="1" fontId="77" fillId="6" borderId="0" xfId="0" applyNumberFormat="1" applyFont="1" applyFill="1"/>
    <xf numFmtId="1" fontId="77" fillId="6" borderId="0" xfId="0" applyNumberFormat="1" applyFont="1" applyFill="1" applyAlignment="1">
      <alignment horizontal="right"/>
    </xf>
    <xf numFmtId="8" fontId="77" fillId="6" borderId="0" xfId="0" applyNumberFormat="1" applyFont="1" applyFill="1" applyAlignment="1">
      <alignment horizontal="right"/>
    </xf>
    <xf numFmtId="1" fontId="77" fillId="6" borderId="0" xfId="0" applyNumberFormat="1" applyFont="1" applyFill="1" applyAlignment="1">
      <alignment horizontal="left"/>
    </xf>
    <xf numFmtId="3" fontId="78" fillId="6" borderId="0" xfId="0" applyNumberFormat="1" applyFont="1" applyFill="1" applyAlignment="1">
      <alignment horizontal="right"/>
    </xf>
    <xf numFmtId="37" fontId="78" fillId="6" borderId="0" xfId="0" applyNumberFormat="1" applyFont="1" applyFill="1" applyAlignment="1">
      <alignment horizontal="right"/>
    </xf>
    <xf numFmtId="1" fontId="77" fillId="4" borderId="7" xfId="0" applyNumberFormat="1" applyFont="1" applyFill="1" applyBorder="1" applyAlignment="1">
      <alignment horizontal="left"/>
    </xf>
    <xf numFmtId="1" fontId="77" fillId="0" borderId="0" xfId="0" applyNumberFormat="1" applyFont="1" applyAlignment="1">
      <alignment horizontal="left"/>
    </xf>
    <xf numFmtId="0" fontId="77" fillId="4" borderId="0" xfId="0" applyFont="1" applyFill="1"/>
    <xf numFmtId="0" fontId="102" fillId="0" borderId="0" xfId="0" applyFont="1"/>
    <xf numFmtId="1" fontId="83" fillId="4" borderId="7" xfId="0" applyNumberFormat="1" applyFont="1" applyFill="1" applyBorder="1" applyAlignment="1">
      <alignment horizontal="left"/>
    </xf>
    <xf numFmtId="8" fontId="98" fillId="4" borderId="7" xfId="0" applyNumberFormat="1" applyFont="1" applyFill="1" applyBorder="1"/>
    <xf numFmtId="8" fontId="98" fillId="0" borderId="7" xfId="0" applyNumberFormat="1" applyFont="1" applyBorder="1"/>
    <xf numFmtId="0" fontId="87" fillId="4" borderId="0" xfId="0" applyFont="1" applyFill="1" applyAlignment="1">
      <alignment horizontal="left" wrapText="1"/>
    </xf>
    <xf numFmtId="0" fontId="77" fillId="7" borderId="7" xfId="0" applyFont="1" applyFill="1" applyBorder="1" applyAlignment="1">
      <alignment wrapText="1"/>
    </xf>
    <xf numFmtId="1" fontId="77" fillId="7" borderId="7" xfId="0" applyNumberFormat="1" applyFont="1" applyFill="1" applyBorder="1"/>
    <xf numFmtId="1" fontId="77" fillId="7" borderId="7" xfId="0" applyNumberFormat="1" applyFont="1" applyFill="1" applyBorder="1" applyAlignment="1">
      <alignment horizontal="right"/>
    </xf>
    <xf numFmtId="8" fontId="77" fillId="7" borderId="7" xfId="0" applyNumberFormat="1" applyFont="1" applyFill="1" applyBorder="1" applyAlignment="1">
      <alignment horizontal="right"/>
    </xf>
    <xf numFmtId="8" fontId="78" fillId="7" borderId="0" xfId="0" applyNumberFormat="1" applyFont="1" applyFill="1"/>
    <xf numFmtId="8" fontId="78" fillId="7" borderId="7" xfId="0" applyNumberFormat="1" applyFont="1" applyFill="1" applyBorder="1"/>
    <xf numFmtId="8" fontId="77" fillId="7" borderId="7" xfId="0" applyNumberFormat="1" applyFont="1" applyFill="1" applyBorder="1"/>
    <xf numFmtId="8" fontId="77" fillId="0" borderId="0" xfId="0" applyNumberFormat="1" applyFont="1" applyAlignment="1">
      <alignment wrapText="1"/>
    </xf>
    <xf numFmtId="8" fontId="78" fillId="4" borderId="0" xfId="0" applyNumberFormat="1" applyFont="1" applyFill="1" applyAlignment="1">
      <alignment wrapText="1"/>
    </xf>
    <xf numFmtId="0" fontId="96" fillId="4" borderId="0" xfId="0" applyFont="1" applyFill="1" applyAlignment="1">
      <alignment horizontal="left" wrapText="1"/>
    </xf>
    <xf numFmtId="0" fontId="77" fillId="6" borderId="0" xfId="0" applyFont="1" applyFill="1" applyAlignment="1">
      <alignment wrapText="1"/>
    </xf>
    <xf numFmtId="8" fontId="77" fillId="4" borderId="7" xfId="0" applyNumberFormat="1" applyFont="1" applyFill="1" applyBorder="1" applyAlignment="1">
      <alignment wrapText="1"/>
    </xf>
    <xf numFmtId="8" fontId="77" fillId="0" borderId="7" xfId="0" applyNumberFormat="1" applyFont="1" applyBorder="1" applyAlignment="1">
      <alignment wrapText="1"/>
    </xf>
    <xf numFmtId="8" fontId="43" fillId="0" borderId="0" xfId="0" quotePrefix="1" applyNumberFormat="1" applyFont="1"/>
    <xf numFmtId="8" fontId="103" fillId="0" borderId="0" xfId="0" applyNumberFormat="1" applyFont="1" applyAlignment="1">
      <alignment horizontal="left" wrapText="1"/>
    </xf>
    <xf numFmtId="8" fontId="99" fillId="0" borderId="0" xfId="0" applyNumberFormat="1" applyFont="1"/>
    <xf numFmtId="8" fontId="83" fillId="0" borderId="10" xfId="0" applyNumberFormat="1" applyFont="1" applyBorder="1"/>
    <xf numFmtId="8" fontId="80" fillId="0" borderId="0" xfId="0" applyNumberFormat="1" applyFont="1" applyAlignment="1">
      <alignment horizontal="right"/>
    </xf>
    <xf numFmtId="8" fontId="80" fillId="2" borderId="7" xfId="0" applyNumberFormat="1" applyFont="1" applyFill="1" applyBorder="1" applyAlignment="1">
      <alignment horizontal="right"/>
    </xf>
    <xf numFmtId="10" fontId="97" fillId="0" borderId="0" xfId="0" applyNumberFormat="1" applyFont="1" applyAlignment="1">
      <alignment horizontal="right"/>
    </xf>
    <xf numFmtId="8" fontId="82" fillId="0" borderId="11" xfId="0" applyNumberFormat="1" applyFont="1" applyBorder="1" applyAlignment="1">
      <alignment horizontal="right"/>
    </xf>
    <xf numFmtId="8" fontId="80" fillId="0" borderId="7" xfId="0" applyNumberFormat="1" applyFont="1" applyBorder="1" applyAlignment="1">
      <alignment horizontal="right"/>
    </xf>
    <xf numFmtId="8" fontId="78" fillId="0" borderId="7" xfId="0" applyNumberFormat="1" applyFont="1" applyBorder="1" applyAlignment="1">
      <alignment vertical="top"/>
    </xf>
    <xf numFmtId="0" fontId="78" fillId="4" borderId="0" xfId="0" applyFont="1" applyFill="1"/>
    <xf numFmtId="8" fontId="80" fillId="4" borderId="0" xfId="0" applyNumberFormat="1" applyFont="1" applyFill="1" applyAlignment="1">
      <alignment horizontal="right"/>
    </xf>
    <xf numFmtId="8" fontId="78" fillId="4" borderId="0" xfId="0" applyNumberFormat="1" applyFont="1" applyFill="1" applyAlignment="1">
      <alignment vertical="top"/>
    </xf>
    <xf numFmtId="3" fontId="77" fillId="0" borderId="7" xfId="0" applyNumberFormat="1" applyFont="1" applyBorder="1"/>
    <xf numFmtId="8" fontId="78" fillId="0" borderId="0" xfId="0" applyNumberFormat="1" applyFont="1" applyAlignment="1">
      <alignment vertical="top"/>
    </xf>
    <xf numFmtId="8" fontId="78" fillId="4" borderId="7" xfId="0" applyNumberFormat="1" applyFont="1" applyFill="1" applyBorder="1" applyAlignment="1">
      <alignment wrapText="1"/>
    </xf>
    <xf numFmtId="169" fontId="77" fillId="4" borderId="7" xfId="0" applyNumberFormat="1" applyFont="1" applyFill="1" applyBorder="1" applyAlignment="1">
      <alignment horizontal="right"/>
    </xf>
    <xf numFmtId="8" fontId="80" fillId="4" borderId="7" xfId="0" applyNumberFormat="1" applyFont="1" applyFill="1" applyBorder="1" applyAlignment="1">
      <alignment horizontal="right"/>
    </xf>
    <xf numFmtId="8" fontId="77" fillId="5" borderId="7" xfId="0" applyNumberFormat="1" applyFont="1" applyFill="1" applyBorder="1"/>
    <xf numFmtId="8" fontId="105" fillId="0" borderId="0" xfId="0" applyNumberFormat="1" applyFont="1" applyAlignment="1">
      <alignment wrapText="1"/>
    </xf>
    <xf numFmtId="0" fontId="106" fillId="0" borderId="0" xfId="0" applyFont="1"/>
    <xf numFmtId="8" fontId="80" fillId="4" borderId="0" xfId="0" applyNumberFormat="1" applyFont="1" applyFill="1"/>
    <xf numFmtId="8" fontId="82" fillId="0" borderId="10" xfId="0" applyNumberFormat="1" applyFont="1" applyBorder="1" applyAlignment="1">
      <alignment horizontal="right"/>
    </xf>
    <xf numFmtId="0" fontId="77" fillId="4" borderId="7" xfId="0" applyFont="1" applyFill="1" applyBorder="1"/>
    <xf numFmtId="0" fontId="78" fillId="4" borderId="7" xfId="0" applyFont="1" applyFill="1" applyBorder="1" applyAlignment="1">
      <alignment horizontal="left"/>
    </xf>
    <xf numFmtId="1" fontId="78" fillId="4" borderId="0" xfId="0" applyNumberFormat="1" applyFont="1" applyFill="1" applyAlignment="1">
      <alignment horizontal="center"/>
    </xf>
    <xf numFmtId="9" fontId="81" fillId="4" borderId="0" xfId="0" applyNumberFormat="1" applyFont="1" applyFill="1"/>
    <xf numFmtId="8" fontId="47" fillId="0" borderId="0" xfId="0" applyNumberFormat="1" applyFont="1" applyAlignment="1">
      <alignment wrapText="1"/>
    </xf>
    <xf numFmtId="0" fontId="47" fillId="0" borderId="0" xfId="0" applyFont="1"/>
    <xf numFmtId="0" fontId="47" fillId="0" borderId="7" xfId="0" applyFont="1" applyBorder="1"/>
    <xf numFmtId="0" fontId="47" fillId="2" borderId="7" xfId="0" applyFont="1" applyFill="1" applyBorder="1"/>
    <xf numFmtId="0" fontId="47" fillId="0" borderId="7" xfId="0" applyFont="1" applyBorder="1" applyAlignment="1">
      <alignment wrapText="1"/>
    </xf>
    <xf numFmtId="167" fontId="99" fillId="0" borderId="0" xfId="0" applyNumberFormat="1" applyFont="1" applyAlignment="1">
      <alignment horizontal="center" vertical="top"/>
    </xf>
    <xf numFmtId="0" fontId="47" fillId="5" borderId="7" xfId="0" applyFont="1" applyFill="1" applyBorder="1" applyAlignment="1">
      <alignment wrapText="1"/>
    </xf>
    <xf numFmtId="167" fontId="77" fillId="5" borderId="7" xfId="0" applyNumberFormat="1" applyFont="1" applyFill="1" applyBorder="1" applyAlignment="1">
      <alignment horizontal="left"/>
    </xf>
    <xf numFmtId="167" fontId="77" fillId="5" borderId="7" xfId="0" applyNumberFormat="1" applyFont="1" applyFill="1" applyBorder="1" applyAlignment="1">
      <alignment horizontal="center"/>
    </xf>
    <xf numFmtId="6" fontId="79" fillId="5" borderId="7" xfId="0" applyNumberFormat="1" applyFont="1" applyFill="1" applyBorder="1"/>
    <xf numFmtId="6" fontId="77" fillId="5" borderId="7" xfId="0" applyNumberFormat="1" applyFont="1" applyFill="1" applyBorder="1"/>
    <xf numFmtId="166" fontId="78" fillId="0" borderId="7" xfId="1" applyNumberFormat="1" applyFont="1" applyFill="1" applyBorder="1" applyAlignment="1">
      <alignment horizontal="right"/>
    </xf>
    <xf numFmtId="167" fontId="78" fillId="4" borderId="7" xfId="0" applyNumberFormat="1" applyFont="1" applyFill="1" applyBorder="1" applyAlignment="1">
      <alignment horizontal="left"/>
    </xf>
    <xf numFmtId="167" fontId="78" fillId="4" borderId="7" xfId="0" applyNumberFormat="1" applyFont="1" applyFill="1" applyBorder="1" applyAlignment="1">
      <alignment horizontal="center"/>
    </xf>
    <xf numFmtId="166" fontId="78" fillId="4" borderId="7" xfId="1" applyNumberFormat="1" applyFont="1" applyFill="1" applyBorder="1" applyAlignment="1">
      <alignment horizontal="right"/>
    </xf>
    <xf numFmtId="6" fontId="79" fillId="4" borderId="7" xfId="0" applyNumberFormat="1" applyFont="1" applyFill="1" applyBorder="1"/>
    <xf numFmtId="6" fontId="78" fillId="4" borderId="7" xfId="0" applyNumberFormat="1" applyFont="1" applyFill="1" applyBorder="1"/>
    <xf numFmtId="0" fontId="47" fillId="4" borderId="7" xfId="0" applyFont="1" applyFill="1" applyBorder="1"/>
    <xf numFmtId="167" fontId="77" fillId="4" borderId="7" xfId="0" applyNumberFormat="1" applyFont="1" applyFill="1" applyBorder="1" applyAlignment="1">
      <alignment horizontal="left"/>
    </xf>
    <xf numFmtId="167" fontId="77" fillId="4" borderId="7" xfId="0" applyNumberFormat="1" applyFont="1" applyFill="1" applyBorder="1" applyAlignment="1">
      <alignment horizontal="center"/>
    </xf>
    <xf numFmtId="6" fontId="78" fillId="0" borderId="7" xfId="0" applyNumberFormat="1" applyFont="1" applyBorder="1"/>
    <xf numFmtId="167" fontId="78" fillId="4" borderId="7" xfId="0" applyNumberFormat="1" applyFont="1" applyFill="1" applyBorder="1"/>
    <xf numFmtId="167" fontId="83" fillId="0" borderId="7" xfId="0" applyNumberFormat="1" applyFont="1" applyBorder="1" applyAlignment="1">
      <alignment horizontal="right"/>
    </xf>
    <xf numFmtId="8" fontId="77" fillId="0" borderId="7" xfId="0" applyNumberFormat="1" applyFont="1" applyBorder="1" applyAlignment="1">
      <alignment horizontal="center"/>
    </xf>
    <xf numFmtId="10" fontId="81" fillId="0" borderId="7" xfId="0" applyNumberFormat="1" applyFont="1" applyBorder="1"/>
    <xf numFmtId="167" fontId="83" fillId="0" borderId="7" xfId="0" applyNumberFormat="1" applyFont="1" applyBorder="1" applyAlignment="1">
      <alignment horizontal="center"/>
    </xf>
    <xf numFmtId="6" fontId="78" fillId="5" borderId="7" xfId="0" applyNumberFormat="1" applyFont="1" applyFill="1" applyBorder="1"/>
    <xf numFmtId="167" fontId="78" fillId="5" borderId="7" xfId="0" applyNumberFormat="1" applyFont="1" applyFill="1" applyBorder="1"/>
    <xf numFmtId="167" fontId="78" fillId="5" borderId="7" xfId="0" applyNumberFormat="1" applyFont="1" applyFill="1" applyBorder="1" applyAlignment="1">
      <alignment horizontal="center"/>
    </xf>
    <xf numFmtId="10" fontId="79" fillId="5" borderId="7" xfId="0" applyNumberFormat="1" applyFont="1" applyFill="1" applyBorder="1"/>
    <xf numFmtId="6" fontId="79" fillId="5" borderId="13" xfId="0" applyNumberFormat="1" applyFont="1" applyFill="1" applyBorder="1"/>
    <xf numFmtId="8" fontId="77" fillId="5" borderId="7" xfId="0" applyNumberFormat="1" applyFont="1" applyFill="1" applyBorder="1" applyAlignment="1">
      <alignment horizontal="center"/>
    </xf>
    <xf numFmtId="0" fontId="108" fillId="4" borderId="7" xfId="0" applyFont="1" applyFill="1" applyBorder="1"/>
    <xf numFmtId="6" fontId="79" fillId="4" borderId="13" xfId="0" applyNumberFormat="1" applyFont="1" applyFill="1" applyBorder="1"/>
    <xf numFmtId="6" fontId="78" fillId="4" borderId="13" xfId="0" applyNumberFormat="1" applyFont="1" applyFill="1" applyBorder="1"/>
    <xf numFmtId="165" fontId="77" fillId="0" borderId="4" xfId="0" applyNumberFormat="1" applyFont="1" applyBorder="1"/>
    <xf numFmtId="165" fontId="78" fillId="0" borderId="4" xfId="0" applyNumberFormat="1" applyFont="1" applyBorder="1"/>
    <xf numFmtId="0" fontId="77" fillId="5" borderId="7" xfId="0" applyFont="1" applyFill="1" applyBorder="1" applyAlignment="1">
      <alignment wrapText="1"/>
    </xf>
    <xf numFmtId="8" fontId="14" fillId="5" borderId="7" xfId="0" applyNumberFormat="1" applyFont="1" applyFill="1" applyBorder="1" applyAlignment="1">
      <alignment wrapText="1"/>
    </xf>
    <xf numFmtId="0" fontId="78" fillId="5" borderId="7" xfId="0" applyFont="1" applyFill="1" applyBorder="1" applyAlignment="1">
      <alignment horizontal="left" wrapText="1"/>
    </xf>
    <xf numFmtId="8" fontId="78" fillId="5" borderId="7" xfId="0" applyNumberFormat="1" applyFont="1" applyFill="1" applyBorder="1" applyAlignment="1">
      <alignment horizontal="right"/>
    </xf>
    <xf numFmtId="1" fontId="82" fillId="0" borderId="7" xfId="0" applyNumberFormat="1" applyFont="1" applyBorder="1" applyAlignment="1">
      <alignment horizontal="right"/>
    </xf>
    <xf numFmtId="8" fontId="87" fillId="0" borderId="0" xfId="0" quotePrefix="1" applyNumberFormat="1" applyFont="1" applyAlignment="1">
      <alignment vertical="center" wrapText="1"/>
    </xf>
    <xf numFmtId="167" fontId="88" fillId="0" borderId="7" xfId="0" applyNumberFormat="1" applyFont="1" applyBorder="1"/>
    <xf numFmtId="167" fontId="43" fillId="0" borderId="7" xfId="0" applyNumberFormat="1" applyFont="1" applyBorder="1" applyAlignment="1">
      <alignment horizontal="right"/>
    </xf>
    <xf numFmtId="6" fontId="81" fillId="0" borderId="39" xfId="0" applyNumberFormat="1" applyFont="1" applyBorder="1"/>
    <xf numFmtId="0" fontId="6" fillId="0" borderId="7" xfId="0" applyFont="1" applyBorder="1"/>
    <xf numFmtId="168" fontId="82" fillId="5" borderId="7" xfId="0" applyNumberFormat="1" applyFont="1" applyFill="1" applyBorder="1" applyAlignment="1">
      <alignment horizontal="right"/>
    </xf>
    <xf numFmtId="6" fontId="83" fillId="5" borderId="7" xfId="0" applyNumberFormat="1" applyFont="1" applyFill="1" applyBorder="1" applyAlignment="1">
      <alignment horizontal="right"/>
    </xf>
    <xf numFmtId="0" fontId="110" fillId="16" borderId="34" xfId="0" applyFont="1" applyFill="1" applyBorder="1" applyAlignment="1">
      <alignment horizontal="center" vertical="center" wrapText="1"/>
    </xf>
    <xf numFmtId="0" fontId="110" fillId="16" borderId="34" xfId="0" applyFont="1" applyFill="1" applyBorder="1" applyAlignment="1">
      <alignment horizontal="center" vertical="center"/>
    </xf>
    <xf numFmtId="166" fontId="77" fillId="4" borderId="7" xfId="1" applyNumberFormat="1" applyFont="1" applyFill="1" applyBorder="1" applyAlignment="1">
      <alignment horizontal="right"/>
    </xf>
    <xf numFmtId="165" fontId="80" fillId="0" borderId="7" xfId="0" applyNumberFormat="1" applyFont="1" applyBorder="1"/>
    <xf numFmtId="8" fontId="85" fillId="17" borderId="7" xfId="0" applyNumberFormat="1" applyFont="1" applyFill="1" applyBorder="1" applyAlignment="1">
      <alignment horizontal="center"/>
    </xf>
    <xf numFmtId="0" fontId="86" fillId="17" borderId="7" xfId="0" applyFont="1" applyFill="1" applyBorder="1"/>
    <xf numFmtId="8" fontId="85" fillId="17" borderId="7" xfId="0" applyNumberFormat="1" applyFont="1" applyFill="1" applyBorder="1" applyAlignment="1">
      <alignment horizontal="center" wrapText="1"/>
    </xf>
    <xf numFmtId="1" fontId="85" fillId="17" borderId="7" xfId="0" applyNumberFormat="1" applyFont="1" applyFill="1" applyBorder="1" applyAlignment="1">
      <alignment horizontal="center" wrapText="1"/>
    </xf>
    <xf numFmtId="8" fontId="75" fillId="17" borderId="7" xfId="0" applyNumberFormat="1" applyFont="1" applyFill="1" applyBorder="1" applyAlignment="1">
      <alignment horizontal="center" wrapText="1"/>
    </xf>
    <xf numFmtId="1" fontId="95" fillId="0" borderId="0" xfId="0" applyNumberFormat="1" applyFont="1" applyAlignment="1">
      <alignment horizontal="right"/>
    </xf>
    <xf numFmtId="1" fontId="96" fillId="0" borderId="0" xfId="0" applyNumberFormat="1" applyFont="1" applyAlignment="1">
      <alignment horizontal="right"/>
    </xf>
    <xf numFmtId="1" fontId="96" fillId="0" borderId="0" xfId="0" applyNumberFormat="1" applyFont="1" applyAlignment="1">
      <alignment horizontal="center"/>
    </xf>
    <xf numFmtId="1" fontId="78" fillId="4" borderId="7" xfId="0" applyNumberFormat="1" applyFont="1" applyFill="1" applyBorder="1" applyAlignment="1">
      <alignment horizontal="center"/>
    </xf>
    <xf numFmtId="8" fontId="101" fillId="4" borderId="0" xfId="0" applyNumberFormat="1" applyFont="1" applyFill="1"/>
    <xf numFmtId="1" fontId="96" fillId="4" borderId="0" xfId="0" applyNumberFormat="1" applyFont="1" applyFill="1" applyAlignment="1">
      <alignment horizontal="left"/>
    </xf>
    <xf numFmtId="6" fontId="78" fillId="0" borderId="0" xfId="0" applyNumberFormat="1" applyFont="1" applyAlignment="1">
      <alignment horizontal="right"/>
    </xf>
    <xf numFmtId="6" fontId="77" fillId="0" borderId="0" xfId="0" applyNumberFormat="1" applyFont="1" applyAlignment="1">
      <alignment horizontal="right"/>
    </xf>
    <xf numFmtId="0" fontId="104" fillId="17" borderId="7" xfId="0" applyFont="1" applyFill="1" applyBorder="1"/>
    <xf numFmtId="0" fontId="85" fillId="17" borderId="7" xfId="0" applyFont="1" applyFill="1" applyBorder="1" applyAlignment="1">
      <alignment horizontal="center" wrapText="1"/>
    </xf>
    <xf numFmtId="0" fontId="0" fillId="14" borderId="0" xfId="0" applyFill="1"/>
    <xf numFmtId="8" fontId="47" fillId="7" borderId="7" xfId="0" applyNumberFormat="1" applyFont="1" applyFill="1" applyBorder="1"/>
    <xf numFmtId="8" fontId="87" fillId="6" borderId="0" xfId="0" quotePrefix="1" applyNumberFormat="1" applyFont="1" applyFill="1" applyAlignment="1">
      <alignment vertical="center" wrapText="1"/>
    </xf>
    <xf numFmtId="8" fontId="80" fillId="6" borderId="7" xfId="0" applyNumberFormat="1" applyFont="1" applyFill="1" applyBorder="1" applyAlignment="1">
      <alignment horizontal="right"/>
    </xf>
    <xf numFmtId="8" fontId="78" fillId="6" borderId="7" xfId="0" applyNumberFormat="1" applyFont="1" applyFill="1" applyBorder="1" applyAlignment="1">
      <alignment horizontal="right"/>
    </xf>
    <xf numFmtId="0" fontId="114" fillId="14" borderId="0" xfId="0" applyFont="1" applyFill="1" applyAlignment="1">
      <alignment horizontal="center" vertical="center"/>
    </xf>
    <xf numFmtId="41" fontId="78" fillId="0" borderId="0" xfId="0" applyNumberFormat="1" applyFont="1" applyAlignment="1">
      <alignment horizontal="right"/>
    </xf>
    <xf numFmtId="41" fontId="77" fillId="4" borderId="0" xfId="0" applyNumberFormat="1" applyFont="1" applyFill="1" applyAlignment="1">
      <alignment horizontal="right"/>
    </xf>
    <xf numFmtId="41" fontId="77" fillId="0" borderId="7" xfId="0" applyNumberFormat="1" applyFont="1" applyBorder="1" applyAlignment="1">
      <alignment horizontal="right"/>
    </xf>
    <xf numFmtId="41" fontId="77" fillId="4" borderId="7" xfId="0" applyNumberFormat="1" applyFont="1" applyFill="1" applyBorder="1" applyAlignment="1">
      <alignment horizontal="right"/>
    </xf>
    <xf numFmtId="41" fontId="77" fillId="0" borderId="7" xfId="0" applyNumberFormat="1" applyFont="1" applyBorder="1"/>
    <xf numFmtId="41" fontId="77" fillId="0" borderId="0" xfId="0" applyNumberFormat="1" applyFont="1" applyAlignment="1">
      <alignment horizontal="right"/>
    </xf>
    <xf numFmtId="41" fontId="78" fillId="0" borderId="7" xfId="0" applyNumberFormat="1" applyFont="1" applyBorder="1" applyAlignment="1">
      <alignment horizontal="right"/>
    </xf>
    <xf numFmtId="41" fontId="78" fillId="4" borderId="7" xfId="0" applyNumberFormat="1" applyFont="1" applyFill="1" applyBorder="1" applyAlignment="1">
      <alignment horizontal="right"/>
    </xf>
    <xf numFmtId="41" fontId="78" fillId="0" borderId="0" xfId="0" applyNumberFormat="1" applyFont="1"/>
    <xf numFmtId="41" fontId="77" fillId="0" borderId="0" xfId="0" applyNumberFormat="1" applyFont="1"/>
    <xf numFmtId="41" fontId="78" fillId="2" borderId="7" xfId="0" applyNumberFormat="1" applyFont="1" applyFill="1" applyBorder="1"/>
    <xf numFmtId="41" fontId="77" fillId="2" borderId="7" xfId="0" applyNumberFormat="1" applyFont="1" applyFill="1" applyBorder="1"/>
    <xf numFmtId="41" fontId="78" fillId="6" borderId="0" xfId="0" applyNumberFormat="1" applyFont="1" applyFill="1" applyAlignment="1">
      <alignment horizontal="left"/>
    </xf>
    <xf numFmtId="41" fontId="77" fillId="4" borderId="0" xfId="0" applyNumberFormat="1" applyFont="1" applyFill="1"/>
    <xf numFmtId="41" fontId="77" fillId="6" borderId="0" xfId="0" applyNumberFormat="1" applyFont="1" applyFill="1"/>
    <xf numFmtId="41" fontId="78" fillId="0" borderId="7" xfId="0" applyNumberFormat="1" applyFont="1" applyBorder="1" applyAlignment="1">
      <alignment horizontal="left"/>
    </xf>
    <xf numFmtId="41" fontId="78" fillId="0" borderId="0" xfId="0" applyNumberFormat="1" applyFont="1" applyAlignment="1">
      <alignment horizontal="left"/>
    </xf>
    <xf numFmtId="41" fontId="77" fillId="4" borderId="0" xfId="0" applyNumberFormat="1" applyFont="1" applyFill="1" applyAlignment="1">
      <alignment horizontal="left"/>
    </xf>
    <xf numFmtId="41" fontId="77" fillId="0" borderId="7" xfId="0" applyNumberFormat="1" applyFont="1" applyBorder="1" applyAlignment="1">
      <alignment horizontal="left"/>
    </xf>
    <xf numFmtId="41" fontId="78" fillId="4" borderId="0" xfId="0" applyNumberFormat="1" applyFont="1" applyFill="1" applyAlignment="1">
      <alignment horizontal="left"/>
    </xf>
    <xf numFmtId="41" fontId="77" fillId="0" borderId="0" xfId="0" applyNumberFormat="1" applyFont="1" applyAlignment="1">
      <alignment horizontal="left"/>
    </xf>
    <xf numFmtId="41" fontId="78" fillId="0" borderId="7" xfId="0" applyNumberFormat="1" applyFont="1" applyBorder="1"/>
    <xf numFmtId="41" fontId="78" fillId="4" borderId="0" xfId="0" applyNumberFormat="1" applyFont="1" applyFill="1" applyAlignment="1">
      <alignment horizontal="right"/>
    </xf>
    <xf numFmtId="41" fontId="77" fillId="6" borderId="7" xfId="0" applyNumberFormat="1" applyFont="1" applyFill="1" applyBorder="1" applyAlignment="1">
      <alignment horizontal="right"/>
    </xf>
    <xf numFmtId="41" fontId="77" fillId="6" borderId="7" xfId="0" applyNumberFormat="1" applyFont="1" applyFill="1" applyBorder="1" applyAlignment="1">
      <alignment horizontal="left"/>
    </xf>
    <xf numFmtId="41" fontId="77" fillId="5" borderId="7" xfId="0" applyNumberFormat="1" applyFont="1" applyFill="1" applyBorder="1"/>
    <xf numFmtId="41" fontId="78" fillId="5" borderId="7" xfId="0" applyNumberFormat="1" applyFont="1" applyFill="1" applyBorder="1"/>
    <xf numFmtId="41" fontId="77" fillId="5" borderId="7" xfId="0" applyNumberFormat="1" applyFont="1" applyFill="1" applyBorder="1" applyAlignment="1">
      <alignment horizontal="right"/>
    </xf>
    <xf numFmtId="41" fontId="78" fillId="4" borderId="7" xfId="0" applyNumberFormat="1" applyFont="1" applyFill="1" applyBorder="1" applyAlignment="1">
      <alignment horizontal="left"/>
    </xf>
    <xf numFmtId="41" fontId="77" fillId="4" borderId="7" xfId="0" applyNumberFormat="1" applyFont="1" applyFill="1" applyBorder="1"/>
    <xf numFmtId="41" fontId="77" fillId="0" borderId="0" xfId="0" applyNumberFormat="1" applyFont="1" applyAlignment="1">
      <alignment horizontal="center"/>
    </xf>
    <xf numFmtId="41" fontId="78" fillId="4" borderId="7" xfId="0" applyNumberFormat="1" applyFont="1" applyFill="1" applyBorder="1" applyAlignment="1">
      <alignment horizontal="center"/>
    </xf>
    <xf numFmtId="41" fontId="78" fillId="0" borderId="0" xfId="0" applyNumberFormat="1" applyFont="1" applyAlignment="1">
      <alignment horizontal="center"/>
    </xf>
    <xf numFmtId="41" fontId="78" fillId="0" borderId="7" xfId="0" applyNumberFormat="1" applyFont="1" applyBorder="1" applyAlignment="1">
      <alignment horizontal="center"/>
    </xf>
    <xf numFmtId="41" fontId="77" fillId="4" borderId="0" xfId="0" applyNumberFormat="1" applyFont="1" applyFill="1" applyAlignment="1">
      <alignment horizontal="center"/>
    </xf>
    <xf numFmtId="41" fontId="83" fillId="0" borderId="0" xfId="0" applyNumberFormat="1" applyFont="1" applyAlignment="1">
      <alignment horizontal="right"/>
    </xf>
    <xf numFmtId="41" fontId="83" fillId="0" borderId="0" xfId="0" applyNumberFormat="1" applyFont="1" applyAlignment="1">
      <alignment horizontal="center"/>
    </xf>
    <xf numFmtId="41" fontId="77" fillId="4" borderId="7" xfId="0" applyNumberFormat="1" applyFont="1" applyFill="1" applyBorder="1" applyAlignment="1">
      <alignment horizontal="center"/>
    </xf>
    <xf numFmtId="41" fontId="77" fillId="6" borderId="7" xfId="0" applyNumberFormat="1" applyFont="1" applyFill="1" applyBorder="1"/>
    <xf numFmtId="41" fontId="78" fillId="4" borderId="0" xfId="0" applyNumberFormat="1" applyFont="1" applyFill="1"/>
    <xf numFmtId="41" fontId="78" fillId="6" borderId="7" xfId="0" applyNumberFormat="1" applyFont="1" applyFill="1" applyBorder="1" applyAlignment="1">
      <alignment horizontal="right" wrapText="1"/>
    </xf>
    <xf numFmtId="41" fontId="78" fillId="6" borderId="7" xfId="0" applyNumberFormat="1" applyFont="1" applyFill="1" applyBorder="1" applyAlignment="1">
      <alignment horizontal="right"/>
    </xf>
    <xf numFmtId="41" fontId="77" fillId="2" borderId="7" xfId="0" applyNumberFormat="1" applyFont="1" applyFill="1" applyBorder="1" applyAlignment="1">
      <alignment horizontal="left"/>
    </xf>
    <xf numFmtId="41" fontId="77" fillId="2" borderId="7" xfId="0" applyNumberFormat="1" applyFont="1" applyFill="1" applyBorder="1" applyAlignment="1">
      <alignment horizontal="right"/>
    </xf>
    <xf numFmtId="41" fontId="77" fillId="5" borderId="7" xfId="0" applyNumberFormat="1" applyFont="1" applyFill="1" applyBorder="1" applyAlignment="1">
      <alignment horizontal="left"/>
    </xf>
    <xf numFmtId="41" fontId="78" fillId="2" borderId="7" xfId="0" applyNumberFormat="1" applyFont="1" applyFill="1" applyBorder="1" applyAlignment="1">
      <alignment horizontal="left"/>
    </xf>
    <xf numFmtId="41" fontId="78" fillId="2" borderId="7" xfId="0" applyNumberFormat="1" applyFont="1" applyFill="1" applyBorder="1" applyAlignment="1">
      <alignment horizontal="right"/>
    </xf>
    <xf numFmtId="41" fontId="83" fillId="0" borderId="7" xfId="0" applyNumberFormat="1" applyFont="1" applyBorder="1" applyAlignment="1">
      <alignment horizontal="left"/>
    </xf>
    <xf numFmtId="41" fontId="78" fillId="6" borderId="7" xfId="0" applyNumberFormat="1" applyFont="1" applyFill="1" applyBorder="1"/>
    <xf numFmtId="6" fontId="17" fillId="0" borderId="16" xfId="0" applyNumberFormat="1" applyFont="1" applyBorder="1"/>
    <xf numFmtId="8" fontId="93" fillId="4" borderId="7" xfId="0" applyNumberFormat="1" applyFont="1" applyFill="1" applyBorder="1" applyAlignment="1">
      <alignment wrapText="1"/>
    </xf>
    <xf numFmtId="9" fontId="0" fillId="0" borderId="0" xfId="2" applyNumberFormat="1" applyFont="1"/>
    <xf numFmtId="41" fontId="78" fillId="0" borderId="0" xfId="0" applyNumberFormat="1" applyFont="1" applyAlignment="1">
      <alignment horizontal="right" wrapText="1"/>
    </xf>
    <xf numFmtId="0" fontId="47" fillId="0" borderId="0" xfId="0" applyFont="1" applyAlignment="1">
      <alignment wrapText="1"/>
    </xf>
    <xf numFmtId="41" fontId="77" fillId="6" borderId="0" xfId="0" applyNumberFormat="1" applyFont="1" applyFill="1" applyAlignment="1">
      <alignment horizontal="right"/>
    </xf>
    <xf numFmtId="0" fontId="93" fillId="20" borderId="0" xfId="0" applyFont="1" applyFill="1"/>
    <xf numFmtId="8" fontId="93" fillId="6" borderId="7" xfId="0" applyNumberFormat="1" applyFont="1" applyFill="1" applyBorder="1" applyAlignment="1">
      <alignment wrapText="1"/>
    </xf>
    <xf numFmtId="165" fontId="17" fillId="0" borderId="7" xfId="0" applyNumberFormat="1" applyFont="1" applyBorder="1" applyAlignment="1">
      <alignment horizontal="right"/>
    </xf>
    <xf numFmtId="166" fontId="6" fillId="0" borderId="7" xfId="0" applyNumberFormat="1" applyFont="1" applyBorder="1"/>
    <xf numFmtId="0" fontId="47" fillId="6" borderId="7" xfId="0" applyFont="1" applyFill="1" applyBorder="1"/>
    <xf numFmtId="167" fontId="77" fillId="6" borderId="7" xfId="0" applyNumberFormat="1" applyFont="1" applyFill="1" applyBorder="1" applyAlignment="1">
      <alignment horizontal="left"/>
    </xf>
    <xf numFmtId="167" fontId="77" fillId="6" borderId="7" xfId="0" applyNumberFormat="1" applyFont="1" applyFill="1" applyBorder="1" applyAlignment="1">
      <alignment horizontal="center"/>
    </xf>
    <xf numFmtId="6" fontId="79" fillId="6" borderId="7" xfId="0" applyNumberFormat="1" applyFont="1" applyFill="1" applyBorder="1"/>
    <xf numFmtId="6" fontId="80" fillId="6" borderId="7" xfId="0" applyNumberFormat="1" applyFont="1" applyFill="1" applyBorder="1" applyAlignment="1">
      <alignment horizontal="right"/>
    </xf>
    <xf numFmtId="6" fontId="77" fillId="6" borderId="7" xfId="0" applyNumberFormat="1" applyFont="1" applyFill="1" applyBorder="1" applyAlignment="1">
      <alignment horizontal="right"/>
    </xf>
    <xf numFmtId="167" fontId="77" fillId="6" borderId="7" xfId="0" applyNumberFormat="1" applyFont="1" applyFill="1" applyBorder="1"/>
    <xf numFmtId="6" fontId="79" fillId="6" borderId="0" xfId="0" applyNumberFormat="1" applyFont="1" applyFill="1"/>
    <xf numFmtId="6" fontId="80" fillId="6" borderId="7" xfId="0" applyNumberFormat="1" applyFont="1" applyFill="1" applyBorder="1"/>
    <xf numFmtId="6" fontId="77" fillId="6" borderId="7" xfId="0" applyNumberFormat="1" applyFont="1" applyFill="1" applyBorder="1"/>
    <xf numFmtId="0" fontId="47" fillId="6" borderId="7" xfId="0" applyFont="1" applyFill="1" applyBorder="1" applyAlignment="1">
      <alignment wrapText="1"/>
    </xf>
    <xf numFmtId="167" fontId="78" fillId="6" borderId="7" xfId="0" applyNumberFormat="1" applyFont="1" applyFill="1" applyBorder="1"/>
    <xf numFmtId="167" fontId="78" fillId="6" borderId="7" xfId="0" applyNumberFormat="1" applyFont="1" applyFill="1" applyBorder="1" applyAlignment="1">
      <alignment horizontal="center"/>
    </xf>
    <xf numFmtId="6" fontId="83" fillId="0" borderId="40" xfId="0" applyNumberFormat="1" applyFont="1" applyBorder="1"/>
    <xf numFmtId="0" fontId="93" fillId="0" borderId="0" xfId="0" applyFont="1"/>
    <xf numFmtId="8" fontId="93" fillId="0" borderId="7" xfId="0" applyNumberFormat="1" applyFont="1" applyBorder="1"/>
    <xf numFmtId="8" fontId="14" fillId="6" borderId="0" xfId="0" applyNumberFormat="1" applyFont="1" applyFill="1" applyAlignment="1">
      <alignment vertical="center" wrapText="1"/>
    </xf>
    <xf numFmtId="166" fontId="77" fillId="6" borderId="0" xfId="0" applyNumberFormat="1" applyFont="1" applyFill="1" applyAlignment="1">
      <alignment wrapText="1"/>
    </xf>
    <xf numFmtId="1" fontId="77" fillId="6" borderId="0" xfId="0" applyNumberFormat="1" applyFont="1" applyFill="1" applyAlignment="1">
      <alignment horizontal="right" wrapText="1"/>
    </xf>
    <xf numFmtId="1" fontId="77" fillId="6" borderId="0" xfId="0" applyNumberFormat="1" applyFont="1" applyFill="1" applyAlignment="1">
      <alignment wrapText="1"/>
    </xf>
    <xf numFmtId="8" fontId="77" fillId="6" borderId="0" xfId="0" applyNumberFormat="1" applyFont="1" applyFill="1" applyAlignment="1">
      <alignment horizontal="right" wrapText="1"/>
    </xf>
    <xf numFmtId="8" fontId="78" fillId="6" borderId="0" xfId="0" applyNumberFormat="1" applyFont="1" applyFill="1" applyAlignment="1">
      <alignment wrapText="1"/>
    </xf>
    <xf numFmtId="8" fontId="77" fillId="6" borderId="0" xfId="0" applyNumberFormat="1" applyFont="1" applyFill="1" applyAlignment="1">
      <alignment wrapText="1"/>
    </xf>
    <xf numFmtId="8" fontId="14" fillId="6" borderId="0" xfId="0" applyNumberFormat="1" applyFont="1" applyFill="1" applyAlignment="1">
      <alignment vertical="center"/>
    </xf>
    <xf numFmtId="0" fontId="78" fillId="6" borderId="0" xfId="0" applyFont="1" applyFill="1" applyAlignment="1">
      <alignment wrapText="1"/>
    </xf>
    <xf numFmtId="1" fontId="78" fillId="6" borderId="0" xfId="0" applyNumberFormat="1" applyFont="1" applyFill="1"/>
    <xf numFmtId="3" fontId="78" fillId="6" borderId="0" xfId="0" applyNumberFormat="1" applyFont="1" applyFill="1"/>
    <xf numFmtId="1" fontId="83" fillId="6" borderId="7" xfId="0" applyNumberFormat="1" applyFont="1" applyFill="1" applyBorder="1" applyAlignment="1">
      <alignment horizontal="left"/>
    </xf>
    <xf numFmtId="1" fontId="78" fillId="6" borderId="7" xfId="0" applyNumberFormat="1" applyFont="1" applyFill="1" applyBorder="1" applyAlignment="1">
      <alignment horizontal="left"/>
    </xf>
    <xf numFmtId="8" fontId="47" fillId="0" borderId="7" xfId="0" applyNumberFormat="1" applyFont="1" applyBorder="1" applyAlignment="1">
      <alignment wrapText="1"/>
    </xf>
    <xf numFmtId="8" fontId="20" fillId="0" borderId="7" xfId="0" applyNumberFormat="1" applyFont="1" applyBorder="1"/>
    <xf numFmtId="1" fontId="83" fillId="4" borderId="7" xfId="0" applyNumberFormat="1" applyFont="1" applyFill="1" applyBorder="1" applyAlignment="1">
      <alignment horizontal="right"/>
    </xf>
    <xf numFmtId="167" fontId="83" fillId="4" borderId="7" xfId="0" applyNumberFormat="1" applyFont="1" applyFill="1" applyBorder="1" applyAlignment="1">
      <alignment horizontal="right"/>
    </xf>
    <xf numFmtId="0" fontId="116" fillId="0" borderId="0" xfId="0" applyFont="1"/>
    <xf numFmtId="0" fontId="113" fillId="0" borderId="0" xfId="0" applyFont="1"/>
    <xf numFmtId="0" fontId="118" fillId="0" borderId="0" xfId="0" applyFont="1"/>
    <xf numFmtId="0" fontId="119" fillId="0" borderId="0" xfId="0" applyFont="1"/>
    <xf numFmtId="0" fontId="120" fillId="0" borderId="0" xfId="0" applyFont="1"/>
    <xf numFmtId="10" fontId="80" fillId="4" borderId="7" xfId="0" applyNumberFormat="1" applyFont="1" applyFill="1" applyBorder="1"/>
    <xf numFmtId="165" fontId="77" fillId="2" borderId="4" xfId="0" applyNumberFormat="1" applyFont="1" applyFill="1" applyBorder="1"/>
    <xf numFmtId="165" fontId="78" fillId="2" borderId="4" xfId="0" applyNumberFormat="1" applyFont="1" applyFill="1" applyBorder="1"/>
    <xf numFmtId="0" fontId="78" fillId="0" borderId="14" xfId="0" applyFont="1" applyBorder="1"/>
    <xf numFmtId="165" fontId="78" fillId="0" borderId="14" xfId="0" applyNumberFormat="1" applyFont="1" applyBorder="1"/>
    <xf numFmtId="10" fontId="80" fillId="0" borderId="14" xfId="0" applyNumberFormat="1" applyFont="1" applyBorder="1"/>
    <xf numFmtId="0" fontId="78" fillId="4" borderId="14" xfId="0" applyFont="1" applyFill="1" applyBorder="1"/>
    <xf numFmtId="165" fontId="77" fillId="4" borderId="14" xfId="0" applyNumberFormat="1" applyFont="1" applyFill="1" applyBorder="1"/>
    <xf numFmtId="165" fontId="78" fillId="4" borderId="14" xfId="0" applyNumberFormat="1" applyFont="1" applyFill="1" applyBorder="1"/>
    <xf numFmtId="10" fontId="80" fillId="4" borderId="14" xfId="0" applyNumberFormat="1" applyFont="1" applyFill="1" applyBorder="1"/>
    <xf numFmtId="165" fontId="77" fillId="0" borderId="14" xfId="0" applyNumberFormat="1" applyFont="1" applyBorder="1"/>
    <xf numFmtId="165" fontId="77" fillId="2" borderId="14" xfId="0" applyNumberFormat="1" applyFont="1" applyFill="1" applyBorder="1"/>
    <xf numFmtId="0" fontId="78" fillId="2" borderId="14" xfId="0" applyFont="1" applyFill="1" applyBorder="1"/>
    <xf numFmtId="165" fontId="78" fillId="2" borderId="14" xfId="0" applyNumberFormat="1" applyFont="1" applyFill="1" applyBorder="1"/>
    <xf numFmtId="0" fontId="78" fillId="5" borderId="14" xfId="0" applyFont="1" applyFill="1" applyBorder="1"/>
    <xf numFmtId="165" fontId="77" fillId="5" borderId="14" xfId="0" applyNumberFormat="1" applyFont="1" applyFill="1" applyBorder="1"/>
    <xf numFmtId="165" fontId="78" fillId="5" borderId="14" xfId="0" applyNumberFormat="1" applyFont="1" applyFill="1" applyBorder="1"/>
    <xf numFmtId="0" fontId="85" fillId="17" borderId="14" xfId="0" applyFont="1" applyFill="1" applyBorder="1" applyAlignment="1">
      <alignment horizontal="center"/>
    </xf>
    <xf numFmtId="44" fontId="85" fillId="17" borderId="14" xfId="0" applyNumberFormat="1" applyFont="1" applyFill="1" applyBorder="1" applyAlignment="1">
      <alignment horizontal="center" wrapText="1"/>
    </xf>
    <xf numFmtId="164" fontId="85" fillId="17" borderId="14" xfId="0" applyNumberFormat="1" applyFont="1" applyFill="1" applyBorder="1" applyAlignment="1">
      <alignment horizontal="center"/>
    </xf>
    <xf numFmtId="8" fontId="43" fillId="0" borderId="0" xfId="0" applyNumberFormat="1" applyFont="1" applyAlignment="1">
      <alignment horizontal="left" wrapText="1"/>
    </xf>
    <xf numFmtId="8" fontId="78" fillId="0" borderId="0" xfId="0" applyNumberFormat="1" applyFont="1" applyAlignment="1">
      <alignment horizontal="left"/>
    </xf>
    <xf numFmtId="8" fontId="43" fillId="4" borderId="7" xfId="0" applyNumberFormat="1" applyFont="1" applyFill="1" applyBorder="1"/>
    <xf numFmtId="8" fontId="14" fillId="5" borderId="7" xfId="0" applyNumberFormat="1" applyFont="1" applyFill="1" applyBorder="1"/>
    <xf numFmtId="8" fontId="117" fillId="0" borderId="7" xfId="0" applyNumberFormat="1" applyFont="1" applyBorder="1" applyAlignment="1">
      <alignment wrapText="1"/>
    </xf>
    <xf numFmtId="3" fontId="78" fillId="0" borderId="7" xfId="0" applyNumberFormat="1" applyFont="1" applyBorder="1" applyAlignment="1">
      <alignment horizontal="right"/>
    </xf>
    <xf numFmtId="8" fontId="83" fillId="0" borderId="7" xfId="0" applyNumberFormat="1" applyFont="1" applyBorder="1"/>
    <xf numFmtId="8" fontId="14" fillId="0" borderId="0" xfId="0" applyNumberFormat="1" applyFont="1" applyAlignment="1">
      <alignment horizontal="left" wrapText="1"/>
    </xf>
    <xf numFmtId="8" fontId="78" fillId="0" borderId="7" xfId="0" applyNumberFormat="1" applyFont="1" applyBorder="1" applyAlignment="1">
      <alignment horizontal="left" wrapText="1"/>
    </xf>
    <xf numFmtId="8" fontId="87" fillId="4" borderId="0" xfId="0" quotePrefix="1" applyNumberFormat="1" applyFont="1" applyFill="1" applyAlignment="1">
      <alignment vertical="center" wrapText="1"/>
    </xf>
    <xf numFmtId="8" fontId="33" fillId="4" borderId="7" xfId="0" applyNumberFormat="1" applyFont="1" applyFill="1" applyBorder="1"/>
    <xf numFmtId="8" fontId="76" fillId="4" borderId="7" xfId="0" applyNumberFormat="1" applyFont="1" applyFill="1" applyBorder="1"/>
    <xf numFmtId="0" fontId="1" fillId="21" borderId="41" xfId="0" applyFont="1" applyFill="1" applyBorder="1"/>
    <xf numFmtId="0" fontId="1" fillId="21" borderId="42" xfId="0" applyFont="1" applyFill="1" applyBorder="1"/>
    <xf numFmtId="0" fontId="1" fillId="21" borderId="43" xfId="0" applyFont="1" applyFill="1" applyBorder="1"/>
    <xf numFmtId="0" fontId="0" fillId="0" borderId="41" xfId="0" applyBorder="1"/>
    <xf numFmtId="168" fontId="0" fillId="0" borderId="42" xfId="0" applyNumberFormat="1" applyBorder="1"/>
    <xf numFmtId="10" fontId="0" fillId="0" borderId="43" xfId="0" applyNumberFormat="1" applyBorder="1"/>
    <xf numFmtId="0" fontId="0" fillId="2" borderId="41" xfId="0" applyFill="1" applyBorder="1"/>
    <xf numFmtId="168" fontId="0" fillId="2" borderId="42" xfId="0" applyNumberFormat="1" applyFill="1" applyBorder="1"/>
    <xf numFmtId="10" fontId="0" fillId="2" borderId="43" xfId="0" applyNumberFormat="1" applyFill="1" applyBorder="1"/>
    <xf numFmtId="164" fontId="0" fillId="2" borderId="43" xfId="0" applyNumberFormat="1" applyFill="1" applyBorder="1"/>
    <xf numFmtId="44" fontId="0" fillId="0" borderId="0" xfId="0" applyNumberFormat="1" applyAlignment="1">
      <alignment vertical="center" wrapText="1"/>
    </xf>
    <xf numFmtId="0" fontId="123" fillId="0" borderId="7" xfId="9"/>
    <xf numFmtId="49" fontId="42" fillId="0" borderId="0" xfId="0" applyNumberFormat="1" applyFont="1"/>
    <xf numFmtId="6" fontId="78" fillId="4" borderId="0" xfId="0" applyNumberFormat="1" applyFont="1" applyFill="1" applyAlignment="1">
      <alignment horizontal="right"/>
    </xf>
    <xf numFmtId="6" fontId="90" fillId="2" borderId="11" xfId="0" applyNumberFormat="1" applyFont="1" applyFill="1" applyBorder="1"/>
    <xf numFmtId="6" fontId="90" fillId="0" borderId="16" xfId="0" applyNumberFormat="1" applyFont="1" applyBorder="1"/>
    <xf numFmtId="6" fontId="77" fillId="4" borderId="13" xfId="0" applyNumberFormat="1" applyFont="1" applyFill="1" applyBorder="1"/>
    <xf numFmtId="39" fontId="0" fillId="0" borderId="0" xfId="0" applyNumberFormat="1"/>
    <xf numFmtId="0" fontId="53" fillId="0" borderId="0" xfId="0" applyFont="1" applyAlignment="1">
      <alignment horizontal="center"/>
    </xf>
    <xf numFmtId="0" fontId="6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/>
    <xf numFmtId="0" fontId="53" fillId="0" borderId="28" xfId="0" applyFont="1" applyBorder="1" applyAlignment="1">
      <alignment horizontal="center"/>
    </xf>
    <xf numFmtId="0" fontId="0" fillId="0" borderId="0" xfId="0" applyAlignment="1">
      <alignment horizontal="center"/>
    </xf>
    <xf numFmtId="8" fontId="7" fillId="11" borderId="7" xfId="0" applyNumberFormat="1" applyFont="1" applyFill="1" applyBorder="1" applyAlignment="1">
      <alignment horizontal="left" wrapText="1"/>
    </xf>
    <xf numFmtId="0" fontId="3" fillId="12" borderId="7" xfId="0" applyFont="1" applyFill="1" applyBorder="1"/>
    <xf numFmtId="8" fontId="7" fillId="11" borderId="7" xfId="0" applyNumberFormat="1" applyFont="1" applyFill="1" applyBorder="1" applyAlignment="1">
      <alignment horizontal="left"/>
    </xf>
    <xf numFmtId="0" fontId="53" fillId="0" borderId="7" xfId="0" applyFont="1" applyBorder="1" applyAlignment="1">
      <alignment horizontal="center" wrapText="1"/>
    </xf>
    <xf numFmtId="8" fontId="7" fillId="18" borderId="7" xfId="0" applyNumberFormat="1" applyFont="1" applyFill="1" applyBorder="1" applyAlignment="1">
      <alignment horizontal="left" wrapText="1"/>
    </xf>
    <xf numFmtId="0" fontId="3" fillId="19" borderId="7" xfId="0" applyFont="1" applyFill="1" applyBorder="1"/>
    <xf numFmtId="8" fontId="7" fillId="18" borderId="7" xfId="0" applyNumberFormat="1" applyFont="1" applyFill="1" applyBorder="1" applyAlignment="1">
      <alignment horizontal="left"/>
    </xf>
    <xf numFmtId="0" fontId="53" fillId="0" borderId="7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4" fillId="0" borderId="0" xfId="0" applyFont="1" applyAlignment="1">
      <alignment horizontal="center"/>
    </xf>
    <xf numFmtId="0" fontId="62" fillId="0" borderId="0" xfId="0" applyFont="1" applyAlignment="1">
      <alignment horizontal="center"/>
    </xf>
    <xf numFmtId="0" fontId="123" fillId="0" borderId="7" xfId="9"/>
    <xf numFmtId="49" fontId="38" fillId="0" borderId="0" xfId="0" applyNumberFormat="1" applyFont="1" applyAlignment="1">
      <alignment horizontal="center"/>
    </xf>
    <xf numFmtId="165" fontId="83" fillId="5" borderId="4" xfId="0" applyNumberFormat="1" applyFont="1" applyFill="1" applyBorder="1"/>
    <xf numFmtId="0" fontId="0" fillId="0" borderId="0" xfId="0" applyFill="1"/>
    <xf numFmtId="0" fontId="0" fillId="0" borderId="0" xfId="0" applyFill="1" applyAlignment="1">
      <alignment horizontal="left"/>
    </xf>
    <xf numFmtId="168" fontId="0" fillId="0" borderId="0" xfId="0" applyNumberFormat="1" applyFill="1" applyAlignment="1">
      <alignment horizontal="left"/>
    </xf>
    <xf numFmtId="0" fontId="112" fillId="0" borderId="0" xfId="0" applyFont="1" applyFill="1" applyAlignment="1">
      <alignment horizontal="left"/>
    </xf>
    <xf numFmtId="0" fontId="42" fillId="0" borderId="0" xfId="0" applyFont="1" applyFill="1"/>
    <xf numFmtId="6" fontId="0" fillId="0" borderId="0" xfId="0" applyNumberFormat="1" applyFill="1"/>
    <xf numFmtId="0" fontId="3" fillId="0" borderId="0" xfId="0" applyFont="1" applyFill="1"/>
    <xf numFmtId="0" fontId="0" fillId="0" borderId="7" xfId="0" applyFill="1" applyBorder="1"/>
    <xf numFmtId="168" fontId="57" fillId="0" borderId="0" xfId="0" applyNumberFormat="1" applyFont="1" applyFill="1" applyAlignment="1">
      <alignment horizontal="left"/>
    </xf>
    <xf numFmtId="8" fontId="0" fillId="0" borderId="0" xfId="0" applyNumberFormat="1" applyFill="1"/>
    <xf numFmtId="8" fontId="25" fillId="0" borderId="0" xfId="0" applyNumberFormat="1" applyFont="1" applyFill="1" applyAlignment="1">
      <alignment wrapText="1"/>
    </xf>
    <xf numFmtId="0" fontId="8" fillId="0" borderId="0" xfId="0" applyFont="1" applyFill="1" applyAlignment="1">
      <alignment horizontal="left"/>
    </xf>
    <xf numFmtId="0" fontId="57" fillId="0" borderId="0" xfId="0" applyFont="1" applyFill="1"/>
    <xf numFmtId="0" fontId="42" fillId="0" borderId="0" xfId="0" applyFont="1" applyFill="1" applyAlignment="1">
      <alignment horizontal="left"/>
    </xf>
    <xf numFmtId="168" fontId="2" fillId="0" borderId="0" xfId="0" applyNumberFormat="1" applyFont="1" applyFill="1" applyAlignment="1">
      <alignment horizontal="left"/>
    </xf>
    <xf numFmtId="166" fontId="3" fillId="0" borderId="0" xfId="0" applyNumberFormat="1" applyFont="1" applyFill="1" applyAlignment="1">
      <alignment horizontal="left"/>
    </xf>
    <xf numFmtId="166" fontId="0" fillId="0" borderId="0" xfId="0" applyNumberFormat="1" applyFill="1" applyAlignment="1">
      <alignment horizontal="left"/>
    </xf>
    <xf numFmtId="168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2" fillId="0" borderId="0" xfId="0" applyFont="1" applyFill="1"/>
    <xf numFmtId="168" fontId="42" fillId="0" borderId="0" xfId="0" applyNumberFormat="1" applyFont="1" applyFill="1" applyAlignment="1">
      <alignment horizontal="left"/>
    </xf>
    <xf numFmtId="0" fontId="24" fillId="0" borderId="0" xfId="0" applyFont="1" applyFill="1"/>
    <xf numFmtId="0" fontId="0" fillId="0" borderId="7" xfId="0" applyFill="1" applyBorder="1" applyAlignment="1">
      <alignment horizontal="left"/>
    </xf>
    <xf numFmtId="0" fontId="37" fillId="0" borderId="0" xfId="0" applyFont="1" applyFill="1"/>
    <xf numFmtId="8" fontId="0" fillId="0" borderId="0" xfId="0" applyNumberFormat="1" applyFill="1" applyAlignment="1">
      <alignment horizontal="left"/>
    </xf>
    <xf numFmtId="168" fontId="0" fillId="0" borderId="7" xfId="0" applyNumberFormat="1" applyFill="1" applyBorder="1"/>
    <xf numFmtId="168" fontId="3" fillId="0" borderId="0" xfId="0" applyNumberFormat="1" applyFont="1" applyFill="1" applyAlignment="1">
      <alignment horizontal="left" vertical="top"/>
    </xf>
    <xf numFmtId="0" fontId="121" fillId="0" borderId="0" xfId="0" applyFont="1" applyFill="1" applyAlignment="1">
      <alignment horizontal="left"/>
    </xf>
    <xf numFmtId="0" fontId="74" fillId="0" borderId="0" xfId="8" applyFill="1" applyAlignment="1">
      <alignment horizontal="left" vertical="top" wrapText="1"/>
    </xf>
    <xf numFmtId="0" fontId="28" fillId="0" borderId="0" xfId="0" applyFont="1" applyFill="1"/>
    <xf numFmtId="8" fontId="29" fillId="0" borderId="0" xfId="0" applyNumberFormat="1" applyFont="1" applyFill="1" applyAlignment="1">
      <alignment horizontal="left" wrapText="1"/>
    </xf>
    <xf numFmtId="8" fontId="3" fillId="0" borderId="0" xfId="0" applyNumberFormat="1" applyFont="1" applyFill="1" applyAlignment="1">
      <alignment vertical="top"/>
    </xf>
    <xf numFmtId="0" fontId="16" fillId="0" borderId="0" xfId="0" applyFont="1" applyFill="1" applyAlignment="1">
      <alignment horizontal="left"/>
    </xf>
    <xf numFmtId="0" fontId="42" fillId="0" borderId="0" xfId="0" applyFont="1" applyFill="1" applyAlignment="1">
      <alignment wrapText="1"/>
    </xf>
    <xf numFmtId="168" fontId="0" fillId="0" borderId="0" xfId="0" applyNumberFormat="1" applyFill="1"/>
    <xf numFmtId="168" fontId="42" fillId="0" borderId="0" xfId="0" applyNumberFormat="1" applyFont="1" applyFill="1"/>
    <xf numFmtId="168" fontId="10" fillId="0" borderId="0" xfId="0" applyNumberFormat="1" applyFont="1" applyFill="1" applyAlignment="1">
      <alignment horizontal="left"/>
    </xf>
    <xf numFmtId="168" fontId="10" fillId="0" borderId="0" xfId="0" applyNumberFormat="1" applyFont="1" applyFill="1" applyAlignment="1">
      <alignment horizontal="left" vertical="top"/>
    </xf>
    <xf numFmtId="168" fontId="0" fillId="0" borderId="0" xfId="0" applyNumberFormat="1" applyFill="1" applyAlignment="1">
      <alignment horizontal="left"/>
    </xf>
    <xf numFmtId="0" fontId="0" fillId="0" borderId="0" xfId="0" applyFill="1"/>
  </cellXfs>
  <cellStyles count="10">
    <cellStyle name="Comma" xfId="1" builtinId="3"/>
    <cellStyle name="Currency" xfId="2" builtinId="4"/>
    <cellStyle name="Currency 2" xfId="5" xr:uid="{6248BE3C-122E-48A7-BADD-F769C4CD68D0}"/>
    <cellStyle name="Hyperlink" xfId="8" builtinId="8"/>
    <cellStyle name="Normal" xfId="0" builtinId="0"/>
    <cellStyle name="Normal 2" xfId="6" xr:uid="{492FF7F5-37A4-4B16-BCBA-1B04F4C6A560}"/>
    <cellStyle name="Normal 3" xfId="4" xr:uid="{7AF0FECC-0CC2-4D6D-A2D7-425ABF74EFE7}"/>
    <cellStyle name="Normal 4" xfId="7" xr:uid="{2815A886-AE64-40EB-B0C2-0561FD044760}"/>
    <cellStyle name="Normal 5" xfId="9" xr:uid="{8BD3BCF6-D775-4A10-97B3-51DC2C609BBC}"/>
    <cellStyle name="Percent" xfId="3" builtinId="5"/>
  </cellStyles>
  <dxfs count="195">
    <dxf>
      <font>
        <color rgb="FF008000"/>
      </font>
    </dxf>
    <dxf>
      <font>
        <color rgb="FFFF0000"/>
      </font>
    </dxf>
    <dxf>
      <font>
        <color theme="1"/>
      </font>
    </dxf>
    <dxf>
      <font>
        <color rgb="FF00800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color rgb="FF00B050"/>
      </font>
    </dxf>
    <dxf>
      <font>
        <b/>
        <i val="0"/>
        <color rgb="FF00B050"/>
      </font>
    </dxf>
    <dxf>
      <font>
        <color rgb="FF00B05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rgb="FF00B05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rgb="FF00B05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1"/>
      </font>
    </dxf>
    <dxf>
      <font>
        <color rgb="FFFF0000"/>
      </font>
    </dxf>
    <dxf>
      <font>
        <color rgb="FF00B05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rgb="FF00B050"/>
      </font>
    </dxf>
    <dxf>
      <font>
        <color theme="1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1"/>
      </font>
    </dxf>
    <dxf>
      <font>
        <color rgb="FFFF0000"/>
      </font>
    </dxf>
    <dxf>
      <font>
        <color rgb="FF00B05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rgb="FF00B05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1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auto="1"/>
      </font>
    </dxf>
    <dxf>
      <font>
        <color rgb="FF00B050"/>
      </font>
    </dxf>
    <dxf>
      <font>
        <color rgb="FFFF0000"/>
      </font>
    </dxf>
    <dxf>
      <font>
        <color auto="1"/>
      </font>
    </dxf>
    <dxf>
      <font>
        <color rgb="FF00B050"/>
      </font>
    </dxf>
    <dxf>
      <font>
        <color rgb="FFFF0000"/>
      </font>
    </dxf>
    <dxf>
      <font>
        <color auto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auto="1"/>
      </font>
    </dxf>
    <dxf>
      <font>
        <color rgb="FF00B050"/>
      </font>
    </dxf>
    <dxf>
      <font>
        <color rgb="FFFF0000"/>
      </font>
    </dxf>
    <dxf>
      <font>
        <color auto="1"/>
      </font>
    </dxf>
    <dxf>
      <font>
        <color rgb="FF00B050"/>
      </font>
    </dxf>
    <dxf>
      <font>
        <color rgb="FFFF0000"/>
      </font>
    </dxf>
    <dxf>
      <font>
        <color auto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auto="1"/>
      </font>
    </dxf>
    <dxf>
      <font>
        <color rgb="FF00B050"/>
      </font>
    </dxf>
    <dxf>
      <font>
        <color rgb="FFFF0000"/>
      </font>
    </dxf>
    <dxf>
      <font>
        <color auto="1"/>
      </font>
    </dxf>
    <dxf>
      <font>
        <color rgb="FF00B050"/>
      </font>
    </dxf>
    <dxf>
      <font>
        <color rgb="FFFF0000"/>
      </font>
    </dxf>
    <dxf>
      <font>
        <color auto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theme="1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mruColors>
      <color rgb="FF00CC00"/>
      <color rgb="FF4472C4"/>
      <color rgb="FF70AD47"/>
      <color rgb="FFFF99FF"/>
      <color rgb="FFFB63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45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microsoft.com/office/2017/10/relationships/person" Target="persons/perso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size">
        <cx:f>_xlchart.v1.3</cx:f>
      </cx:numDim>
    </cx:data>
  </cx:chartData>
  <cx:chart>
    <cx:title pos="t" align="ctr" overlay="0">
      <cx:tx>
        <cx:rich>
          <a:bodyPr rot="0" spcFirstLastPara="1" vertOverflow="ellipsis" vert="horz" wrap="square" lIns="38100" tIns="19050" rIns="38100" bIns="19050" anchor="ctr" anchorCtr="1" compatLnSpc="0"/>
          <a:lstStyle/>
          <a:p>
            <a:pPr algn="ctr" rtl="0">
              <a:defRPr sz="1400" b="1" i="0" u="none" strike="noStrike" kern="1200" cap="all" spc="5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kumimoji="0" lang="en-US" sz="2000" b="1" i="0" u="none" strike="noStrike" kern="1200" cap="all" spc="50" normalizeH="0" baseline="0" noProof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Calibri" panose="020F0502020204030204" pitchFamily="34" charset="0"/>
                <a:cs typeface="Calibri" panose="020F0502020204030204" pitchFamily="34" charset="0"/>
              </a:rPr>
              <a:t>Williamson central appraisal district</a:t>
            </a:r>
          </a:p>
          <a:p>
            <a:pPr algn="ctr" rtl="0">
              <a:defRPr sz="1400" b="1" i="0" u="none" strike="noStrike" kern="1200" cap="all" spc="5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kumimoji="0" lang="en-US" sz="2000" b="1" i="0" u="none" strike="noStrike" kern="1200" cap="all" spc="50" normalizeH="0" baseline="0" noProof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Calibri" panose="020F0502020204030204" pitchFamily="34" charset="0"/>
                <a:cs typeface="Calibri" panose="020F0502020204030204" pitchFamily="34" charset="0"/>
              </a:rPr>
              <a:t>2023 Approved Budget</a:t>
            </a:r>
          </a:p>
        </cx:rich>
      </cx:tx>
    </cx:title>
    <cx:plotArea>
      <cx:plotAreaRegion>
        <cx:series layoutId="treemap" uniqueId="{ED44D7D8-E5BC-40EC-8D3A-1FE4E07A0297}">
          <cx:dataLabels pos="inEnd">
            <cx:visibility seriesName="0" categoryName="1" value="0"/>
            <cx:separator>, </cx:separator>
          </cx:dataLabels>
          <cx:dataId val="0"/>
          <cx:layoutPr>
            <cx:parentLabelLayout val="overlapping"/>
          </cx:layoutPr>
        </cx:series>
      </cx:plotAreaRegion>
    </cx:plotArea>
    <cx:legend pos="b" align="ctr" overlay="0"/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rich>
          <a:bodyPr rot="0" spcFirstLastPara="1" vertOverflow="ellipsis" vert="horz" wrap="square" lIns="38100" tIns="19050" rIns="38100" bIns="19050" anchor="ctr" anchorCtr="1" compatLnSpc="0"/>
          <a:lstStyle/>
          <a:p>
            <a:pPr lvl="0" algn="ctr" rtl="0">
              <a:defRPr sz="2800" b="1" i="0" u="none" strike="noStrike" kern="1200" cap="all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kumimoji="0" lang="en-US" sz="2000" b="1" i="0" u="none" strike="noStrike" kern="1200" cap="all" spc="0" normalizeH="0" baseline="0" noProof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Calibri" panose="020F0502020204030204"/>
              </a:rPr>
              <a:t>Williamson Central Appraisal District</a:t>
            </a:r>
          </a:p>
          <a:p>
            <a:pPr lvl="0" algn="ctr" rtl="0">
              <a:defRPr sz="2800" b="1" i="0" u="none" strike="noStrike" kern="1200" cap="all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kumimoji="0" lang="en-US" sz="2000" b="1" i="0" u="none" strike="noStrike" kern="1200" cap="all" spc="0" normalizeH="0" baseline="0" noProof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Calibri" panose="020F0502020204030204"/>
              </a:rPr>
              <a:t>2023 Approved Budget - ARB</a:t>
            </a:r>
          </a:p>
        </cx:rich>
      </cx:tx>
    </cx:title>
    <cx:plotArea>
      <cx:plotAreaRegion>
        <cx:series layoutId="treemap" uniqueId="{DE6E578A-9148-4F25-9804-F29797DE3283}">
          <cx:dataLabels pos="inEnd"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>
                    <a:solidFill>
                      <a:schemeClr val="bg1"/>
                    </a:solidFill>
                  </a:defRPr>
                </a:pPr>
                <a:endParaRPr lang="en-US" sz="1000" b="0" i="0" u="none" strike="noStrike" kern="1200" baseline="0">
                  <a:solidFill>
                    <a:schemeClr val="bg1"/>
                  </a:solidFill>
                  <a:latin typeface="Calibri" panose="020F0502020204030204"/>
                </a:endParaRPr>
              </a:p>
            </cx:txPr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b" align="ctr" overlay="0">
      <cx:txPr>
        <a:bodyPr vertOverflow="overflow" horzOverflow="overflow" wrap="square" lIns="0" tIns="0" rIns="0" bIns="0"/>
        <a:lstStyle/>
        <a:p>
          <a:pPr algn="ctr" rtl="0">
            <a:defRPr sz="900" b="0" i="0">
              <a:solidFill>
                <a:schemeClr val="bg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>
            <a:solidFill>
              <a:schemeClr val="bg1"/>
            </a:solidFill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acrossLinear" id="2">
  <a:schemeClr val="accent1"/>
  <a:schemeClr val="accent2"/>
  <a:schemeClr val="accent3"/>
  <a:schemeClr val="accent4"/>
  <a:schemeClr val="accent5"/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415">
  <cs:axisTitle>
    <cs:lnRef idx="0"/>
    <cs:fillRef idx="0"/>
    <cs:effectRef idx="0"/>
    <cs:fontRef idx="minor">
      <a:schemeClr val="lt1">
        <a:lumMod val="95000"/>
      </a:schemeClr>
    </cs:fontRef>
    <cs:spPr>
      <a:solidFill>
        <a:schemeClr val="bg1">
          <a:lumMod val="65000"/>
        </a:schemeClr>
      </a:solidFill>
      <a:ln>
        <a:solidFill>
          <a:schemeClr val="tx1"/>
        </a:solidFill>
      </a:ln>
    </cs:spPr>
    <cs:defRPr sz="900"/>
  </cs:axisTitle>
  <cs:category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/>
  </cs:chartArea>
  <cs:dataLabel>
    <cs:lnRef idx="0"/>
    <cs:fillRef idx="0"/>
    <cs:effectRef idx="0"/>
    <cs:fontRef idx="minor">
      <a:schemeClr val="lt1">
        <a:lumMod val="9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lt1"/>
    </cs:fontRef>
    <cs:spPr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  <a:ln>
        <a:solidFill>
          <a:schemeClr val="tx1"/>
        </a:solidFill>
      </a:ln>
    </cs:spPr>
  </cs:dataPoint>
  <cs:dataPoint3D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</cs:spPr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lt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9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10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95000"/>
      </a:schemeClr>
    </cs:fontRef>
    <cs:defRPr sz="9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lt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spc="10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9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95000"/>
      </a:schemeClr>
    </cs:fontRef>
    <cs:defRPr sz="9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15">
  <cs:axisTitle>
    <cs:lnRef idx="0"/>
    <cs:fillRef idx="0"/>
    <cs:effectRef idx="0"/>
    <cs:fontRef idx="minor">
      <a:schemeClr val="lt1">
        <a:lumMod val="95000"/>
      </a:schemeClr>
    </cs:fontRef>
    <cs:spPr>
      <a:solidFill>
        <a:schemeClr val="bg1">
          <a:lumMod val="65000"/>
        </a:schemeClr>
      </a:solidFill>
      <a:ln>
        <a:solidFill>
          <a:schemeClr val="tx1"/>
        </a:solidFill>
      </a:ln>
    </cs:spPr>
    <cs:defRPr sz="900"/>
  </cs:axisTitle>
  <cs:category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/>
  </cs:chartArea>
  <cs:dataLabel>
    <cs:lnRef idx="0"/>
    <cs:fillRef idx="0"/>
    <cs:effectRef idx="0"/>
    <cs:fontRef idx="minor">
      <a:schemeClr val="lt1">
        <a:lumMod val="9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lt1"/>
    </cs:fontRef>
    <cs:spPr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  <a:ln>
        <a:solidFill>
          <a:schemeClr val="tx1"/>
        </a:solidFill>
      </a:ln>
    </cs:spPr>
  </cs:dataPoint>
  <cs:dataPoint3D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</cs:spPr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lt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9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10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95000"/>
      </a:schemeClr>
    </cs:fontRef>
    <cs:defRPr sz="9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lt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spc="10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9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95000"/>
      </a:schemeClr>
    </cs:fontRef>
    <cs:defRPr sz="9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_rels/vmlDrawing18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_rels/vmlDrawing19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_rels/vmlDrawing20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_rels/vmlDrawing2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2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_rels/vmlDrawing24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92074</xdr:rowOff>
    </xdr:from>
    <xdr:to>
      <xdr:col>0</xdr:col>
      <xdr:colOff>1404938</xdr:colOff>
      <xdr:row>0</xdr:row>
      <xdr:rowOff>611188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2074"/>
          <a:ext cx="1404938" cy="519114"/>
        </a:xfrm>
        <a:prstGeom prst="rect">
          <a:avLst/>
        </a:prstGeom>
        <a:noFill/>
      </xdr:spPr>
    </xdr:pic>
    <xdr:clientData fLocksWithSheet="0"/>
  </xdr:twoCellAnchor>
  <xdr:twoCellAnchor>
    <xdr:from>
      <xdr:col>6</xdr:col>
      <xdr:colOff>1084261</xdr:colOff>
      <xdr:row>0</xdr:row>
      <xdr:rowOff>47625</xdr:rowOff>
    </xdr:from>
    <xdr:to>
      <xdr:col>7</xdr:col>
      <xdr:colOff>674687</xdr:colOff>
      <xdr:row>0</xdr:row>
      <xdr:rowOff>609600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084761" y="47625"/>
          <a:ext cx="677864" cy="561975"/>
        </a:xfrm>
        <a:prstGeom prst="rect">
          <a:avLst/>
        </a:prstGeom>
        <a:noFill/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139267" name="FILTER" hidden="1">
              <a:extLst>
                <a:ext uri="{63B3BB69-23CF-44E3-9099-C40C66FF867C}">
                  <a14:compatExt spid="_x0000_s139267"/>
                </a:ext>
                <a:ext uri="{FF2B5EF4-FFF2-40B4-BE49-F238E27FC236}">
                  <a16:creationId xmlns:a16="http://schemas.microsoft.com/office/drawing/2014/main" id="{00000000-0008-0000-0E00-0000032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139268" name="HEADER" hidden="1">
              <a:extLst>
                <a:ext uri="{63B3BB69-23CF-44E3-9099-C40C66FF867C}">
                  <a14:compatExt spid="_x0000_s139268"/>
                </a:ext>
                <a:ext uri="{FF2B5EF4-FFF2-40B4-BE49-F238E27FC236}">
                  <a16:creationId xmlns:a16="http://schemas.microsoft.com/office/drawing/2014/main" id="{00000000-0008-0000-0E00-0000042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122885" name="FILTER" hidden="1">
              <a:extLst>
                <a:ext uri="{63B3BB69-23CF-44E3-9099-C40C66FF867C}">
                  <a14:compatExt spid="_x0000_s122885"/>
                </a:ext>
                <a:ext uri="{FF2B5EF4-FFF2-40B4-BE49-F238E27FC236}">
                  <a16:creationId xmlns:a16="http://schemas.microsoft.com/office/drawing/2014/main" id="{00000000-0008-0000-0F00-000005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122886" name="HEADER" hidden="1">
              <a:extLst>
                <a:ext uri="{63B3BB69-23CF-44E3-9099-C40C66FF867C}">
                  <a14:compatExt spid="_x0000_s122886"/>
                </a:ext>
                <a:ext uri="{FF2B5EF4-FFF2-40B4-BE49-F238E27FC236}">
                  <a16:creationId xmlns:a16="http://schemas.microsoft.com/office/drawing/2014/main" id="{00000000-0008-0000-0F00-000006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123910" name="FILTER" hidden="1">
              <a:extLst>
                <a:ext uri="{63B3BB69-23CF-44E3-9099-C40C66FF867C}">
                  <a14:compatExt spid="_x0000_s123910"/>
                </a:ext>
                <a:ext uri="{FF2B5EF4-FFF2-40B4-BE49-F238E27FC236}">
                  <a16:creationId xmlns:a16="http://schemas.microsoft.com/office/drawing/2014/main" id="{00000000-0008-0000-1000-000006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123911" name="HEADER" hidden="1">
              <a:extLst>
                <a:ext uri="{63B3BB69-23CF-44E3-9099-C40C66FF867C}">
                  <a14:compatExt spid="_x0000_s123911"/>
                </a:ext>
                <a:ext uri="{FF2B5EF4-FFF2-40B4-BE49-F238E27FC236}">
                  <a16:creationId xmlns:a16="http://schemas.microsoft.com/office/drawing/2014/main" id="{00000000-0008-0000-1000-000007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109575" name="FILTER" hidden="1">
              <a:extLst>
                <a:ext uri="{63B3BB69-23CF-44E3-9099-C40C66FF867C}">
                  <a14:compatExt spid="_x0000_s109575"/>
                </a:ext>
                <a:ext uri="{FF2B5EF4-FFF2-40B4-BE49-F238E27FC236}">
                  <a16:creationId xmlns:a16="http://schemas.microsoft.com/office/drawing/2014/main" id="{00000000-0008-0000-1100-000007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109576" name="HEADER" hidden="1">
              <a:extLst>
                <a:ext uri="{63B3BB69-23CF-44E3-9099-C40C66FF867C}">
                  <a14:compatExt spid="_x0000_s109576"/>
                </a:ext>
                <a:ext uri="{FF2B5EF4-FFF2-40B4-BE49-F238E27FC236}">
                  <a16:creationId xmlns:a16="http://schemas.microsoft.com/office/drawing/2014/main" id="{00000000-0008-0000-1100-000008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110599" name="FILTER" hidden="1">
              <a:extLst>
                <a:ext uri="{63B3BB69-23CF-44E3-9099-C40C66FF867C}">
                  <a14:compatExt spid="_x0000_s110599"/>
                </a:ext>
                <a:ext uri="{FF2B5EF4-FFF2-40B4-BE49-F238E27FC236}">
                  <a16:creationId xmlns:a16="http://schemas.microsoft.com/office/drawing/2014/main" id="{00000000-0008-0000-1200-000007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110600" name="HEADER" hidden="1">
              <a:extLst>
                <a:ext uri="{63B3BB69-23CF-44E3-9099-C40C66FF867C}">
                  <a14:compatExt spid="_x0000_s110600"/>
                </a:ext>
                <a:ext uri="{FF2B5EF4-FFF2-40B4-BE49-F238E27FC236}">
                  <a16:creationId xmlns:a16="http://schemas.microsoft.com/office/drawing/2014/main" id="{00000000-0008-0000-1200-000008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108549" name="FILTER" hidden="1">
              <a:extLst>
                <a:ext uri="{63B3BB69-23CF-44E3-9099-C40C66FF867C}">
                  <a14:compatExt spid="_x0000_s108549"/>
                </a:ext>
                <a:ext uri="{FF2B5EF4-FFF2-40B4-BE49-F238E27FC236}">
                  <a16:creationId xmlns:a16="http://schemas.microsoft.com/office/drawing/2014/main" id="{00000000-0008-0000-1300-000005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108550" name="HEADER" hidden="1">
              <a:extLst>
                <a:ext uri="{63B3BB69-23CF-44E3-9099-C40C66FF867C}">
                  <a14:compatExt spid="_x0000_s108550"/>
                </a:ext>
                <a:ext uri="{FF2B5EF4-FFF2-40B4-BE49-F238E27FC236}">
                  <a16:creationId xmlns:a16="http://schemas.microsoft.com/office/drawing/2014/main" id="{00000000-0008-0000-1300-000006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111623" name="FILTER" hidden="1">
              <a:extLst>
                <a:ext uri="{63B3BB69-23CF-44E3-9099-C40C66FF867C}">
                  <a14:compatExt spid="_x0000_s111623"/>
                </a:ext>
                <a:ext uri="{FF2B5EF4-FFF2-40B4-BE49-F238E27FC236}">
                  <a16:creationId xmlns:a16="http://schemas.microsoft.com/office/drawing/2014/main" id="{00000000-0008-0000-1400-000007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111624" name="HEADER" hidden="1">
              <a:extLst>
                <a:ext uri="{63B3BB69-23CF-44E3-9099-C40C66FF867C}">
                  <a14:compatExt spid="_x0000_s111624"/>
                </a:ext>
                <a:ext uri="{FF2B5EF4-FFF2-40B4-BE49-F238E27FC236}">
                  <a16:creationId xmlns:a16="http://schemas.microsoft.com/office/drawing/2014/main" id="{00000000-0008-0000-1400-000008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124932" name="FILTER" hidden="1">
              <a:extLst>
                <a:ext uri="{63B3BB69-23CF-44E3-9099-C40C66FF867C}">
                  <a14:compatExt spid="_x0000_s124932"/>
                </a:ext>
                <a:ext uri="{FF2B5EF4-FFF2-40B4-BE49-F238E27FC236}">
                  <a16:creationId xmlns:a16="http://schemas.microsoft.com/office/drawing/2014/main" id="{00000000-0008-0000-1500-000004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124933" name="HEADER" hidden="1">
              <a:extLst>
                <a:ext uri="{63B3BB69-23CF-44E3-9099-C40C66FF867C}">
                  <a14:compatExt spid="_x0000_s124933"/>
                </a:ext>
                <a:ext uri="{FF2B5EF4-FFF2-40B4-BE49-F238E27FC236}">
                  <a16:creationId xmlns:a16="http://schemas.microsoft.com/office/drawing/2014/main" id="{00000000-0008-0000-1500-000005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112645" name="FILTER" hidden="1">
              <a:extLst>
                <a:ext uri="{63B3BB69-23CF-44E3-9099-C40C66FF867C}">
                  <a14:compatExt spid="_x0000_s112645"/>
                </a:ext>
                <a:ext uri="{FF2B5EF4-FFF2-40B4-BE49-F238E27FC236}">
                  <a16:creationId xmlns:a16="http://schemas.microsoft.com/office/drawing/2014/main" id="{00000000-0008-0000-1600-000005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112646" name="HEADER" hidden="1">
              <a:extLst>
                <a:ext uri="{63B3BB69-23CF-44E3-9099-C40C66FF867C}">
                  <a14:compatExt spid="_x0000_s112646"/>
                </a:ext>
                <a:ext uri="{FF2B5EF4-FFF2-40B4-BE49-F238E27FC236}">
                  <a16:creationId xmlns:a16="http://schemas.microsoft.com/office/drawing/2014/main" id="{00000000-0008-0000-1600-000006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113671" name="FILTER" hidden="1">
              <a:extLst>
                <a:ext uri="{63B3BB69-23CF-44E3-9099-C40C66FF867C}">
                  <a14:compatExt spid="_x0000_s113671"/>
                </a:ext>
                <a:ext uri="{FF2B5EF4-FFF2-40B4-BE49-F238E27FC236}">
                  <a16:creationId xmlns:a16="http://schemas.microsoft.com/office/drawing/2014/main" id="{00000000-0008-0000-1700-000007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113672" name="HEADER" hidden="1">
              <a:extLst>
                <a:ext uri="{63B3BB69-23CF-44E3-9099-C40C66FF867C}">
                  <a14:compatExt spid="_x0000_s113672"/>
                </a:ext>
                <a:ext uri="{FF2B5EF4-FFF2-40B4-BE49-F238E27FC236}">
                  <a16:creationId xmlns:a16="http://schemas.microsoft.com/office/drawing/2014/main" id="{00000000-0008-0000-1700-000008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20707</xdr:colOff>
      <xdr:row>0</xdr:row>
      <xdr:rowOff>0</xdr:rowOff>
    </xdr:from>
    <xdr:to>
      <xdr:col>0</xdr:col>
      <xdr:colOff>3150733</xdr:colOff>
      <xdr:row>0</xdr:row>
      <xdr:rowOff>599391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07" y="0"/>
          <a:ext cx="3119822" cy="59939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114695" name="FILTER" hidden="1">
              <a:extLst>
                <a:ext uri="{63B3BB69-23CF-44E3-9099-C40C66FF867C}">
                  <a14:compatExt spid="_x0000_s114695"/>
                </a:ext>
                <a:ext uri="{FF2B5EF4-FFF2-40B4-BE49-F238E27FC236}">
                  <a16:creationId xmlns:a16="http://schemas.microsoft.com/office/drawing/2014/main" id="{00000000-0008-0000-1900-000007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114696" name="HEADER" hidden="1">
              <a:extLst>
                <a:ext uri="{63B3BB69-23CF-44E3-9099-C40C66FF867C}">
                  <a14:compatExt spid="_x0000_s114696"/>
                </a:ext>
                <a:ext uri="{FF2B5EF4-FFF2-40B4-BE49-F238E27FC236}">
                  <a16:creationId xmlns:a16="http://schemas.microsoft.com/office/drawing/2014/main" id="{00000000-0008-0000-1900-000008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115719" name="FILTER" hidden="1">
              <a:extLst>
                <a:ext uri="{63B3BB69-23CF-44E3-9099-C40C66FF867C}">
                  <a14:compatExt spid="_x0000_s115719"/>
                </a:ext>
                <a:ext uri="{FF2B5EF4-FFF2-40B4-BE49-F238E27FC236}">
                  <a16:creationId xmlns:a16="http://schemas.microsoft.com/office/drawing/2014/main" id="{00000000-0008-0000-1A00-000007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115720" name="HEADER" hidden="1">
              <a:extLst>
                <a:ext uri="{63B3BB69-23CF-44E3-9099-C40C66FF867C}">
                  <a14:compatExt spid="_x0000_s115720"/>
                </a:ext>
                <a:ext uri="{FF2B5EF4-FFF2-40B4-BE49-F238E27FC236}">
                  <a16:creationId xmlns:a16="http://schemas.microsoft.com/office/drawing/2014/main" id="{00000000-0008-0000-1A00-000008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116743" name="FILTER" hidden="1">
              <a:extLst>
                <a:ext uri="{63B3BB69-23CF-44E3-9099-C40C66FF867C}">
                  <a14:compatExt spid="_x0000_s116743"/>
                </a:ext>
                <a:ext uri="{FF2B5EF4-FFF2-40B4-BE49-F238E27FC236}">
                  <a16:creationId xmlns:a16="http://schemas.microsoft.com/office/drawing/2014/main" id="{00000000-0008-0000-1B00-000007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116744" name="HEADER" hidden="1">
              <a:extLst>
                <a:ext uri="{63B3BB69-23CF-44E3-9099-C40C66FF867C}">
                  <a14:compatExt spid="_x0000_s116744"/>
                </a:ext>
                <a:ext uri="{FF2B5EF4-FFF2-40B4-BE49-F238E27FC236}">
                  <a16:creationId xmlns:a16="http://schemas.microsoft.com/office/drawing/2014/main" id="{00000000-0008-0000-1B00-000008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166913" name="FILTER" hidden="1">
              <a:extLst>
                <a:ext uri="{63B3BB69-23CF-44E3-9099-C40C66FF867C}">
                  <a14:compatExt spid="_x0000_s166913"/>
                </a:ext>
                <a:ext uri="{FF2B5EF4-FFF2-40B4-BE49-F238E27FC236}">
                  <a16:creationId xmlns:a16="http://schemas.microsoft.com/office/drawing/2014/main" id="{00000000-0008-0000-1C00-000001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166914" name="HEADER" hidden="1">
              <a:extLst>
                <a:ext uri="{63B3BB69-23CF-44E3-9099-C40C66FF867C}">
                  <a14:compatExt spid="_x0000_s166914"/>
                </a:ext>
                <a:ext uri="{FF2B5EF4-FFF2-40B4-BE49-F238E27FC236}">
                  <a16:creationId xmlns:a16="http://schemas.microsoft.com/office/drawing/2014/main" id="{00000000-0008-0000-1C00-000002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314325</xdr:colOff>
      <xdr:row>28</xdr:row>
      <xdr:rowOff>19050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58325" cy="455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158724" name="FILTER" hidden="1">
              <a:extLst>
                <a:ext uri="{63B3BB69-23CF-44E3-9099-C40C66FF867C}">
                  <a14:compatExt spid="_x0000_s158724"/>
                </a:ext>
                <a:ext uri="{FF2B5EF4-FFF2-40B4-BE49-F238E27FC236}">
                  <a16:creationId xmlns:a16="http://schemas.microsoft.com/office/drawing/2014/main" id="{00000000-0008-0000-1E00-0000046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158725" name="HEADER" hidden="1">
              <a:extLst>
                <a:ext uri="{63B3BB69-23CF-44E3-9099-C40C66FF867C}">
                  <a14:compatExt spid="_x0000_s158725"/>
                </a:ext>
                <a:ext uri="{FF2B5EF4-FFF2-40B4-BE49-F238E27FC236}">
                  <a16:creationId xmlns:a16="http://schemas.microsoft.com/office/drawing/2014/main" id="{00000000-0008-0000-1E00-0000056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159745" name="FILTER" hidden="1">
              <a:extLst>
                <a:ext uri="{63B3BB69-23CF-44E3-9099-C40C66FF867C}">
                  <a14:compatExt spid="_x0000_s159745"/>
                </a:ext>
                <a:ext uri="{FF2B5EF4-FFF2-40B4-BE49-F238E27FC236}">
                  <a16:creationId xmlns:a16="http://schemas.microsoft.com/office/drawing/2014/main" id="{00000000-0008-0000-1F00-000001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160770" name="FILTER" hidden="1">
              <a:extLst>
                <a:ext uri="{63B3BB69-23CF-44E3-9099-C40C66FF867C}">
                  <a14:compatExt spid="_x0000_s160770"/>
                </a:ext>
                <a:ext uri="{FF2B5EF4-FFF2-40B4-BE49-F238E27FC236}">
                  <a16:creationId xmlns:a16="http://schemas.microsoft.com/office/drawing/2014/main" id="{00000000-0008-0000-2000-000002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160771" name="HEADER" hidden="1">
              <a:extLst>
                <a:ext uri="{63B3BB69-23CF-44E3-9099-C40C66FF867C}">
                  <a14:compatExt spid="_x0000_s160771"/>
                </a:ext>
                <a:ext uri="{FF2B5EF4-FFF2-40B4-BE49-F238E27FC236}">
                  <a16:creationId xmlns:a16="http://schemas.microsoft.com/office/drawing/2014/main" id="{00000000-0008-0000-2000-000003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117763" name="FILTER" hidden="1">
              <a:extLst>
                <a:ext uri="{63B3BB69-23CF-44E3-9099-C40C66FF867C}">
                  <a14:compatExt spid="_x0000_s117763"/>
                </a:ext>
                <a:ext uri="{FF2B5EF4-FFF2-40B4-BE49-F238E27FC236}">
                  <a16:creationId xmlns:a16="http://schemas.microsoft.com/office/drawing/2014/main" id="{00000000-0008-0000-2200-000003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117764" name="HEADER" hidden="1">
              <a:extLst>
                <a:ext uri="{63B3BB69-23CF-44E3-9099-C40C66FF867C}">
                  <a14:compatExt spid="_x0000_s117764"/>
                </a:ext>
                <a:ext uri="{FF2B5EF4-FFF2-40B4-BE49-F238E27FC236}">
                  <a16:creationId xmlns:a16="http://schemas.microsoft.com/office/drawing/2014/main" id="{00000000-0008-0000-2200-000004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533400</xdr:colOff>
      <xdr:row>1</xdr:row>
      <xdr:rowOff>28575</xdr:rowOff>
    </xdr:to>
    <xdr:sp macro="" textlink="">
      <xdr:nvSpPr>
        <xdr:cNvPr id="98305" name="FILTER" hidden="1">
          <a:extLst>
            <a:ext uri="{63B3BB69-23CF-44E3-9099-C40C66FF867C}">
              <a14:compatExt xmlns:a14="http://schemas.microsoft.com/office/drawing/2010/main" spid="_x0000_s98305"/>
            </a:ext>
            <a:ext uri="{FF2B5EF4-FFF2-40B4-BE49-F238E27FC236}">
              <a16:creationId xmlns:a16="http://schemas.microsoft.com/office/drawing/2014/main" id="{00000000-0008-0000-2300-0000018001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533400</xdr:colOff>
      <xdr:row>1</xdr:row>
      <xdr:rowOff>28575</xdr:rowOff>
    </xdr:to>
    <xdr:sp macro="" textlink="">
      <xdr:nvSpPr>
        <xdr:cNvPr id="98306" name="HEADER" hidden="1">
          <a:extLst>
            <a:ext uri="{63B3BB69-23CF-44E3-9099-C40C66FF867C}">
              <a14:compatExt xmlns:a14="http://schemas.microsoft.com/office/drawing/2010/main" spid="_x0000_s98306"/>
            </a:ext>
            <a:ext uri="{FF2B5EF4-FFF2-40B4-BE49-F238E27FC236}">
              <a16:creationId xmlns:a16="http://schemas.microsoft.com/office/drawing/2014/main" id="{00000000-0008-0000-2300-0000028001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142875</xdr:colOff>
      <xdr:row>43</xdr:row>
      <xdr:rowOff>161925</xdr:rowOff>
    </xdr:to>
    <xdr:sp macro="" textlink="">
      <xdr:nvSpPr>
        <xdr:cNvPr id="2106" name="Text Box 58" hidden="1">
          <a:extLst>
            <a:ext uri="{FF2B5EF4-FFF2-40B4-BE49-F238E27FC236}">
              <a16:creationId xmlns:a16="http://schemas.microsoft.com/office/drawing/2014/main" id="{00000000-0008-0000-0700-00003A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10</xdr:col>
      <xdr:colOff>295275</xdr:colOff>
      <xdr:row>44</xdr:row>
      <xdr:rowOff>142875</xdr:rowOff>
    </xdr:to>
    <xdr:sp macro="" textlink="">
      <xdr:nvSpPr>
        <xdr:cNvPr id="1032" name="Text Box 8" hidden="1">
          <a:extLst>
            <a:ext uri="{FF2B5EF4-FFF2-40B4-BE49-F238E27FC236}">
              <a16:creationId xmlns:a16="http://schemas.microsoft.com/office/drawing/2014/main" id="{00000000-0008-0000-0800-00000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190499</xdr:rowOff>
    </xdr:from>
    <xdr:to>
      <xdr:col>7</xdr:col>
      <xdr:colOff>628650</xdr:colOff>
      <xdr:row>45</xdr:row>
      <xdr:rowOff>152400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00000000-0008-0000-09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091542"/>
              <a:ext cx="6936921" cy="605790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 fLocksWithSheet="0"/>
  </xdr:twoCellAnchor>
  <xdr:twoCellAnchor>
    <xdr:from>
      <xdr:col>8</xdr:col>
      <xdr:colOff>57150</xdr:colOff>
      <xdr:row>14</xdr:row>
      <xdr:rowOff>19050</xdr:rowOff>
    </xdr:from>
    <xdr:to>
      <xdr:col>17</xdr:col>
      <xdr:colOff>800100</xdr:colOff>
      <xdr:row>45</xdr:row>
      <xdr:rowOff>133349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00000000-0008-0000-09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111093" y="3110593"/>
              <a:ext cx="6904264" cy="60197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 fLocksWithSheet="0"/>
  </xdr:twoCellAnchor>
  <xdr:twoCellAnchor editAs="oneCell">
    <xdr:from>
      <xdr:col>1</xdr:col>
      <xdr:colOff>877439</xdr:colOff>
      <xdr:row>0</xdr:row>
      <xdr:rowOff>47625</xdr:rowOff>
    </xdr:from>
    <xdr:to>
      <xdr:col>6</xdr:col>
      <xdr:colOff>140972</xdr:colOff>
      <xdr:row>4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7514" y="47625"/>
          <a:ext cx="3730758" cy="914400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190500</xdr:colOff>
      <xdr:row>0</xdr:row>
      <xdr:rowOff>76200</xdr:rowOff>
    </xdr:from>
    <xdr:to>
      <xdr:col>15</xdr:col>
      <xdr:colOff>473208</xdr:colOff>
      <xdr:row>4</xdr:row>
      <xdr:rowOff>85725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1025" y="76200"/>
          <a:ext cx="3730758" cy="9144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1123951</xdr:colOff>
      <xdr:row>0</xdr:row>
      <xdr:rowOff>38101</xdr:rowOff>
    </xdr:from>
    <xdr:to>
      <xdr:col>3</xdr:col>
      <xdr:colOff>177275</xdr:colOff>
      <xdr:row>3</xdr:row>
      <xdr:rowOff>291467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951" y="38101"/>
          <a:ext cx="3428999" cy="8316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105479" name="FILTER" hidden="1">
              <a:extLst>
                <a:ext uri="{63B3BB69-23CF-44E3-9099-C40C66FF867C}">
                  <a14:compatExt spid="_x0000_s105479"/>
                </a:ext>
                <a:ext uri="{FF2B5EF4-FFF2-40B4-BE49-F238E27FC236}">
                  <a16:creationId xmlns:a16="http://schemas.microsoft.com/office/drawing/2014/main" id="{00000000-0008-0000-0B00-000007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105480" name="HEADER" hidden="1">
              <a:extLst>
                <a:ext uri="{63B3BB69-23CF-44E3-9099-C40C66FF867C}">
                  <a14:compatExt spid="_x0000_s105480"/>
                </a:ext>
                <a:ext uri="{FF2B5EF4-FFF2-40B4-BE49-F238E27FC236}">
                  <a16:creationId xmlns:a16="http://schemas.microsoft.com/office/drawing/2014/main" id="{00000000-0008-0000-0B00-000008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106503" name="FILTER" hidden="1">
              <a:extLst>
                <a:ext uri="{63B3BB69-23CF-44E3-9099-C40C66FF867C}">
                  <a14:compatExt spid="_x0000_s106503"/>
                </a:ext>
                <a:ext uri="{FF2B5EF4-FFF2-40B4-BE49-F238E27FC236}">
                  <a16:creationId xmlns:a16="http://schemas.microsoft.com/office/drawing/2014/main" id="{00000000-0008-0000-0C00-000007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106504" name="HEADER" hidden="1">
              <a:extLst>
                <a:ext uri="{63B3BB69-23CF-44E3-9099-C40C66FF867C}">
                  <a14:compatExt spid="_x0000_s106504"/>
                </a:ext>
                <a:ext uri="{FF2B5EF4-FFF2-40B4-BE49-F238E27FC236}">
                  <a16:creationId xmlns:a16="http://schemas.microsoft.com/office/drawing/2014/main" id="{00000000-0008-0000-0C00-000008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107526" name="FILTER" hidden="1">
              <a:extLst>
                <a:ext uri="{63B3BB69-23CF-44E3-9099-C40C66FF867C}">
                  <a14:compatExt spid="_x0000_s107526"/>
                </a:ext>
                <a:ext uri="{FF2B5EF4-FFF2-40B4-BE49-F238E27FC236}">
                  <a16:creationId xmlns:a16="http://schemas.microsoft.com/office/drawing/2014/main" id="{00000000-0008-0000-0D00-000006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107527" name="HEADER" hidden="1">
              <a:extLst>
                <a:ext uri="{63B3BB69-23CF-44E3-9099-C40C66FF867C}">
                  <a14:compatExt spid="_x0000_s107527"/>
                </a:ext>
                <a:ext uri="{FF2B5EF4-FFF2-40B4-BE49-F238E27FC236}">
                  <a16:creationId xmlns:a16="http://schemas.microsoft.com/office/drawing/2014/main" id="{00000000-0008-0000-0D00-000007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Kimberly Gamboa" id="{C2C51652-F7FA-4E0E-B7E1-4A4ED2DE50FE}" userId="Kimberly Gamboa" providerId="None"/>
  <person displayName="KC McDade" id="{22ADAB35-ECD5-4919-8A90-8DD0B673EA9B}" userId="S::kmcdade@wcad.org::93d936a5-b8ff-4feb-8c37-51444b733c99" providerId="AD"/>
  <person displayName="Guest User" id="{111F85C6-683F-4A66-BA9E-F85BD80BFAE8}" userId="S::urn:spo:anon#966840669f97cd580ac882cac912486c79e0f80b6b1b7a50cc838467cd3faabf::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5" personId="{C2C51652-F7FA-4E0E-B7E1-4A4ED2DE50FE}" id="{A67ABA32-1B6F-43CF-B617-840F0FE0227D}">
    <text>we actually di 50% - 5.15.18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5" personId="{C2C51652-F7FA-4E0E-B7E1-4A4ED2DE50FE}" id="{EFED5C70-84C2-4E9A-9250-CC4C77461078}">
    <text>we actually di 50% - 5.15.18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N69" dT="2021-03-23T17:08:36.60" personId="{111F85C6-683F-4A66-BA9E-F85BD80BFAE8}" id="{7268B721-354E-47A0-BE88-AA2ACF3EC04D}">
    <text>Would like to remove 6150-2 and change the name to Computer Monitors added 200 to the total so its a even 5,500 or 22 at $250 each</text>
  </threadedComment>
  <threadedComment ref="B309" dT="2021-04-09T16:42:04.12" personId="{22ADAB35-ECD5-4919-8A90-8DD0B673EA9B}" id="{B939119B-2F72-4E07-AFE0-250DDE0B5233}">
    <text>dashboard software. alvin mentioned during 2020 planning session he'd like to see dashboards revived/expanded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image" Target="../media/image6.emf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Relationship Id="rId6" Type="http://schemas.openxmlformats.org/officeDocument/2006/relationships/control" Target="../activeX/activeX2.xml"/><Relationship Id="rId5" Type="http://schemas.openxmlformats.org/officeDocument/2006/relationships/image" Target="../media/image5.emf"/><Relationship Id="rId4" Type="http://schemas.openxmlformats.org/officeDocument/2006/relationships/control" Target="../activeX/activeX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image" Target="../media/image6.emf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Relationship Id="rId6" Type="http://schemas.openxmlformats.org/officeDocument/2006/relationships/control" Target="../activeX/activeX4.xml"/><Relationship Id="rId5" Type="http://schemas.openxmlformats.org/officeDocument/2006/relationships/image" Target="../media/image5.emf"/><Relationship Id="rId4" Type="http://schemas.openxmlformats.org/officeDocument/2006/relationships/control" Target="../activeX/activeX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7" Type="http://schemas.openxmlformats.org/officeDocument/2006/relationships/image" Target="../media/image6.emf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Relationship Id="rId6" Type="http://schemas.openxmlformats.org/officeDocument/2006/relationships/control" Target="../activeX/activeX6.xml"/><Relationship Id="rId5" Type="http://schemas.openxmlformats.org/officeDocument/2006/relationships/image" Target="../media/image5.emf"/><Relationship Id="rId4" Type="http://schemas.openxmlformats.org/officeDocument/2006/relationships/control" Target="../activeX/activeX5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7" Type="http://schemas.openxmlformats.org/officeDocument/2006/relationships/image" Target="../media/image6.emf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Relationship Id="rId6" Type="http://schemas.openxmlformats.org/officeDocument/2006/relationships/control" Target="../activeX/activeX8.xml"/><Relationship Id="rId5" Type="http://schemas.openxmlformats.org/officeDocument/2006/relationships/image" Target="../media/image5.emf"/><Relationship Id="rId4" Type="http://schemas.openxmlformats.org/officeDocument/2006/relationships/control" Target="../activeX/activeX7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7" Type="http://schemas.openxmlformats.org/officeDocument/2006/relationships/image" Target="../media/image6.emf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Relationship Id="rId6" Type="http://schemas.openxmlformats.org/officeDocument/2006/relationships/control" Target="../activeX/activeX10.xml"/><Relationship Id="rId5" Type="http://schemas.openxmlformats.org/officeDocument/2006/relationships/image" Target="../media/image5.emf"/><Relationship Id="rId4" Type="http://schemas.openxmlformats.org/officeDocument/2006/relationships/control" Target="../activeX/activeX9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7" Type="http://schemas.openxmlformats.org/officeDocument/2006/relationships/image" Target="../media/image6.emf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7.bin"/><Relationship Id="rId6" Type="http://schemas.openxmlformats.org/officeDocument/2006/relationships/control" Target="../activeX/activeX12.xml"/><Relationship Id="rId5" Type="http://schemas.openxmlformats.org/officeDocument/2006/relationships/image" Target="../media/image5.emf"/><Relationship Id="rId4" Type="http://schemas.openxmlformats.org/officeDocument/2006/relationships/control" Target="../activeX/activeX11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7" Type="http://schemas.openxmlformats.org/officeDocument/2006/relationships/image" Target="../media/image6.emf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8.bin"/><Relationship Id="rId6" Type="http://schemas.openxmlformats.org/officeDocument/2006/relationships/control" Target="../activeX/activeX14.xml"/><Relationship Id="rId5" Type="http://schemas.openxmlformats.org/officeDocument/2006/relationships/image" Target="../media/image5.emf"/><Relationship Id="rId4" Type="http://schemas.openxmlformats.org/officeDocument/2006/relationships/control" Target="../activeX/activeX1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7" Type="http://schemas.openxmlformats.org/officeDocument/2006/relationships/image" Target="../media/image6.emf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9.bin"/><Relationship Id="rId6" Type="http://schemas.openxmlformats.org/officeDocument/2006/relationships/control" Target="../activeX/activeX16.xml"/><Relationship Id="rId5" Type="http://schemas.openxmlformats.org/officeDocument/2006/relationships/image" Target="../media/image5.emf"/><Relationship Id="rId4" Type="http://schemas.openxmlformats.org/officeDocument/2006/relationships/control" Target="../activeX/activeX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7" Type="http://schemas.openxmlformats.org/officeDocument/2006/relationships/image" Target="../media/image6.emf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0.bin"/><Relationship Id="rId6" Type="http://schemas.openxmlformats.org/officeDocument/2006/relationships/control" Target="../activeX/activeX18.xml"/><Relationship Id="rId5" Type="http://schemas.openxmlformats.org/officeDocument/2006/relationships/image" Target="../media/image5.emf"/><Relationship Id="rId4" Type="http://schemas.openxmlformats.org/officeDocument/2006/relationships/control" Target="../activeX/activeX17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7" Type="http://schemas.openxmlformats.org/officeDocument/2006/relationships/image" Target="../media/image6.emf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1.bin"/><Relationship Id="rId6" Type="http://schemas.openxmlformats.org/officeDocument/2006/relationships/control" Target="../activeX/activeX20.xml"/><Relationship Id="rId5" Type="http://schemas.openxmlformats.org/officeDocument/2006/relationships/image" Target="../media/image5.emf"/><Relationship Id="rId4" Type="http://schemas.openxmlformats.org/officeDocument/2006/relationships/control" Target="../activeX/activeX19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7" Type="http://schemas.openxmlformats.org/officeDocument/2006/relationships/image" Target="../media/image6.emf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2.bin"/><Relationship Id="rId6" Type="http://schemas.openxmlformats.org/officeDocument/2006/relationships/control" Target="../activeX/activeX22.xml"/><Relationship Id="rId5" Type="http://schemas.openxmlformats.org/officeDocument/2006/relationships/image" Target="../media/image5.emf"/><Relationship Id="rId4" Type="http://schemas.openxmlformats.org/officeDocument/2006/relationships/control" Target="../activeX/activeX21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7" Type="http://schemas.openxmlformats.org/officeDocument/2006/relationships/image" Target="../media/image6.emf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3.bin"/><Relationship Id="rId6" Type="http://schemas.openxmlformats.org/officeDocument/2006/relationships/control" Target="../activeX/activeX24.xml"/><Relationship Id="rId5" Type="http://schemas.openxmlformats.org/officeDocument/2006/relationships/image" Target="../media/image5.emf"/><Relationship Id="rId4" Type="http://schemas.openxmlformats.org/officeDocument/2006/relationships/control" Target="../activeX/activeX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7" Type="http://schemas.openxmlformats.org/officeDocument/2006/relationships/image" Target="../media/image6.emf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4.bin"/><Relationship Id="rId6" Type="http://schemas.openxmlformats.org/officeDocument/2006/relationships/control" Target="../activeX/activeX26.xml"/><Relationship Id="rId5" Type="http://schemas.openxmlformats.org/officeDocument/2006/relationships/image" Target="../media/image5.emf"/><Relationship Id="rId4" Type="http://schemas.openxmlformats.org/officeDocument/2006/relationships/control" Target="../activeX/activeX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7" Type="http://schemas.openxmlformats.org/officeDocument/2006/relationships/image" Target="../media/image6.emf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5.bin"/><Relationship Id="rId6" Type="http://schemas.openxmlformats.org/officeDocument/2006/relationships/control" Target="../activeX/activeX28.xml"/><Relationship Id="rId5" Type="http://schemas.openxmlformats.org/officeDocument/2006/relationships/image" Target="../media/image5.emf"/><Relationship Id="rId4" Type="http://schemas.openxmlformats.org/officeDocument/2006/relationships/control" Target="../activeX/activeX27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7" Type="http://schemas.openxmlformats.org/officeDocument/2006/relationships/image" Target="../media/image6.emf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6.bin"/><Relationship Id="rId6" Type="http://schemas.openxmlformats.org/officeDocument/2006/relationships/control" Target="../activeX/activeX30.xml"/><Relationship Id="rId5" Type="http://schemas.openxmlformats.org/officeDocument/2006/relationships/image" Target="../media/image5.emf"/><Relationship Id="rId4" Type="http://schemas.openxmlformats.org/officeDocument/2006/relationships/control" Target="../activeX/activeX29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7" Type="http://schemas.openxmlformats.org/officeDocument/2006/relationships/image" Target="../media/image6.emf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7.bin"/><Relationship Id="rId6" Type="http://schemas.openxmlformats.org/officeDocument/2006/relationships/control" Target="../activeX/activeX32.xml"/><Relationship Id="rId5" Type="http://schemas.openxmlformats.org/officeDocument/2006/relationships/image" Target="../media/image5.emf"/><Relationship Id="rId4" Type="http://schemas.openxmlformats.org/officeDocument/2006/relationships/control" Target="../activeX/activeX31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7" Type="http://schemas.openxmlformats.org/officeDocument/2006/relationships/image" Target="../media/image6.emf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8.bin"/><Relationship Id="rId6" Type="http://schemas.openxmlformats.org/officeDocument/2006/relationships/control" Target="../activeX/activeX34.xml"/><Relationship Id="rId5" Type="http://schemas.openxmlformats.org/officeDocument/2006/relationships/image" Target="../media/image5.emf"/><Relationship Id="rId4" Type="http://schemas.openxmlformats.org/officeDocument/2006/relationships/control" Target="../activeX/activeX3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7" Type="http://schemas.openxmlformats.org/officeDocument/2006/relationships/image" Target="../media/image6.emf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0.bin"/><Relationship Id="rId6" Type="http://schemas.openxmlformats.org/officeDocument/2006/relationships/control" Target="../activeX/activeX36.xml"/><Relationship Id="rId5" Type="http://schemas.openxmlformats.org/officeDocument/2006/relationships/image" Target="../media/image5.emf"/><Relationship Id="rId4" Type="http://schemas.openxmlformats.org/officeDocument/2006/relationships/control" Target="../activeX/activeX35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1.bin"/><Relationship Id="rId5" Type="http://schemas.openxmlformats.org/officeDocument/2006/relationships/image" Target="../media/image8.emf"/><Relationship Id="rId4" Type="http://schemas.openxmlformats.org/officeDocument/2006/relationships/control" Target="../activeX/activeX37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7" Type="http://schemas.openxmlformats.org/officeDocument/2006/relationships/image" Target="../media/image6.emf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2.bin"/><Relationship Id="rId6" Type="http://schemas.openxmlformats.org/officeDocument/2006/relationships/control" Target="../activeX/activeX39.xml"/><Relationship Id="rId5" Type="http://schemas.openxmlformats.org/officeDocument/2006/relationships/image" Target="../media/image5.emf"/><Relationship Id="rId4" Type="http://schemas.openxmlformats.org/officeDocument/2006/relationships/control" Target="../activeX/activeX38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7" Type="http://schemas.openxmlformats.org/officeDocument/2006/relationships/image" Target="../media/image6.emf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4.bin"/><Relationship Id="rId6" Type="http://schemas.openxmlformats.org/officeDocument/2006/relationships/control" Target="../activeX/activeX41.xml"/><Relationship Id="rId5" Type="http://schemas.openxmlformats.org/officeDocument/2006/relationships/image" Target="../media/image5.emf"/><Relationship Id="rId4" Type="http://schemas.openxmlformats.org/officeDocument/2006/relationships/control" Target="../activeX/activeX40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"/>
  <sheetViews>
    <sheetView zoomScale="140" zoomScaleNormal="140" workbookViewId="0">
      <pane ySplit="2" topLeftCell="A24" activePane="bottomLeft" state="frozen"/>
      <selection pane="bottomLeft" sqref="A1:H1"/>
    </sheetView>
  </sheetViews>
  <sheetFormatPr defaultRowHeight="14.6" x14ac:dyDescent="0.4"/>
  <cols>
    <col min="1" max="1" width="47.69140625" customWidth="1"/>
    <col min="2" max="2" width="12.3046875" bestFit="1" customWidth="1"/>
    <col min="3" max="6" width="12.3046875" customWidth="1"/>
    <col min="7" max="7" width="13.15234375" customWidth="1"/>
    <col min="8" max="8" width="13.84375" customWidth="1"/>
    <col min="9" max="9" width="10.53515625" customWidth="1"/>
    <col min="11" max="11" width="114.3046875" bestFit="1" customWidth="1"/>
    <col min="12" max="13" width="0" hidden="1" customWidth="1"/>
  </cols>
  <sheetData>
    <row r="1" spans="1:11" ht="49.5" customHeight="1" x14ac:dyDescent="0.7">
      <c r="A1" s="940" t="s">
        <v>0</v>
      </c>
      <c r="B1" s="940"/>
      <c r="C1" s="940"/>
      <c r="D1" s="940"/>
      <c r="E1" s="940"/>
      <c r="F1" s="940"/>
      <c r="G1" s="940"/>
      <c r="H1" s="940"/>
    </row>
    <row r="2" spans="1:11" ht="42" customHeight="1" x14ac:dyDescent="0.4">
      <c r="A2" s="300" t="s">
        <v>1</v>
      </c>
      <c r="B2" s="301" t="s">
        <v>2</v>
      </c>
      <c r="C2" s="301" t="s">
        <v>3</v>
      </c>
      <c r="D2" s="302" t="s">
        <v>4</v>
      </c>
      <c r="E2" s="301" t="s">
        <v>5</v>
      </c>
      <c r="F2" s="302" t="s">
        <v>6</v>
      </c>
      <c r="G2" s="301" t="s">
        <v>7</v>
      </c>
      <c r="H2" s="302" t="s">
        <v>8</v>
      </c>
    </row>
    <row r="3" spans="1:11" x14ac:dyDescent="0.4">
      <c r="A3" s="244" t="s">
        <v>9</v>
      </c>
      <c r="B3" s="245">
        <v>4650100</v>
      </c>
      <c r="C3" s="246">
        <f>SUM('1% Overview'!J3)</f>
        <v>4758900</v>
      </c>
      <c r="D3" s="305">
        <f>(C3-B3)/B3</f>
        <v>2.3397346293628093E-2</v>
      </c>
      <c r="E3" s="246">
        <f>SUM('2% Overview'!J3)</f>
        <v>4781600</v>
      </c>
      <c r="F3" s="305">
        <f>(E3-B3)/B3</f>
        <v>2.8278961742758221E-2</v>
      </c>
      <c r="G3" s="246" t="e">
        <f>SUM(#REF!)</f>
        <v>#REF!</v>
      </c>
      <c r="H3" s="305" t="e">
        <f>(G3-B3)/B3</f>
        <v>#REF!</v>
      </c>
    </row>
    <row r="4" spans="1:11" x14ac:dyDescent="0.4">
      <c r="A4" s="155" t="s">
        <v>10</v>
      </c>
      <c r="B4" s="156">
        <v>265800</v>
      </c>
      <c r="C4" s="241">
        <f>SUM('1% Overview'!J4)</f>
        <v>269300</v>
      </c>
      <c r="D4" s="306">
        <f>(C4-B4)/B4</f>
        <v>1.3167795334838224E-2</v>
      </c>
      <c r="E4" s="241">
        <f>SUM('2% Overview'!J4)</f>
        <v>269300</v>
      </c>
      <c r="F4" s="306">
        <f t="shared" ref="F4:F31" si="0">(E4-B4)/B4</f>
        <v>1.3167795334838224E-2</v>
      </c>
      <c r="G4" s="241" t="e">
        <f>SUM(#REF!)</f>
        <v>#REF!</v>
      </c>
      <c r="H4" s="306" t="e">
        <f t="shared" ref="H4:H23" si="1">(G4-B4)/B4</f>
        <v>#REF!</v>
      </c>
    </row>
    <row r="5" spans="1:11" x14ac:dyDescent="0.4">
      <c r="A5" s="149" t="s">
        <v>11</v>
      </c>
      <c r="B5" s="242">
        <v>675600</v>
      </c>
      <c r="C5" s="243">
        <f>SUM('1% Overview'!J5)</f>
        <v>656400</v>
      </c>
      <c r="D5" s="307">
        <f t="shared" ref="D5:D31" si="2">(C5-B5)/B5</f>
        <v>-2.8419182948490232E-2</v>
      </c>
      <c r="E5" s="243">
        <f>SUM('2% Overview'!J5)</f>
        <v>656400</v>
      </c>
      <c r="F5" s="307">
        <f t="shared" si="0"/>
        <v>-2.8419182948490232E-2</v>
      </c>
      <c r="G5" s="243" t="e">
        <f>SUM(#REF!)</f>
        <v>#REF!</v>
      </c>
      <c r="H5" s="307" t="e">
        <f t="shared" si="1"/>
        <v>#REF!</v>
      </c>
    </row>
    <row r="6" spans="1:11" x14ac:dyDescent="0.4">
      <c r="A6" s="155" t="s">
        <v>12</v>
      </c>
      <c r="B6" s="234">
        <v>882200</v>
      </c>
      <c r="C6" s="241">
        <f>SUM('1% Overview'!J6)</f>
        <v>903500</v>
      </c>
      <c r="D6" s="306">
        <f t="shared" si="2"/>
        <v>2.414418499206529E-2</v>
      </c>
      <c r="E6" s="241">
        <f>SUM('2% Overview'!J6)</f>
        <v>907800</v>
      </c>
      <c r="F6" s="306">
        <f t="shared" si="0"/>
        <v>2.9018363182951711E-2</v>
      </c>
      <c r="G6" s="241" t="e">
        <f>SUM(#REF!)</f>
        <v>#REF!</v>
      </c>
      <c r="H6" s="306" t="e">
        <f t="shared" si="1"/>
        <v>#REF!</v>
      </c>
    </row>
    <row r="7" spans="1:11" x14ac:dyDescent="0.4">
      <c r="A7" s="149" t="s">
        <v>13</v>
      </c>
      <c r="B7" s="242">
        <v>8900</v>
      </c>
      <c r="C7" s="243">
        <f>SUM('1% Overview'!J7)</f>
        <v>8900</v>
      </c>
      <c r="D7" s="307">
        <f t="shared" si="2"/>
        <v>0</v>
      </c>
      <c r="E7" s="243">
        <f>SUM('2% Overview'!J7)</f>
        <v>8900</v>
      </c>
      <c r="F7" s="307">
        <f t="shared" si="0"/>
        <v>0</v>
      </c>
      <c r="G7" s="243" t="e">
        <f>SUM(#REF!)</f>
        <v>#REF!</v>
      </c>
      <c r="H7" s="307" t="e">
        <f t="shared" si="1"/>
        <v>#REF!</v>
      </c>
    </row>
    <row r="8" spans="1:11" x14ac:dyDescent="0.4">
      <c r="A8" s="155" t="s">
        <v>14</v>
      </c>
      <c r="B8" s="234">
        <v>71000</v>
      </c>
      <c r="C8" s="241">
        <f>SUM('1% Overview'!J8)</f>
        <v>72600</v>
      </c>
      <c r="D8" s="306">
        <f t="shared" si="2"/>
        <v>2.2535211267605635E-2</v>
      </c>
      <c r="E8" s="241">
        <f>SUM('2% Overview'!J8)</f>
        <v>72900</v>
      </c>
      <c r="F8" s="306">
        <f t="shared" si="0"/>
        <v>2.6760563380281689E-2</v>
      </c>
      <c r="G8" s="241" t="e">
        <f>SUM(#REF!)</f>
        <v>#REF!</v>
      </c>
      <c r="H8" s="306" t="e">
        <f t="shared" si="1"/>
        <v>#REF!</v>
      </c>
      <c r="K8" t="s">
        <v>15</v>
      </c>
    </row>
    <row r="9" spans="1:11" x14ac:dyDescent="0.4">
      <c r="A9" s="149" t="s">
        <v>16</v>
      </c>
      <c r="B9" s="242">
        <v>13600</v>
      </c>
      <c r="C9" s="243">
        <f>SUM('1% Overview'!J9)</f>
        <v>13500</v>
      </c>
      <c r="D9" s="307">
        <f t="shared" si="2"/>
        <v>-7.3529411764705881E-3</v>
      </c>
      <c r="E9" s="243">
        <f>SUM('2% Overview'!J9)</f>
        <v>13500</v>
      </c>
      <c r="F9" s="307">
        <f t="shared" si="0"/>
        <v>-7.3529411764705881E-3</v>
      </c>
      <c r="G9" s="243" t="e">
        <f>SUM(#REF!)</f>
        <v>#REF!</v>
      </c>
      <c r="H9" s="307" t="e">
        <f t="shared" si="1"/>
        <v>#REF!</v>
      </c>
      <c r="K9" t="s">
        <v>17</v>
      </c>
    </row>
    <row r="10" spans="1:11" x14ac:dyDescent="0.4">
      <c r="A10" s="155" t="s">
        <v>18</v>
      </c>
      <c r="B10" s="234">
        <v>210900</v>
      </c>
      <c r="C10" s="241">
        <f>SUM('1% Overview'!J10)</f>
        <v>291500</v>
      </c>
      <c r="D10" s="306">
        <f t="shared" si="2"/>
        <v>0.38217164532954007</v>
      </c>
      <c r="E10" s="241">
        <f>SUM('2% Overview'!J10)</f>
        <v>291500</v>
      </c>
      <c r="F10" s="306">
        <f t="shared" si="0"/>
        <v>0.38217164532954007</v>
      </c>
      <c r="G10" s="241" t="e">
        <f>SUM(#REF!)</f>
        <v>#REF!</v>
      </c>
      <c r="H10" s="306" t="e">
        <f t="shared" si="1"/>
        <v>#REF!</v>
      </c>
      <c r="K10" t="s">
        <v>19</v>
      </c>
    </row>
    <row r="11" spans="1:11" x14ac:dyDescent="0.4">
      <c r="A11" s="149" t="s">
        <v>20</v>
      </c>
      <c r="B11" s="242">
        <v>85000</v>
      </c>
      <c r="C11" s="243">
        <f>SUM('1% Overview'!J11)</f>
        <v>101700</v>
      </c>
      <c r="D11" s="307">
        <f t="shared" si="2"/>
        <v>0.19647058823529412</v>
      </c>
      <c r="E11" s="243">
        <f>SUM('2% Overview'!J11)</f>
        <v>101700</v>
      </c>
      <c r="F11" s="307">
        <f t="shared" si="0"/>
        <v>0.19647058823529412</v>
      </c>
      <c r="G11" s="243" t="e">
        <f>SUM(#REF!)</f>
        <v>#REF!</v>
      </c>
      <c r="H11" s="307" t="e">
        <f t="shared" si="1"/>
        <v>#REF!</v>
      </c>
      <c r="K11" t="s">
        <v>21</v>
      </c>
    </row>
    <row r="12" spans="1:11" x14ac:dyDescent="0.4">
      <c r="A12" s="155" t="s">
        <v>22</v>
      </c>
      <c r="B12" s="234">
        <v>7200</v>
      </c>
      <c r="C12" s="241">
        <f>SUM('1% Overview'!J12)</f>
        <v>7200</v>
      </c>
      <c r="D12" s="306">
        <f t="shared" si="2"/>
        <v>0</v>
      </c>
      <c r="E12" s="241">
        <f>SUM('2% Overview'!J12)</f>
        <v>7200</v>
      </c>
      <c r="F12" s="306">
        <f t="shared" si="0"/>
        <v>0</v>
      </c>
      <c r="G12" s="241" t="e">
        <f>SUM(#REF!)</f>
        <v>#REF!</v>
      </c>
      <c r="H12" s="306" t="e">
        <f t="shared" si="1"/>
        <v>#REF!</v>
      </c>
      <c r="K12" t="s">
        <v>23</v>
      </c>
    </row>
    <row r="13" spans="1:11" x14ac:dyDescent="0.4">
      <c r="A13" s="231" t="s">
        <v>24</v>
      </c>
      <c r="B13" s="232">
        <v>80800</v>
      </c>
      <c r="C13" s="243">
        <f>SUM('1% Overview'!J13)</f>
        <v>91000</v>
      </c>
      <c r="D13" s="307">
        <f t="shared" si="2"/>
        <v>0.12623762376237624</v>
      </c>
      <c r="E13" s="243">
        <f>SUM('2% Overview'!J13)</f>
        <v>91000</v>
      </c>
      <c r="F13" s="307">
        <f t="shared" si="0"/>
        <v>0.12623762376237624</v>
      </c>
      <c r="G13" s="233" t="e">
        <f>SUM(#REF!)</f>
        <v>#REF!</v>
      </c>
      <c r="H13" s="313" t="e">
        <f t="shared" si="1"/>
        <v>#REF!</v>
      </c>
      <c r="K13" t="s">
        <v>25</v>
      </c>
    </row>
    <row r="14" spans="1:11" x14ac:dyDescent="0.4">
      <c r="A14" s="155" t="s">
        <v>26</v>
      </c>
      <c r="B14" s="234">
        <v>13500</v>
      </c>
      <c r="C14" s="241">
        <f>SUM('1% Overview'!J14)</f>
        <v>12300</v>
      </c>
      <c r="D14" s="306">
        <f t="shared" si="2"/>
        <v>-8.8888888888888892E-2</v>
      </c>
      <c r="E14" s="241">
        <f>SUM('2% Overview'!J14)</f>
        <v>12300</v>
      </c>
      <c r="F14" s="306">
        <f t="shared" si="0"/>
        <v>-8.8888888888888892E-2</v>
      </c>
      <c r="G14" s="235" t="e">
        <f>SUM(#REF!)</f>
        <v>#REF!</v>
      </c>
      <c r="H14" s="314" t="e">
        <f t="shared" si="1"/>
        <v>#REF!</v>
      </c>
      <c r="K14" t="s">
        <v>27</v>
      </c>
    </row>
    <row r="15" spans="1:11" x14ac:dyDescent="0.4">
      <c r="A15" s="149" t="s">
        <v>28</v>
      </c>
      <c r="B15" s="242">
        <v>111700</v>
      </c>
      <c r="C15" s="243">
        <f>SUM('1% Overview'!J15)</f>
        <v>134300</v>
      </c>
      <c r="D15" s="307">
        <f t="shared" si="2"/>
        <v>0.20232766338406447</v>
      </c>
      <c r="E15" s="243">
        <f>SUM('2% Overview'!J15)</f>
        <v>134300</v>
      </c>
      <c r="F15" s="307">
        <f t="shared" si="0"/>
        <v>0.20232766338406447</v>
      </c>
      <c r="G15" s="243" t="e">
        <f>SUM(#REF!)</f>
        <v>#REF!</v>
      </c>
      <c r="H15" s="307" t="e">
        <f t="shared" si="1"/>
        <v>#REF!</v>
      </c>
    </row>
    <row r="16" spans="1:11" x14ac:dyDescent="0.4">
      <c r="A16" s="155" t="s">
        <v>29</v>
      </c>
      <c r="B16" s="234">
        <v>40000</v>
      </c>
      <c r="C16" s="241">
        <f>SUM('1% Overview'!J16)</f>
        <v>41100</v>
      </c>
      <c r="D16" s="306">
        <f t="shared" si="2"/>
        <v>2.75E-2</v>
      </c>
      <c r="E16" s="241">
        <f>SUM('2% Overview'!J16)</f>
        <v>41100</v>
      </c>
      <c r="F16" s="306">
        <f t="shared" si="0"/>
        <v>2.75E-2</v>
      </c>
      <c r="G16" s="235" t="e">
        <f>SUM(#REF!)</f>
        <v>#REF!</v>
      </c>
      <c r="H16" s="314" t="e">
        <f t="shared" si="1"/>
        <v>#REF!</v>
      </c>
    </row>
    <row r="17" spans="1:8" x14ac:dyDescent="0.4">
      <c r="A17" s="231" t="s">
        <v>30</v>
      </c>
      <c r="B17" s="232">
        <v>167300</v>
      </c>
      <c r="C17" s="243">
        <f>SUM('1% Overview'!J17)</f>
        <v>228200</v>
      </c>
      <c r="D17" s="307">
        <f t="shared" si="2"/>
        <v>0.36401673640167365</v>
      </c>
      <c r="E17" s="243">
        <f>SUM('2% Overview'!J17)</f>
        <v>228200</v>
      </c>
      <c r="F17" s="307">
        <f t="shared" si="0"/>
        <v>0.36401673640167365</v>
      </c>
      <c r="G17" s="233" t="e">
        <f>SUM(#REF!)</f>
        <v>#REF!</v>
      </c>
      <c r="H17" s="313" t="e">
        <f t="shared" si="1"/>
        <v>#REF!</v>
      </c>
    </row>
    <row r="18" spans="1:8" x14ac:dyDescent="0.4">
      <c r="A18" s="155" t="s">
        <v>31</v>
      </c>
      <c r="B18" s="234">
        <v>129300</v>
      </c>
      <c r="C18" s="241">
        <f>SUM('1% Overview'!J18)</f>
        <v>179500</v>
      </c>
      <c r="D18" s="306">
        <f t="shared" si="2"/>
        <v>0.38824439288476409</v>
      </c>
      <c r="E18" s="241">
        <f>SUM('2% Overview'!J18)</f>
        <v>179500</v>
      </c>
      <c r="F18" s="306">
        <f t="shared" si="0"/>
        <v>0.38824439288476409</v>
      </c>
      <c r="G18" s="235" t="e">
        <f>SUM(#REF!)</f>
        <v>#REF!</v>
      </c>
      <c r="H18" s="314" t="e">
        <f t="shared" si="1"/>
        <v>#REF!</v>
      </c>
    </row>
    <row r="19" spans="1:8" x14ac:dyDescent="0.4">
      <c r="A19" s="231" t="s">
        <v>32</v>
      </c>
      <c r="B19" s="232">
        <v>10200</v>
      </c>
      <c r="C19" s="243">
        <f>SUM('1% Overview'!J19)</f>
        <v>14300</v>
      </c>
      <c r="D19" s="307">
        <f t="shared" si="2"/>
        <v>0.40196078431372551</v>
      </c>
      <c r="E19" s="243">
        <f>SUM('2% Overview'!J19)</f>
        <v>14300</v>
      </c>
      <c r="F19" s="307">
        <f t="shared" si="0"/>
        <v>0.40196078431372551</v>
      </c>
      <c r="G19" s="233" t="e">
        <f>SUM(#REF!)</f>
        <v>#REF!</v>
      </c>
      <c r="H19" s="313" t="e">
        <f t="shared" si="1"/>
        <v>#REF!</v>
      </c>
    </row>
    <row r="20" spans="1:8" x14ac:dyDescent="0.4">
      <c r="A20" s="155" t="s">
        <v>33</v>
      </c>
      <c r="B20" s="234">
        <v>6000</v>
      </c>
      <c r="C20" s="241">
        <f>SUM('1% Overview'!J20)</f>
        <v>6000</v>
      </c>
      <c r="D20" s="306">
        <f t="shared" si="2"/>
        <v>0</v>
      </c>
      <c r="E20" s="241">
        <f>SUM('2% Overview'!J20)</f>
        <v>6000</v>
      </c>
      <c r="F20" s="306">
        <f t="shared" si="0"/>
        <v>0</v>
      </c>
      <c r="G20" s="235" t="e">
        <f>SUM(#REF!)</f>
        <v>#REF!</v>
      </c>
      <c r="H20" s="314" t="e">
        <f t="shared" si="1"/>
        <v>#REF!</v>
      </c>
    </row>
    <row r="21" spans="1:8" x14ac:dyDescent="0.4">
      <c r="A21" s="231" t="s">
        <v>34</v>
      </c>
      <c r="B21" s="232">
        <v>85300</v>
      </c>
      <c r="C21" s="243">
        <f>SUM('1% Overview'!J21)</f>
        <v>132500</v>
      </c>
      <c r="D21" s="307">
        <f t="shared" si="2"/>
        <v>0.55334114888628372</v>
      </c>
      <c r="E21" s="243">
        <f>SUM('2% Overview'!J21)</f>
        <v>132500</v>
      </c>
      <c r="F21" s="307">
        <f t="shared" si="0"/>
        <v>0.55334114888628372</v>
      </c>
      <c r="G21" s="233" t="e">
        <f>SUM(#REF!)</f>
        <v>#REF!</v>
      </c>
      <c r="H21" s="313" t="e">
        <f t="shared" si="1"/>
        <v>#REF!</v>
      </c>
    </row>
    <row r="22" spans="1:8" x14ac:dyDescent="0.4">
      <c r="A22" s="155" t="s">
        <v>35</v>
      </c>
      <c r="B22" s="234">
        <v>500</v>
      </c>
      <c r="C22" s="241">
        <f>SUM('1% Overview'!J22)</f>
        <v>500</v>
      </c>
      <c r="D22" s="306">
        <f t="shared" si="2"/>
        <v>0</v>
      </c>
      <c r="E22" s="241">
        <f>SUM('2% Overview'!J22)</f>
        <v>500</v>
      </c>
      <c r="F22" s="306">
        <f t="shared" si="0"/>
        <v>0</v>
      </c>
      <c r="G22" s="235" t="e">
        <f>SUM(#REF!)</f>
        <v>#REF!</v>
      </c>
      <c r="H22" s="314" t="e">
        <f t="shared" si="1"/>
        <v>#REF!</v>
      </c>
    </row>
    <row r="23" spans="1:8" x14ac:dyDescent="0.4">
      <c r="A23" s="231" t="s">
        <v>36</v>
      </c>
      <c r="B23" s="232">
        <v>857700</v>
      </c>
      <c r="C23" s="243">
        <f>SUM('1% Overview'!J23)</f>
        <v>1011000</v>
      </c>
      <c r="D23" s="307">
        <f t="shared" si="2"/>
        <v>0.17873382301504023</v>
      </c>
      <c r="E23" s="243">
        <f>SUM('2% Overview'!J23)</f>
        <v>1011000</v>
      </c>
      <c r="F23" s="307">
        <f t="shared" si="0"/>
        <v>0.17873382301504023</v>
      </c>
      <c r="G23" s="233" t="e">
        <f>SUM(#REF!)</f>
        <v>#REF!</v>
      </c>
      <c r="H23" s="313" t="e">
        <f t="shared" si="1"/>
        <v>#REF!</v>
      </c>
    </row>
    <row r="24" spans="1:8" x14ac:dyDescent="0.4">
      <c r="A24" s="155" t="s">
        <v>37</v>
      </c>
      <c r="B24" s="234">
        <v>0</v>
      </c>
      <c r="C24" s="241">
        <f>SUM('1% Overview'!J24)</f>
        <v>0</v>
      </c>
      <c r="D24" s="306">
        <v>0</v>
      </c>
      <c r="E24" s="241">
        <f>SUM('2% Overview'!J24)</f>
        <v>0</v>
      </c>
      <c r="F24" s="306">
        <v>0</v>
      </c>
      <c r="G24" s="235" t="e">
        <f>SUM(#REF!)</f>
        <v>#REF!</v>
      </c>
      <c r="H24" s="314">
        <v>0</v>
      </c>
    </row>
    <row r="25" spans="1:8" x14ac:dyDescent="0.4">
      <c r="A25" s="326" t="s">
        <v>38</v>
      </c>
      <c r="B25" s="351">
        <v>277600</v>
      </c>
      <c r="C25" s="352">
        <f>SUM('1% Overview'!J25)</f>
        <v>421300</v>
      </c>
      <c r="D25" s="353">
        <f t="shared" si="2"/>
        <v>0.51765129682997113</v>
      </c>
      <c r="E25" s="352">
        <f>SUM('2% Overview'!J25)</f>
        <v>421300</v>
      </c>
      <c r="F25" s="353">
        <f t="shared" si="0"/>
        <v>0.51765129682997113</v>
      </c>
      <c r="G25" s="352" t="e">
        <f>SUM(#REF!)</f>
        <v>#REF!</v>
      </c>
      <c r="H25" s="353" t="e">
        <f>(G25-B25)/B25</f>
        <v>#REF!</v>
      </c>
    </row>
    <row r="26" spans="1:8" x14ac:dyDescent="0.4">
      <c r="A26" s="155" t="s">
        <v>39</v>
      </c>
      <c r="B26" s="234">
        <v>123900</v>
      </c>
      <c r="C26" s="241">
        <f>SUM('1% Overview'!J26)</f>
        <v>145800</v>
      </c>
      <c r="D26" s="306">
        <f t="shared" si="2"/>
        <v>0.17675544794188863</v>
      </c>
      <c r="E26" s="241">
        <f>SUM('2% Overview'!J26)</f>
        <v>145800</v>
      </c>
      <c r="F26" s="306">
        <f t="shared" si="0"/>
        <v>0.17675544794188863</v>
      </c>
      <c r="G26" s="235" t="e">
        <f>SUM(#REF!)</f>
        <v>#REF!</v>
      </c>
      <c r="H26" s="314" t="e">
        <f>(G26-B26)/B26</f>
        <v>#REF!</v>
      </c>
    </row>
    <row r="27" spans="1:8" x14ac:dyDescent="0.4">
      <c r="A27" s="231" t="s">
        <v>40</v>
      </c>
      <c r="B27" s="232">
        <v>17800</v>
      </c>
      <c r="C27" s="243">
        <f>SUM('1% Overview'!J27)</f>
        <v>21700</v>
      </c>
      <c r="D27" s="307">
        <f t="shared" si="2"/>
        <v>0.21910112359550563</v>
      </c>
      <c r="E27" s="243">
        <f>SUM('2% Overview'!J27)</f>
        <v>21700</v>
      </c>
      <c r="F27" s="307">
        <f t="shared" si="0"/>
        <v>0.21910112359550563</v>
      </c>
      <c r="G27" s="233" t="e">
        <f>SUM(#REF!)</f>
        <v>#REF!</v>
      </c>
      <c r="H27" s="313" t="e">
        <f>(G27-B27)/B27</f>
        <v>#REF!</v>
      </c>
    </row>
    <row r="28" spans="1:8" x14ac:dyDescent="0.4">
      <c r="A28" s="155" t="s">
        <v>41</v>
      </c>
      <c r="B28" s="234">
        <v>425600</v>
      </c>
      <c r="C28" s="241">
        <f>SUM('1% Overview'!J28)</f>
        <v>0</v>
      </c>
      <c r="D28" s="306">
        <f t="shared" si="2"/>
        <v>-1</v>
      </c>
      <c r="E28" s="241">
        <f>SUM('2% Overview'!J28)</f>
        <v>0</v>
      </c>
      <c r="F28" s="306">
        <f t="shared" si="0"/>
        <v>-1</v>
      </c>
      <c r="G28" s="235" t="e">
        <f>SUM(#REF!)</f>
        <v>#REF!</v>
      </c>
      <c r="H28" s="314" t="e">
        <f>(G28-B28)/B28</f>
        <v>#REF!</v>
      </c>
    </row>
    <row r="29" spans="1:8" x14ac:dyDescent="0.4">
      <c r="A29" s="231" t="s">
        <v>42</v>
      </c>
      <c r="B29" s="232">
        <v>61200</v>
      </c>
      <c r="C29" s="243">
        <f>SUM('1% Overview'!J29)</f>
        <v>65000</v>
      </c>
      <c r="D29" s="307">
        <f t="shared" si="2"/>
        <v>6.2091503267973858E-2</v>
      </c>
      <c r="E29" s="243">
        <f>SUM('2% Overview'!J29)</f>
        <v>65000</v>
      </c>
      <c r="F29" s="307">
        <f t="shared" si="0"/>
        <v>6.2091503267973858E-2</v>
      </c>
      <c r="G29" s="233" t="e">
        <f>SUM(#REF!)</f>
        <v>#REF!</v>
      </c>
      <c r="H29" s="313" t="e">
        <f>(G29-B29)/B29</f>
        <v>#REF!</v>
      </c>
    </row>
    <row r="30" spans="1:8" x14ac:dyDescent="0.4">
      <c r="A30" s="155" t="s">
        <v>43</v>
      </c>
      <c r="B30" s="234">
        <v>0</v>
      </c>
      <c r="C30" s="241">
        <f>SUM('1% Overview'!J30)</f>
        <v>0</v>
      </c>
      <c r="D30" s="306">
        <v>0</v>
      </c>
      <c r="E30" s="241">
        <f>SUM('2% Overview'!J30)</f>
        <v>0</v>
      </c>
      <c r="F30" s="306">
        <v>0</v>
      </c>
      <c r="G30" s="235" t="e">
        <f>SUM(#REF!)</f>
        <v>#REF!</v>
      </c>
      <c r="H30" s="314">
        <v>0</v>
      </c>
    </row>
    <row r="31" spans="1:8" x14ac:dyDescent="0.4">
      <c r="A31" s="231" t="s">
        <v>44</v>
      </c>
      <c r="B31" s="232">
        <v>5000</v>
      </c>
      <c r="C31" s="243">
        <f>SUM('1% Overview'!J31)</f>
        <v>5000</v>
      </c>
      <c r="D31" s="308">
        <f t="shared" si="2"/>
        <v>0</v>
      </c>
      <c r="E31" s="243">
        <f>SUM('2% Overview'!J31)</f>
        <v>5000</v>
      </c>
      <c r="F31" s="308">
        <f t="shared" si="0"/>
        <v>0</v>
      </c>
      <c r="G31" s="233" t="e">
        <f>SUM(#REF!)</f>
        <v>#REF!</v>
      </c>
      <c r="H31" s="313" t="e">
        <f>(G31-B31)/B31</f>
        <v>#REF!</v>
      </c>
    </row>
    <row r="32" spans="1:8" x14ac:dyDescent="0.4">
      <c r="A32" s="21" t="s">
        <v>45</v>
      </c>
      <c r="B32" s="237">
        <f>SUM(B3:B31)</f>
        <v>9283700</v>
      </c>
      <c r="C32" s="238">
        <f>SUM(C3:C31)</f>
        <v>9593000</v>
      </c>
      <c r="D32" s="309">
        <f>(C32-B32)/B32</f>
        <v>3.3316457877785796E-2</v>
      </c>
      <c r="E32" s="238">
        <f>SUM(E3:E31)</f>
        <v>9620300</v>
      </c>
      <c r="F32" s="309">
        <f>(E32-B32)/B32</f>
        <v>3.6257095770005493E-2</v>
      </c>
      <c r="G32" s="238" t="e">
        <f>SUM(G3:G31)</f>
        <v>#REF!</v>
      </c>
      <c r="H32" s="309" t="e">
        <f>(G32-$B$32)/$B$32</f>
        <v>#REF!</v>
      </c>
    </row>
    <row r="33" spans="1:10" x14ac:dyDescent="0.4">
      <c r="A33" s="231"/>
      <c r="B33" s="236"/>
      <c r="C33" s="236"/>
      <c r="D33" s="310"/>
      <c r="E33" s="236"/>
      <c r="F33" s="310"/>
      <c r="G33" s="233"/>
      <c r="H33" s="315"/>
    </row>
    <row r="34" spans="1:10" x14ac:dyDescent="0.4">
      <c r="A34" s="3" t="s">
        <v>46</v>
      </c>
      <c r="B34" s="234">
        <v>227800</v>
      </c>
      <c r="C34" s="241">
        <f>'1% Overview'!J34</f>
        <v>282300</v>
      </c>
      <c r="D34" s="311">
        <f>(C34-$B$34)/$B$34</f>
        <v>0.23924495171202809</v>
      </c>
      <c r="E34" s="241">
        <f>'2% Overview'!J34</f>
        <v>282300</v>
      </c>
      <c r="F34" s="311">
        <f>(E34-$B$34)/$B$34</f>
        <v>0.23924495171202809</v>
      </c>
      <c r="G34" s="241" t="e">
        <f>SUM(#REF!)</f>
        <v>#REF!</v>
      </c>
      <c r="H34" s="311" t="e">
        <f>(G34-$B$34)/$B$34</f>
        <v>#REF!</v>
      </c>
    </row>
    <row r="35" spans="1:10" x14ac:dyDescent="0.4">
      <c r="A35" s="365" t="s">
        <v>47</v>
      </c>
      <c r="B35" s="366">
        <f>SUM(B32:B34)</f>
        <v>9511500</v>
      </c>
      <c r="C35" s="367">
        <f>SUM(C32:C34)</f>
        <v>9875300</v>
      </c>
      <c r="D35" s="368">
        <f>(C35-$B$35)/$B$35</f>
        <v>3.8248436103663984E-2</v>
      </c>
      <c r="E35" s="367">
        <f>SUM(E32:E34)</f>
        <v>9902600</v>
      </c>
      <c r="F35" s="368">
        <f>(E35-$B$35)/$B$35</f>
        <v>4.1118645849760813E-2</v>
      </c>
      <c r="G35" s="367" t="e">
        <f>SUM(G32:G34)</f>
        <v>#REF!</v>
      </c>
      <c r="H35" s="368" t="e">
        <f>(G35-$B$35)/$B$35</f>
        <v>#REF!</v>
      </c>
      <c r="J35" s="123"/>
    </row>
    <row r="36" spans="1:10" x14ac:dyDescent="0.4">
      <c r="A36" s="163" t="s">
        <v>48</v>
      </c>
      <c r="B36" s="239"/>
      <c r="C36" s="240"/>
      <c r="D36" s="309"/>
      <c r="E36" s="240"/>
      <c r="F36" s="309"/>
      <c r="G36" s="240"/>
      <c r="H36" s="309"/>
    </row>
    <row r="37" spans="1:10" ht="15" thickBot="1" x14ac:dyDescent="0.45">
      <c r="A37" s="231" t="s">
        <v>49</v>
      </c>
      <c r="B37" s="345">
        <v>-158000</v>
      </c>
      <c r="C37" s="346">
        <f>-(322053+50000)</f>
        <v>-372053</v>
      </c>
      <c r="D37" s="347"/>
      <c r="E37" s="346">
        <f>SUM(C37)</f>
        <v>-372053</v>
      </c>
      <c r="F37" s="347"/>
      <c r="G37" s="346">
        <f>SUM(C37-27400)</f>
        <v>-399453</v>
      </c>
      <c r="H37" s="315"/>
    </row>
    <row r="38" spans="1:10" ht="15.45" thickTop="1" thickBot="1" x14ac:dyDescent="0.45">
      <c r="A38" s="30" t="s">
        <v>50</v>
      </c>
      <c r="B38" s="32">
        <f>SUM(B35:B37)</f>
        <v>9353500</v>
      </c>
      <c r="C38" s="32">
        <f t="shared" ref="C38" si="3">SUM(C35:C37)</f>
        <v>9503247</v>
      </c>
      <c r="D38" s="312">
        <f>(C38-$B$38)/$B$38</f>
        <v>1.6009728978457261E-2</v>
      </c>
      <c r="E38" s="32">
        <f t="shared" ref="E38" si="4">SUM(E35:E37)</f>
        <v>9530547</v>
      </c>
      <c r="F38" s="312">
        <f>(E38-$B$38)/$B$38</f>
        <v>1.8928422515635857E-2</v>
      </c>
      <c r="G38" s="32" t="e">
        <f t="shared" ref="G38" si="5">SUM(G35:G37)</f>
        <v>#REF!</v>
      </c>
      <c r="H38" s="312" t="e">
        <f>(G38-$B$38)/$B$38</f>
        <v>#REF!</v>
      </c>
    </row>
    <row r="39" spans="1:10" ht="15" thickTop="1" x14ac:dyDescent="0.4"/>
    <row r="40" spans="1:10" ht="20.6" x14ac:dyDescent="0.55000000000000004">
      <c r="A40" s="941" t="s">
        <v>51</v>
      </c>
      <c r="B40" s="941"/>
      <c r="C40" s="941"/>
      <c r="D40" s="941"/>
      <c r="E40" s="941"/>
      <c r="F40" s="941"/>
      <c r="G40" s="941"/>
      <c r="H40" s="941"/>
    </row>
    <row r="41" spans="1:10" hidden="1" x14ac:dyDescent="0.4">
      <c r="C41" s="5">
        <f>C38-B38</f>
        <v>149747</v>
      </c>
    </row>
    <row r="42" spans="1:10" hidden="1" x14ac:dyDescent="0.4">
      <c r="C42" t="s">
        <v>52</v>
      </c>
    </row>
  </sheetData>
  <protectedRanges>
    <protectedRange sqref="C34:C38 E32 C32 E34:E38 G1:G1048576" name="Range1" securityDescriptor="O:WDG:WDD:(A;;CC;;;S-1-5-21-751916245-1090913435-1903153266-1213)"/>
  </protectedRanges>
  <mergeCells count="2">
    <mergeCell ref="A1:H1"/>
    <mergeCell ref="A40:H40"/>
  </mergeCells>
  <conditionalFormatting sqref="D3:D38 F3:F38 H3:H38">
    <cfRule type="cellIs" dxfId="194" priority="5" stopIfTrue="1" operator="lessThan">
      <formula>0</formula>
    </cfRule>
    <cfRule type="cellIs" dxfId="193" priority="6" stopIfTrue="1" operator="greaterThan">
      <formula>0</formula>
    </cfRule>
  </conditionalFormatting>
  <conditionalFormatting sqref="D34:D35">
    <cfRule type="cellIs" dxfId="192" priority="13" operator="equal">
      <formula>0</formula>
    </cfRule>
    <cfRule type="cellIs" dxfId="191" priority="14" operator="lessThan">
      <formula>0</formula>
    </cfRule>
    <cfRule type="cellIs" dxfId="190" priority="15" operator="greaterThan">
      <formula>0</formula>
    </cfRule>
  </conditionalFormatting>
  <conditionalFormatting sqref="D38">
    <cfRule type="cellIs" dxfId="189" priority="19" operator="equal">
      <formula>0</formula>
    </cfRule>
    <cfRule type="cellIs" dxfId="188" priority="20" operator="lessThan">
      <formula>0</formula>
    </cfRule>
    <cfRule type="cellIs" dxfId="187" priority="21" operator="greaterThan">
      <formula>0</formula>
    </cfRule>
  </conditionalFormatting>
  <conditionalFormatting sqref="F3:F31">
    <cfRule type="expression" dxfId="186" priority="1">
      <formula>"&lt;1"</formula>
    </cfRule>
  </conditionalFormatting>
  <conditionalFormatting sqref="F3:F38 D3:D38 H3:H38">
    <cfRule type="cellIs" dxfId="185" priority="4" stopIfTrue="1" operator="equal">
      <formula>0</formula>
    </cfRule>
  </conditionalFormatting>
  <conditionalFormatting sqref="F32">
    <cfRule type="cellIs" dxfId="184" priority="7" operator="equal">
      <formula>0</formula>
    </cfRule>
    <cfRule type="cellIs" dxfId="183" priority="8" operator="lessThan">
      <formula>0</formula>
    </cfRule>
    <cfRule type="cellIs" dxfId="182" priority="9" operator="greaterThan">
      <formula>0</formula>
    </cfRule>
  </conditionalFormatting>
  <conditionalFormatting sqref="F34:F35">
    <cfRule type="cellIs" dxfId="181" priority="10" operator="equal">
      <formula>0</formula>
    </cfRule>
    <cfRule type="cellIs" dxfId="180" priority="11" operator="lessThan">
      <formula>0</formula>
    </cfRule>
    <cfRule type="cellIs" dxfId="179" priority="12" operator="greaterThan">
      <formula>0</formula>
    </cfRule>
  </conditionalFormatting>
  <conditionalFormatting sqref="F38">
    <cfRule type="cellIs" dxfId="178" priority="22" operator="equal">
      <formula>0</formula>
    </cfRule>
    <cfRule type="cellIs" dxfId="177" priority="23" operator="lessThan">
      <formula>0</formula>
    </cfRule>
    <cfRule type="cellIs" dxfId="176" priority="24" operator="greaterThan">
      <formula>0</formula>
    </cfRule>
  </conditionalFormatting>
  <conditionalFormatting sqref="H3:H32">
    <cfRule type="cellIs" dxfId="175" priority="40" operator="equal">
      <formula>0</formula>
    </cfRule>
    <cfRule type="cellIs" dxfId="174" priority="41" operator="lessThan">
      <formula>0</formula>
    </cfRule>
    <cfRule type="cellIs" dxfId="173" priority="42" operator="greaterThan">
      <formula>0</formula>
    </cfRule>
  </conditionalFormatting>
  <conditionalFormatting sqref="H34:H35">
    <cfRule type="cellIs" dxfId="172" priority="55" operator="equal">
      <formula>0</formula>
    </cfRule>
    <cfRule type="cellIs" dxfId="171" priority="56" operator="lessThan">
      <formula>0</formula>
    </cfRule>
    <cfRule type="cellIs" dxfId="170" priority="57" operator="greaterThan">
      <formula>0</formula>
    </cfRule>
  </conditionalFormatting>
  <conditionalFormatting sqref="H38">
    <cfRule type="cellIs" dxfId="169" priority="52" operator="equal">
      <formula>0</formula>
    </cfRule>
    <cfRule type="cellIs" dxfId="168" priority="53" operator="lessThan">
      <formula>0</formula>
    </cfRule>
    <cfRule type="cellIs" dxfId="167" priority="54" operator="greaterThan">
      <formula>0</formula>
    </cfRule>
  </conditionalFormatting>
  <printOptions horizontalCentered="1" verticalCentered="1"/>
  <pageMargins left="0.45" right="0.45" top="0.25" bottom="0.25" header="0.3" footer="0.3"/>
  <pageSetup scale="8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4:R59"/>
  <sheetViews>
    <sheetView workbookViewId="0">
      <selection activeCell="A9" sqref="A9"/>
    </sheetView>
  </sheetViews>
  <sheetFormatPr defaultColWidth="14.3828125" defaultRowHeight="15" customHeight="1" x14ac:dyDescent="0.4"/>
  <cols>
    <col min="1" max="1" width="9" customWidth="1"/>
    <col min="2" max="2" width="20.15234375" customWidth="1"/>
    <col min="3" max="3" width="13.53515625" customWidth="1"/>
    <col min="4" max="4" width="15" customWidth="1"/>
    <col min="5" max="5" width="8.15234375" customWidth="1"/>
    <col min="6" max="6" width="10.15234375" customWidth="1"/>
    <col min="7" max="7" width="13.15234375" customWidth="1"/>
    <col min="8" max="8" width="10.53515625" customWidth="1"/>
    <col min="9" max="9" width="11.53515625" customWidth="1"/>
    <col min="10" max="10" width="8.84375" customWidth="1"/>
    <col min="11" max="12" width="6.53515625" customWidth="1"/>
    <col min="13" max="13" width="17.3828125" customWidth="1"/>
    <col min="14" max="14" width="13" customWidth="1"/>
    <col min="15" max="15" width="8.15234375" customWidth="1"/>
    <col min="16" max="16" width="8.53515625" customWidth="1"/>
    <col min="17" max="17" width="6.53515625" customWidth="1"/>
    <col min="18" max="25" width="13.3046875" customWidth="1"/>
    <col min="26" max="26" width="15.15234375" customWidth="1"/>
  </cols>
  <sheetData>
    <row r="4" spans="1:18" ht="26.15" x14ac:dyDescent="0.7">
      <c r="A4" s="411"/>
      <c r="B4" s="411"/>
      <c r="C4" s="411"/>
      <c r="D4" s="411"/>
      <c r="E4" s="411"/>
      <c r="F4" s="411"/>
      <c r="G4" s="411"/>
      <c r="H4" s="411"/>
      <c r="I4" s="411"/>
    </row>
    <row r="5" spans="1:18" ht="26.15" x14ac:dyDescent="0.7">
      <c r="A5" s="411"/>
      <c r="B5" s="411"/>
      <c r="C5" s="411"/>
      <c r="D5" s="411"/>
      <c r="E5" s="411"/>
      <c r="F5" s="411"/>
      <c r="G5" s="411"/>
      <c r="H5" s="411"/>
      <c r="I5" s="411"/>
    </row>
    <row r="6" spans="1:18" ht="26.15" x14ac:dyDescent="0.7">
      <c r="A6" s="953" t="s">
        <v>614</v>
      </c>
      <c r="B6" s="953"/>
      <c r="C6" s="953"/>
      <c r="D6" s="953"/>
      <c r="E6" s="953"/>
      <c r="F6" s="953"/>
      <c r="G6" s="953"/>
      <c r="H6" s="953"/>
      <c r="I6" s="953" t="s">
        <v>566</v>
      </c>
      <c r="J6" s="953"/>
      <c r="K6" s="953"/>
      <c r="L6" s="953"/>
      <c r="M6" s="953"/>
      <c r="N6" s="953"/>
      <c r="O6" s="953"/>
      <c r="P6" s="953"/>
      <c r="Q6" s="953"/>
      <c r="R6" s="953"/>
    </row>
    <row r="7" spans="1:18" ht="15" customHeight="1" x14ac:dyDescent="0.4">
      <c r="B7" s="197"/>
      <c r="C7" s="922" t="s">
        <v>65</v>
      </c>
      <c r="D7" s="923" t="s">
        <v>66</v>
      </c>
      <c r="E7" s="924" t="s">
        <v>67</v>
      </c>
      <c r="L7" s="197"/>
      <c r="M7" s="922" t="s">
        <v>65</v>
      </c>
      <c r="N7" s="923" t="s">
        <v>66</v>
      </c>
      <c r="O7" s="924" t="s">
        <v>67</v>
      </c>
      <c r="P7" s="197"/>
    </row>
    <row r="8" spans="1:18" ht="15" customHeight="1" x14ac:dyDescent="0.4">
      <c r="B8" s="197"/>
      <c r="C8" s="925" t="s">
        <v>64</v>
      </c>
      <c r="D8" s="926">
        <f>SUM('4% Overview'!S7)</f>
        <v>8621500</v>
      </c>
      <c r="E8" s="927">
        <f t="shared" ref="E8:E12" si="0">D8/$D$13</f>
        <v>0.74677996344706321</v>
      </c>
      <c r="L8" s="197"/>
      <c r="M8" s="925" t="s">
        <v>567</v>
      </c>
      <c r="N8" s="926">
        <f>'ARB Budget'!F10</f>
        <v>252910</v>
      </c>
      <c r="O8" s="927">
        <f>N8/$N$13</f>
        <v>0.89589089620970597</v>
      </c>
      <c r="P8" s="197"/>
    </row>
    <row r="9" spans="1:18" ht="15" customHeight="1" x14ac:dyDescent="0.4">
      <c r="B9" s="197"/>
      <c r="C9" s="928" t="s">
        <v>68</v>
      </c>
      <c r="D9" s="929">
        <f>SUM('4% Overview'!S8)</f>
        <v>517200</v>
      </c>
      <c r="E9" s="930">
        <f t="shared" si="0"/>
        <v>4.4799002156796511E-2</v>
      </c>
      <c r="L9" s="197"/>
      <c r="M9" s="928" t="s">
        <v>68</v>
      </c>
      <c r="N9" s="929">
        <f>'ARB Budget'!F15</f>
        <v>1060</v>
      </c>
      <c r="O9" s="930">
        <f>N9/$N$13</f>
        <v>3.7548707049238398E-3</v>
      </c>
      <c r="P9" s="197"/>
    </row>
    <row r="10" spans="1:18" ht="15" customHeight="1" x14ac:dyDescent="0.4">
      <c r="B10" s="197"/>
      <c r="C10" s="925" t="s">
        <v>69</v>
      </c>
      <c r="D10" s="926">
        <f>SUM('4% Overview'!S9)</f>
        <v>2336200</v>
      </c>
      <c r="E10" s="927">
        <f t="shared" si="0"/>
        <v>0.20235775104158546</v>
      </c>
      <c r="L10" s="197"/>
      <c r="M10" s="925" t="s">
        <v>568</v>
      </c>
      <c r="N10" s="926">
        <f>'ARB Budget'!F27</f>
        <v>20785.5</v>
      </c>
      <c r="O10" s="927">
        <f>N10/$N$13</f>
        <v>7.3629117959617435E-2</v>
      </c>
      <c r="P10" s="197"/>
    </row>
    <row r="11" spans="1:18" ht="15" customHeight="1" x14ac:dyDescent="0.4">
      <c r="B11" s="197"/>
      <c r="C11" s="928" t="s">
        <v>71</v>
      </c>
      <c r="D11" s="929">
        <f>SUM('4% Overview'!S10)</f>
        <v>0</v>
      </c>
      <c r="E11" s="930">
        <f t="shared" si="0"/>
        <v>0</v>
      </c>
      <c r="L11" s="197"/>
      <c r="M11" s="928" t="s">
        <v>569</v>
      </c>
      <c r="N11" s="929">
        <f>'ARB Budget'!F32</f>
        <v>0</v>
      </c>
      <c r="O11" s="930">
        <f>N11/$N$13</f>
        <v>0</v>
      </c>
      <c r="P11" s="197"/>
    </row>
    <row r="12" spans="1:18" ht="15" customHeight="1" x14ac:dyDescent="0.4">
      <c r="B12" s="197"/>
      <c r="C12" s="925" t="s">
        <v>72</v>
      </c>
      <c r="D12" s="926">
        <f>SUM('4% Overview'!S11)</f>
        <v>70000</v>
      </c>
      <c r="E12" s="927">
        <f t="shared" si="0"/>
        <v>6.0632833545548248E-3</v>
      </c>
      <c r="L12" s="197"/>
      <c r="M12" s="925" t="s">
        <v>570</v>
      </c>
      <c r="N12" s="926">
        <f>'ARB Budget'!F37</f>
        <v>7500</v>
      </c>
      <c r="O12" s="927">
        <f>N12/$N$13</f>
        <v>2.6567481402763018E-2</v>
      </c>
      <c r="P12" s="197"/>
    </row>
    <row r="13" spans="1:18" ht="15" customHeight="1" x14ac:dyDescent="0.4">
      <c r="B13" s="197"/>
      <c r="C13" s="928" t="s">
        <v>74</v>
      </c>
      <c r="D13" s="929">
        <f>SUM(D8:D12)</f>
        <v>11544900</v>
      </c>
      <c r="E13" s="930">
        <f>SUM(E8:E12)</f>
        <v>1</v>
      </c>
      <c r="L13" s="197"/>
      <c r="M13" s="928" t="s">
        <v>74</v>
      </c>
      <c r="N13" s="929">
        <f>SUM(ROUNDUP(SUBTOTAL(109,N8:N12),-2))</f>
        <v>282300</v>
      </c>
      <c r="O13" s="931">
        <f>SUM(O8:O12)</f>
        <v>0.99984236627701029</v>
      </c>
      <c r="P13" s="197"/>
    </row>
    <row r="14" spans="1:18" ht="15" customHeight="1" x14ac:dyDescent="0.4">
      <c r="B14" s="197"/>
      <c r="C14" s="197"/>
      <c r="D14" s="197"/>
      <c r="E14" s="197"/>
    </row>
    <row r="52" spans="3:5" ht="15" customHeight="1" x14ac:dyDescent="0.4">
      <c r="C52" s="330" t="s">
        <v>65</v>
      </c>
      <c r="D52" s="331" t="s">
        <v>66</v>
      </c>
      <c r="E52" s="338" t="s">
        <v>67</v>
      </c>
    </row>
    <row r="53" spans="3:5" ht="15" customHeight="1" x14ac:dyDescent="0.4">
      <c r="C53" s="335" t="s">
        <v>64</v>
      </c>
      <c r="D53" s="332">
        <f>SUM(D8)</f>
        <v>8621500</v>
      </c>
      <c r="E53" s="333">
        <f t="shared" ref="E53:E58" si="1">D53/$D$59</f>
        <v>0.72895528950216448</v>
      </c>
    </row>
    <row r="54" spans="3:5" ht="15" customHeight="1" x14ac:dyDescent="0.4">
      <c r="C54" s="336" t="s">
        <v>68</v>
      </c>
      <c r="D54" s="340">
        <f>SUM(D9)</f>
        <v>517200</v>
      </c>
      <c r="E54" s="337">
        <f t="shared" si="1"/>
        <v>4.3729707792207792E-2</v>
      </c>
    </row>
    <row r="55" spans="3:5" ht="15" customHeight="1" x14ac:dyDescent="0.4">
      <c r="C55" s="335" t="s">
        <v>69</v>
      </c>
      <c r="D55" s="332">
        <f>SUM(D10)</f>
        <v>2336200</v>
      </c>
      <c r="E55" s="333">
        <f t="shared" si="1"/>
        <v>0.19752773268398269</v>
      </c>
    </row>
    <row r="56" spans="3:5" ht="15" customHeight="1" x14ac:dyDescent="0.4">
      <c r="C56" s="336" t="s">
        <v>71</v>
      </c>
      <c r="D56" s="340">
        <f>SUM(D11)</f>
        <v>0</v>
      </c>
      <c r="E56" s="337">
        <f t="shared" si="1"/>
        <v>0</v>
      </c>
    </row>
    <row r="57" spans="3:5" ht="15" customHeight="1" x14ac:dyDescent="0.4">
      <c r="C57" s="335" t="s">
        <v>72</v>
      </c>
      <c r="D57" s="332">
        <f>SUM(D12)</f>
        <v>70000</v>
      </c>
      <c r="E57" s="333">
        <f t="shared" si="1"/>
        <v>5.918560606060606E-3</v>
      </c>
    </row>
    <row r="58" spans="3:5" ht="15" customHeight="1" x14ac:dyDescent="0.4">
      <c r="C58" s="339" t="s">
        <v>73</v>
      </c>
      <c r="D58" s="341">
        <f>SUM(N13)</f>
        <v>282300</v>
      </c>
      <c r="E58" s="334">
        <f t="shared" si="1"/>
        <v>2.3868709415584416E-2</v>
      </c>
    </row>
    <row r="59" spans="3:5" ht="15" customHeight="1" x14ac:dyDescent="0.4">
      <c r="C59" s="342" t="s">
        <v>158</v>
      </c>
      <c r="D59" s="343">
        <f>SUM(D53:D58)</f>
        <v>11827200</v>
      </c>
      <c r="E59" s="344">
        <f>SUM(E53:E58)</f>
        <v>0.99999999999999989</v>
      </c>
    </row>
  </sheetData>
  <mergeCells count="2">
    <mergeCell ref="A6:H6"/>
    <mergeCell ref="I6:R6"/>
  </mergeCells>
  <printOptions horizontalCentered="1"/>
  <pageMargins left="0.25" right="0.25" top="0.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AF50C-E8DD-416A-8730-B2DDDF581907}">
  <sheetPr>
    <pageSetUpPr fitToPage="1"/>
  </sheetPr>
  <dimension ref="A4:E43"/>
  <sheetViews>
    <sheetView zoomScale="140" zoomScaleNormal="140" zoomScaleSheetLayoutView="70" workbookViewId="0">
      <selection activeCell="E36" sqref="E36"/>
    </sheetView>
  </sheetViews>
  <sheetFormatPr defaultRowHeight="14.6" x14ac:dyDescent="0.4"/>
  <cols>
    <col min="1" max="1" width="34.84375" bestFit="1" customWidth="1"/>
    <col min="2" max="3" width="15.53515625" bestFit="1" customWidth="1"/>
    <col min="4" max="4" width="14.3046875" customWidth="1"/>
    <col min="5" max="5" width="15.15234375" bestFit="1" customWidth="1"/>
  </cols>
  <sheetData>
    <row r="4" spans="1:5" ht="24.75" customHeight="1" x14ac:dyDescent="0.4"/>
    <row r="5" spans="1:5" ht="35.6" x14ac:dyDescent="0.9">
      <c r="A5" s="954" t="s">
        <v>571</v>
      </c>
      <c r="B5" s="954"/>
      <c r="C5" s="954"/>
      <c r="D5" s="954"/>
      <c r="E5" s="954"/>
    </row>
    <row r="6" spans="1:5" ht="19.5" customHeight="1" x14ac:dyDescent="0.6">
      <c r="A6" s="955" t="s">
        <v>611</v>
      </c>
      <c r="B6" s="955"/>
      <c r="C6" s="955"/>
      <c r="D6" s="955"/>
      <c r="E6" s="955"/>
    </row>
    <row r="7" spans="1:5" x14ac:dyDescent="0.4">
      <c r="A7" s="956" t="s">
        <v>612</v>
      </c>
      <c r="B7" s="956"/>
      <c r="C7" s="956"/>
      <c r="D7" s="956"/>
      <c r="E7" s="956"/>
    </row>
    <row r="8" spans="1:5" ht="9" customHeight="1" thickBot="1" x14ac:dyDescent="0.45">
      <c r="D8" s="410"/>
      <c r="E8" s="410"/>
    </row>
    <row r="9" spans="1:5" ht="30.45" thickBot="1" x14ac:dyDescent="0.45">
      <c r="A9" s="769" t="s">
        <v>572</v>
      </c>
      <c r="B9" s="768" t="s">
        <v>573</v>
      </c>
      <c r="C9" s="768" t="s">
        <v>613</v>
      </c>
      <c r="D9" s="768" t="s">
        <v>574</v>
      </c>
      <c r="E9" s="768" t="s">
        <v>575</v>
      </c>
    </row>
    <row r="10" spans="1:5" ht="15.45" x14ac:dyDescent="0.4">
      <c r="A10" s="369" t="s">
        <v>576</v>
      </c>
      <c r="B10" s="384">
        <f>SUM('4% Overview'!I3)</f>
        <v>5200600</v>
      </c>
      <c r="C10" s="385">
        <f>SUM('4% Overview'!J3)</f>
        <v>6180500</v>
      </c>
      <c r="D10" s="390">
        <f>SUM(C10-B10)</f>
        <v>979900</v>
      </c>
      <c r="E10" s="370">
        <f t="shared" ref="E10:E30" si="0">(C10-B10)/B10</f>
        <v>0.18842056685767028</v>
      </c>
    </row>
    <row r="11" spans="1:5" ht="15.45" x14ac:dyDescent="0.4">
      <c r="A11" s="371" t="s">
        <v>577</v>
      </c>
      <c r="B11" s="391">
        <f>SUM('4% Overview'!I4)</f>
        <v>319100</v>
      </c>
      <c r="C11" s="392">
        <f>SUM('4% Overview'!J4)</f>
        <v>320000</v>
      </c>
      <c r="D11" s="393">
        <f t="shared" ref="D11:D40" si="1">SUM(C11-B11)</f>
        <v>900</v>
      </c>
      <c r="E11" s="372">
        <f t="shared" si="0"/>
        <v>2.820432466311501E-3</v>
      </c>
    </row>
    <row r="12" spans="1:5" ht="15.45" x14ac:dyDescent="0.4">
      <c r="A12" s="369" t="s">
        <v>578</v>
      </c>
      <c r="B12" s="384">
        <f>SUM('4% Overview'!I5)</f>
        <v>729800</v>
      </c>
      <c r="C12" s="385">
        <f>SUM('4% Overview'!J5)</f>
        <v>836600</v>
      </c>
      <c r="D12" s="390">
        <f t="shared" si="1"/>
        <v>106800</v>
      </c>
      <c r="E12" s="370">
        <f t="shared" si="0"/>
        <v>0.14634146341463414</v>
      </c>
    </row>
    <row r="13" spans="1:5" ht="15.45" x14ac:dyDescent="0.4">
      <c r="A13" s="371" t="s">
        <v>579</v>
      </c>
      <c r="B13" s="391">
        <f>SUM('4% Overview'!I6)</f>
        <v>1000600</v>
      </c>
      <c r="C13" s="392">
        <f>SUM('4% Overview'!J6)</f>
        <v>1181100</v>
      </c>
      <c r="D13" s="393">
        <f t="shared" si="1"/>
        <v>180500</v>
      </c>
      <c r="E13" s="372">
        <f t="shared" si="0"/>
        <v>0.18039176494103537</v>
      </c>
    </row>
    <row r="14" spans="1:5" ht="15.45" x14ac:dyDescent="0.4">
      <c r="A14" s="369" t="s">
        <v>580</v>
      </c>
      <c r="B14" s="384">
        <f>SUM('4% Overview'!I7)</f>
        <v>8900</v>
      </c>
      <c r="C14" s="385">
        <f>SUM('4% Overview'!J7)</f>
        <v>7900</v>
      </c>
      <c r="D14" s="390">
        <f t="shared" si="1"/>
        <v>-1000</v>
      </c>
      <c r="E14" s="370">
        <f t="shared" si="0"/>
        <v>-0.11235955056179775</v>
      </c>
    </row>
    <row r="15" spans="1:5" ht="15.45" x14ac:dyDescent="0.4">
      <c r="A15" s="371" t="s">
        <v>581</v>
      </c>
      <c r="B15" s="391">
        <f>SUM('4% Overview'!I8)</f>
        <v>79700</v>
      </c>
      <c r="C15" s="392">
        <f>SUM('4% Overview'!J8)</f>
        <v>95400</v>
      </c>
      <c r="D15" s="393">
        <f t="shared" si="1"/>
        <v>15700</v>
      </c>
      <c r="E15" s="372">
        <f t="shared" si="0"/>
        <v>0.19698870765370138</v>
      </c>
    </row>
    <row r="16" spans="1:5" ht="15.45" x14ac:dyDescent="0.4">
      <c r="A16" s="369" t="s">
        <v>582</v>
      </c>
      <c r="B16" s="384">
        <f>SUM('4% Overview'!I9)</f>
        <v>13900</v>
      </c>
      <c r="C16" s="385">
        <f>SUM('4% Overview'!J9)</f>
        <v>13500</v>
      </c>
      <c r="D16" s="390">
        <f>SUM(C16-B16)</f>
        <v>-400</v>
      </c>
      <c r="E16" s="370">
        <f t="shared" si="0"/>
        <v>-2.8776978417266189E-2</v>
      </c>
    </row>
    <row r="17" spans="1:5" ht="15.45" x14ac:dyDescent="0.4">
      <c r="A17" s="371" t="s">
        <v>583</v>
      </c>
      <c r="B17" s="391">
        <f>SUM('4% Overview'!I10)</f>
        <v>228000</v>
      </c>
      <c r="C17" s="392">
        <f>SUM('4% Overview'!J10)</f>
        <v>291500</v>
      </c>
      <c r="D17" s="393">
        <f t="shared" si="1"/>
        <v>63500</v>
      </c>
      <c r="E17" s="372">
        <f t="shared" si="0"/>
        <v>0.27850877192982454</v>
      </c>
    </row>
    <row r="18" spans="1:5" ht="15.45" x14ac:dyDescent="0.4">
      <c r="A18" s="369" t="s">
        <v>584</v>
      </c>
      <c r="B18" s="384">
        <f>SUM('4% Overview'!I11)</f>
        <v>97100</v>
      </c>
      <c r="C18" s="385">
        <f>SUM('4% Overview'!J11)</f>
        <v>101700</v>
      </c>
      <c r="D18" s="390">
        <f t="shared" si="1"/>
        <v>4600</v>
      </c>
      <c r="E18" s="370">
        <f t="shared" si="0"/>
        <v>4.7373841400617921E-2</v>
      </c>
    </row>
    <row r="19" spans="1:5" ht="15.45" x14ac:dyDescent="0.4">
      <c r="A19" s="371" t="s">
        <v>585</v>
      </c>
      <c r="B19" s="391">
        <f>SUM('4% Overview'!I12)</f>
        <v>7200</v>
      </c>
      <c r="C19" s="392">
        <f>SUM('4% Overview'!J12)</f>
        <v>7200</v>
      </c>
      <c r="D19" s="394">
        <f t="shared" si="1"/>
        <v>0</v>
      </c>
      <c r="E19" s="373">
        <f t="shared" si="0"/>
        <v>0</v>
      </c>
    </row>
    <row r="20" spans="1:5" ht="15.45" x14ac:dyDescent="0.4">
      <c r="A20" s="369" t="s">
        <v>586</v>
      </c>
      <c r="B20" s="384">
        <f>SUM('4% Overview'!I13)</f>
        <v>87700</v>
      </c>
      <c r="C20" s="385">
        <f>SUM('4% Overview'!J13)</f>
        <v>91000</v>
      </c>
      <c r="D20" s="390">
        <f t="shared" si="1"/>
        <v>3300</v>
      </c>
      <c r="E20" s="370">
        <f t="shared" si="0"/>
        <v>3.7628278221208664E-2</v>
      </c>
    </row>
    <row r="21" spans="1:5" ht="15.45" x14ac:dyDescent="0.4">
      <c r="A21" s="371" t="s">
        <v>587</v>
      </c>
      <c r="B21" s="391">
        <f>SUM('4% Overview'!I14)</f>
        <v>13400</v>
      </c>
      <c r="C21" s="392">
        <f>SUM('4% Overview'!J14)</f>
        <v>12300</v>
      </c>
      <c r="D21" s="395">
        <f t="shared" si="1"/>
        <v>-1100</v>
      </c>
      <c r="E21" s="374">
        <f t="shared" si="0"/>
        <v>-8.2089552238805971E-2</v>
      </c>
    </row>
    <row r="22" spans="1:5" ht="15.45" x14ac:dyDescent="0.4">
      <c r="A22" s="369" t="s">
        <v>588</v>
      </c>
      <c r="B22" s="384">
        <f>SUM('4% Overview'!I15)</f>
        <v>123400</v>
      </c>
      <c r="C22" s="385">
        <f>SUM('4% Overview'!J15)</f>
        <v>134300</v>
      </c>
      <c r="D22" s="390">
        <f t="shared" si="1"/>
        <v>10900</v>
      </c>
      <c r="E22" s="370">
        <f t="shared" si="0"/>
        <v>8.8330632090761751E-2</v>
      </c>
    </row>
    <row r="23" spans="1:5" ht="15.45" x14ac:dyDescent="0.4">
      <c r="A23" s="371" t="s">
        <v>589</v>
      </c>
      <c r="B23" s="391">
        <f>SUM('4% Overview'!I16)</f>
        <v>41100</v>
      </c>
      <c r="C23" s="392">
        <f>SUM('4% Overview'!J16)</f>
        <v>41100</v>
      </c>
      <c r="D23" s="395">
        <f>SUM(C23-B23)</f>
        <v>0</v>
      </c>
      <c r="E23" s="374">
        <f t="shared" si="0"/>
        <v>0</v>
      </c>
    </row>
    <row r="24" spans="1:5" ht="15.45" x14ac:dyDescent="0.4">
      <c r="A24" s="369" t="s">
        <v>590</v>
      </c>
      <c r="B24" s="384">
        <f>SUM('4% Overview'!I17)</f>
        <v>215900</v>
      </c>
      <c r="C24" s="385">
        <f>SUM('4% Overview'!J17)</f>
        <v>228200</v>
      </c>
      <c r="D24" s="396">
        <f t="shared" si="1"/>
        <v>12300</v>
      </c>
      <c r="E24" s="375">
        <f t="shared" si="0"/>
        <v>5.6970819823992588E-2</v>
      </c>
    </row>
    <row r="25" spans="1:5" ht="15.45" x14ac:dyDescent="0.4">
      <c r="A25" s="371" t="s">
        <v>591</v>
      </c>
      <c r="B25" s="391">
        <f>SUM('4% Overview'!I18)</f>
        <v>154200</v>
      </c>
      <c r="C25" s="392">
        <f>SUM('4% Overview'!J18)</f>
        <v>179500</v>
      </c>
      <c r="D25" s="393">
        <f>SUM(C25-B25)</f>
        <v>25300</v>
      </c>
      <c r="E25" s="372">
        <f t="shared" si="0"/>
        <v>0.16407263294422827</v>
      </c>
    </row>
    <row r="26" spans="1:5" ht="15.45" x14ac:dyDescent="0.4">
      <c r="A26" s="369" t="s">
        <v>592</v>
      </c>
      <c r="B26" s="384">
        <f>SUM('4% Overview'!I19)</f>
        <v>12000</v>
      </c>
      <c r="C26" s="385">
        <f>SUM('4% Overview'!J19)</f>
        <v>14300</v>
      </c>
      <c r="D26" s="397">
        <f t="shared" si="1"/>
        <v>2300</v>
      </c>
      <c r="E26" s="376">
        <f t="shared" si="0"/>
        <v>0.19166666666666668</v>
      </c>
    </row>
    <row r="27" spans="1:5" ht="15.45" x14ac:dyDescent="0.4">
      <c r="A27" s="371" t="s">
        <v>593</v>
      </c>
      <c r="B27" s="391">
        <f>SUM('4% Overview'!I20)</f>
        <v>6000</v>
      </c>
      <c r="C27" s="392">
        <f>SUM('4% Overview'!J20)</f>
        <v>6000</v>
      </c>
      <c r="D27" s="393">
        <f>SUM(C27-B27)</f>
        <v>0</v>
      </c>
      <c r="E27" s="372">
        <f t="shared" si="0"/>
        <v>0</v>
      </c>
    </row>
    <row r="28" spans="1:5" ht="15.45" x14ac:dyDescent="0.4">
      <c r="A28" s="369" t="s">
        <v>594</v>
      </c>
      <c r="B28" s="384">
        <f>SUM('4% Overview'!I21)</f>
        <v>109500</v>
      </c>
      <c r="C28" s="385">
        <f>SUM('4% Overview'!J21)</f>
        <v>132500</v>
      </c>
      <c r="D28" s="390">
        <f t="shared" si="1"/>
        <v>23000</v>
      </c>
      <c r="E28" s="370">
        <f t="shared" si="0"/>
        <v>0.21004566210045661</v>
      </c>
    </row>
    <row r="29" spans="1:5" ht="15.45" x14ac:dyDescent="0.4">
      <c r="A29" s="371" t="s">
        <v>595</v>
      </c>
      <c r="B29" s="391">
        <f>SUM('4% Overview'!I22)</f>
        <v>500</v>
      </c>
      <c r="C29" s="392">
        <f>SUM('4% Overview'!J22)</f>
        <v>500</v>
      </c>
      <c r="D29" s="394">
        <f t="shared" si="1"/>
        <v>0</v>
      </c>
      <c r="E29" s="373">
        <f t="shared" si="0"/>
        <v>0</v>
      </c>
    </row>
    <row r="30" spans="1:5" ht="15.45" x14ac:dyDescent="0.4">
      <c r="A30" s="369" t="s">
        <v>596</v>
      </c>
      <c r="B30" s="384">
        <f>SUM('4% Overview'!I23)</f>
        <v>924600</v>
      </c>
      <c r="C30" s="385">
        <f>SUM('4% Overview'!J23)</f>
        <v>1011000</v>
      </c>
      <c r="D30" s="390">
        <f t="shared" si="1"/>
        <v>86400</v>
      </c>
      <c r="E30" s="370">
        <f t="shared" si="0"/>
        <v>9.3445814406229719E-2</v>
      </c>
    </row>
    <row r="31" spans="1:5" ht="15.45" x14ac:dyDescent="0.4">
      <c r="A31" s="371" t="s">
        <v>597</v>
      </c>
      <c r="B31" s="391">
        <f>SUM('4% Overview'!I24)</f>
        <v>0</v>
      </c>
      <c r="C31" s="392">
        <f>SUM('4% Overview'!J24)</f>
        <v>0</v>
      </c>
      <c r="D31" s="395">
        <f t="shared" si="1"/>
        <v>0</v>
      </c>
      <c r="E31" s="374">
        <v>0</v>
      </c>
    </row>
    <row r="32" spans="1:5" ht="15.45" x14ac:dyDescent="0.4">
      <c r="A32" s="369" t="s">
        <v>598</v>
      </c>
      <c r="B32" s="384">
        <f>SUM('4% Overview'!I25)</f>
        <v>394700</v>
      </c>
      <c r="C32" s="385">
        <f>SUM('4% Overview'!J25)</f>
        <v>421300</v>
      </c>
      <c r="D32" s="396">
        <f t="shared" si="1"/>
        <v>26600</v>
      </c>
      <c r="E32" s="375">
        <f>(C32-B32)/B32</f>
        <v>6.739295667595642E-2</v>
      </c>
    </row>
    <row r="33" spans="1:5" ht="15.45" x14ac:dyDescent="0.4">
      <c r="A33" s="371" t="s">
        <v>599</v>
      </c>
      <c r="B33" s="391">
        <f>SUM('4% Overview'!I26)</f>
        <v>157800</v>
      </c>
      <c r="C33" s="392">
        <f>SUM('4% Overview'!J26)</f>
        <v>145800</v>
      </c>
      <c r="D33" s="393">
        <f>SUM(C33-B33)</f>
        <v>-12000</v>
      </c>
      <c r="E33" s="372">
        <f>(C33-B33)/B33</f>
        <v>-7.6045627376425853E-2</v>
      </c>
    </row>
    <row r="34" spans="1:5" ht="15.45" x14ac:dyDescent="0.4">
      <c r="A34" s="369" t="s">
        <v>600</v>
      </c>
      <c r="B34" s="384">
        <f>SUM('4% Overview'!I27)</f>
        <v>19800</v>
      </c>
      <c r="C34" s="385">
        <f>SUM('4% Overview'!J27)</f>
        <v>21700</v>
      </c>
      <c r="D34" s="396">
        <f t="shared" si="1"/>
        <v>1900</v>
      </c>
      <c r="E34" s="375">
        <f>(C34-B34)/B34</f>
        <v>9.5959595959595953E-2</v>
      </c>
    </row>
    <row r="35" spans="1:5" ht="15.45" x14ac:dyDescent="0.4">
      <c r="A35" s="371" t="s">
        <v>601</v>
      </c>
      <c r="B35" s="391">
        <f>SUM('4% Overview'!I28)</f>
        <v>0</v>
      </c>
      <c r="C35" s="392">
        <f>SUM('4% Overview'!J28)</f>
        <v>0</v>
      </c>
      <c r="D35" s="398">
        <f t="shared" si="1"/>
        <v>0</v>
      </c>
      <c r="E35" s="377">
        <v>0</v>
      </c>
    </row>
    <row r="36" spans="1:5" ht="15.45" x14ac:dyDescent="0.4">
      <c r="A36" s="369" t="s">
        <v>72</v>
      </c>
      <c r="B36" s="384">
        <f>SUM('4% Overview'!I29)</f>
        <v>65000</v>
      </c>
      <c r="C36" s="385">
        <f>SUM('4% Overview'!J29)</f>
        <v>65000</v>
      </c>
      <c r="D36" s="390">
        <f t="shared" si="1"/>
        <v>0</v>
      </c>
      <c r="E36" s="370">
        <f>(C36-B36)/B36</f>
        <v>0</v>
      </c>
    </row>
    <row r="37" spans="1:5" ht="15.45" x14ac:dyDescent="0.4">
      <c r="A37" s="371" t="s">
        <v>602</v>
      </c>
      <c r="B37" s="391">
        <f>SUM('4% Overview'!I30)</f>
        <v>0</v>
      </c>
      <c r="C37" s="392">
        <f>SUM('4% Overview'!J30)</f>
        <v>0</v>
      </c>
      <c r="D37" s="394">
        <f t="shared" si="1"/>
        <v>0</v>
      </c>
      <c r="E37" s="377">
        <v>0</v>
      </c>
    </row>
    <row r="38" spans="1:5" ht="15.45" x14ac:dyDescent="0.4">
      <c r="A38" s="369" t="s">
        <v>603</v>
      </c>
      <c r="B38" s="399">
        <f>SUM('4% Overview'!I31)</f>
        <v>5000</v>
      </c>
      <c r="C38" s="400">
        <f>SUM('4% Overview'!J31)</f>
        <v>5000</v>
      </c>
      <c r="D38" s="401">
        <f t="shared" si="1"/>
        <v>0</v>
      </c>
      <c r="E38" s="378">
        <f>(C38-B38)/B38</f>
        <v>0</v>
      </c>
    </row>
    <row r="39" spans="1:5" ht="15.45" x14ac:dyDescent="0.4">
      <c r="A39" s="379" t="s">
        <v>604</v>
      </c>
      <c r="B39" s="391">
        <f>SUM(B10:B38)</f>
        <v>10015500</v>
      </c>
      <c r="C39" s="392">
        <f>SUM(C10:C38)</f>
        <v>11544900</v>
      </c>
      <c r="D39" s="402">
        <f>SUM(D10:D38)</f>
        <v>1529400</v>
      </c>
      <c r="E39" s="380">
        <f>(C39-B39)/B39</f>
        <v>0.15270330986970196</v>
      </c>
    </row>
    <row r="40" spans="1:5" ht="15.45" x14ac:dyDescent="0.4">
      <c r="A40" s="369" t="s">
        <v>73</v>
      </c>
      <c r="B40" s="384">
        <f>SUM('4% Overview'!I34)</f>
        <v>242400</v>
      </c>
      <c r="C40" s="385">
        <f>SUM('4% Overview'!J34)</f>
        <v>282300</v>
      </c>
      <c r="D40" s="390">
        <f t="shared" si="1"/>
        <v>39900</v>
      </c>
      <c r="E40" s="381">
        <f>(C40-B40)/B40</f>
        <v>0.16460396039603961</v>
      </c>
    </row>
    <row r="41" spans="1:5" ht="15.9" thickBot="1" x14ac:dyDescent="0.45">
      <c r="A41" s="379" t="s">
        <v>605</v>
      </c>
      <c r="B41" s="403">
        <f>SUM(B39:B40)</f>
        <v>10257900</v>
      </c>
      <c r="C41" s="404">
        <f>SUM(C39:C40)</f>
        <v>11827200</v>
      </c>
      <c r="D41" s="402">
        <f>SUM(D39+D40)</f>
        <v>1569300</v>
      </c>
      <c r="E41" s="408">
        <f>(C41-B41)/B41</f>
        <v>0.15298452899716317</v>
      </c>
    </row>
    <row r="42" spans="1:5" ht="16.3" thickTop="1" thickBot="1" x14ac:dyDescent="0.45">
      <c r="A42" s="382" t="s">
        <v>606</v>
      </c>
      <c r="B42" s="386">
        <f>SUM('4% Overview'!I37)</f>
        <v>-300000</v>
      </c>
      <c r="C42" s="387">
        <f>SUM('4% Overview'!J37)</f>
        <v>-300000</v>
      </c>
      <c r="D42" s="405"/>
      <c r="E42" s="407"/>
    </row>
    <row r="43" spans="1:5" ht="15.9" thickBot="1" x14ac:dyDescent="0.45">
      <c r="A43" s="383" t="s">
        <v>607</v>
      </c>
      <c r="B43" s="388">
        <f>SUM(B41:B42)</f>
        <v>9957900</v>
      </c>
      <c r="C43" s="389">
        <f>SUM(C41:C42)</f>
        <v>11527200</v>
      </c>
      <c r="D43" s="406"/>
      <c r="E43" s="409">
        <f>(C43-B43)/B43</f>
        <v>0.15759346850239508</v>
      </c>
    </row>
  </sheetData>
  <mergeCells count="3">
    <mergeCell ref="A5:E5"/>
    <mergeCell ref="A6:E6"/>
    <mergeCell ref="A7:E7"/>
  </mergeCells>
  <conditionalFormatting sqref="D10:D42 E43">
    <cfRule type="cellIs" dxfId="5" priority="6" operator="equal">
      <formula>0</formula>
    </cfRule>
    <cfRule type="cellIs" dxfId="4" priority="7" operator="lessThan">
      <formula>0</formula>
    </cfRule>
    <cfRule type="cellIs" dxfId="3" priority="8" operator="greaterThan">
      <formula>0</formula>
    </cfRule>
  </conditionalFormatting>
  <conditionalFormatting sqref="E10:E41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rintOptions horizontalCentered="1" verticalCentered="1"/>
  <pageMargins left="0.25" right="0.25" top="0.75" bottom="0.75" header="0.3" footer="0.3"/>
  <pageSetup scale="98" orientation="portrait" r:id="rId1"/>
  <ignoredErrors>
    <ignoredError sqref="D39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A66CC10-FEA8-425D-8FE7-1E442781B20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D42 E43</xm:sqref>
        </x14:conditionalFormatting>
        <x14:conditionalFormatting xmlns:xm="http://schemas.microsoft.com/office/excel/2006/main">
          <x14:cfRule type="iconSet" priority="5" id="{01CE2CD5-9D6D-4618-861B-C7AA7C6EE743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E10:E41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"/>
  <dimension ref="A1:K152"/>
  <sheetViews>
    <sheetView workbookViewId="0">
      <pane xSplit="3" ySplit="1" topLeftCell="D121" activePane="bottomRight" state="frozenSplit"/>
      <selection pane="topRight" activeCell="D1" sqref="D1"/>
      <selection pane="bottomLeft" activeCell="A2" sqref="A2"/>
      <selection pane="bottomRight" activeCell="K150" sqref="K150"/>
    </sheetView>
  </sheetViews>
  <sheetFormatPr defaultColWidth="14.3828125" defaultRowHeight="15" customHeight="1" x14ac:dyDescent="0.4"/>
  <cols>
    <col min="1" max="2" width="3" customWidth="1"/>
    <col min="3" max="3" width="26.3046875" customWidth="1"/>
    <col min="4" max="4" width="2.3046875" customWidth="1"/>
    <col min="5" max="5" width="17.69140625" bestFit="1" customWidth="1"/>
    <col min="6" max="6" width="10.69140625" bestFit="1" customWidth="1"/>
    <col min="7" max="7" width="19.15234375" bestFit="1" customWidth="1"/>
    <col min="8" max="8" width="29" bestFit="1" customWidth="1"/>
    <col min="9" max="10" width="30.69140625" customWidth="1"/>
    <col min="11" max="11" width="9.15234375" bestFit="1" customWidth="1"/>
  </cols>
  <sheetData>
    <row r="1" spans="1:11" s="412" customFormat="1" thickBot="1" x14ac:dyDescent="0.45">
      <c r="A1" s="416"/>
      <c r="B1" s="416"/>
      <c r="C1" s="416"/>
      <c r="D1" s="416"/>
      <c r="E1" s="417" t="s">
        <v>623</v>
      </c>
      <c r="F1" s="417" t="s">
        <v>624</v>
      </c>
      <c r="G1" s="417" t="s">
        <v>625</v>
      </c>
      <c r="H1" s="417" t="s">
        <v>626</v>
      </c>
      <c r="I1" s="417" t="s">
        <v>627</v>
      </c>
      <c r="J1" s="417" t="s">
        <v>628</v>
      </c>
      <c r="K1" s="417" t="s">
        <v>629</v>
      </c>
    </row>
    <row r="2" spans="1:11" thickTop="1" x14ac:dyDescent="0.4">
      <c r="A2" s="84"/>
      <c r="B2" s="84" t="s">
        <v>630</v>
      </c>
      <c r="C2" s="84"/>
      <c r="D2" s="84"/>
      <c r="E2" s="84"/>
      <c r="F2" s="85"/>
      <c r="G2" s="84"/>
      <c r="H2" s="84"/>
      <c r="I2" s="84"/>
      <c r="J2" s="84"/>
      <c r="K2" s="87"/>
    </row>
    <row r="3" spans="1:11" ht="14.6" x14ac:dyDescent="0.4">
      <c r="A3" s="84"/>
      <c r="B3" s="84"/>
      <c r="C3" s="84" t="s">
        <v>631</v>
      </c>
      <c r="D3" s="84"/>
      <c r="E3" s="84"/>
      <c r="F3" s="85"/>
      <c r="G3" s="84"/>
      <c r="H3" s="84"/>
      <c r="I3" s="84"/>
      <c r="J3" s="84"/>
      <c r="K3" s="87"/>
    </row>
    <row r="4" spans="1:11" ht="14.6" x14ac:dyDescent="0.4">
      <c r="A4" s="84"/>
      <c r="B4" s="84"/>
      <c r="C4" s="84"/>
      <c r="D4" s="84"/>
      <c r="E4" s="84" t="s">
        <v>634</v>
      </c>
      <c r="F4" s="85">
        <v>44928</v>
      </c>
      <c r="G4" s="84" t="s">
        <v>636</v>
      </c>
      <c r="H4" s="84" t="s">
        <v>647</v>
      </c>
      <c r="I4" s="84" t="s">
        <v>650</v>
      </c>
      <c r="J4" s="84" t="s">
        <v>659</v>
      </c>
      <c r="K4" s="87">
        <v>50.86</v>
      </c>
    </row>
    <row r="5" spans="1:11" ht="14.6" x14ac:dyDescent="0.4">
      <c r="A5" s="84"/>
      <c r="B5" s="84"/>
      <c r="C5" s="84"/>
      <c r="D5" s="84"/>
      <c r="E5" s="84" t="s">
        <v>634</v>
      </c>
      <c r="F5" s="85">
        <v>44936</v>
      </c>
      <c r="G5" s="84" t="s">
        <v>637</v>
      </c>
      <c r="H5" s="84" t="s">
        <v>647</v>
      </c>
      <c r="I5" s="84" t="s">
        <v>651</v>
      </c>
      <c r="J5" s="84" t="s">
        <v>659</v>
      </c>
      <c r="K5" s="87">
        <v>75</v>
      </c>
    </row>
    <row r="6" spans="1:11" ht="14.6" x14ac:dyDescent="0.4">
      <c r="A6" s="84"/>
      <c r="B6" s="84"/>
      <c r="C6" s="84"/>
      <c r="D6" s="84"/>
      <c r="E6" s="84" t="s">
        <v>634</v>
      </c>
      <c r="F6" s="85">
        <v>44936</v>
      </c>
      <c r="G6" s="84" t="s">
        <v>637</v>
      </c>
      <c r="H6" s="84" t="s">
        <v>647</v>
      </c>
      <c r="I6" s="84" t="s">
        <v>652</v>
      </c>
      <c r="J6" s="84" t="s">
        <v>659</v>
      </c>
      <c r="K6" s="87">
        <v>142.6</v>
      </c>
    </row>
    <row r="7" spans="1:11" ht="14.6" x14ac:dyDescent="0.4">
      <c r="A7" s="84"/>
      <c r="B7" s="84"/>
      <c r="C7" s="84"/>
      <c r="D7" s="84"/>
      <c r="E7" s="84" t="s">
        <v>634</v>
      </c>
      <c r="F7" s="85">
        <v>44936</v>
      </c>
      <c r="G7" s="84" t="s">
        <v>637</v>
      </c>
      <c r="H7" s="84" t="s">
        <v>647</v>
      </c>
      <c r="I7" s="84" t="s">
        <v>653</v>
      </c>
      <c r="J7" s="84" t="s">
        <v>659</v>
      </c>
      <c r="K7" s="87">
        <v>0</v>
      </c>
    </row>
    <row r="8" spans="1:11" ht="14.6" x14ac:dyDescent="0.4">
      <c r="A8" s="84"/>
      <c r="B8" s="84"/>
      <c r="C8" s="84"/>
      <c r="D8" s="84"/>
      <c r="E8" s="84" t="s">
        <v>634</v>
      </c>
      <c r="F8" s="85">
        <v>44936</v>
      </c>
      <c r="G8" s="84" t="s">
        <v>637</v>
      </c>
      <c r="H8" s="84" t="s">
        <v>647</v>
      </c>
      <c r="I8" s="84" t="s">
        <v>654</v>
      </c>
      <c r="J8" s="84" t="s">
        <v>659</v>
      </c>
      <c r="K8" s="87">
        <v>50.97</v>
      </c>
    </row>
    <row r="9" spans="1:11" ht="14.6" x14ac:dyDescent="0.4">
      <c r="A9" s="84"/>
      <c r="B9" s="84"/>
      <c r="C9" s="84"/>
      <c r="D9" s="84"/>
      <c r="E9" s="84" t="s">
        <v>634</v>
      </c>
      <c r="F9" s="85">
        <v>44937</v>
      </c>
      <c r="G9" s="84" t="s">
        <v>638</v>
      </c>
      <c r="H9" s="84" t="s">
        <v>647</v>
      </c>
      <c r="I9" s="84" t="s">
        <v>653</v>
      </c>
      <c r="J9" s="84" t="s">
        <v>659</v>
      </c>
      <c r="K9" s="87">
        <v>29.99</v>
      </c>
    </row>
    <row r="10" spans="1:11" ht="14.6" x14ac:dyDescent="0.4">
      <c r="A10" s="84"/>
      <c r="B10" s="84"/>
      <c r="C10" s="84"/>
      <c r="D10" s="84"/>
      <c r="E10" s="84" t="s">
        <v>634</v>
      </c>
      <c r="F10" s="85">
        <v>44945</v>
      </c>
      <c r="G10" s="84" t="s">
        <v>639</v>
      </c>
      <c r="H10" s="84" t="s">
        <v>647</v>
      </c>
      <c r="I10" s="84" t="s">
        <v>655</v>
      </c>
      <c r="J10" s="84" t="s">
        <v>659</v>
      </c>
      <c r="K10" s="87">
        <v>91.98</v>
      </c>
    </row>
    <row r="11" spans="1:11" ht="14.6" x14ac:dyDescent="0.4">
      <c r="A11" s="84"/>
      <c r="B11" s="84"/>
      <c r="C11" s="84"/>
      <c r="D11" s="84"/>
      <c r="E11" s="84" t="s">
        <v>634</v>
      </c>
      <c r="F11" s="85">
        <v>44945</v>
      </c>
      <c r="G11" s="84" t="s">
        <v>640</v>
      </c>
      <c r="H11" s="84" t="s">
        <v>647</v>
      </c>
      <c r="I11" s="84" t="s">
        <v>650</v>
      </c>
      <c r="J11" s="84" t="s">
        <v>659</v>
      </c>
      <c r="K11" s="87">
        <v>89.71</v>
      </c>
    </row>
    <row r="12" spans="1:11" ht="14.6" x14ac:dyDescent="0.4">
      <c r="A12" s="84"/>
      <c r="B12" s="84"/>
      <c r="C12" s="84"/>
      <c r="D12" s="84"/>
      <c r="E12" s="84" t="s">
        <v>634</v>
      </c>
      <c r="F12" s="85">
        <v>44946</v>
      </c>
      <c r="G12" s="84" t="s">
        <v>641</v>
      </c>
      <c r="H12" s="84" t="s">
        <v>648</v>
      </c>
      <c r="I12" s="84" t="s">
        <v>656</v>
      </c>
      <c r="J12" s="84" t="s">
        <v>659</v>
      </c>
      <c r="K12" s="87">
        <v>97.34</v>
      </c>
    </row>
    <row r="13" spans="1:11" ht="14.6" x14ac:dyDescent="0.4">
      <c r="A13" s="84"/>
      <c r="B13" s="84"/>
      <c r="C13" s="84"/>
      <c r="D13" s="84"/>
      <c r="E13" s="84" t="s">
        <v>634</v>
      </c>
      <c r="F13" s="85">
        <v>44949</v>
      </c>
      <c r="G13" s="84" t="s">
        <v>642</v>
      </c>
      <c r="H13" s="84" t="s">
        <v>647</v>
      </c>
      <c r="I13" s="84" t="s">
        <v>650</v>
      </c>
      <c r="J13" s="84" t="s">
        <v>659</v>
      </c>
      <c r="K13" s="87">
        <v>91.27</v>
      </c>
    </row>
    <row r="14" spans="1:11" ht="14.6" x14ac:dyDescent="0.4">
      <c r="A14" s="84"/>
      <c r="B14" s="84"/>
      <c r="C14" s="84"/>
      <c r="D14" s="84"/>
      <c r="E14" s="84" t="s">
        <v>635</v>
      </c>
      <c r="F14" s="85">
        <v>44950</v>
      </c>
      <c r="G14" s="84" t="s">
        <v>643</v>
      </c>
      <c r="H14" s="84" t="s">
        <v>647</v>
      </c>
      <c r="I14" s="84" t="s">
        <v>657</v>
      </c>
      <c r="J14" s="84" t="s">
        <v>659</v>
      </c>
      <c r="K14" s="87">
        <v>-50.97</v>
      </c>
    </row>
    <row r="15" spans="1:11" ht="14.6" x14ac:dyDescent="0.4">
      <c r="A15" s="84"/>
      <c r="B15" s="84"/>
      <c r="C15" s="84"/>
      <c r="D15" s="84"/>
      <c r="E15" s="84" t="s">
        <v>634</v>
      </c>
      <c r="F15" s="85">
        <v>44950</v>
      </c>
      <c r="G15" s="84" t="s">
        <v>646</v>
      </c>
      <c r="H15" s="84" t="s">
        <v>945</v>
      </c>
      <c r="I15" s="84" t="s">
        <v>650</v>
      </c>
      <c r="J15" s="84" t="s">
        <v>659</v>
      </c>
      <c r="K15" s="87">
        <v>54.15</v>
      </c>
    </row>
    <row r="16" spans="1:11" ht="14.6" x14ac:dyDescent="0.4">
      <c r="A16" s="84"/>
      <c r="B16" s="84"/>
      <c r="C16" s="84"/>
      <c r="D16" s="84"/>
      <c r="E16" s="84" t="s">
        <v>634</v>
      </c>
      <c r="F16" s="85">
        <v>44951</v>
      </c>
      <c r="G16" s="84" t="s">
        <v>644</v>
      </c>
      <c r="H16" s="84" t="s">
        <v>647</v>
      </c>
      <c r="I16" s="84" t="s">
        <v>650</v>
      </c>
      <c r="J16" s="84" t="s">
        <v>659</v>
      </c>
      <c r="K16" s="87">
        <v>54.44</v>
      </c>
    </row>
    <row r="17" spans="1:11" ht="14.6" x14ac:dyDescent="0.4">
      <c r="A17" s="84"/>
      <c r="B17" s="84"/>
      <c r="C17" s="84"/>
      <c r="D17" s="84"/>
      <c r="E17" s="84" t="s">
        <v>634</v>
      </c>
      <c r="F17" s="85">
        <v>44951</v>
      </c>
      <c r="G17" s="84" t="s">
        <v>1094</v>
      </c>
      <c r="H17" s="84" t="s">
        <v>1158</v>
      </c>
      <c r="I17" s="84" t="s">
        <v>650</v>
      </c>
      <c r="J17" s="84" t="s">
        <v>659</v>
      </c>
      <c r="K17" s="87">
        <v>66.349999999999994</v>
      </c>
    </row>
    <row r="18" spans="1:11" ht="14.6" x14ac:dyDescent="0.4">
      <c r="A18" s="84"/>
      <c r="B18" s="84"/>
      <c r="C18" s="84"/>
      <c r="D18" s="84"/>
      <c r="E18" s="84" t="s">
        <v>634</v>
      </c>
      <c r="F18" s="85">
        <v>44952</v>
      </c>
      <c r="G18" s="84" t="s">
        <v>645</v>
      </c>
      <c r="H18" s="84" t="s">
        <v>647</v>
      </c>
      <c r="I18" s="84" t="s">
        <v>650</v>
      </c>
      <c r="J18" s="84" t="s">
        <v>659</v>
      </c>
      <c r="K18" s="87">
        <v>30.13</v>
      </c>
    </row>
    <row r="19" spans="1:11" ht="14.6" x14ac:dyDescent="0.4">
      <c r="A19" s="84"/>
      <c r="B19" s="84"/>
      <c r="C19" s="84"/>
      <c r="D19" s="84"/>
      <c r="E19" s="84" t="s">
        <v>634</v>
      </c>
      <c r="F19" s="85">
        <v>44957</v>
      </c>
      <c r="G19" s="84" t="s">
        <v>646</v>
      </c>
      <c r="H19" s="84" t="s">
        <v>649</v>
      </c>
      <c r="I19" s="84" t="s">
        <v>658</v>
      </c>
      <c r="J19" s="84" t="s">
        <v>659</v>
      </c>
      <c r="K19" s="87">
        <v>40.450000000000003</v>
      </c>
    </row>
    <row r="20" spans="1:11" ht="14.6" x14ac:dyDescent="0.4">
      <c r="A20" s="84"/>
      <c r="B20" s="84"/>
      <c r="C20" s="84"/>
      <c r="D20" s="84"/>
      <c r="E20" s="84" t="s">
        <v>634</v>
      </c>
      <c r="F20" s="85">
        <v>44959</v>
      </c>
      <c r="G20" s="84" t="s">
        <v>943</v>
      </c>
      <c r="H20" s="84" t="s">
        <v>647</v>
      </c>
      <c r="I20" s="84" t="s">
        <v>650</v>
      </c>
      <c r="J20" s="84" t="s">
        <v>659</v>
      </c>
      <c r="K20" s="87">
        <v>67.569999999999993</v>
      </c>
    </row>
    <row r="21" spans="1:11" ht="14.6" x14ac:dyDescent="0.4">
      <c r="A21" s="84"/>
      <c r="B21" s="84"/>
      <c r="C21" s="84"/>
      <c r="D21" s="84"/>
      <c r="E21" s="84" t="s">
        <v>634</v>
      </c>
      <c r="F21" s="85">
        <v>44967</v>
      </c>
      <c r="G21" s="84" t="s">
        <v>1095</v>
      </c>
      <c r="H21" s="84" t="s">
        <v>1158</v>
      </c>
      <c r="I21" s="84" t="s">
        <v>650</v>
      </c>
      <c r="J21" s="84" t="s">
        <v>659</v>
      </c>
      <c r="K21" s="87">
        <v>71.7</v>
      </c>
    </row>
    <row r="22" spans="1:11" ht="14.6" x14ac:dyDescent="0.4">
      <c r="A22" s="84"/>
      <c r="B22" s="84"/>
      <c r="C22" s="84"/>
      <c r="D22" s="84"/>
      <c r="E22" s="84" t="s">
        <v>634</v>
      </c>
      <c r="F22" s="85">
        <v>44967</v>
      </c>
      <c r="G22" s="84" t="s">
        <v>1096</v>
      </c>
      <c r="H22" s="84" t="s">
        <v>1158</v>
      </c>
      <c r="I22" s="84" t="s">
        <v>650</v>
      </c>
      <c r="J22" s="84" t="s">
        <v>659</v>
      </c>
      <c r="K22" s="87">
        <v>53.82</v>
      </c>
    </row>
    <row r="23" spans="1:11" ht="14.6" x14ac:dyDescent="0.4">
      <c r="A23" s="84"/>
      <c r="B23" s="84"/>
      <c r="C23" s="84"/>
      <c r="D23" s="84"/>
      <c r="E23" s="84" t="s">
        <v>704</v>
      </c>
      <c r="F23" s="85">
        <v>44972</v>
      </c>
      <c r="G23" s="84" t="s">
        <v>944</v>
      </c>
      <c r="H23" s="84" t="s">
        <v>946</v>
      </c>
      <c r="I23" s="84" t="s">
        <v>947</v>
      </c>
      <c r="J23" s="84" t="s">
        <v>772</v>
      </c>
      <c r="K23" s="87">
        <v>54.62</v>
      </c>
    </row>
    <row r="24" spans="1:11" ht="14.6" x14ac:dyDescent="0.4">
      <c r="A24" s="84"/>
      <c r="B24" s="84"/>
      <c r="C24" s="84"/>
      <c r="D24" s="84"/>
      <c r="E24" s="84" t="s">
        <v>635</v>
      </c>
      <c r="F24" s="85">
        <v>44973</v>
      </c>
      <c r="G24" s="84" t="s">
        <v>1097</v>
      </c>
      <c r="H24" s="84" t="s">
        <v>647</v>
      </c>
      <c r="I24" s="84" t="s">
        <v>1164</v>
      </c>
      <c r="J24" s="84" t="s">
        <v>659</v>
      </c>
      <c r="K24" s="87">
        <v>-28.45</v>
      </c>
    </row>
    <row r="25" spans="1:11" ht="14.6" x14ac:dyDescent="0.4">
      <c r="A25" s="84"/>
      <c r="B25" s="84"/>
      <c r="C25" s="84"/>
      <c r="D25" s="84"/>
      <c r="E25" s="84" t="s">
        <v>634</v>
      </c>
      <c r="F25" s="85">
        <v>44973</v>
      </c>
      <c r="G25" s="84" t="s">
        <v>1098</v>
      </c>
      <c r="H25" s="84" t="s">
        <v>648</v>
      </c>
      <c r="I25" s="84" t="s">
        <v>1165</v>
      </c>
      <c r="J25" s="84" t="s">
        <v>659</v>
      </c>
      <c r="K25" s="87">
        <v>68</v>
      </c>
    </row>
    <row r="26" spans="1:11" ht="14.6" x14ac:dyDescent="0.4">
      <c r="A26" s="84"/>
      <c r="B26" s="84"/>
      <c r="C26" s="84"/>
      <c r="D26" s="84"/>
      <c r="E26" s="84" t="s">
        <v>634</v>
      </c>
      <c r="F26" s="85">
        <v>44974</v>
      </c>
      <c r="G26" s="84" t="s">
        <v>1099</v>
      </c>
      <c r="H26" s="84" t="s">
        <v>648</v>
      </c>
      <c r="I26" s="84" t="s">
        <v>1165</v>
      </c>
      <c r="J26" s="84" t="s">
        <v>659</v>
      </c>
      <c r="K26" s="87">
        <v>126</v>
      </c>
    </row>
    <row r="27" spans="1:11" ht="14.6" x14ac:dyDescent="0.4">
      <c r="A27" s="84"/>
      <c r="B27" s="84"/>
      <c r="C27" s="84"/>
      <c r="D27" s="84"/>
      <c r="E27" s="84" t="s">
        <v>634</v>
      </c>
      <c r="F27" s="85">
        <v>44977</v>
      </c>
      <c r="G27" s="84" t="s">
        <v>1100</v>
      </c>
      <c r="H27" s="84" t="s">
        <v>648</v>
      </c>
      <c r="I27" s="84" t="s">
        <v>1165</v>
      </c>
      <c r="J27" s="84" t="s">
        <v>659</v>
      </c>
      <c r="K27" s="87">
        <v>146.01</v>
      </c>
    </row>
    <row r="28" spans="1:11" ht="14.6" x14ac:dyDescent="0.4">
      <c r="A28" s="84"/>
      <c r="B28" s="84"/>
      <c r="C28" s="84"/>
      <c r="D28" s="84"/>
      <c r="E28" s="84" t="s">
        <v>634</v>
      </c>
      <c r="F28" s="85">
        <v>44977</v>
      </c>
      <c r="G28" s="84" t="s">
        <v>1101</v>
      </c>
      <c r="H28" s="84" t="s">
        <v>1158</v>
      </c>
      <c r="I28" s="84" t="s">
        <v>650</v>
      </c>
      <c r="J28" s="84" t="s">
        <v>659</v>
      </c>
      <c r="K28" s="87">
        <v>84.97</v>
      </c>
    </row>
    <row r="29" spans="1:11" ht="14.6" x14ac:dyDescent="0.4">
      <c r="A29" s="84"/>
      <c r="B29" s="84"/>
      <c r="C29" s="84"/>
      <c r="D29" s="84"/>
      <c r="E29" s="84" t="s">
        <v>634</v>
      </c>
      <c r="F29" s="85">
        <v>44981</v>
      </c>
      <c r="G29" s="84" t="s">
        <v>1102</v>
      </c>
      <c r="H29" s="84" t="s">
        <v>647</v>
      </c>
      <c r="I29" s="84" t="s">
        <v>650</v>
      </c>
      <c r="J29" s="84" t="s">
        <v>659</v>
      </c>
      <c r="K29" s="87">
        <v>60.43</v>
      </c>
    </row>
    <row r="30" spans="1:11" ht="14.6" x14ac:dyDescent="0.4">
      <c r="A30" s="84"/>
      <c r="B30" s="84"/>
      <c r="C30" s="84"/>
      <c r="D30" s="84"/>
      <c r="E30" s="84" t="s">
        <v>634</v>
      </c>
      <c r="F30" s="85">
        <v>44981</v>
      </c>
      <c r="G30" s="84" t="s">
        <v>1103</v>
      </c>
      <c r="H30" s="84" t="s">
        <v>1158</v>
      </c>
      <c r="I30" s="84" t="s">
        <v>650</v>
      </c>
      <c r="J30" s="84" t="s">
        <v>659</v>
      </c>
      <c r="K30" s="87">
        <v>290.20999999999998</v>
      </c>
    </row>
    <row r="31" spans="1:11" ht="14.6" x14ac:dyDescent="0.4">
      <c r="A31" s="84"/>
      <c r="B31" s="84"/>
      <c r="C31" s="84"/>
      <c r="D31" s="84"/>
      <c r="E31" s="84" t="s">
        <v>634</v>
      </c>
      <c r="F31" s="85">
        <v>44983</v>
      </c>
      <c r="G31" s="84" t="s">
        <v>1104</v>
      </c>
      <c r="H31" s="84" t="s">
        <v>647</v>
      </c>
      <c r="I31" s="84" t="s">
        <v>650</v>
      </c>
      <c r="J31" s="84" t="s">
        <v>659</v>
      </c>
      <c r="K31" s="87">
        <v>9.99</v>
      </c>
    </row>
    <row r="32" spans="1:11" ht="14.6" x14ac:dyDescent="0.4">
      <c r="A32" s="84"/>
      <c r="B32" s="84"/>
      <c r="C32" s="84"/>
      <c r="D32" s="84"/>
      <c r="E32" s="84" t="s">
        <v>634</v>
      </c>
      <c r="F32" s="85">
        <v>44988</v>
      </c>
      <c r="G32" s="84" t="s">
        <v>1105</v>
      </c>
      <c r="H32" s="84" t="s">
        <v>648</v>
      </c>
      <c r="I32" s="84" t="s">
        <v>1166</v>
      </c>
      <c r="J32" s="84" t="s">
        <v>659</v>
      </c>
      <c r="K32" s="87">
        <v>48.67</v>
      </c>
    </row>
    <row r="33" spans="1:11" ht="14.6" x14ac:dyDescent="0.4">
      <c r="A33" s="84"/>
      <c r="B33" s="84"/>
      <c r="C33" s="84"/>
      <c r="D33" s="84"/>
      <c r="E33" s="84" t="s">
        <v>634</v>
      </c>
      <c r="F33" s="85">
        <v>44990</v>
      </c>
      <c r="G33" s="84" t="s">
        <v>1106</v>
      </c>
      <c r="H33" s="84" t="s">
        <v>647</v>
      </c>
      <c r="I33" s="84" t="s">
        <v>650</v>
      </c>
      <c r="J33" s="84" t="s">
        <v>659</v>
      </c>
      <c r="K33" s="87">
        <v>88.57</v>
      </c>
    </row>
    <row r="34" spans="1:11" ht="14.6" x14ac:dyDescent="0.4">
      <c r="A34" s="84"/>
      <c r="B34" s="84"/>
      <c r="C34" s="84"/>
      <c r="D34" s="84"/>
      <c r="E34" s="84" t="s">
        <v>634</v>
      </c>
      <c r="F34" s="85">
        <v>44991</v>
      </c>
      <c r="G34" s="84" t="s">
        <v>1107</v>
      </c>
      <c r="H34" s="84" t="s">
        <v>647</v>
      </c>
      <c r="I34" s="84" t="s">
        <v>650</v>
      </c>
      <c r="J34" s="84" t="s">
        <v>659</v>
      </c>
      <c r="K34" s="87">
        <v>85.7</v>
      </c>
    </row>
    <row r="35" spans="1:11" ht="14.6" x14ac:dyDescent="0.4">
      <c r="A35" s="84"/>
      <c r="B35" s="84"/>
      <c r="C35" s="84"/>
      <c r="D35" s="84"/>
      <c r="E35" s="84" t="s">
        <v>634</v>
      </c>
      <c r="F35" s="85">
        <v>44991</v>
      </c>
      <c r="G35" s="84" t="s">
        <v>1108</v>
      </c>
      <c r="H35" s="84" t="s">
        <v>648</v>
      </c>
      <c r="I35" s="84" t="s">
        <v>1165</v>
      </c>
      <c r="J35" s="84" t="s">
        <v>659</v>
      </c>
      <c r="K35" s="87">
        <v>17</v>
      </c>
    </row>
    <row r="36" spans="1:11" ht="14.6" x14ac:dyDescent="0.4">
      <c r="A36" s="84"/>
      <c r="B36" s="84"/>
      <c r="C36" s="84"/>
      <c r="D36" s="84"/>
      <c r="E36" s="84" t="s">
        <v>634</v>
      </c>
      <c r="F36" s="85">
        <v>44992</v>
      </c>
      <c r="G36" s="84" t="s">
        <v>1109</v>
      </c>
      <c r="H36" s="84" t="s">
        <v>647</v>
      </c>
      <c r="I36" s="84" t="s">
        <v>650</v>
      </c>
      <c r="J36" s="84" t="s">
        <v>659</v>
      </c>
      <c r="K36" s="87">
        <v>32.72</v>
      </c>
    </row>
    <row r="37" spans="1:11" ht="14.6" x14ac:dyDescent="0.4">
      <c r="A37" s="84"/>
      <c r="B37" s="84"/>
      <c r="C37" s="84"/>
      <c r="D37" s="84"/>
      <c r="E37" s="84" t="s">
        <v>634</v>
      </c>
      <c r="F37" s="85">
        <v>44992</v>
      </c>
      <c r="G37" s="84" t="s">
        <v>1110</v>
      </c>
      <c r="H37" s="84" t="s">
        <v>647</v>
      </c>
      <c r="I37" s="84" t="s">
        <v>650</v>
      </c>
      <c r="J37" s="84" t="s">
        <v>659</v>
      </c>
      <c r="K37" s="87">
        <v>62.39</v>
      </c>
    </row>
    <row r="38" spans="1:11" ht="14.6" x14ac:dyDescent="0.4">
      <c r="A38" s="84"/>
      <c r="B38" s="84"/>
      <c r="C38" s="84"/>
      <c r="D38" s="84"/>
      <c r="E38" s="84" t="s">
        <v>634</v>
      </c>
      <c r="F38" s="85">
        <v>44999</v>
      </c>
      <c r="G38" s="84" t="s">
        <v>1111</v>
      </c>
      <c r="H38" s="84" t="s">
        <v>647</v>
      </c>
      <c r="I38" s="84" t="s">
        <v>650</v>
      </c>
      <c r="J38" s="84" t="s">
        <v>659</v>
      </c>
      <c r="K38" s="87">
        <v>19.989999999999998</v>
      </c>
    </row>
    <row r="39" spans="1:11" ht="14.6" x14ac:dyDescent="0.4">
      <c r="A39" s="84"/>
      <c r="B39" s="84"/>
      <c r="C39" s="84"/>
      <c r="D39" s="84"/>
      <c r="E39" s="84" t="s">
        <v>634</v>
      </c>
      <c r="F39" s="85">
        <v>44999</v>
      </c>
      <c r="G39" s="84" t="s">
        <v>1112</v>
      </c>
      <c r="H39" s="84" t="s">
        <v>1158</v>
      </c>
      <c r="I39" s="84" t="s">
        <v>1167</v>
      </c>
      <c r="J39" s="84" t="s">
        <v>659</v>
      </c>
      <c r="K39" s="87">
        <v>0</v>
      </c>
    </row>
    <row r="40" spans="1:11" ht="14.6" x14ac:dyDescent="0.4">
      <c r="A40" s="84"/>
      <c r="B40" s="84"/>
      <c r="C40" s="84"/>
      <c r="D40" s="84"/>
      <c r="E40" s="84" t="s">
        <v>634</v>
      </c>
      <c r="F40" s="85">
        <v>45000</v>
      </c>
      <c r="G40" s="84" t="s">
        <v>1113</v>
      </c>
      <c r="H40" s="84" t="s">
        <v>647</v>
      </c>
      <c r="I40" s="84" t="s">
        <v>650</v>
      </c>
      <c r="J40" s="84" t="s">
        <v>659</v>
      </c>
      <c r="K40" s="87">
        <v>80.98</v>
      </c>
    </row>
    <row r="41" spans="1:11" ht="14.6" x14ac:dyDescent="0.4">
      <c r="A41" s="84"/>
      <c r="B41" s="84"/>
      <c r="C41" s="84"/>
      <c r="D41" s="84"/>
      <c r="E41" s="84" t="s">
        <v>634</v>
      </c>
      <c r="F41" s="85">
        <v>45001</v>
      </c>
      <c r="G41" s="84" t="s">
        <v>1114</v>
      </c>
      <c r="H41" s="84" t="s">
        <v>1158</v>
      </c>
      <c r="I41" s="84" t="s">
        <v>1168</v>
      </c>
      <c r="J41" s="84" t="s">
        <v>659</v>
      </c>
      <c r="K41" s="87">
        <v>469.9</v>
      </c>
    </row>
    <row r="42" spans="1:11" ht="14.6" x14ac:dyDescent="0.4">
      <c r="A42" s="84"/>
      <c r="B42" s="84"/>
      <c r="C42" s="84"/>
      <c r="D42" s="84"/>
      <c r="E42" s="84" t="s">
        <v>634</v>
      </c>
      <c r="F42" s="85">
        <v>45001</v>
      </c>
      <c r="G42" s="84" t="s">
        <v>1114</v>
      </c>
      <c r="H42" s="84" t="s">
        <v>1158</v>
      </c>
      <c r="I42" s="84" t="s">
        <v>650</v>
      </c>
      <c r="J42" s="84" t="s">
        <v>659</v>
      </c>
      <c r="K42" s="87">
        <v>85.7</v>
      </c>
    </row>
    <row r="43" spans="1:11" ht="14.6" x14ac:dyDescent="0.4">
      <c r="A43" s="84"/>
      <c r="B43" s="84"/>
      <c r="C43" s="84"/>
      <c r="D43" s="84"/>
      <c r="E43" s="84" t="s">
        <v>634</v>
      </c>
      <c r="F43" s="85">
        <v>45007</v>
      </c>
      <c r="G43" s="84" t="s">
        <v>1115</v>
      </c>
      <c r="H43" s="84" t="s">
        <v>647</v>
      </c>
      <c r="I43" s="84" t="s">
        <v>650</v>
      </c>
      <c r="J43" s="84" t="s">
        <v>659</v>
      </c>
      <c r="K43" s="87">
        <v>57.76</v>
      </c>
    </row>
    <row r="44" spans="1:11" ht="14.6" x14ac:dyDescent="0.4">
      <c r="A44" s="84"/>
      <c r="B44" s="84"/>
      <c r="C44" s="84"/>
      <c r="D44" s="84"/>
      <c r="E44" s="84" t="s">
        <v>634</v>
      </c>
      <c r="F44" s="85">
        <v>45009</v>
      </c>
      <c r="G44" s="84" t="s">
        <v>1116</v>
      </c>
      <c r="H44" s="84" t="s">
        <v>647</v>
      </c>
      <c r="I44" s="84" t="s">
        <v>650</v>
      </c>
      <c r="J44" s="84" t="s">
        <v>659</v>
      </c>
      <c r="K44" s="87">
        <v>72.709999999999994</v>
      </c>
    </row>
    <row r="45" spans="1:11" ht="14.6" x14ac:dyDescent="0.4">
      <c r="A45" s="84"/>
      <c r="B45" s="84"/>
      <c r="C45" s="84"/>
      <c r="D45" s="84"/>
      <c r="E45" s="84" t="s">
        <v>634</v>
      </c>
      <c r="F45" s="85">
        <v>45011</v>
      </c>
      <c r="G45" s="84" t="s">
        <v>1117</v>
      </c>
      <c r="H45" s="84" t="s">
        <v>647</v>
      </c>
      <c r="I45" s="84" t="s">
        <v>650</v>
      </c>
      <c r="J45" s="84" t="s">
        <v>659</v>
      </c>
      <c r="K45" s="87">
        <v>17.7</v>
      </c>
    </row>
    <row r="46" spans="1:11" ht="14.6" x14ac:dyDescent="0.4">
      <c r="A46" s="84"/>
      <c r="B46" s="84"/>
      <c r="C46" s="84"/>
      <c r="D46" s="84"/>
      <c r="E46" s="84" t="s">
        <v>634</v>
      </c>
      <c r="F46" s="85">
        <v>45011</v>
      </c>
      <c r="G46" s="84" t="s">
        <v>1118</v>
      </c>
      <c r="H46" s="84" t="s">
        <v>1158</v>
      </c>
      <c r="I46" s="84" t="s">
        <v>650</v>
      </c>
      <c r="J46" s="84" t="s">
        <v>659</v>
      </c>
      <c r="K46" s="87">
        <v>23.2</v>
      </c>
    </row>
    <row r="47" spans="1:11" ht="14.6" x14ac:dyDescent="0.4">
      <c r="A47" s="84"/>
      <c r="B47" s="84"/>
      <c r="C47" s="84"/>
      <c r="D47" s="84"/>
      <c r="E47" s="84" t="s">
        <v>634</v>
      </c>
      <c r="F47" s="85">
        <v>45012</v>
      </c>
      <c r="G47" s="84" t="s">
        <v>1119</v>
      </c>
      <c r="H47" s="84" t="s">
        <v>647</v>
      </c>
      <c r="I47" s="84" t="s">
        <v>650</v>
      </c>
      <c r="J47" s="84" t="s">
        <v>659</v>
      </c>
      <c r="K47" s="87">
        <v>70.87</v>
      </c>
    </row>
    <row r="48" spans="1:11" ht="14.6" x14ac:dyDescent="0.4">
      <c r="A48" s="84"/>
      <c r="B48" s="84"/>
      <c r="C48" s="84"/>
      <c r="D48" s="84"/>
      <c r="E48" s="84" t="s">
        <v>634</v>
      </c>
      <c r="F48" s="85">
        <v>45013</v>
      </c>
      <c r="G48" s="84" t="s">
        <v>1120</v>
      </c>
      <c r="H48" s="84" t="s">
        <v>647</v>
      </c>
      <c r="I48" s="84" t="s">
        <v>650</v>
      </c>
      <c r="J48" s="84" t="s">
        <v>659</v>
      </c>
      <c r="K48" s="87">
        <v>129.59</v>
      </c>
    </row>
    <row r="49" spans="1:11" ht="14.6" x14ac:dyDescent="0.4">
      <c r="A49" s="84"/>
      <c r="B49" s="84"/>
      <c r="C49" s="84"/>
      <c r="D49" s="84"/>
      <c r="E49" s="84" t="s">
        <v>634</v>
      </c>
      <c r="F49" s="85">
        <v>45015</v>
      </c>
      <c r="G49" s="84" t="s">
        <v>1121</v>
      </c>
      <c r="H49" s="84" t="s">
        <v>647</v>
      </c>
      <c r="I49" s="84" t="s">
        <v>650</v>
      </c>
      <c r="J49" s="84" t="s">
        <v>659</v>
      </c>
      <c r="K49" s="87">
        <v>85.56</v>
      </c>
    </row>
    <row r="50" spans="1:11" ht="14.6" x14ac:dyDescent="0.4">
      <c r="A50" s="84"/>
      <c r="B50" s="84"/>
      <c r="C50" s="84"/>
      <c r="D50" s="84"/>
      <c r="E50" s="84" t="s">
        <v>634</v>
      </c>
      <c r="F50" s="85">
        <v>45019</v>
      </c>
      <c r="G50" s="84" t="s">
        <v>1122</v>
      </c>
      <c r="H50" s="84" t="s">
        <v>945</v>
      </c>
      <c r="I50" s="84" t="s">
        <v>1169</v>
      </c>
      <c r="J50" s="84" t="s">
        <v>659</v>
      </c>
      <c r="K50" s="87">
        <v>154.85</v>
      </c>
    </row>
    <row r="51" spans="1:11" ht="14.6" x14ac:dyDescent="0.4">
      <c r="A51" s="84"/>
      <c r="B51" s="84"/>
      <c r="C51" s="84"/>
      <c r="D51" s="84"/>
      <c r="E51" s="84" t="s">
        <v>634</v>
      </c>
      <c r="F51" s="85">
        <v>45020</v>
      </c>
      <c r="G51" s="84" t="s">
        <v>1123</v>
      </c>
      <c r="H51" s="84" t="s">
        <v>647</v>
      </c>
      <c r="I51" s="84" t="s">
        <v>650</v>
      </c>
      <c r="J51" s="84" t="s">
        <v>659</v>
      </c>
      <c r="K51" s="87">
        <v>44.85</v>
      </c>
    </row>
    <row r="52" spans="1:11" ht="14.6" x14ac:dyDescent="0.4">
      <c r="A52" s="84"/>
      <c r="B52" s="84"/>
      <c r="C52" s="84"/>
      <c r="D52" s="84"/>
      <c r="E52" s="84" t="s">
        <v>704</v>
      </c>
      <c r="F52" s="85">
        <v>45021</v>
      </c>
      <c r="G52" s="84" t="s">
        <v>1124</v>
      </c>
      <c r="H52" s="84" t="s">
        <v>1159</v>
      </c>
      <c r="I52" s="84" t="s">
        <v>1170</v>
      </c>
      <c r="J52" s="84" t="s">
        <v>771</v>
      </c>
      <c r="K52" s="87">
        <v>73.430000000000007</v>
      </c>
    </row>
    <row r="53" spans="1:11" ht="14.6" x14ac:dyDescent="0.4">
      <c r="A53" s="84"/>
      <c r="B53" s="84"/>
      <c r="C53" s="84"/>
      <c r="D53" s="84"/>
      <c r="E53" s="84" t="s">
        <v>634</v>
      </c>
      <c r="F53" s="85">
        <v>45027</v>
      </c>
      <c r="G53" s="84" t="s">
        <v>1125</v>
      </c>
      <c r="H53" s="84" t="s">
        <v>648</v>
      </c>
      <c r="I53" s="84" t="s">
        <v>1165</v>
      </c>
      <c r="J53" s="84" t="s">
        <v>659</v>
      </c>
      <c r="K53" s="87">
        <v>17</v>
      </c>
    </row>
    <row r="54" spans="1:11" ht="14.6" x14ac:dyDescent="0.4">
      <c r="A54" s="84"/>
      <c r="B54" s="84"/>
      <c r="C54" s="84"/>
      <c r="D54" s="84"/>
      <c r="E54" s="84" t="s">
        <v>634</v>
      </c>
      <c r="F54" s="85">
        <v>45028</v>
      </c>
      <c r="G54" s="84" t="s">
        <v>1126</v>
      </c>
      <c r="H54" s="84" t="s">
        <v>648</v>
      </c>
      <c r="I54" s="84" t="s">
        <v>1165</v>
      </c>
      <c r="J54" s="84" t="s">
        <v>659</v>
      </c>
      <c r="K54" s="87">
        <v>17</v>
      </c>
    </row>
    <row r="55" spans="1:11" ht="14.6" x14ac:dyDescent="0.4">
      <c r="A55" s="84"/>
      <c r="B55" s="84"/>
      <c r="C55" s="84"/>
      <c r="D55" s="84"/>
      <c r="E55" s="84" t="s">
        <v>704</v>
      </c>
      <c r="F55" s="85">
        <v>45028</v>
      </c>
      <c r="G55" s="84" t="s">
        <v>1127</v>
      </c>
      <c r="H55" s="84" t="s">
        <v>1160</v>
      </c>
      <c r="I55" s="84" t="s">
        <v>1171</v>
      </c>
      <c r="J55" s="84" t="s">
        <v>771</v>
      </c>
      <c r="K55" s="87">
        <v>41.61</v>
      </c>
    </row>
    <row r="56" spans="1:11" ht="14.6" x14ac:dyDescent="0.4">
      <c r="A56" s="84"/>
      <c r="B56" s="84"/>
      <c r="C56" s="84"/>
      <c r="D56" s="84"/>
      <c r="E56" s="84" t="s">
        <v>634</v>
      </c>
      <c r="F56" s="85">
        <v>45029</v>
      </c>
      <c r="G56" s="84" t="s">
        <v>1128</v>
      </c>
      <c r="H56" s="84" t="s">
        <v>648</v>
      </c>
      <c r="I56" s="84" t="s">
        <v>1165</v>
      </c>
      <c r="J56" s="84" t="s">
        <v>659</v>
      </c>
      <c r="K56" s="87">
        <v>17</v>
      </c>
    </row>
    <row r="57" spans="1:11" ht="14.6" x14ac:dyDescent="0.4">
      <c r="A57" s="84"/>
      <c r="B57" s="84"/>
      <c r="C57" s="84"/>
      <c r="D57" s="84"/>
      <c r="E57" s="84" t="s">
        <v>634</v>
      </c>
      <c r="F57" s="85">
        <v>45035</v>
      </c>
      <c r="G57" s="84" t="s">
        <v>1129</v>
      </c>
      <c r="H57" s="84" t="s">
        <v>648</v>
      </c>
      <c r="I57" s="84" t="s">
        <v>1172</v>
      </c>
      <c r="J57" s="84" t="s">
        <v>659</v>
      </c>
      <c r="K57" s="87">
        <v>48.67</v>
      </c>
    </row>
    <row r="58" spans="1:11" ht="14.6" x14ac:dyDescent="0.4">
      <c r="A58" s="84"/>
      <c r="B58" s="84"/>
      <c r="C58" s="84"/>
      <c r="D58" s="84"/>
      <c r="E58" s="84" t="s">
        <v>634</v>
      </c>
      <c r="F58" s="85">
        <v>45035</v>
      </c>
      <c r="G58" s="84" t="s">
        <v>1130</v>
      </c>
      <c r="H58" s="84" t="s">
        <v>648</v>
      </c>
      <c r="I58" s="84" t="s">
        <v>1173</v>
      </c>
      <c r="J58" s="84" t="s">
        <v>659</v>
      </c>
      <c r="K58" s="87">
        <v>48.67</v>
      </c>
    </row>
    <row r="59" spans="1:11" ht="14.6" x14ac:dyDescent="0.4">
      <c r="A59" s="84"/>
      <c r="B59" s="84"/>
      <c r="C59" s="84"/>
      <c r="D59" s="84"/>
      <c r="E59" s="84" t="s">
        <v>634</v>
      </c>
      <c r="F59" s="85">
        <v>45039</v>
      </c>
      <c r="G59" s="84" t="s">
        <v>1131</v>
      </c>
      <c r="H59" s="84" t="s">
        <v>647</v>
      </c>
      <c r="I59" s="84" t="s">
        <v>1174</v>
      </c>
      <c r="J59" s="84" t="s">
        <v>659</v>
      </c>
      <c r="K59" s="87">
        <v>74.849999999999994</v>
      </c>
    </row>
    <row r="60" spans="1:11" ht="14.6" x14ac:dyDescent="0.4">
      <c r="A60" s="84"/>
      <c r="B60" s="84"/>
      <c r="C60" s="84"/>
      <c r="D60" s="84"/>
      <c r="E60" s="84" t="s">
        <v>634</v>
      </c>
      <c r="F60" s="85">
        <v>45040</v>
      </c>
      <c r="G60" s="84" t="s">
        <v>1132</v>
      </c>
      <c r="H60" s="84" t="s">
        <v>647</v>
      </c>
      <c r="I60" s="84" t="s">
        <v>1174</v>
      </c>
      <c r="J60" s="84" t="s">
        <v>659</v>
      </c>
      <c r="K60" s="87">
        <v>144.25</v>
      </c>
    </row>
    <row r="61" spans="1:11" ht="14.6" x14ac:dyDescent="0.4">
      <c r="A61" s="84"/>
      <c r="B61" s="84"/>
      <c r="C61" s="84"/>
      <c r="D61" s="84"/>
      <c r="E61" s="84" t="s">
        <v>634</v>
      </c>
      <c r="F61" s="85">
        <v>45046</v>
      </c>
      <c r="G61" s="84" t="s">
        <v>1133</v>
      </c>
      <c r="H61" s="84" t="s">
        <v>1158</v>
      </c>
      <c r="I61" s="84" t="s">
        <v>650</v>
      </c>
      <c r="J61" s="84" t="s">
        <v>659</v>
      </c>
      <c r="K61" s="87">
        <v>231.34</v>
      </c>
    </row>
    <row r="62" spans="1:11" ht="14.6" x14ac:dyDescent="0.4">
      <c r="A62" s="84"/>
      <c r="B62" s="84"/>
      <c r="C62" s="84"/>
      <c r="D62" s="84"/>
      <c r="E62" s="84" t="s">
        <v>634</v>
      </c>
      <c r="F62" s="85">
        <v>45048</v>
      </c>
      <c r="G62" s="84" t="s">
        <v>1135</v>
      </c>
      <c r="H62" s="84" t="s">
        <v>1158</v>
      </c>
      <c r="I62" s="84" t="s">
        <v>1176</v>
      </c>
      <c r="J62" s="84" t="s">
        <v>659</v>
      </c>
      <c r="K62" s="87">
        <v>469.9</v>
      </c>
    </row>
    <row r="63" spans="1:11" ht="14.6" x14ac:dyDescent="0.4">
      <c r="A63" s="84"/>
      <c r="B63" s="84"/>
      <c r="C63" s="84"/>
      <c r="D63" s="84"/>
      <c r="E63" s="84" t="s">
        <v>634</v>
      </c>
      <c r="F63" s="85">
        <v>45048</v>
      </c>
      <c r="G63" s="84" t="s">
        <v>1135</v>
      </c>
      <c r="H63" s="84" t="s">
        <v>1158</v>
      </c>
      <c r="I63" s="84" t="s">
        <v>650</v>
      </c>
      <c r="J63" s="84" t="s">
        <v>659</v>
      </c>
      <c r="K63" s="87">
        <v>37.159999999999997</v>
      </c>
    </row>
    <row r="64" spans="1:11" ht="14.6" x14ac:dyDescent="0.4">
      <c r="A64" s="84"/>
      <c r="B64" s="84"/>
      <c r="C64" s="84"/>
      <c r="D64" s="84"/>
      <c r="E64" s="84" t="s">
        <v>634</v>
      </c>
      <c r="F64" s="85">
        <v>45054</v>
      </c>
      <c r="G64" s="84" t="s">
        <v>1136</v>
      </c>
      <c r="H64" s="84" t="s">
        <v>647</v>
      </c>
      <c r="I64" s="84" t="s">
        <v>1174</v>
      </c>
      <c r="J64" s="84" t="s">
        <v>659</v>
      </c>
      <c r="K64" s="87">
        <v>124.04</v>
      </c>
    </row>
    <row r="65" spans="1:11" ht="14.6" x14ac:dyDescent="0.4">
      <c r="A65" s="84"/>
      <c r="B65" s="84"/>
      <c r="C65" s="84"/>
      <c r="D65" s="84"/>
      <c r="E65" s="84" t="s">
        <v>634</v>
      </c>
      <c r="F65" s="85">
        <v>45054</v>
      </c>
      <c r="G65" s="84" t="s">
        <v>1136</v>
      </c>
      <c r="H65" s="84" t="s">
        <v>647</v>
      </c>
      <c r="I65" s="84" t="s">
        <v>1174</v>
      </c>
      <c r="J65" s="84" t="s">
        <v>659</v>
      </c>
      <c r="K65" s="87">
        <v>124.04</v>
      </c>
    </row>
    <row r="66" spans="1:11" ht="14.6" x14ac:dyDescent="0.4">
      <c r="A66" s="84"/>
      <c r="B66" s="84"/>
      <c r="C66" s="84"/>
      <c r="D66" s="84"/>
      <c r="E66" s="84" t="s">
        <v>634</v>
      </c>
      <c r="F66" s="85">
        <v>45062</v>
      </c>
      <c r="G66" s="84" t="s">
        <v>1137</v>
      </c>
      <c r="H66" s="84" t="s">
        <v>647</v>
      </c>
      <c r="I66" s="84" t="s">
        <v>1174</v>
      </c>
      <c r="J66" s="84" t="s">
        <v>659</v>
      </c>
      <c r="K66" s="87">
        <v>72.75</v>
      </c>
    </row>
    <row r="67" spans="1:11" ht="14.6" x14ac:dyDescent="0.4">
      <c r="A67" s="84"/>
      <c r="B67" s="84"/>
      <c r="C67" s="84"/>
      <c r="D67" s="84"/>
      <c r="E67" s="84" t="s">
        <v>634</v>
      </c>
      <c r="F67" s="85">
        <v>45062</v>
      </c>
      <c r="G67" s="84" t="s">
        <v>1138</v>
      </c>
      <c r="H67" s="84" t="s">
        <v>647</v>
      </c>
      <c r="I67" s="84" t="s">
        <v>1174</v>
      </c>
      <c r="J67" s="84" t="s">
        <v>659</v>
      </c>
      <c r="K67" s="87">
        <v>38.659999999999997</v>
      </c>
    </row>
    <row r="68" spans="1:11" ht="14.6" x14ac:dyDescent="0.4">
      <c r="A68" s="84"/>
      <c r="B68" s="84"/>
      <c r="C68" s="84"/>
      <c r="D68" s="84"/>
      <c r="E68" s="84" t="s">
        <v>634</v>
      </c>
      <c r="F68" s="85">
        <v>45075</v>
      </c>
      <c r="G68" s="84" t="s">
        <v>1139</v>
      </c>
      <c r="H68" s="84" t="s">
        <v>647</v>
      </c>
      <c r="I68" s="84" t="s">
        <v>1174</v>
      </c>
      <c r="J68" s="84" t="s">
        <v>659</v>
      </c>
      <c r="K68" s="87">
        <v>289.66000000000003</v>
      </c>
    </row>
    <row r="69" spans="1:11" ht="14.6" x14ac:dyDescent="0.4">
      <c r="A69" s="84"/>
      <c r="B69" s="84"/>
      <c r="C69" s="84"/>
      <c r="D69" s="84"/>
      <c r="E69" s="84" t="s">
        <v>634</v>
      </c>
      <c r="F69" s="85">
        <v>45077</v>
      </c>
      <c r="G69" s="84" t="s">
        <v>1140</v>
      </c>
      <c r="H69" s="84" t="s">
        <v>1158</v>
      </c>
      <c r="I69" s="84" t="s">
        <v>1176</v>
      </c>
      <c r="J69" s="84" t="s">
        <v>659</v>
      </c>
      <c r="K69" s="87">
        <v>469.9</v>
      </c>
    </row>
    <row r="70" spans="1:11" ht="14.6" x14ac:dyDescent="0.4">
      <c r="A70" s="84"/>
      <c r="B70" s="84"/>
      <c r="C70" s="84"/>
      <c r="D70" s="84"/>
      <c r="E70" s="84" t="s">
        <v>634</v>
      </c>
      <c r="F70" s="85">
        <v>45079</v>
      </c>
      <c r="G70" s="84" t="s">
        <v>1141</v>
      </c>
      <c r="H70" s="84" t="s">
        <v>647</v>
      </c>
      <c r="I70" s="84" t="s">
        <v>1174</v>
      </c>
      <c r="J70" s="84" t="s">
        <v>659</v>
      </c>
      <c r="K70" s="87">
        <v>29.98</v>
      </c>
    </row>
    <row r="71" spans="1:11" ht="14.6" x14ac:dyDescent="0.4">
      <c r="A71" s="84"/>
      <c r="B71" s="84"/>
      <c r="C71" s="84"/>
      <c r="D71" s="84"/>
      <c r="E71" s="84" t="s">
        <v>705</v>
      </c>
      <c r="F71" s="85">
        <v>45079</v>
      </c>
      <c r="G71" s="84"/>
      <c r="H71" s="84" t="s">
        <v>725</v>
      </c>
      <c r="I71" s="84" t="s">
        <v>1177</v>
      </c>
      <c r="J71" s="84" t="s">
        <v>773</v>
      </c>
      <c r="K71" s="87">
        <v>-20</v>
      </c>
    </row>
    <row r="72" spans="1:11" ht="14.6" x14ac:dyDescent="0.4">
      <c r="A72" s="84"/>
      <c r="B72" s="84"/>
      <c r="C72" s="84"/>
      <c r="D72" s="84"/>
      <c r="E72" s="84" t="s">
        <v>634</v>
      </c>
      <c r="F72" s="85">
        <v>45081</v>
      </c>
      <c r="G72" s="84" t="s">
        <v>1142</v>
      </c>
      <c r="H72" s="84" t="s">
        <v>647</v>
      </c>
      <c r="I72" s="84" t="s">
        <v>1174</v>
      </c>
      <c r="J72" s="84" t="s">
        <v>659</v>
      </c>
      <c r="K72" s="87">
        <v>35.97</v>
      </c>
    </row>
    <row r="73" spans="1:11" ht="14.6" x14ac:dyDescent="0.4">
      <c r="A73" s="84"/>
      <c r="B73" s="84"/>
      <c r="C73" s="84"/>
      <c r="D73" s="84"/>
      <c r="E73" s="84" t="s">
        <v>634</v>
      </c>
      <c r="F73" s="85">
        <v>45085</v>
      </c>
      <c r="G73" s="84" t="s">
        <v>1143</v>
      </c>
      <c r="H73" s="84" t="s">
        <v>648</v>
      </c>
      <c r="I73" s="84" t="s">
        <v>1178</v>
      </c>
      <c r="J73" s="84" t="s">
        <v>659</v>
      </c>
      <c r="K73" s="87">
        <v>51</v>
      </c>
    </row>
    <row r="74" spans="1:11" ht="14.6" x14ac:dyDescent="0.4">
      <c r="A74" s="84"/>
      <c r="B74" s="84"/>
      <c r="C74" s="84"/>
      <c r="D74" s="84"/>
      <c r="E74" s="84" t="s">
        <v>634</v>
      </c>
      <c r="F74" s="85">
        <v>45101</v>
      </c>
      <c r="G74" s="84" t="s">
        <v>1144</v>
      </c>
      <c r="H74" s="84" t="s">
        <v>647</v>
      </c>
      <c r="I74" s="84" t="s">
        <v>1174</v>
      </c>
      <c r="J74" s="84" t="s">
        <v>659</v>
      </c>
      <c r="K74" s="87">
        <v>7.55</v>
      </c>
    </row>
    <row r="75" spans="1:11" ht="14.6" x14ac:dyDescent="0.4">
      <c r="A75" s="84"/>
      <c r="B75" s="84"/>
      <c r="C75" s="84"/>
      <c r="D75" s="84"/>
      <c r="E75" s="84" t="s">
        <v>704</v>
      </c>
      <c r="F75" s="85">
        <v>45117</v>
      </c>
      <c r="G75" s="84" t="s">
        <v>1145</v>
      </c>
      <c r="H75" s="84" t="s">
        <v>1161</v>
      </c>
      <c r="I75" s="84" t="s">
        <v>1186</v>
      </c>
      <c r="J75" s="84" t="s">
        <v>771</v>
      </c>
      <c r="K75" s="87">
        <v>0.01</v>
      </c>
    </row>
    <row r="76" spans="1:11" ht="14.6" x14ac:dyDescent="0.4">
      <c r="A76" s="84"/>
      <c r="B76" s="84"/>
      <c r="C76" s="84"/>
      <c r="D76" s="84"/>
      <c r="E76" s="84" t="s">
        <v>704</v>
      </c>
      <c r="F76" s="85">
        <v>45117</v>
      </c>
      <c r="G76" s="84" t="s">
        <v>1145</v>
      </c>
      <c r="H76" s="84" t="s">
        <v>1161</v>
      </c>
      <c r="I76" s="84" t="s">
        <v>1187</v>
      </c>
      <c r="J76" s="84" t="s">
        <v>771</v>
      </c>
      <c r="K76" s="87">
        <v>290.75</v>
      </c>
    </row>
    <row r="77" spans="1:11" ht="14.6" x14ac:dyDescent="0.4">
      <c r="A77" s="84"/>
      <c r="B77" s="84"/>
      <c r="C77" s="84"/>
      <c r="D77" s="84"/>
      <c r="E77" s="84" t="s">
        <v>704</v>
      </c>
      <c r="F77" s="85">
        <v>45117</v>
      </c>
      <c r="G77" s="84" t="s">
        <v>1145</v>
      </c>
      <c r="H77" s="84" t="s">
        <v>1161</v>
      </c>
      <c r="I77" s="84" t="s">
        <v>1188</v>
      </c>
      <c r="J77" s="84" t="s">
        <v>771</v>
      </c>
      <c r="K77" s="87">
        <v>321.2</v>
      </c>
    </row>
    <row r="78" spans="1:11" ht="14.6" x14ac:dyDescent="0.4">
      <c r="A78" s="84"/>
      <c r="B78" s="84"/>
      <c r="C78" s="84"/>
      <c r="D78" s="84"/>
      <c r="E78" s="84" t="s">
        <v>634</v>
      </c>
      <c r="F78" s="85">
        <v>45118</v>
      </c>
      <c r="G78" s="84" t="s">
        <v>1146</v>
      </c>
      <c r="H78" s="84" t="s">
        <v>647</v>
      </c>
      <c r="I78" s="84" t="s">
        <v>1174</v>
      </c>
      <c r="J78" s="84" t="s">
        <v>659</v>
      </c>
      <c r="K78" s="87">
        <v>60.39</v>
      </c>
    </row>
    <row r="79" spans="1:11" ht="14.6" x14ac:dyDescent="0.4">
      <c r="A79" s="84"/>
      <c r="B79" s="84"/>
      <c r="C79" s="84"/>
      <c r="D79" s="84"/>
      <c r="E79" s="84" t="s">
        <v>634</v>
      </c>
      <c r="F79" s="85">
        <v>45120</v>
      </c>
      <c r="G79" s="84" t="s">
        <v>1147</v>
      </c>
      <c r="H79" s="84" t="s">
        <v>648</v>
      </c>
      <c r="I79" s="84" t="s">
        <v>1179</v>
      </c>
      <c r="J79" s="84" t="s">
        <v>659</v>
      </c>
      <c r="K79" s="87">
        <v>48.67</v>
      </c>
    </row>
    <row r="80" spans="1:11" ht="14.6" x14ac:dyDescent="0.4">
      <c r="A80" s="84"/>
      <c r="B80" s="84"/>
      <c r="C80" s="84"/>
      <c r="D80" s="84"/>
      <c r="E80" s="84" t="s">
        <v>634</v>
      </c>
      <c r="F80" s="85">
        <v>45120</v>
      </c>
      <c r="G80" s="84" t="s">
        <v>1147</v>
      </c>
      <c r="H80" s="84" t="s">
        <v>648</v>
      </c>
      <c r="I80" s="84" t="s">
        <v>1180</v>
      </c>
      <c r="J80" s="84" t="s">
        <v>659</v>
      </c>
      <c r="K80" s="87">
        <v>48.67</v>
      </c>
    </row>
    <row r="81" spans="1:11" ht="14.6" x14ac:dyDescent="0.4">
      <c r="A81" s="84"/>
      <c r="B81" s="84"/>
      <c r="C81" s="84"/>
      <c r="D81" s="84"/>
      <c r="E81" s="84" t="s">
        <v>634</v>
      </c>
      <c r="F81" s="85">
        <v>45120</v>
      </c>
      <c r="G81" s="84" t="s">
        <v>1147</v>
      </c>
      <c r="H81" s="84" t="s">
        <v>648</v>
      </c>
      <c r="I81" s="84" t="s">
        <v>1181</v>
      </c>
      <c r="J81" s="84" t="s">
        <v>659</v>
      </c>
      <c r="K81" s="87">
        <v>48.67</v>
      </c>
    </row>
    <row r="82" spans="1:11" ht="14.6" x14ac:dyDescent="0.4">
      <c r="A82" s="84"/>
      <c r="B82" s="84"/>
      <c r="C82" s="84"/>
      <c r="D82" s="84"/>
      <c r="E82" s="84" t="s">
        <v>634</v>
      </c>
      <c r="F82" s="85">
        <v>45120</v>
      </c>
      <c r="G82" s="84" t="s">
        <v>1147</v>
      </c>
      <c r="H82" s="84" t="s">
        <v>648</v>
      </c>
      <c r="I82" s="84" t="s">
        <v>1189</v>
      </c>
      <c r="J82" s="84" t="s">
        <v>659</v>
      </c>
      <c r="K82" s="87">
        <v>48.67</v>
      </c>
    </row>
    <row r="83" spans="1:11" ht="14.6" x14ac:dyDescent="0.4">
      <c r="A83" s="84"/>
      <c r="B83" s="84"/>
      <c r="C83" s="84"/>
      <c r="D83" s="84"/>
      <c r="E83" s="84" t="s">
        <v>634</v>
      </c>
      <c r="F83" s="85">
        <v>45120</v>
      </c>
      <c r="G83" s="84" t="s">
        <v>1147</v>
      </c>
      <c r="H83" s="84" t="s">
        <v>648</v>
      </c>
      <c r="I83" s="84" t="s">
        <v>1182</v>
      </c>
      <c r="J83" s="84" t="s">
        <v>659</v>
      </c>
      <c r="K83" s="87">
        <v>48.67</v>
      </c>
    </row>
    <row r="84" spans="1:11" ht="14.6" x14ac:dyDescent="0.4">
      <c r="A84" s="84"/>
      <c r="B84" s="84"/>
      <c r="C84" s="84"/>
      <c r="D84" s="84"/>
      <c r="E84" s="84" t="s">
        <v>634</v>
      </c>
      <c r="F84" s="85">
        <v>45120</v>
      </c>
      <c r="G84" s="84" t="s">
        <v>1147</v>
      </c>
      <c r="H84" s="84" t="s">
        <v>648</v>
      </c>
      <c r="I84" s="84" t="s">
        <v>1183</v>
      </c>
      <c r="J84" s="84" t="s">
        <v>659</v>
      </c>
      <c r="K84" s="87">
        <v>48.67</v>
      </c>
    </row>
    <row r="85" spans="1:11" ht="14.6" x14ac:dyDescent="0.4">
      <c r="A85" s="84"/>
      <c r="B85" s="84"/>
      <c r="C85" s="84"/>
      <c r="D85" s="84"/>
      <c r="E85" s="84" t="s">
        <v>634</v>
      </c>
      <c r="F85" s="85">
        <v>45120</v>
      </c>
      <c r="G85" s="84" t="s">
        <v>1148</v>
      </c>
      <c r="H85" s="84" t="s">
        <v>648</v>
      </c>
      <c r="I85" s="84" t="s">
        <v>1184</v>
      </c>
      <c r="J85" s="84" t="s">
        <v>659</v>
      </c>
      <c r="K85" s="87">
        <v>93.5</v>
      </c>
    </row>
    <row r="86" spans="1:11" ht="14.6" x14ac:dyDescent="0.4">
      <c r="A86" s="84"/>
      <c r="B86" s="84"/>
      <c r="C86" s="84"/>
      <c r="D86" s="84"/>
      <c r="E86" s="84" t="s">
        <v>634</v>
      </c>
      <c r="F86" s="85">
        <v>45122</v>
      </c>
      <c r="G86" s="84" t="s">
        <v>1149</v>
      </c>
      <c r="H86" s="84" t="s">
        <v>647</v>
      </c>
      <c r="I86" s="84" t="s">
        <v>1174</v>
      </c>
      <c r="J86" s="84" t="s">
        <v>659</v>
      </c>
      <c r="K86" s="87">
        <v>20.99</v>
      </c>
    </row>
    <row r="87" spans="1:11" ht="14.6" x14ac:dyDescent="0.4">
      <c r="A87" s="84"/>
      <c r="B87" s="84"/>
      <c r="C87" s="84"/>
      <c r="D87" s="84"/>
      <c r="E87" s="84" t="s">
        <v>634</v>
      </c>
      <c r="F87" s="85">
        <v>45125</v>
      </c>
      <c r="G87" s="84" t="s">
        <v>1150</v>
      </c>
      <c r="H87" s="84" t="s">
        <v>647</v>
      </c>
      <c r="I87" s="84" t="s">
        <v>1174</v>
      </c>
      <c r="J87" s="84" t="s">
        <v>659</v>
      </c>
      <c r="K87" s="87">
        <v>114.87</v>
      </c>
    </row>
    <row r="88" spans="1:11" ht="14.6" x14ac:dyDescent="0.4">
      <c r="A88" s="84"/>
      <c r="B88" s="84"/>
      <c r="C88" s="84"/>
      <c r="D88" s="84"/>
      <c r="E88" s="84" t="s">
        <v>634</v>
      </c>
      <c r="F88" s="85">
        <v>45125</v>
      </c>
      <c r="G88" s="84" t="s">
        <v>1151</v>
      </c>
      <c r="H88" s="84" t="s">
        <v>647</v>
      </c>
      <c r="I88" s="84" t="s">
        <v>1174</v>
      </c>
      <c r="J88" s="84" t="s">
        <v>659</v>
      </c>
      <c r="K88" s="87">
        <v>58.36</v>
      </c>
    </row>
    <row r="89" spans="1:11" ht="14.6" x14ac:dyDescent="0.4">
      <c r="A89" s="84"/>
      <c r="B89" s="84"/>
      <c r="C89" s="84"/>
      <c r="D89" s="84"/>
      <c r="E89" s="84" t="s">
        <v>634</v>
      </c>
      <c r="F89" s="85">
        <v>45126</v>
      </c>
      <c r="G89" s="84" t="s">
        <v>1152</v>
      </c>
      <c r="H89" s="84" t="s">
        <v>647</v>
      </c>
      <c r="I89" s="84" t="s">
        <v>1174</v>
      </c>
      <c r="J89" s="84" t="s">
        <v>659</v>
      </c>
      <c r="K89" s="87">
        <v>138.32</v>
      </c>
    </row>
    <row r="90" spans="1:11" ht="14.6" x14ac:dyDescent="0.4">
      <c r="A90" s="84"/>
      <c r="B90" s="84"/>
      <c r="C90" s="84"/>
      <c r="D90" s="84"/>
      <c r="E90" s="84" t="s">
        <v>634</v>
      </c>
      <c r="F90" s="85">
        <v>45126</v>
      </c>
      <c r="G90" s="84" t="s">
        <v>1153</v>
      </c>
      <c r="H90" s="84" t="s">
        <v>1158</v>
      </c>
      <c r="I90" s="84" t="s">
        <v>1176</v>
      </c>
      <c r="J90" s="84" t="s">
        <v>659</v>
      </c>
      <c r="K90" s="87">
        <v>469.9</v>
      </c>
    </row>
    <row r="91" spans="1:11" ht="14.6" x14ac:dyDescent="0.4">
      <c r="A91" s="84"/>
      <c r="B91" s="84"/>
      <c r="C91" s="84"/>
      <c r="D91" s="84"/>
      <c r="E91" s="84" t="s">
        <v>634</v>
      </c>
      <c r="F91" s="85">
        <v>45130</v>
      </c>
      <c r="G91" s="84" t="s">
        <v>1154</v>
      </c>
      <c r="H91" s="84" t="s">
        <v>1162</v>
      </c>
      <c r="I91" s="84" t="s">
        <v>1185</v>
      </c>
      <c r="J91" s="84" t="s">
        <v>659</v>
      </c>
      <c r="K91" s="87">
        <v>225</v>
      </c>
    </row>
    <row r="92" spans="1:11" ht="14.6" x14ac:dyDescent="0.4">
      <c r="A92" s="84"/>
      <c r="B92" s="84"/>
      <c r="C92" s="84"/>
      <c r="D92" s="84"/>
      <c r="E92" s="84" t="s">
        <v>634</v>
      </c>
      <c r="F92" s="85">
        <v>45134</v>
      </c>
      <c r="G92" s="84" t="s">
        <v>1155</v>
      </c>
      <c r="H92" s="84" t="s">
        <v>647</v>
      </c>
      <c r="I92" s="84" t="s">
        <v>1174</v>
      </c>
      <c r="J92" s="84" t="s">
        <v>659</v>
      </c>
      <c r="K92" s="87">
        <v>6.17</v>
      </c>
    </row>
    <row r="93" spans="1:11" ht="14.6" x14ac:dyDescent="0.4">
      <c r="A93" s="84"/>
      <c r="B93" s="84"/>
      <c r="C93" s="84"/>
      <c r="D93" s="84"/>
      <c r="E93" s="84" t="s">
        <v>634</v>
      </c>
      <c r="F93" s="85">
        <v>45134</v>
      </c>
      <c r="G93" s="84" t="s">
        <v>1156</v>
      </c>
      <c r="H93" s="84" t="s">
        <v>647</v>
      </c>
      <c r="I93" s="84" t="s">
        <v>1174</v>
      </c>
      <c r="J93" s="84" t="s">
        <v>659</v>
      </c>
      <c r="K93" s="87">
        <v>39.11</v>
      </c>
    </row>
    <row r="94" spans="1:11" ht="14.6" x14ac:dyDescent="0.4">
      <c r="A94" s="84"/>
      <c r="B94" s="84"/>
      <c r="C94" s="84"/>
      <c r="D94" s="84"/>
      <c r="E94" s="84" t="s">
        <v>704</v>
      </c>
      <c r="F94" s="85">
        <v>45134</v>
      </c>
      <c r="G94" s="84" t="s">
        <v>1157</v>
      </c>
      <c r="H94" s="84" t="s">
        <v>1163</v>
      </c>
      <c r="I94" s="84" t="s">
        <v>650</v>
      </c>
      <c r="J94" s="84" t="s">
        <v>772</v>
      </c>
      <c r="K94" s="87">
        <v>105.47</v>
      </c>
    </row>
    <row r="95" spans="1:11" ht="14.6" x14ac:dyDescent="0.4">
      <c r="A95" s="84"/>
      <c r="B95" s="84"/>
      <c r="C95" s="84"/>
      <c r="D95" s="84"/>
      <c r="E95" s="84" t="s">
        <v>634</v>
      </c>
      <c r="F95" s="85">
        <v>45139</v>
      </c>
      <c r="G95" s="84" t="s">
        <v>2359</v>
      </c>
      <c r="H95" s="84" t="s">
        <v>647</v>
      </c>
      <c r="I95" s="84" t="s">
        <v>1174</v>
      </c>
      <c r="J95" s="84" t="s">
        <v>659</v>
      </c>
      <c r="K95" s="87">
        <v>52.96</v>
      </c>
    </row>
    <row r="96" spans="1:11" ht="14.6" x14ac:dyDescent="0.4">
      <c r="A96" s="84"/>
      <c r="B96" s="84"/>
      <c r="C96" s="84"/>
      <c r="D96" s="84"/>
      <c r="E96" s="84" t="s">
        <v>634</v>
      </c>
      <c r="F96" s="85">
        <v>45149</v>
      </c>
      <c r="G96" s="84" t="s">
        <v>2360</v>
      </c>
      <c r="H96" s="84" t="s">
        <v>647</v>
      </c>
      <c r="I96" s="84" t="s">
        <v>1174</v>
      </c>
      <c r="J96" s="84" t="s">
        <v>659</v>
      </c>
      <c r="K96" s="87">
        <v>33.520000000000003</v>
      </c>
    </row>
    <row r="97" spans="1:11" ht="14.6" x14ac:dyDescent="0.4">
      <c r="A97" s="84"/>
      <c r="B97" s="84"/>
      <c r="C97" s="84"/>
      <c r="D97" s="84"/>
      <c r="E97" s="84" t="s">
        <v>704</v>
      </c>
      <c r="F97" s="85">
        <v>45152</v>
      </c>
      <c r="G97" s="84" t="s">
        <v>2361</v>
      </c>
      <c r="H97" s="84" t="s">
        <v>1160</v>
      </c>
      <c r="I97" s="84" t="s">
        <v>1167</v>
      </c>
      <c r="J97" s="84" t="s">
        <v>2426</v>
      </c>
      <c r="K97" s="87">
        <v>0</v>
      </c>
    </row>
    <row r="98" spans="1:11" ht="14.6" x14ac:dyDescent="0.4">
      <c r="A98" s="84"/>
      <c r="B98" s="84"/>
      <c r="C98" s="84"/>
      <c r="D98" s="84"/>
      <c r="E98" s="84" t="s">
        <v>634</v>
      </c>
      <c r="F98" s="85">
        <v>45153</v>
      </c>
      <c r="G98" s="84" t="s">
        <v>2362</v>
      </c>
      <c r="H98" s="84" t="s">
        <v>647</v>
      </c>
      <c r="I98" s="84" t="s">
        <v>1174</v>
      </c>
      <c r="J98" s="84" t="s">
        <v>659</v>
      </c>
      <c r="K98" s="87">
        <v>20.98</v>
      </c>
    </row>
    <row r="99" spans="1:11" ht="14.6" x14ac:dyDescent="0.4">
      <c r="A99" s="84"/>
      <c r="B99" s="84"/>
      <c r="C99" s="84"/>
      <c r="D99" s="84"/>
      <c r="E99" s="84" t="s">
        <v>634</v>
      </c>
      <c r="F99" s="85">
        <v>45161</v>
      </c>
      <c r="G99" s="84" t="s">
        <v>2363</v>
      </c>
      <c r="H99" s="84" t="s">
        <v>647</v>
      </c>
      <c r="I99" s="84" t="s">
        <v>1174</v>
      </c>
      <c r="J99" s="84" t="s">
        <v>659</v>
      </c>
      <c r="K99" s="87">
        <v>134.77000000000001</v>
      </c>
    </row>
    <row r="100" spans="1:11" ht="14.6" x14ac:dyDescent="0.4">
      <c r="A100" s="84"/>
      <c r="B100" s="84"/>
      <c r="C100" s="84"/>
      <c r="D100" s="84"/>
      <c r="E100" s="84" t="s">
        <v>634</v>
      </c>
      <c r="F100" s="85">
        <v>45168</v>
      </c>
      <c r="G100" s="84" t="s">
        <v>2364</v>
      </c>
      <c r="H100" s="84" t="s">
        <v>647</v>
      </c>
      <c r="I100" s="84" t="s">
        <v>1174</v>
      </c>
      <c r="J100" s="84" t="s">
        <v>659</v>
      </c>
      <c r="K100" s="87">
        <v>96.77</v>
      </c>
    </row>
    <row r="101" spans="1:11" ht="14.6" x14ac:dyDescent="0.4">
      <c r="A101" s="84"/>
      <c r="B101" s="84"/>
      <c r="C101" s="84"/>
      <c r="D101" s="84"/>
      <c r="E101" s="84" t="s">
        <v>634</v>
      </c>
      <c r="F101" s="85">
        <v>45176</v>
      </c>
      <c r="G101" s="84" t="s">
        <v>2365</v>
      </c>
      <c r="H101" s="84" t="s">
        <v>647</v>
      </c>
      <c r="I101" s="84" t="s">
        <v>650</v>
      </c>
      <c r="J101" s="84" t="s">
        <v>659</v>
      </c>
      <c r="K101" s="87">
        <v>21.99</v>
      </c>
    </row>
    <row r="102" spans="1:11" ht="14.6" x14ac:dyDescent="0.4">
      <c r="A102" s="84"/>
      <c r="B102" s="84"/>
      <c r="C102" s="84"/>
      <c r="D102" s="84"/>
      <c r="E102" s="84" t="s">
        <v>634</v>
      </c>
      <c r="F102" s="85">
        <v>45176</v>
      </c>
      <c r="G102" s="84" t="s">
        <v>2365</v>
      </c>
      <c r="H102" s="84" t="s">
        <v>647</v>
      </c>
      <c r="I102" s="84" t="s">
        <v>650</v>
      </c>
      <c r="J102" s="84" t="s">
        <v>659</v>
      </c>
      <c r="K102" s="87">
        <v>20.97</v>
      </c>
    </row>
    <row r="103" spans="1:11" ht="14.6" x14ac:dyDescent="0.4">
      <c r="A103" s="84"/>
      <c r="B103" s="84"/>
      <c r="C103" s="84"/>
      <c r="D103" s="84"/>
      <c r="E103" s="84" t="s">
        <v>634</v>
      </c>
      <c r="F103" s="85">
        <v>45182</v>
      </c>
      <c r="G103" s="84" t="s">
        <v>2366</v>
      </c>
      <c r="H103" s="84" t="s">
        <v>647</v>
      </c>
      <c r="I103" s="84" t="s">
        <v>1174</v>
      </c>
      <c r="J103" s="84" t="s">
        <v>659</v>
      </c>
      <c r="K103" s="87">
        <v>104.44</v>
      </c>
    </row>
    <row r="104" spans="1:11" ht="14.6" x14ac:dyDescent="0.4">
      <c r="A104" s="84"/>
      <c r="B104" s="84"/>
      <c r="C104" s="84"/>
      <c r="D104" s="84"/>
      <c r="E104" s="84" t="s">
        <v>634</v>
      </c>
      <c r="F104" s="85">
        <v>45190</v>
      </c>
      <c r="G104" s="84" t="s">
        <v>2367</v>
      </c>
      <c r="H104" s="84" t="s">
        <v>648</v>
      </c>
      <c r="I104" s="84" t="s">
        <v>2414</v>
      </c>
      <c r="J104" s="84" t="s">
        <v>659</v>
      </c>
      <c r="K104" s="87">
        <v>48.67</v>
      </c>
    </row>
    <row r="105" spans="1:11" ht="14.6" x14ac:dyDescent="0.4">
      <c r="A105" s="84"/>
      <c r="B105" s="84"/>
      <c r="C105" s="84"/>
      <c r="D105" s="84"/>
      <c r="E105" s="84" t="s">
        <v>634</v>
      </c>
      <c r="F105" s="85">
        <v>45190</v>
      </c>
      <c r="G105" s="84" t="s">
        <v>2367</v>
      </c>
      <c r="H105" s="84" t="s">
        <v>648</v>
      </c>
      <c r="I105" s="84" t="s">
        <v>2415</v>
      </c>
      <c r="J105" s="84" t="s">
        <v>659</v>
      </c>
      <c r="K105" s="87">
        <v>48.67</v>
      </c>
    </row>
    <row r="106" spans="1:11" ht="14.6" x14ac:dyDescent="0.4">
      <c r="A106" s="84"/>
      <c r="B106" s="84"/>
      <c r="C106" s="84"/>
      <c r="D106" s="84"/>
      <c r="E106" s="84" t="s">
        <v>634</v>
      </c>
      <c r="F106" s="85">
        <v>45190</v>
      </c>
      <c r="G106" s="84" t="s">
        <v>2368</v>
      </c>
      <c r="H106" s="84" t="s">
        <v>648</v>
      </c>
      <c r="I106" s="84" t="s">
        <v>1165</v>
      </c>
      <c r="J106" s="84" t="s">
        <v>659</v>
      </c>
      <c r="K106" s="87">
        <v>34</v>
      </c>
    </row>
    <row r="107" spans="1:11" ht="14.6" x14ac:dyDescent="0.4">
      <c r="A107" s="84"/>
      <c r="B107" s="84"/>
      <c r="C107" s="84"/>
      <c r="D107" s="84"/>
      <c r="E107" s="84" t="s">
        <v>634</v>
      </c>
      <c r="F107" s="85">
        <v>45194</v>
      </c>
      <c r="G107" s="84" t="s">
        <v>2369</v>
      </c>
      <c r="H107" s="84" t="s">
        <v>647</v>
      </c>
      <c r="I107" s="84" t="s">
        <v>1174</v>
      </c>
      <c r="J107" s="84" t="s">
        <v>659</v>
      </c>
      <c r="K107" s="87">
        <v>71.91</v>
      </c>
    </row>
    <row r="108" spans="1:11" ht="14.6" x14ac:dyDescent="0.4">
      <c r="A108" s="84"/>
      <c r="B108" s="84"/>
      <c r="C108" s="84"/>
      <c r="D108" s="84"/>
      <c r="E108" s="84" t="s">
        <v>634</v>
      </c>
      <c r="F108" s="85">
        <v>45196</v>
      </c>
      <c r="G108" s="84" t="s">
        <v>2370</v>
      </c>
      <c r="H108" s="84" t="s">
        <v>648</v>
      </c>
      <c r="I108" s="84" t="s">
        <v>2416</v>
      </c>
      <c r="J108" s="84" t="s">
        <v>659</v>
      </c>
      <c r="K108" s="87">
        <v>17</v>
      </c>
    </row>
    <row r="109" spans="1:11" ht="14.6" x14ac:dyDescent="0.4">
      <c r="A109" s="84"/>
      <c r="B109" s="84"/>
      <c r="C109" s="84"/>
      <c r="D109" s="84"/>
      <c r="E109" s="84" t="s">
        <v>634</v>
      </c>
      <c r="F109" s="85">
        <v>45201</v>
      </c>
      <c r="G109" s="84" t="s">
        <v>2371</v>
      </c>
      <c r="H109" s="84" t="s">
        <v>648</v>
      </c>
      <c r="I109" s="84" t="s">
        <v>2417</v>
      </c>
      <c r="J109" s="84" t="s">
        <v>659</v>
      </c>
      <c r="K109" s="87">
        <v>48.67</v>
      </c>
    </row>
    <row r="110" spans="1:11" ht="14.6" x14ac:dyDescent="0.4">
      <c r="A110" s="84"/>
      <c r="B110" s="84"/>
      <c r="C110" s="84"/>
      <c r="D110" s="84"/>
      <c r="E110" s="84" t="s">
        <v>634</v>
      </c>
      <c r="F110" s="85">
        <v>45209</v>
      </c>
      <c r="G110" s="84" t="s">
        <v>2372</v>
      </c>
      <c r="H110" s="84" t="s">
        <v>2408</v>
      </c>
      <c r="I110" s="84" t="s">
        <v>2418</v>
      </c>
      <c r="J110" s="84" t="s">
        <v>659</v>
      </c>
      <c r="K110" s="87">
        <v>240</v>
      </c>
    </row>
    <row r="111" spans="1:11" ht="14.6" x14ac:dyDescent="0.4">
      <c r="A111" s="84"/>
      <c r="B111" s="84"/>
      <c r="C111" s="84"/>
      <c r="D111" s="84"/>
      <c r="E111" s="84" t="s">
        <v>634</v>
      </c>
      <c r="F111" s="85">
        <v>45216</v>
      </c>
      <c r="G111" s="84" t="s">
        <v>2373</v>
      </c>
      <c r="H111" s="84" t="s">
        <v>647</v>
      </c>
      <c r="I111" s="84" t="s">
        <v>1174</v>
      </c>
      <c r="J111" s="84" t="s">
        <v>659</v>
      </c>
      <c r="K111" s="87">
        <v>29.98</v>
      </c>
    </row>
    <row r="112" spans="1:11" ht="14.6" x14ac:dyDescent="0.4">
      <c r="A112" s="84"/>
      <c r="B112" s="84"/>
      <c r="C112" s="84"/>
      <c r="D112" s="84"/>
      <c r="E112" s="84" t="s">
        <v>634</v>
      </c>
      <c r="F112" s="85">
        <v>45217</v>
      </c>
      <c r="G112" s="84" t="s">
        <v>2374</v>
      </c>
      <c r="H112" s="84" t="s">
        <v>647</v>
      </c>
      <c r="I112" s="84" t="s">
        <v>1174</v>
      </c>
      <c r="J112" s="84" t="s">
        <v>659</v>
      </c>
      <c r="K112" s="87">
        <v>35.979999999999997</v>
      </c>
    </row>
    <row r="113" spans="1:11" ht="14.6" x14ac:dyDescent="0.4">
      <c r="A113" s="84"/>
      <c r="B113" s="84"/>
      <c r="C113" s="84"/>
      <c r="D113" s="84"/>
      <c r="E113" s="84" t="s">
        <v>634</v>
      </c>
      <c r="F113" s="85">
        <v>45218</v>
      </c>
      <c r="G113" s="84" t="s">
        <v>2375</v>
      </c>
      <c r="H113" s="84" t="s">
        <v>647</v>
      </c>
      <c r="I113" s="84" t="s">
        <v>1174</v>
      </c>
      <c r="J113" s="84" t="s">
        <v>659</v>
      </c>
      <c r="K113" s="87">
        <v>143.66</v>
      </c>
    </row>
    <row r="114" spans="1:11" ht="14.6" x14ac:dyDescent="0.4">
      <c r="A114" s="84"/>
      <c r="B114" s="84"/>
      <c r="C114" s="84"/>
      <c r="D114" s="84"/>
      <c r="E114" s="84" t="s">
        <v>634</v>
      </c>
      <c r="F114" s="85">
        <v>45218</v>
      </c>
      <c r="G114" s="84" t="s">
        <v>2376</v>
      </c>
      <c r="H114" s="84" t="s">
        <v>647</v>
      </c>
      <c r="I114" s="84" t="s">
        <v>1167</v>
      </c>
      <c r="J114" s="84" t="s">
        <v>659</v>
      </c>
      <c r="K114" s="87">
        <v>0</v>
      </c>
    </row>
    <row r="115" spans="1:11" ht="14.6" x14ac:dyDescent="0.4">
      <c r="A115" s="84"/>
      <c r="B115" s="84"/>
      <c r="C115" s="84"/>
      <c r="D115" s="84"/>
      <c r="E115" s="84" t="s">
        <v>634</v>
      </c>
      <c r="F115" s="85">
        <v>45221</v>
      </c>
      <c r="G115" s="84" t="s">
        <v>2377</v>
      </c>
      <c r="H115" s="84" t="s">
        <v>647</v>
      </c>
      <c r="I115" s="84" t="s">
        <v>1174</v>
      </c>
      <c r="J115" s="84" t="s">
        <v>659</v>
      </c>
      <c r="K115" s="87">
        <v>63.98</v>
      </c>
    </row>
    <row r="116" spans="1:11" ht="14.6" x14ac:dyDescent="0.4">
      <c r="A116" s="84"/>
      <c r="B116" s="84"/>
      <c r="C116" s="84"/>
      <c r="D116" s="84"/>
      <c r="E116" s="84" t="s">
        <v>634</v>
      </c>
      <c r="F116" s="85">
        <v>45224</v>
      </c>
      <c r="G116" s="84" t="s">
        <v>2378</v>
      </c>
      <c r="H116" s="84" t="s">
        <v>2409</v>
      </c>
      <c r="I116" s="84" t="s">
        <v>2419</v>
      </c>
      <c r="J116" s="84" t="s">
        <v>659</v>
      </c>
      <c r="K116" s="87">
        <v>606.54</v>
      </c>
    </row>
    <row r="117" spans="1:11" ht="14.6" x14ac:dyDescent="0.4">
      <c r="A117" s="84"/>
      <c r="B117" s="84"/>
      <c r="C117" s="84"/>
      <c r="D117" s="84"/>
      <c r="E117" s="84" t="s">
        <v>634</v>
      </c>
      <c r="F117" s="85">
        <v>45237</v>
      </c>
      <c r="G117" s="84" t="s">
        <v>2379</v>
      </c>
      <c r="H117" s="84" t="s">
        <v>647</v>
      </c>
      <c r="I117" s="84" t="s">
        <v>1174</v>
      </c>
      <c r="J117" s="84" t="s">
        <v>659</v>
      </c>
      <c r="K117" s="87">
        <v>96.91</v>
      </c>
    </row>
    <row r="118" spans="1:11" ht="14.6" x14ac:dyDescent="0.4">
      <c r="A118" s="84"/>
      <c r="B118" s="84"/>
      <c r="C118" s="84"/>
      <c r="D118" s="84"/>
      <c r="E118" s="84" t="s">
        <v>634</v>
      </c>
      <c r="F118" s="85">
        <v>45237</v>
      </c>
      <c r="G118" s="84" t="s">
        <v>2380</v>
      </c>
      <c r="H118" s="84" t="s">
        <v>1158</v>
      </c>
      <c r="I118" s="84" t="s">
        <v>1176</v>
      </c>
      <c r="J118" s="84" t="s">
        <v>659</v>
      </c>
      <c r="K118" s="87">
        <v>449.9</v>
      </c>
    </row>
    <row r="119" spans="1:11" ht="14.6" x14ac:dyDescent="0.4">
      <c r="A119" s="84"/>
      <c r="B119" s="84"/>
      <c r="C119" s="84"/>
      <c r="D119" s="84"/>
      <c r="E119" s="84" t="s">
        <v>704</v>
      </c>
      <c r="F119" s="85">
        <v>45237</v>
      </c>
      <c r="G119" s="84" t="s">
        <v>2381</v>
      </c>
      <c r="H119" s="84" t="s">
        <v>2410</v>
      </c>
      <c r="I119" s="84" t="s">
        <v>2420</v>
      </c>
      <c r="J119" s="84" t="s">
        <v>771</v>
      </c>
      <c r="K119" s="87">
        <v>595</v>
      </c>
    </row>
    <row r="120" spans="1:11" ht="14.6" x14ac:dyDescent="0.4">
      <c r="A120" s="84"/>
      <c r="B120" s="84"/>
      <c r="C120" s="84"/>
      <c r="D120" s="84"/>
      <c r="E120" s="84" t="s">
        <v>634</v>
      </c>
      <c r="F120" s="85">
        <v>45238</v>
      </c>
      <c r="G120" s="84" t="s">
        <v>2382</v>
      </c>
      <c r="H120" s="84" t="s">
        <v>647</v>
      </c>
      <c r="I120" s="84"/>
      <c r="J120" s="84" t="s">
        <v>659</v>
      </c>
      <c r="K120" s="87">
        <v>0</v>
      </c>
    </row>
    <row r="121" spans="1:11" ht="14.6" x14ac:dyDescent="0.4">
      <c r="A121" s="84"/>
      <c r="B121" s="84"/>
      <c r="C121" s="84"/>
      <c r="D121" s="84"/>
      <c r="E121" s="84" t="s">
        <v>634</v>
      </c>
      <c r="F121" s="85">
        <v>45242</v>
      </c>
      <c r="G121" s="84" t="s">
        <v>2383</v>
      </c>
      <c r="H121" s="84" t="s">
        <v>2411</v>
      </c>
      <c r="I121" s="84" t="s">
        <v>2421</v>
      </c>
      <c r="J121" s="84" t="s">
        <v>659</v>
      </c>
      <c r="K121" s="87">
        <v>556</v>
      </c>
    </row>
    <row r="122" spans="1:11" ht="14.6" x14ac:dyDescent="0.4">
      <c r="A122" s="84"/>
      <c r="B122" s="84"/>
      <c r="C122" s="84"/>
      <c r="D122" s="84"/>
      <c r="E122" s="84" t="s">
        <v>634</v>
      </c>
      <c r="F122" s="85">
        <v>45243</v>
      </c>
      <c r="G122" s="84" t="s">
        <v>2384</v>
      </c>
      <c r="H122" s="84" t="s">
        <v>647</v>
      </c>
      <c r="I122" s="84" t="s">
        <v>1174</v>
      </c>
      <c r="J122" s="84" t="s">
        <v>659</v>
      </c>
      <c r="K122" s="87">
        <v>63.98</v>
      </c>
    </row>
    <row r="123" spans="1:11" ht="14.6" x14ac:dyDescent="0.4">
      <c r="A123" s="84"/>
      <c r="B123" s="84"/>
      <c r="C123" s="84"/>
      <c r="D123" s="84"/>
      <c r="E123" s="84" t="s">
        <v>634</v>
      </c>
      <c r="F123" s="85">
        <v>45247</v>
      </c>
      <c r="G123" s="84" t="s">
        <v>2385</v>
      </c>
      <c r="H123" s="84" t="s">
        <v>647</v>
      </c>
      <c r="I123" s="84" t="s">
        <v>1174</v>
      </c>
      <c r="J123" s="84" t="s">
        <v>659</v>
      </c>
      <c r="K123" s="87">
        <v>143.41</v>
      </c>
    </row>
    <row r="124" spans="1:11" ht="14.6" x14ac:dyDescent="0.4">
      <c r="A124" s="84"/>
      <c r="B124" s="84"/>
      <c r="C124" s="84"/>
      <c r="D124" s="84"/>
      <c r="E124" s="84" t="s">
        <v>704</v>
      </c>
      <c r="F124" s="85">
        <v>45257</v>
      </c>
      <c r="G124" s="84" t="s">
        <v>2386</v>
      </c>
      <c r="H124" s="84" t="s">
        <v>2412</v>
      </c>
      <c r="I124" s="84" t="s">
        <v>650</v>
      </c>
      <c r="J124" s="84" t="s">
        <v>771</v>
      </c>
      <c r="K124" s="87">
        <v>28.08</v>
      </c>
    </row>
    <row r="125" spans="1:11" ht="14.6" x14ac:dyDescent="0.4">
      <c r="A125" s="84"/>
      <c r="B125" s="84"/>
      <c r="C125" s="84"/>
      <c r="D125" s="84"/>
      <c r="E125" s="84" t="s">
        <v>634</v>
      </c>
      <c r="F125" s="85">
        <v>45259</v>
      </c>
      <c r="G125" s="84" t="s">
        <v>2387</v>
      </c>
      <c r="H125" s="84" t="s">
        <v>647</v>
      </c>
      <c r="I125" s="84" t="s">
        <v>1174</v>
      </c>
      <c r="J125" s="84" t="s">
        <v>659</v>
      </c>
      <c r="K125" s="87">
        <v>66.78</v>
      </c>
    </row>
    <row r="126" spans="1:11" ht="14.6" x14ac:dyDescent="0.4">
      <c r="A126" s="84"/>
      <c r="B126" s="84"/>
      <c r="C126" s="84"/>
      <c r="D126" s="84"/>
      <c r="E126" s="84" t="s">
        <v>634</v>
      </c>
      <c r="F126" s="85">
        <v>45260</v>
      </c>
      <c r="G126" s="84" t="s">
        <v>2388</v>
      </c>
      <c r="H126" s="84" t="s">
        <v>647</v>
      </c>
      <c r="I126" s="84" t="s">
        <v>1174</v>
      </c>
      <c r="J126" s="84" t="s">
        <v>659</v>
      </c>
      <c r="K126" s="87">
        <v>131.58000000000001</v>
      </c>
    </row>
    <row r="127" spans="1:11" ht="14.6" x14ac:dyDescent="0.4">
      <c r="A127" s="84"/>
      <c r="B127" s="84"/>
      <c r="C127" s="84"/>
      <c r="D127" s="84"/>
      <c r="E127" s="84" t="s">
        <v>634</v>
      </c>
      <c r="F127" s="85">
        <v>45261</v>
      </c>
      <c r="G127" s="84" t="s">
        <v>2389</v>
      </c>
      <c r="H127" s="84" t="s">
        <v>647</v>
      </c>
      <c r="I127" s="84" t="s">
        <v>1174</v>
      </c>
      <c r="J127" s="84" t="s">
        <v>659</v>
      </c>
      <c r="K127" s="87">
        <v>35.799999999999997</v>
      </c>
    </row>
    <row r="128" spans="1:11" ht="14.6" x14ac:dyDescent="0.4">
      <c r="A128" s="84"/>
      <c r="B128" s="84"/>
      <c r="C128" s="84"/>
      <c r="D128" s="84"/>
      <c r="E128" s="84" t="s">
        <v>634</v>
      </c>
      <c r="F128" s="85">
        <v>45261</v>
      </c>
      <c r="G128" s="84" t="s">
        <v>2390</v>
      </c>
      <c r="H128" s="84" t="s">
        <v>647</v>
      </c>
      <c r="I128" s="84"/>
      <c r="J128" s="84" t="s">
        <v>659</v>
      </c>
      <c r="K128" s="87">
        <v>0</v>
      </c>
    </row>
    <row r="129" spans="1:11" ht="14.6" x14ac:dyDescent="0.4">
      <c r="A129" s="84"/>
      <c r="B129" s="84"/>
      <c r="C129" s="84"/>
      <c r="D129" s="84"/>
      <c r="E129" s="84" t="s">
        <v>634</v>
      </c>
      <c r="F129" s="85">
        <v>45263</v>
      </c>
      <c r="G129" s="84" t="s">
        <v>2391</v>
      </c>
      <c r="H129" s="84" t="s">
        <v>647</v>
      </c>
      <c r="I129" s="84" t="s">
        <v>2422</v>
      </c>
      <c r="J129" s="84" t="s">
        <v>659</v>
      </c>
      <c r="K129" s="87">
        <v>0</v>
      </c>
    </row>
    <row r="130" spans="1:11" ht="14.6" x14ac:dyDescent="0.4">
      <c r="A130" s="84"/>
      <c r="B130" s="84"/>
      <c r="C130" s="84"/>
      <c r="D130" s="84"/>
      <c r="E130" s="84" t="s">
        <v>634</v>
      </c>
      <c r="F130" s="85">
        <v>45263</v>
      </c>
      <c r="G130" s="84" t="s">
        <v>1539</v>
      </c>
      <c r="H130" s="84" t="s">
        <v>945</v>
      </c>
      <c r="I130" s="84" t="s">
        <v>2423</v>
      </c>
      <c r="J130" s="84" t="s">
        <v>659</v>
      </c>
      <c r="K130" s="87">
        <v>246.94</v>
      </c>
    </row>
    <row r="131" spans="1:11" ht="14.6" x14ac:dyDescent="0.4">
      <c r="A131" s="84"/>
      <c r="B131" s="84"/>
      <c r="C131" s="84"/>
      <c r="D131" s="84"/>
      <c r="E131" s="84" t="s">
        <v>704</v>
      </c>
      <c r="F131" s="85">
        <v>45264</v>
      </c>
      <c r="G131" s="84" t="s">
        <v>2392</v>
      </c>
      <c r="H131" s="84" t="s">
        <v>1161</v>
      </c>
      <c r="I131" s="84" t="s">
        <v>2424</v>
      </c>
      <c r="J131" s="84" t="s">
        <v>1729</v>
      </c>
      <c r="K131" s="87">
        <v>667.36</v>
      </c>
    </row>
    <row r="132" spans="1:11" ht="14.6" x14ac:dyDescent="0.4">
      <c r="A132" s="84"/>
      <c r="B132" s="84"/>
      <c r="C132" s="84"/>
      <c r="D132" s="84"/>
      <c r="E132" s="84" t="s">
        <v>634</v>
      </c>
      <c r="F132" s="85">
        <v>45264</v>
      </c>
      <c r="G132" s="84" t="s">
        <v>2393</v>
      </c>
      <c r="H132" s="84" t="s">
        <v>647</v>
      </c>
      <c r="I132" s="84" t="s">
        <v>1174</v>
      </c>
      <c r="J132" s="84" t="s">
        <v>659</v>
      </c>
      <c r="K132" s="87">
        <v>36.4</v>
      </c>
    </row>
    <row r="133" spans="1:11" ht="14.6" x14ac:dyDescent="0.4">
      <c r="A133" s="84"/>
      <c r="B133" s="84"/>
      <c r="C133" s="84"/>
      <c r="D133" s="84"/>
      <c r="E133" s="84" t="s">
        <v>634</v>
      </c>
      <c r="F133" s="85">
        <v>45265</v>
      </c>
      <c r="G133" s="84" t="s">
        <v>2394</v>
      </c>
      <c r="H133" s="84" t="s">
        <v>647</v>
      </c>
      <c r="I133" s="84" t="s">
        <v>1174</v>
      </c>
      <c r="J133" s="84" t="s">
        <v>659</v>
      </c>
      <c r="K133" s="87">
        <v>51.47</v>
      </c>
    </row>
    <row r="134" spans="1:11" ht="14.6" x14ac:dyDescent="0.4">
      <c r="A134" s="84"/>
      <c r="B134" s="84"/>
      <c r="C134" s="84"/>
      <c r="D134" s="84"/>
      <c r="E134" s="84" t="s">
        <v>634</v>
      </c>
      <c r="F134" s="85">
        <v>45266</v>
      </c>
      <c r="G134" s="84" t="s">
        <v>2395</v>
      </c>
      <c r="H134" s="84" t="s">
        <v>647</v>
      </c>
      <c r="I134" s="84" t="s">
        <v>1167</v>
      </c>
      <c r="J134" s="84" t="s">
        <v>659</v>
      </c>
      <c r="K134" s="87">
        <v>0</v>
      </c>
    </row>
    <row r="135" spans="1:11" ht="14.6" x14ac:dyDescent="0.4">
      <c r="A135" s="84"/>
      <c r="B135" s="84"/>
      <c r="C135" s="84"/>
      <c r="D135" s="84"/>
      <c r="E135" s="84" t="s">
        <v>634</v>
      </c>
      <c r="F135" s="85">
        <v>45272</v>
      </c>
      <c r="G135" s="84" t="s">
        <v>2396</v>
      </c>
      <c r="H135" s="84" t="s">
        <v>647</v>
      </c>
      <c r="I135" s="84" t="s">
        <v>1174</v>
      </c>
      <c r="J135" s="84" t="s">
        <v>659</v>
      </c>
      <c r="K135" s="87">
        <v>60.22</v>
      </c>
    </row>
    <row r="136" spans="1:11" ht="14.6" x14ac:dyDescent="0.4">
      <c r="A136" s="84"/>
      <c r="B136" s="84"/>
      <c r="C136" s="84"/>
      <c r="D136" s="84"/>
      <c r="E136" s="84" t="s">
        <v>634</v>
      </c>
      <c r="F136" s="85">
        <v>45277</v>
      </c>
      <c r="G136" s="84" t="s">
        <v>2397</v>
      </c>
      <c r="H136" s="84" t="s">
        <v>647</v>
      </c>
      <c r="I136" s="84" t="s">
        <v>2425</v>
      </c>
      <c r="J136" s="84" t="s">
        <v>659</v>
      </c>
      <c r="K136" s="87">
        <v>0</v>
      </c>
    </row>
    <row r="137" spans="1:11" ht="14.6" x14ac:dyDescent="0.4">
      <c r="A137" s="84"/>
      <c r="B137" s="84"/>
      <c r="C137" s="84"/>
      <c r="D137" s="84"/>
      <c r="E137" s="84" t="s">
        <v>634</v>
      </c>
      <c r="F137" s="85">
        <v>45280</v>
      </c>
      <c r="G137" s="84" t="s">
        <v>2398</v>
      </c>
      <c r="H137" s="84" t="s">
        <v>647</v>
      </c>
      <c r="I137" s="84" t="s">
        <v>1174</v>
      </c>
      <c r="J137" s="84" t="s">
        <v>659</v>
      </c>
      <c r="K137" s="87">
        <v>64.650000000000006</v>
      </c>
    </row>
    <row r="138" spans="1:11" ht="14.6" x14ac:dyDescent="0.4">
      <c r="A138" s="84"/>
      <c r="B138" s="84"/>
      <c r="C138" s="84"/>
      <c r="D138" s="84"/>
      <c r="E138" s="84" t="s">
        <v>634</v>
      </c>
      <c r="F138" s="85">
        <v>45281</v>
      </c>
      <c r="G138" s="84" t="s">
        <v>2399</v>
      </c>
      <c r="H138" s="84" t="s">
        <v>647</v>
      </c>
      <c r="I138" s="84" t="s">
        <v>1174</v>
      </c>
      <c r="J138" s="84" t="s">
        <v>659</v>
      </c>
      <c r="K138" s="87">
        <v>9.99</v>
      </c>
    </row>
    <row r="139" spans="1:11" ht="14.6" x14ac:dyDescent="0.4">
      <c r="A139" s="84"/>
      <c r="B139" s="84"/>
      <c r="C139" s="84"/>
      <c r="D139" s="84"/>
      <c r="E139" s="84" t="s">
        <v>635</v>
      </c>
      <c r="F139" s="85">
        <v>45284</v>
      </c>
      <c r="G139" s="84" t="s">
        <v>2400</v>
      </c>
      <c r="H139" s="84" t="s">
        <v>647</v>
      </c>
      <c r="I139" s="84" t="s">
        <v>1174</v>
      </c>
      <c r="J139" s="84" t="s">
        <v>659</v>
      </c>
      <c r="K139" s="87">
        <v>-13.99</v>
      </c>
    </row>
    <row r="140" spans="1:11" ht="14.6" x14ac:dyDescent="0.4">
      <c r="A140" s="84"/>
      <c r="B140" s="84"/>
      <c r="C140" s="84"/>
      <c r="D140" s="84"/>
      <c r="E140" s="84" t="s">
        <v>634</v>
      </c>
      <c r="F140" s="85">
        <v>45286</v>
      </c>
      <c r="G140" s="84" t="s">
        <v>2401</v>
      </c>
      <c r="H140" s="84" t="s">
        <v>647</v>
      </c>
      <c r="I140" s="84" t="s">
        <v>1174</v>
      </c>
      <c r="J140" s="84" t="s">
        <v>659</v>
      </c>
      <c r="K140" s="87">
        <v>32.72</v>
      </c>
    </row>
    <row r="141" spans="1:11" ht="14.6" x14ac:dyDescent="0.4">
      <c r="A141" s="84"/>
      <c r="B141" s="84"/>
      <c r="C141" s="84"/>
      <c r="D141" s="84"/>
      <c r="E141" s="84" t="s">
        <v>634</v>
      </c>
      <c r="F141" s="85">
        <v>45287</v>
      </c>
      <c r="G141" s="84" t="s">
        <v>2402</v>
      </c>
      <c r="H141" s="84" t="s">
        <v>647</v>
      </c>
      <c r="I141" s="84" t="s">
        <v>1174</v>
      </c>
      <c r="J141" s="84" t="s">
        <v>659</v>
      </c>
      <c r="K141" s="87">
        <v>20.63</v>
      </c>
    </row>
    <row r="142" spans="1:11" ht="14.6" x14ac:dyDescent="0.4">
      <c r="A142" s="84"/>
      <c r="B142" s="84"/>
      <c r="C142" s="84"/>
      <c r="D142" s="84"/>
      <c r="E142" s="84" t="s">
        <v>634</v>
      </c>
      <c r="F142" s="85">
        <v>45288</v>
      </c>
      <c r="G142" s="84" t="s">
        <v>2403</v>
      </c>
      <c r="H142" s="84" t="s">
        <v>1158</v>
      </c>
      <c r="I142" s="84" t="s">
        <v>650</v>
      </c>
      <c r="J142" s="84" t="s">
        <v>659</v>
      </c>
      <c r="K142" s="87">
        <v>16.66</v>
      </c>
    </row>
    <row r="143" spans="1:11" ht="14.6" x14ac:dyDescent="0.4">
      <c r="A143" s="84"/>
      <c r="B143" s="84"/>
      <c r="C143" s="84"/>
      <c r="D143" s="84"/>
      <c r="E143" s="84" t="s">
        <v>634</v>
      </c>
      <c r="F143" s="85">
        <v>45288</v>
      </c>
      <c r="G143" s="84" t="s">
        <v>2404</v>
      </c>
      <c r="H143" s="84" t="s">
        <v>1158</v>
      </c>
      <c r="I143" s="84" t="s">
        <v>650</v>
      </c>
      <c r="J143" s="84" t="s">
        <v>659</v>
      </c>
      <c r="K143" s="87">
        <v>103.38</v>
      </c>
    </row>
    <row r="144" spans="1:11" ht="14.6" x14ac:dyDescent="0.4">
      <c r="A144" s="84"/>
      <c r="B144" s="84"/>
      <c r="C144" s="84"/>
      <c r="D144" s="84"/>
      <c r="E144" s="84" t="s">
        <v>634</v>
      </c>
      <c r="F144" s="85">
        <v>45288</v>
      </c>
      <c r="G144" s="84" t="s">
        <v>2405</v>
      </c>
      <c r="H144" s="84" t="s">
        <v>2413</v>
      </c>
      <c r="I144" s="84" t="s">
        <v>650</v>
      </c>
      <c r="J144" s="84" t="s">
        <v>659</v>
      </c>
      <c r="K144" s="87">
        <v>91.98</v>
      </c>
    </row>
    <row r="145" spans="1:11" ht="14.6" x14ac:dyDescent="0.4">
      <c r="A145" s="84"/>
      <c r="B145" s="84"/>
      <c r="C145" s="84"/>
      <c r="D145" s="84"/>
      <c r="E145" s="84" t="s">
        <v>634</v>
      </c>
      <c r="F145" s="85">
        <v>45291</v>
      </c>
      <c r="G145" s="84" t="s">
        <v>2406</v>
      </c>
      <c r="H145" s="84" t="s">
        <v>647</v>
      </c>
      <c r="I145" s="84" t="s">
        <v>1174</v>
      </c>
      <c r="J145" s="84" t="s">
        <v>659</v>
      </c>
      <c r="K145" s="87">
        <v>35.22</v>
      </c>
    </row>
    <row r="146" spans="1:11" ht="14.6" x14ac:dyDescent="0.4">
      <c r="A146" s="84"/>
      <c r="B146" s="84"/>
      <c r="C146" s="84"/>
      <c r="D146" s="84"/>
      <c r="E146" s="84" t="s">
        <v>634</v>
      </c>
      <c r="F146" s="85">
        <v>45291</v>
      </c>
      <c r="G146" s="84" t="s">
        <v>2407</v>
      </c>
      <c r="H146" s="84" t="s">
        <v>647</v>
      </c>
      <c r="I146" s="84" t="s">
        <v>1174</v>
      </c>
      <c r="J146" s="84" t="s">
        <v>659</v>
      </c>
      <c r="K146" s="87">
        <v>44.98</v>
      </c>
    </row>
    <row r="147" spans="1:11" ht="15" customHeight="1" x14ac:dyDescent="0.4">
      <c r="A147" s="84"/>
      <c r="B147" s="84"/>
      <c r="C147" s="84"/>
      <c r="D147" s="84"/>
      <c r="E147" s="84" t="s">
        <v>634</v>
      </c>
      <c r="F147" s="85">
        <v>45291</v>
      </c>
      <c r="G147" s="84" t="s">
        <v>2405</v>
      </c>
      <c r="H147" s="84" t="s">
        <v>2702</v>
      </c>
      <c r="I147" s="84" t="s">
        <v>650</v>
      </c>
      <c r="J147" s="84" t="s">
        <v>659</v>
      </c>
      <c r="K147" s="413">
        <v>86.14</v>
      </c>
    </row>
    <row r="148" spans="1:11" thickBot="1" x14ac:dyDescent="0.45">
      <c r="A148" s="84"/>
      <c r="B148" s="84"/>
      <c r="C148" s="84"/>
      <c r="D148" s="84"/>
      <c r="E148" s="84" t="s">
        <v>634</v>
      </c>
      <c r="F148" s="85">
        <v>45291</v>
      </c>
      <c r="G148" s="84" t="s">
        <v>3508</v>
      </c>
      <c r="H148" s="84" t="s">
        <v>723</v>
      </c>
      <c r="I148" s="84" t="s">
        <v>650</v>
      </c>
      <c r="J148" s="84" t="s">
        <v>659</v>
      </c>
      <c r="K148" s="413">
        <v>45.1</v>
      </c>
    </row>
    <row r="149" spans="1:11" thickBot="1" x14ac:dyDescent="0.45">
      <c r="A149" s="84"/>
      <c r="B149" s="84"/>
      <c r="C149" s="84" t="s">
        <v>632</v>
      </c>
      <c r="D149" s="84"/>
      <c r="E149" s="84"/>
      <c r="F149" s="85"/>
      <c r="G149" s="84"/>
      <c r="H149" s="84"/>
      <c r="I149" s="84"/>
      <c r="J149" s="84"/>
      <c r="K149" s="414">
        <f>ROUND(SUM(K3:K148),5)</f>
        <v>13891.09</v>
      </c>
    </row>
    <row r="150" spans="1:11" thickBot="1" x14ac:dyDescent="0.45">
      <c r="A150" s="84"/>
      <c r="B150" s="84" t="s">
        <v>633</v>
      </c>
      <c r="C150" s="84"/>
      <c r="D150" s="84"/>
      <c r="E150" s="84"/>
      <c r="F150" s="85"/>
      <c r="G150" s="84"/>
      <c r="H150" s="84"/>
      <c r="I150" s="84"/>
      <c r="J150" s="84"/>
      <c r="K150" s="414">
        <f>K149</f>
        <v>13891.09</v>
      </c>
    </row>
    <row r="151" spans="1:11" thickBot="1" x14ac:dyDescent="0.45">
      <c r="A151" s="84" t="s">
        <v>158</v>
      </c>
      <c r="B151" s="84"/>
      <c r="C151" s="84"/>
      <c r="D151" s="84"/>
      <c r="E151" s="84"/>
      <c r="F151" s="85"/>
      <c r="G151" s="84"/>
      <c r="H151" s="84"/>
      <c r="I151" s="84"/>
      <c r="J151" s="84"/>
      <c r="K151" s="415">
        <f>K150</f>
        <v>13891.09</v>
      </c>
    </row>
    <row r="152" spans="1:11" ht="15" customHeight="1" thickTop="1" x14ac:dyDescent="0.4"/>
  </sheetData>
  <pageMargins left="0.7" right="0.7" top="0.75" bottom="0.75" header="0.1" footer="0"/>
  <pageSetup orientation="landscape" r:id="rId1"/>
  <headerFooter>
    <oddHeader>&amp;L&amp;"Arial,Bold"&amp;8 9:12 AM
&amp;"Arial,Bold"&amp;8 03/08/24
&amp;"Arial,Bold"&amp;8 Accrual Basis&amp;C&amp;"Arial,Bold"&amp;12 Williamson Central Appraisal District
&amp;"Arial,Bold"&amp;14 Account QuickReport
&amp;"Arial,Bold"&amp;10 January through December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5480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05480" r:id="rId4" name="HEADER"/>
      </mc:Fallback>
    </mc:AlternateContent>
    <mc:AlternateContent xmlns:mc="http://schemas.openxmlformats.org/markup-compatibility/2006">
      <mc:Choice Requires="x14">
        <control shapeId="105479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05479" r:id="rId6" name="FILTER"/>
      </mc:Fallback>
    </mc:AlternateContent>
  </control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"/>
  <dimension ref="A1:K55"/>
  <sheetViews>
    <sheetView workbookViewId="0">
      <pane xSplit="3" ySplit="1" topLeftCell="D25" activePane="bottomRight" state="frozenSplit"/>
      <selection pane="topRight" activeCell="D1" sqref="D1"/>
      <selection pane="bottomLeft" activeCell="A2" sqref="A2"/>
      <selection pane="bottomRight" activeCell="I25" sqref="I25"/>
    </sheetView>
  </sheetViews>
  <sheetFormatPr defaultColWidth="14.3828125" defaultRowHeight="15" customHeight="1" x14ac:dyDescent="0.4"/>
  <cols>
    <col min="1" max="2" width="3" customWidth="1"/>
    <col min="3" max="3" width="26.3046875" customWidth="1"/>
    <col min="4" max="4" width="2.3046875" customWidth="1"/>
    <col min="5" max="5" width="17.69140625" bestFit="1" customWidth="1"/>
    <col min="6" max="6" width="10.69140625" bestFit="1" customWidth="1"/>
    <col min="7" max="7" width="13.3828125" bestFit="1" customWidth="1"/>
    <col min="8" max="8" width="26.15234375" bestFit="1" customWidth="1"/>
    <col min="9" max="9" width="30.69140625" customWidth="1"/>
    <col min="10" max="10" width="27.3828125" bestFit="1" customWidth="1"/>
    <col min="11" max="11" width="10.15234375" bestFit="1" customWidth="1"/>
  </cols>
  <sheetData>
    <row r="1" spans="1:11" s="412" customFormat="1" thickBot="1" x14ac:dyDescent="0.45">
      <c r="A1" s="416"/>
      <c r="B1" s="416"/>
      <c r="C1" s="416"/>
      <c r="D1" s="416"/>
      <c r="E1" s="417" t="s">
        <v>623</v>
      </c>
      <c r="F1" s="417" t="s">
        <v>624</v>
      </c>
      <c r="G1" s="417" t="s">
        <v>625</v>
      </c>
      <c r="H1" s="417" t="s">
        <v>626</v>
      </c>
      <c r="I1" s="417" t="s">
        <v>627</v>
      </c>
      <c r="J1" s="417" t="s">
        <v>628</v>
      </c>
      <c r="K1" s="417" t="s">
        <v>629</v>
      </c>
    </row>
    <row r="2" spans="1:11" thickTop="1" x14ac:dyDescent="0.4">
      <c r="A2" s="84"/>
      <c r="B2" s="84" t="s">
        <v>630</v>
      </c>
      <c r="C2" s="84"/>
      <c r="D2" s="84"/>
      <c r="E2" s="84"/>
      <c r="F2" s="85"/>
      <c r="G2" s="84"/>
      <c r="H2" s="84"/>
      <c r="I2" s="84"/>
      <c r="J2" s="84"/>
      <c r="K2" s="87"/>
    </row>
    <row r="3" spans="1:11" ht="14.6" x14ac:dyDescent="0.4">
      <c r="A3" s="84"/>
      <c r="B3" s="84"/>
      <c r="C3" s="84" t="s">
        <v>660</v>
      </c>
      <c r="D3" s="84"/>
      <c r="E3" s="84"/>
      <c r="F3" s="85"/>
      <c r="G3" s="84"/>
      <c r="H3" s="84"/>
      <c r="I3" s="84"/>
      <c r="J3" s="84"/>
      <c r="K3" s="87"/>
    </row>
    <row r="4" spans="1:11" ht="14.6" x14ac:dyDescent="0.4">
      <c r="A4" s="84"/>
      <c r="B4" s="84"/>
      <c r="C4" s="84"/>
      <c r="D4" s="84"/>
      <c r="E4" s="84" t="s">
        <v>634</v>
      </c>
      <c r="F4" s="85">
        <v>44929</v>
      </c>
      <c r="G4" s="84" t="s">
        <v>662</v>
      </c>
      <c r="H4" s="84" t="s">
        <v>666</v>
      </c>
      <c r="I4" s="84" t="s">
        <v>668</v>
      </c>
      <c r="J4" s="84" t="s">
        <v>659</v>
      </c>
      <c r="K4" s="87">
        <v>825</v>
      </c>
    </row>
    <row r="5" spans="1:11" ht="14.6" x14ac:dyDescent="0.4">
      <c r="A5" s="84"/>
      <c r="B5" s="84"/>
      <c r="C5" s="84"/>
      <c r="D5" s="84"/>
      <c r="E5" s="84" t="s">
        <v>634</v>
      </c>
      <c r="F5" s="85">
        <v>44929</v>
      </c>
      <c r="G5" s="84" t="s">
        <v>663</v>
      </c>
      <c r="H5" s="84" t="s">
        <v>666</v>
      </c>
      <c r="I5" s="84" t="s">
        <v>669</v>
      </c>
      <c r="J5" s="84" t="s">
        <v>659</v>
      </c>
      <c r="K5" s="87">
        <v>275</v>
      </c>
    </row>
    <row r="6" spans="1:11" ht="14.6" x14ac:dyDescent="0.4">
      <c r="A6" s="84"/>
      <c r="B6" s="84"/>
      <c r="C6" s="84"/>
      <c r="D6" s="84"/>
      <c r="E6" s="84" t="s">
        <v>634</v>
      </c>
      <c r="F6" s="85">
        <v>44938</v>
      </c>
      <c r="G6" s="84" t="s">
        <v>664</v>
      </c>
      <c r="H6" s="84" t="s">
        <v>667</v>
      </c>
      <c r="I6" s="84" t="s">
        <v>670</v>
      </c>
      <c r="J6" s="84" t="s">
        <v>659</v>
      </c>
      <c r="K6" s="87">
        <v>267.49</v>
      </c>
    </row>
    <row r="7" spans="1:11" ht="14.6" x14ac:dyDescent="0.4">
      <c r="A7" s="84"/>
      <c r="B7" s="84"/>
      <c r="C7" s="84"/>
      <c r="D7" s="84"/>
      <c r="E7" s="84" t="s">
        <v>634</v>
      </c>
      <c r="F7" s="85">
        <v>44938</v>
      </c>
      <c r="G7" s="84" t="s">
        <v>665</v>
      </c>
      <c r="H7" s="84" t="s">
        <v>667</v>
      </c>
      <c r="I7" s="84" t="s">
        <v>671</v>
      </c>
      <c r="J7" s="84" t="s">
        <v>659</v>
      </c>
      <c r="K7" s="87">
        <v>6813.17</v>
      </c>
    </row>
    <row r="8" spans="1:11" ht="14.6" x14ac:dyDescent="0.4">
      <c r="A8" s="84"/>
      <c r="B8" s="84"/>
      <c r="C8" s="84"/>
      <c r="D8" s="84"/>
      <c r="E8" s="84" t="s">
        <v>634</v>
      </c>
      <c r="F8" s="85">
        <v>44950</v>
      </c>
      <c r="G8" s="84" t="s">
        <v>948</v>
      </c>
      <c r="H8" s="84" t="s">
        <v>950</v>
      </c>
      <c r="I8" s="84" t="s">
        <v>951</v>
      </c>
      <c r="J8" s="84" t="s">
        <v>659</v>
      </c>
      <c r="K8" s="87">
        <v>109628.68</v>
      </c>
    </row>
    <row r="9" spans="1:11" ht="14.6" x14ac:dyDescent="0.4">
      <c r="A9" s="84"/>
      <c r="B9" s="84"/>
      <c r="C9" s="84"/>
      <c r="D9" s="84"/>
      <c r="E9" s="84" t="s">
        <v>634</v>
      </c>
      <c r="F9" s="85">
        <v>44972</v>
      </c>
      <c r="G9" s="84" t="s">
        <v>949</v>
      </c>
      <c r="H9" s="84" t="s">
        <v>667</v>
      </c>
      <c r="I9" s="84" t="s">
        <v>952</v>
      </c>
      <c r="J9" s="84" t="s">
        <v>659</v>
      </c>
      <c r="K9" s="87">
        <v>6000</v>
      </c>
    </row>
    <row r="10" spans="1:11" ht="14.6" x14ac:dyDescent="0.4">
      <c r="A10" s="84"/>
      <c r="B10" s="84"/>
      <c r="C10" s="84"/>
      <c r="D10" s="84"/>
      <c r="E10" s="84" t="s">
        <v>634</v>
      </c>
      <c r="F10" s="85">
        <v>44972</v>
      </c>
      <c r="G10" s="84" t="s">
        <v>1190</v>
      </c>
      <c r="H10" s="84" t="s">
        <v>667</v>
      </c>
      <c r="I10" s="84" t="s">
        <v>1215</v>
      </c>
      <c r="J10" s="84" t="s">
        <v>659</v>
      </c>
      <c r="K10" s="87">
        <v>266.45</v>
      </c>
    </row>
    <row r="11" spans="1:11" ht="14.6" x14ac:dyDescent="0.4">
      <c r="A11" s="84"/>
      <c r="B11" s="84"/>
      <c r="C11" s="84"/>
      <c r="D11" s="84"/>
      <c r="E11" s="84" t="s">
        <v>704</v>
      </c>
      <c r="F11" s="85">
        <v>44974</v>
      </c>
      <c r="G11" s="84" t="s">
        <v>1191</v>
      </c>
      <c r="H11" s="84" t="s">
        <v>1210</v>
      </c>
      <c r="I11" s="84" t="s">
        <v>1233</v>
      </c>
      <c r="J11" s="84" t="s">
        <v>771</v>
      </c>
      <c r="K11" s="87">
        <v>14.06</v>
      </c>
    </row>
    <row r="12" spans="1:11" ht="14.6" x14ac:dyDescent="0.4">
      <c r="A12" s="84"/>
      <c r="B12" s="84"/>
      <c r="C12" s="84"/>
      <c r="D12" s="84"/>
      <c r="E12" s="84" t="s">
        <v>634</v>
      </c>
      <c r="F12" s="85">
        <v>44998</v>
      </c>
      <c r="G12" s="84" t="s">
        <v>1192</v>
      </c>
      <c r="H12" s="84" t="s">
        <v>1211</v>
      </c>
      <c r="I12" s="84" t="s">
        <v>1216</v>
      </c>
      <c r="J12" s="84" t="s">
        <v>659</v>
      </c>
      <c r="K12" s="87">
        <v>250</v>
      </c>
    </row>
    <row r="13" spans="1:11" ht="14.6" x14ac:dyDescent="0.4">
      <c r="A13" s="84"/>
      <c r="B13" s="84"/>
      <c r="C13" s="84"/>
      <c r="D13" s="84"/>
      <c r="E13" s="84" t="s">
        <v>634</v>
      </c>
      <c r="F13" s="85">
        <v>44998</v>
      </c>
      <c r="G13" s="84" t="s">
        <v>1192</v>
      </c>
      <c r="H13" s="84" t="s">
        <v>1211</v>
      </c>
      <c r="I13" s="84" t="s">
        <v>1217</v>
      </c>
      <c r="J13" s="84" t="s">
        <v>659</v>
      </c>
      <c r="K13" s="87">
        <v>250</v>
      </c>
    </row>
    <row r="14" spans="1:11" ht="14.6" x14ac:dyDescent="0.4">
      <c r="A14" s="84"/>
      <c r="B14" s="84"/>
      <c r="C14" s="84"/>
      <c r="D14" s="84"/>
      <c r="E14" s="84" t="s">
        <v>634</v>
      </c>
      <c r="F14" s="85">
        <v>45013</v>
      </c>
      <c r="G14" s="84" t="s">
        <v>1193</v>
      </c>
      <c r="H14" s="84" t="s">
        <v>666</v>
      </c>
      <c r="I14" s="84" t="s">
        <v>1218</v>
      </c>
      <c r="J14" s="84" t="s">
        <v>659</v>
      </c>
      <c r="K14" s="87">
        <v>1400</v>
      </c>
    </row>
    <row r="15" spans="1:11" ht="14.6" x14ac:dyDescent="0.4">
      <c r="A15" s="84"/>
      <c r="B15" s="84"/>
      <c r="C15" s="84"/>
      <c r="D15" s="84"/>
      <c r="E15" s="84" t="s">
        <v>634</v>
      </c>
      <c r="F15" s="85">
        <v>45013</v>
      </c>
      <c r="G15" s="84" t="s">
        <v>1193</v>
      </c>
      <c r="H15" s="84" t="s">
        <v>666</v>
      </c>
      <c r="I15" s="84" t="s">
        <v>1219</v>
      </c>
      <c r="J15" s="84" t="s">
        <v>659</v>
      </c>
      <c r="K15" s="87">
        <v>1600</v>
      </c>
    </row>
    <row r="16" spans="1:11" ht="14.6" x14ac:dyDescent="0.4">
      <c r="A16" s="84"/>
      <c r="B16" s="84"/>
      <c r="C16" s="84"/>
      <c r="D16" s="84"/>
      <c r="E16" s="84" t="s">
        <v>634</v>
      </c>
      <c r="F16" s="85">
        <v>45046</v>
      </c>
      <c r="G16" s="84" t="s">
        <v>1194</v>
      </c>
      <c r="H16" s="84" t="s">
        <v>1212</v>
      </c>
      <c r="I16" s="84" t="s">
        <v>1220</v>
      </c>
      <c r="J16" s="84" t="s">
        <v>659</v>
      </c>
      <c r="K16" s="87">
        <v>616.73</v>
      </c>
    </row>
    <row r="17" spans="1:11" ht="14.6" x14ac:dyDescent="0.4">
      <c r="A17" s="84"/>
      <c r="B17" s="84"/>
      <c r="C17" s="84"/>
      <c r="D17" s="84"/>
      <c r="E17" s="84" t="s">
        <v>634</v>
      </c>
      <c r="F17" s="85">
        <v>45049</v>
      </c>
      <c r="G17" s="84" t="s">
        <v>1195</v>
      </c>
      <c r="H17" s="84" t="s">
        <v>667</v>
      </c>
      <c r="I17" s="84" t="s">
        <v>1221</v>
      </c>
      <c r="J17" s="84" t="s">
        <v>659</v>
      </c>
      <c r="K17" s="87">
        <v>183.8</v>
      </c>
    </row>
    <row r="18" spans="1:11" ht="14.6" x14ac:dyDescent="0.4">
      <c r="A18" s="84"/>
      <c r="B18" s="84"/>
      <c r="C18" s="84"/>
      <c r="D18" s="84"/>
      <c r="E18" s="84" t="s">
        <v>634</v>
      </c>
      <c r="F18" s="85">
        <v>45049</v>
      </c>
      <c r="G18" s="84" t="s">
        <v>1195</v>
      </c>
      <c r="H18" s="84" t="s">
        <v>667</v>
      </c>
      <c r="I18" s="84" t="s">
        <v>1222</v>
      </c>
      <c r="J18" s="84" t="s">
        <v>659</v>
      </c>
      <c r="K18" s="87">
        <v>-183.8</v>
      </c>
    </row>
    <row r="19" spans="1:11" ht="14.6" x14ac:dyDescent="0.4">
      <c r="A19" s="84"/>
      <c r="B19" s="84"/>
      <c r="C19" s="84"/>
      <c r="D19" s="84"/>
      <c r="E19" s="84" t="s">
        <v>634</v>
      </c>
      <c r="F19" s="85">
        <v>45058</v>
      </c>
      <c r="G19" s="84" t="s">
        <v>1196</v>
      </c>
      <c r="H19" s="84" t="s">
        <v>667</v>
      </c>
      <c r="I19" s="84" t="s">
        <v>1223</v>
      </c>
      <c r="J19" s="84" t="s">
        <v>659</v>
      </c>
      <c r="K19" s="87">
        <v>4683.09</v>
      </c>
    </row>
    <row r="20" spans="1:11" ht="14.6" x14ac:dyDescent="0.4">
      <c r="A20" s="84"/>
      <c r="B20" s="84"/>
      <c r="C20" s="84"/>
      <c r="D20" s="84"/>
      <c r="E20" s="84" t="s">
        <v>634</v>
      </c>
      <c r="F20" s="85">
        <v>45058</v>
      </c>
      <c r="G20" s="84" t="s">
        <v>1196</v>
      </c>
      <c r="H20" s="84" t="s">
        <v>667</v>
      </c>
      <c r="I20" s="84" t="s">
        <v>1224</v>
      </c>
      <c r="J20" s="84" t="s">
        <v>659</v>
      </c>
      <c r="K20" s="87">
        <v>-4683.09</v>
      </c>
    </row>
    <row r="21" spans="1:11" ht="14.6" x14ac:dyDescent="0.4">
      <c r="A21" s="84"/>
      <c r="B21" s="84"/>
      <c r="C21" s="84"/>
      <c r="D21" s="84"/>
      <c r="E21" s="84" t="s">
        <v>634</v>
      </c>
      <c r="F21" s="85">
        <v>45061</v>
      </c>
      <c r="G21" s="84" t="s">
        <v>1197</v>
      </c>
      <c r="H21" s="84" t="s">
        <v>950</v>
      </c>
      <c r="I21" s="84" t="s">
        <v>1225</v>
      </c>
      <c r="J21" s="84" t="s">
        <v>659</v>
      </c>
      <c r="K21" s="87">
        <v>32.5</v>
      </c>
    </row>
    <row r="22" spans="1:11" ht="14.6" x14ac:dyDescent="0.4">
      <c r="A22" s="84"/>
      <c r="B22" s="84"/>
      <c r="C22" s="84"/>
      <c r="D22" s="84"/>
      <c r="E22" s="84" t="s">
        <v>634</v>
      </c>
      <c r="F22" s="85">
        <v>45063</v>
      </c>
      <c r="G22" s="84" t="s">
        <v>1198</v>
      </c>
      <c r="H22" s="84" t="s">
        <v>667</v>
      </c>
      <c r="I22" s="84" t="s">
        <v>1221</v>
      </c>
      <c r="J22" s="84" t="s">
        <v>659</v>
      </c>
      <c r="K22" s="87">
        <v>30.03</v>
      </c>
    </row>
    <row r="23" spans="1:11" ht="14.6" x14ac:dyDescent="0.4">
      <c r="A23" s="84"/>
      <c r="B23" s="84"/>
      <c r="C23" s="84"/>
      <c r="D23" s="84"/>
      <c r="E23" s="84" t="s">
        <v>634</v>
      </c>
      <c r="F23" s="85">
        <v>45063</v>
      </c>
      <c r="G23" s="84" t="s">
        <v>1198</v>
      </c>
      <c r="H23" s="84" t="s">
        <v>667</v>
      </c>
      <c r="I23" s="84" t="s">
        <v>1222</v>
      </c>
      <c r="J23" s="84" t="s">
        <v>659</v>
      </c>
      <c r="K23" s="87">
        <v>-30.03</v>
      </c>
    </row>
    <row r="24" spans="1:11" ht="14.6" x14ac:dyDescent="0.4">
      <c r="A24" s="84"/>
      <c r="B24" s="84"/>
      <c r="C24" s="84"/>
      <c r="D24" s="84"/>
      <c r="E24" s="84" t="s">
        <v>634</v>
      </c>
      <c r="F24" s="85">
        <v>45072</v>
      </c>
      <c r="G24" s="84" t="s">
        <v>1199</v>
      </c>
      <c r="H24" s="84" t="s">
        <v>1212</v>
      </c>
      <c r="I24" s="84" t="s">
        <v>1220</v>
      </c>
      <c r="J24" s="84" t="s">
        <v>659</v>
      </c>
      <c r="K24" s="87">
        <v>490.63</v>
      </c>
    </row>
    <row r="25" spans="1:11" ht="14.6" x14ac:dyDescent="0.4">
      <c r="A25" s="84"/>
      <c r="B25" s="84"/>
      <c r="C25" s="84"/>
      <c r="D25" s="84"/>
      <c r="E25" s="84" t="s">
        <v>634</v>
      </c>
      <c r="F25" s="85">
        <v>45083</v>
      </c>
      <c r="G25" s="84" t="s">
        <v>1200</v>
      </c>
      <c r="H25" s="84" t="s">
        <v>1213</v>
      </c>
      <c r="I25" s="84" t="s">
        <v>1226</v>
      </c>
      <c r="J25" s="84" t="s">
        <v>659</v>
      </c>
      <c r="K25" s="87">
        <v>0</v>
      </c>
    </row>
    <row r="26" spans="1:11" ht="14.6" x14ac:dyDescent="0.4">
      <c r="A26" s="84"/>
      <c r="B26" s="84"/>
      <c r="C26" s="84"/>
      <c r="D26" s="84"/>
      <c r="E26" s="84" t="s">
        <v>634</v>
      </c>
      <c r="F26" s="85">
        <v>45086</v>
      </c>
      <c r="G26" s="84" t="s">
        <v>1201</v>
      </c>
      <c r="H26" s="84" t="s">
        <v>667</v>
      </c>
      <c r="I26" s="84" t="s">
        <v>1227</v>
      </c>
      <c r="J26" s="84" t="s">
        <v>659</v>
      </c>
      <c r="K26" s="87">
        <v>42.76</v>
      </c>
    </row>
    <row r="27" spans="1:11" ht="14.6" x14ac:dyDescent="0.4">
      <c r="A27" s="84"/>
      <c r="B27" s="84"/>
      <c r="C27" s="84"/>
      <c r="D27" s="84"/>
      <c r="E27" s="84" t="s">
        <v>634</v>
      </c>
      <c r="F27" s="85">
        <v>45086</v>
      </c>
      <c r="G27" s="84" t="s">
        <v>1201</v>
      </c>
      <c r="H27" s="84" t="s">
        <v>667</v>
      </c>
      <c r="I27" s="84" t="s">
        <v>1224</v>
      </c>
      <c r="J27" s="84" t="s">
        <v>659</v>
      </c>
      <c r="K27" s="87">
        <v>-5.43</v>
      </c>
    </row>
    <row r="28" spans="1:11" ht="14.6" x14ac:dyDescent="0.4">
      <c r="A28" s="84"/>
      <c r="B28" s="84"/>
      <c r="C28" s="84"/>
      <c r="D28" s="84"/>
      <c r="E28" s="84" t="s">
        <v>634</v>
      </c>
      <c r="F28" s="85">
        <v>45086</v>
      </c>
      <c r="G28" s="84" t="s">
        <v>1202</v>
      </c>
      <c r="H28" s="84" t="s">
        <v>667</v>
      </c>
      <c r="I28" s="84" t="s">
        <v>1228</v>
      </c>
      <c r="J28" s="84" t="s">
        <v>659</v>
      </c>
      <c r="K28" s="87">
        <v>1097.6500000000001</v>
      </c>
    </row>
    <row r="29" spans="1:11" ht="14.6" x14ac:dyDescent="0.4">
      <c r="A29" s="84"/>
      <c r="B29" s="84"/>
      <c r="C29" s="84"/>
      <c r="D29" s="84"/>
      <c r="E29" s="84" t="s">
        <v>634</v>
      </c>
      <c r="F29" s="85">
        <v>45086</v>
      </c>
      <c r="G29" s="84" t="s">
        <v>1202</v>
      </c>
      <c r="H29" s="84" t="s">
        <v>667</v>
      </c>
      <c r="I29" s="84" t="s">
        <v>1224</v>
      </c>
      <c r="J29" s="84" t="s">
        <v>659</v>
      </c>
      <c r="K29" s="87">
        <v>-1097.6500000000001</v>
      </c>
    </row>
    <row r="30" spans="1:11" ht="14.6" x14ac:dyDescent="0.4">
      <c r="A30" s="84"/>
      <c r="B30" s="84"/>
      <c r="C30" s="84"/>
      <c r="D30" s="84"/>
      <c r="E30" s="84" t="s">
        <v>634</v>
      </c>
      <c r="F30" s="85">
        <v>45092</v>
      </c>
      <c r="G30" s="84" t="s">
        <v>1203</v>
      </c>
      <c r="H30" s="84" t="s">
        <v>1214</v>
      </c>
      <c r="I30" s="84" t="s">
        <v>1229</v>
      </c>
      <c r="J30" s="84" t="s">
        <v>659</v>
      </c>
      <c r="K30" s="87">
        <v>22.68</v>
      </c>
    </row>
    <row r="31" spans="1:11" ht="14.6" x14ac:dyDescent="0.4">
      <c r="A31" s="84"/>
      <c r="B31" s="84"/>
      <c r="C31" s="84"/>
      <c r="D31" s="84"/>
      <c r="E31" s="84" t="s">
        <v>634</v>
      </c>
      <c r="F31" s="85">
        <v>45093</v>
      </c>
      <c r="G31" s="84" t="s">
        <v>1204</v>
      </c>
      <c r="H31" s="84" t="s">
        <v>950</v>
      </c>
      <c r="I31" s="84" t="s">
        <v>1225</v>
      </c>
      <c r="J31" s="84" t="s">
        <v>659</v>
      </c>
      <c r="K31" s="87">
        <v>25.71</v>
      </c>
    </row>
    <row r="32" spans="1:11" ht="14.6" x14ac:dyDescent="0.4">
      <c r="A32" s="84"/>
      <c r="B32" s="84"/>
      <c r="C32" s="84"/>
      <c r="D32" s="84"/>
      <c r="E32" s="84" t="s">
        <v>634</v>
      </c>
      <c r="F32" s="85">
        <v>45105</v>
      </c>
      <c r="G32" s="84" t="s">
        <v>1205</v>
      </c>
      <c r="H32" s="84" t="s">
        <v>950</v>
      </c>
      <c r="I32" s="84" t="s">
        <v>1230</v>
      </c>
      <c r="J32" s="84" t="s">
        <v>659</v>
      </c>
      <c r="K32" s="87">
        <v>89700</v>
      </c>
    </row>
    <row r="33" spans="1:11" ht="14.6" x14ac:dyDescent="0.4">
      <c r="A33" s="84"/>
      <c r="B33" s="84"/>
      <c r="C33" s="84"/>
      <c r="D33" s="84"/>
      <c r="E33" s="84" t="s">
        <v>634</v>
      </c>
      <c r="F33" s="85">
        <v>45114</v>
      </c>
      <c r="G33" s="84" t="s">
        <v>1206</v>
      </c>
      <c r="H33" s="84" t="s">
        <v>667</v>
      </c>
      <c r="I33" s="84" t="s">
        <v>1231</v>
      </c>
      <c r="J33" s="84" t="s">
        <v>659</v>
      </c>
      <c r="K33" s="87">
        <v>50.78</v>
      </c>
    </row>
    <row r="34" spans="1:11" ht="14.6" x14ac:dyDescent="0.4">
      <c r="A34" s="84"/>
      <c r="B34" s="84"/>
      <c r="C34" s="84"/>
      <c r="D34" s="84"/>
      <c r="E34" s="84" t="s">
        <v>634</v>
      </c>
      <c r="F34" s="85">
        <v>45114</v>
      </c>
      <c r="G34" s="84" t="s">
        <v>1206</v>
      </c>
      <c r="H34" s="84" t="s">
        <v>667</v>
      </c>
      <c r="I34" s="84" t="s">
        <v>1224</v>
      </c>
      <c r="J34" s="84" t="s">
        <v>659</v>
      </c>
      <c r="K34" s="87"/>
    </row>
    <row r="35" spans="1:11" ht="14.6" x14ac:dyDescent="0.4">
      <c r="A35" s="84"/>
      <c r="B35" s="84"/>
      <c r="C35" s="84"/>
      <c r="D35" s="84"/>
      <c r="E35" s="84" t="s">
        <v>634</v>
      </c>
      <c r="F35" s="85">
        <v>45114</v>
      </c>
      <c r="G35" s="84" t="s">
        <v>1207</v>
      </c>
      <c r="H35" s="84" t="s">
        <v>667</v>
      </c>
      <c r="I35" s="84" t="s">
        <v>1232</v>
      </c>
      <c r="J35" s="84" t="s">
        <v>659</v>
      </c>
      <c r="K35" s="87">
        <v>877.54</v>
      </c>
    </row>
    <row r="36" spans="1:11" ht="14.6" x14ac:dyDescent="0.4">
      <c r="A36" s="84"/>
      <c r="B36" s="84"/>
      <c r="C36" s="84"/>
      <c r="D36" s="84"/>
      <c r="E36" s="84" t="s">
        <v>634</v>
      </c>
      <c r="F36" s="85">
        <v>45125</v>
      </c>
      <c r="G36" s="84" t="s">
        <v>1208</v>
      </c>
      <c r="H36" s="84" t="s">
        <v>950</v>
      </c>
      <c r="I36" s="84" t="s">
        <v>1225</v>
      </c>
      <c r="J36" s="84" t="s">
        <v>659</v>
      </c>
      <c r="K36" s="87">
        <v>25.71</v>
      </c>
    </row>
    <row r="37" spans="1:11" ht="14.6" x14ac:dyDescent="0.4">
      <c r="A37" s="84"/>
      <c r="B37" s="84"/>
      <c r="C37" s="84"/>
      <c r="D37" s="84"/>
      <c r="E37" s="84" t="s">
        <v>634</v>
      </c>
      <c r="F37" s="85">
        <v>45137</v>
      </c>
      <c r="G37" s="84" t="s">
        <v>1209</v>
      </c>
      <c r="H37" s="84" t="s">
        <v>1212</v>
      </c>
      <c r="I37" s="84" t="s">
        <v>1220</v>
      </c>
      <c r="J37" s="84" t="s">
        <v>659</v>
      </c>
      <c r="K37" s="87">
        <v>368.91</v>
      </c>
    </row>
    <row r="38" spans="1:11" ht="14.6" x14ac:dyDescent="0.4">
      <c r="A38" s="84"/>
      <c r="B38" s="84"/>
      <c r="C38" s="84"/>
      <c r="D38" s="84"/>
      <c r="E38" s="84" t="s">
        <v>634</v>
      </c>
      <c r="F38" s="85">
        <v>45138</v>
      </c>
      <c r="G38" s="84" t="s">
        <v>2427</v>
      </c>
      <c r="H38" s="84" t="s">
        <v>1212</v>
      </c>
      <c r="I38" s="84" t="s">
        <v>1220</v>
      </c>
      <c r="J38" s="84" t="s">
        <v>659</v>
      </c>
      <c r="K38" s="87">
        <v>199.94</v>
      </c>
    </row>
    <row r="39" spans="1:11" ht="14.6" x14ac:dyDescent="0.4">
      <c r="A39" s="84"/>
      <c r="B39" s="84"/>
      <c r="C39" s="84"/>
      <c r="D39" s="84"/>
      <c r="E39" s="84" t="s">
        <v>634</v>
      </c>
      <c r="F39" s="85">
        <v>45154</v>
      </c>
      <c r="G39" s="84" t="s">
        <v>1489</v>
      </c>
      <c r="H39" s="84" t="s">
        <v>945</v>
      </c>
      <c r="I39" s="84" t="s">
        <v>2436</v>
      </c>
      <c r="J39" s="84" t="s">
        <v>659</v>
      </c>
      <c r="K39" s="87">
        <v>3530</v>
      </c>
    </row>
    <row r="40" spans="1:11" ht="14.6" x14ac:dyDescent="0.4">
      <c r="A40" s="84"/>
      <c r="B40" s="84"/>
      <c r="C40" s="84"/>
      <c r="D40" s="84"/>
      <c r="E40" s="84" t="s">
        <v>634</v>
      </c>
      <c r="F40" s="85">
        <v>45163</v>
      </c>
      <c r="G40" s="84" t="s">
        <v>2428</v>
      </c>
      <c r="H40" s="84" t="s">
        <v>1212</v>
      </c>
      <c r="I40" s="84" t="s">
        <v>1220</v>
      </c>
      <c r="J40" s="84" t="s">
        <v>659</v>
      </c>
      <c r="K40" s="87">
        <v>243.7</v>
      </c>
    </row>
    <row r="41" spans="1:11" ht="14.6" x14ac:dyDescent="0.4">
      <c r="A41" s="84"/>
      <c r="B41" s="84"/>
      <c r="C41" s="84"/>
      <c r="D41" s="84"/>
      <c r="E41" s="84" t="s">
        <v>634</v>
      </c>
      <c r="F41" s="85">
        <v>45172</v>
      </c>
      <c r="G41" s="84" t="s">
        <v>2429</v>
      </c>
      <c r="H41" s="84" t="s">
        <v>945</v>
      </c>
      <c r="I41" s="84" t="s">
        <v>2436</v>
      </c>
      <c r="J41" s="84" t="s">
        <v>659</v>
      </c>
      <c r="K41" s="87">
        <v>1767.5</v>
      </c>
    </row>
    <row r="42" spans="1:11" ht="14.6" x14ac:dyDescent="0.4">
      <c r="A42" s="84"/>
      <c r="B42" s="84"/>
      <c r="C42" s="84"/>
      <c r="D42" s="84"/>
      <c r="E42" s="84" t="s">
        <v>634</v>
      </c>
      <c r="F42" s="85">
        <v>45181</v>
      </c>
      <c r="G42" s="84" t="s">
        <v>2336</v>
      </c>
      <c r="H42" s="84" t="s">
        <v>1211</v>
      </c>
      <c r="I42" s="84" t="s">
        <v>1216</v>
      </c>
      <c r="J42" s="84" t="s">
        <v>659</v>
      </c>
      <c r="K42" s="87">
        <v>250</v>
      </c>
    </row>
    <row r="43" spans="1:11" ht="14.6" x14ac:dyDescent="0.4">
      <c r="A43" s="84"/>
      <c r="B43" s="84"/>
      <c r="C43" s="84"/>
      <c r="D43" s="84"/>
      <c r="E43" s="84" t="s">
        <v>634</v>
      </c>
      <c r="F43" s="85">
        <v>45181</v>
      </c>
      <c r="G43" s="84" t="s">
        <v>2336</v>
      </c>
      <c r="H43" s="84" t="s">
        <v>1211</v>
      </c>
      <c r="I43" s="84" t="s">
        <v>1217</v>
      </c>
      <c r="J43" s="84" t="s">
        <v>659</v>
      </c>
      <c r="K43" s="87">
        <v>200</v>
      </c>
    </row>
    <row r="44" spans="1:11" ht="14.6" x14ac:dyDescent="0.4">
      <c r="A44" s="84"/>
      <c r="B44" s="84"/>
      <c r="C44" s="84"/>
      <c r="D44" s="84"/>
      <c r="E44" s="84" t="s">
        <v>634</v>
      </c>
      <c r="F44" s="85">
        <v>45187</v>
      </c>
      <c r="G44" s="84" t="s">
        <v>2430</v>
      </c>
      <c r="H44" s="84" t="s">
        <v>1212</v>
      </c>
      <c r="I44" s="84" t="s">
        <v>1220</v>
      </c>
      <c r="J44" s="84" t="s">
        <v>659</v>
      </c>
      <c r="K44" s="87">
        <v>328.08</v>
      </c>
    </row>
    <row r="45" spans="1:11" ht="14.6" x14ac:dyDescent="0.4">
      <c r="A45" s="84"/>
      <c r="B45" s="84"/>
      <c r="C45" s="84"/>
      <c r="D45" s="84"/>
      <c r="E45" s="84" t="s">
        <v>634</v>
      </c>
      <c r="F45" s="85">
        <v>45202</v>
      </c>
      <c r="G45" s="84" t="s">
        <v>2431</v>
      </c>
      <c r="H45" s="84" t="s">
        <v>945</v>
      </c>
      <c r="I45" s="84" t="s">
        <v>2436</v>
      </c>
      <c r="J45" s="84" t="s">
        <v>659</v>
      </c>
      <c r="K45" s="87">
        <v>3500</v>
      </c>
    </row>
    <row r="46" spans="1:11" ht="14.6" x14ac:dyDescent="0.4">
      <c r="A46" s="84"/>
      <c r="B46" s="84"/>
      <c r="C46" s="84"/>
      <c r="D46" s="84"/>
      <c r="E46" s="84" t="s">
        <v>634</v>
      </c>
      <c r="F46" s="85">
        <v>45230</v>
      </c>
      <c r="G46" s="84" t="s">
        <v>2432</v>
      </c>
      <c r="H46" s="84" t="s">
        <v>1212</v>
      </c>
      <c r="I46" s="84" t="s">
        <v>1220</v>
      </c>
      <c r="J46" s="84" t="s">
        <v>659</v>
      </c>
      <c r="K46" s="87">
        <v>319.19</v>
      </c>
    </row>
    <row r="47" spans="1:11" ht="14.6" x14ac:dyDescent="0.4">
      <c r="A47" s="84"/>
      <c r="B47" s="84"/>
      <c r="C47" s="84"/>
      <c r="D47" s="84"/>
      <c r="E47" s="84" t="s">
        <v>634</v>
      </c>
      <c r="F47" s="85">
        <v>45236</v>
      </c>
      <c r="G47" s="84" t="s">
        <v>2433</v>
      </c>
      <c r="H47" s="84" t="s">
        <v>950</v>
      </c>
      <c r="I47" s="84" t="s">
        <v>2437</v>
      </c>
      <c r="J47" s="84" t="s">
        <v>659</v>
      </c>
      <c r="K47" s="87">
        <v>0</v>
      </c>
    </row>
    <row r="48" spans="1:11" ht="14.6" x14ac:dyDescent="0.4">
      <c r="A48" s="84"/>
      <c r="B48" s="84"/>
      <c r="C48" s="84"/>
      <c r="D48" s="84"/>
      <c r="E48" s="84" t="s">
        <v>634</v>
      </c>
      <c r="F48" s="85">
        <v>45246</v>
      </c>
      <c r="G48" s="84" t="s">
        <v>2372</v>
      </c>
      <c r="H48" s="84" t="s">
        <v>945</v>
      </c>
      <c r="I48" s="84" t="s">
        <v>2436</v>
      </c>
      <c r="J48" s="84" t="s">
        <v>659</v>
      </c>
      <c r="K48" s="87">
        <v>3569</v>
      </c>
    </row>
    <row r="49" spans="1:11" ht="14.6" x14ac:dyDescent="0.4">
      <c r="A49" s="84"/>
      <c r="B49" s="84"/>
      <c r="C49" s="84"/>
      <c r="D49" s="84"/>
      <c r="E49" s="84" t="s">
        <v>634</v>
      </c>
      <c r="F49" s="85">
        <v>45247</v>
      </c>
      <c r="G49" s="84" t="s">
        <v>2434</v>
      </c>
      <c r="H49" s="84" t="s">
        <v>950</v>
      </c>
      <c r="I49" s="84" t="s">
        <v>2438</v>
      </c>
      <c r="J49" s="84" t="s">
        <v>659</v>
      </c>
      <c r="K49" s="87">
        <v>0</v>
      </c>
    </row>
    <row r="50" spans="1:11" ht="14.6" x14ac:dyDescent="0.4">
      <c r="A50" s="84"/>
      <c r="B50" s="84"/>
      <c r="C50" s="84"/>
      <c r="D50" s="84"/>
      <c r="E50" s="84" t="s">
        <v>634</v>
      </c>
      <c r="F50" s="85">
        <v>45260</v>
      </c>
      <c r="G50" s="84" t="s">
        <v>2435</v>
      </c>
      <c r="H50" s="84" t="s">
        <v>1212</v>
      </c>
      <c r="I50" s="84" t="s">
        <v>1220</v>
      </c>
      <c r="J50" s="84" t="s">
        <v>659</v>
      </c>
      <c r="K50" s="87">
        <v>1512.13</v>
      </c>
    </row>
    <row r="51" spans="1:11" thickBot="1" x14ac:dyDescent="0.45">
      <c r="A51" s="84"/>
      <c r="B51" s="84"/>
      <c r="C51" s="84"/>
      <c r="D51" s="84"/>
      <c r="E51" s="84" t="s">
        <v>634</v>
      </c>
      <c r="F51" s="85">
        <v>45291</v>
      </c>
      <c r="G51" s="84" t="s">
        <v>3509</v>
      </c>
      <c r="H51" s="84" t="s">
        <v>1212</v>
      </c>
      <c r="I51" s="84" t="s">
        <v>1220</v>
      </c>
      <c r="J51" s="84" t="s">
        <v>659</v>
      </c>
      <c r="K51" s="413">
        <v>519.95000000000005</v>
      </c>
    </row>
    <row r="52" spans="1:11" thickBot="1" x14ac:dyDescent="0.45">
      <c r="A52" s="84"/>
      <c r="B52" s="84"/>
      <c r="C52" s="84" t="s">
        <v>661</v>
      </c>
      <c r="D52" s="84"/>
      <c r="E52" s="84"/>
      <c r="F52" s="85"/>
      <c r="G52" s="84"/>
      <c r="H52" s="84"/>
      <c r="I52" s="84"/>
      <c r="J52" s="84"/>
      <c r="K52" s="414">
        <f>ROUND(SUM(K3:K51),5)</f>
        <v>235777.86</v>
      </c>
    </row>
    <row r="53" spans="1:11" thickBot="1" x14ac:dyDescent="0.45">
      <c r="A53" s="84"/>
      <c r="B53" s="84" t="s">
        <v>633</v>
      </c>
      <c r="C53" s="84"/>
      <c r="D53" s="84"/>
      <c r="E53" s="84"/>
      <c r="F53" s="85"/>
      <c r="G53" s="84"/>
      <c r="H53" s="84"/>
      <c r="I53" s="84"/>
      <c r="J53" s="84"/>
      <c r="K53" s="414">
        <f>K52</f>
        <v>235777.86</v>
      </c>
    </row>
    <row r="54" spans="1:11" thickBot="1" x14ac:dyDescent="0.45">
      <c r="A54" s="84" t="s">
        <v>158</v>
      </c>
      <c r="B54" s="84"/>
      <c r="C54" s="84"/>
      <c r="D54" s="84"/>
      <c r="E54" s="84"/>
      <c r="F54" s="85"/>
      <c r="G54" s="84"/>
      <c r="H54" s="84"/>
      <c r="I54" s="84"/>
      <c r="J54" s="84"/>
      <c r="K54" s="415">
        <f>K53</f>
        <v>235777.86</v>
      </c>
    </row>
    <row r="55" spans="1:11" ht="15" customHeight="1" thickTop="1" x14ac:dyDescent="0.4"/>
  </sheetData>
  <pageMargins left="0.7" right="0.7" top="0.75" bottom="0.75" header="0.1" footer="0"/>
  <pageSetup orientation="landscape" r:id="rId1"/>
  <headerFooter>
    <oddHeader>&amp;L&amp;"Arial,Bold"&amp;8 9:16 AM
&amp;"Arial,Bold"&amp;8 03/08/24
&amp;"Arial,Bold"&amp;8 Accrual Basis&amp;C&amp;"Arial,Bold"&amp;12 Williamson Central Appraisal District
&amp;"Arial,Bold"&amp;14 Account QuickReport
&amp;"Arial,Bold"&amp;10 January through December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6504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06504" r:id="rId4" name="HEADER"/>
      </mc:Fallback>
    </mc:AlternateContent>
    <mc:AlternateContent xmlns:mc="http://schemas.openxmlformats.org/markup-compatibility/2006">
      <mc:Choice Requires="x14">
        <control shapeId="106503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06503" r:id="rId6" name="FILTER"/>
      </mc:Fallback>
    </mc:AlternateContent>
  </control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3"/>
  <dimension ref="A1:K169"/>
  <sheetViews>
    <sheetView workbookViewId="0">
      <pane xSplit="3" ySplit="1" topLeftCell="D88" activePane="bottomRight" state="frozenSplit"/>
      <selection pane="topRight" activeCell="D1" sqref="D1"/>
      <selection pane="bottomLeft" activeCell="A2" sqref="A2"/>
      <selection pane="bottomRight"/>
    </sheetView>
  </sheetViews>
  <sheetFormatPr defaultColWidth="14.3828125" defaultRowHeight="15" customHeight="1" x14ac:dyDescent="0.4"/>
  <cols>
    <col min="1" max="2" width="3" customWidth="1"/>
    <col min="3" max="3" width="40" customWidth="1"/>
    <col min="4" max="4" width="2.3046875" customWidth="1"/>
    <col min="5" max="5" width="7.84375" bestFit="1" customWidth="1"/>
    <col min="6" max="6" width="10.69140625" bestFit="1" customWidth="1"/>
    <col min="7" max="7" width="7.69140625" bestFit="1" customWidth="1"/>
    <col min="8" max="8" width="22.15234375" bestFit="1" customWidth="1"/>
    <col min="9" max="9" width="30.69140625" customWidth="1"/>
    <col min="10" max="10" width="28.3828125" bestFit="1" customWidth="1"/>
    <col min="11" max="11" width="9.15234375" bestFit="1" customWidth="1"/>
  </cols>
  <sheetData>
    <row r="1" spans="1:11" s="412" customFormat="1" thickBot="1" x14ac:dyDescent="0.45">
      <c r="A1" s="416"/>
      <c r="B1" s="416"/>
      <c r="C1" s="416"/>
      <c r="D1" s="416"/>
      <c r="E1" s="417" t="s">
        <v>623</v>
      </c>
      <c r="F1" s="417" t="s">
        <v>624</v>
      </c>
      <c r="G1" s="417" t="s">
        <v>625</v>
      </c>
      <c r="H1" s="417" t="s">
        <v>626</v>
      </c>
      <c r="I1" s="417" t="s">
        <v>627</v>
      </c>
      <c r="J1" s="417" t="s">
        <v>628</v>
      </c>
      <c r="K1" s="417" t="s">
        <v>629</v>
      </c>
    </row>
    <row r="2" spans="1:11" thickTop="1" x14ac:dyDescent="0.4">
      <c r="A2" s="84"/>
      <c r="B2" s="84" t="s">
        <v>630</v>
      </c>
      <c r="C2" s="84"/>
      <c r="D2" s="84"/>
      <c r="E2" s="84"/>
      <c r="F2" s="85"/>
      <c r="G2" s="84"/>
      <c r="H2" s="84"/>
      <c r="I2" s="84"/>
      <c r="J2" s="84"/>
      <c r="K2" s="87"/>
    </row>
    <row r="3" spans="1:11" ht="14.6" x14ac:dyDescent="0.4">
      <c r="A3" s="84"/>
      <c r="B3" s="84"/>
      <c r="C3" s="84" t="s">
        <v>672</v>
      </c>
      <c r="D3" s="84"/>
      <c r="E3" s="84"/>
      <c r="F3" s="85"/>
      <c r="G3" s="84"/>
      <c r="H3" s="84"/>
      <c r="I3" s="84"/>
      <c r="J3" s="84"/>
      <c r="K3" s="87"/>
    </row>
    <row r="4" spans="1:11" ht="14.6" x14ac:dyDescent="0.4">
      <c r="A4" s="84"/>
      <c r="B4" s="84"/>
      <c r="C4" s="84"/>
      <c r="D4" s="84"/>
      <c r="E4" s="84" t="s">
        <v>634</v>
      </c>
      <c r="F4" s="85">
        <v>44938</v>
      </c>
      <c r="G4" s="84" t="s">
        <v>664</v>
      </c>
      <c r="H4" s="84" t="s">
        <v>667</v>
      </c>
      <c r="I4" s="84" t="s">
        <v>674</v>
      </c>
      <c r="J4" s="84" t="s">
        <v>659</v>
      </c>
      <c r="K4" s="87">
        <v>52.92</v>
      </c>
    </row>
    <row r="5" spans="1:11" ht="14.6" x14ac:dyDescent="0.4">
      <c r="A5" s="84"/>
      <c r="B5" s="84"/>
      <c r="C5" s="84"/>
      <c r="D5" s="84"/>
      <c r="E5" s="84" t="s">
        <v>634</v>
      </c>
      <c r="F5" s="85">
        <v>44938</v>
      </c>
      <c r="G5" s="84" t="s">
        <v>664</v>
      </c>
      <c r="H5" s="84" t="s">
        <v>667</v>
      </c>
      <c r="I5" s="84" t="s">
        <v>675</v>
      </c>
      <c r="J5" s="84" t="s">
        <v>659</v>
      </c>
      <c r="K5" s="87">
        <v>18.2</v>
      </c>
    </row>
    <row r="6" spans="1:11" ht="14.6" x14ac:dyDescent="0.4">
      <c r="A6" s="84"/>
      <c r="B6" s="84"/>
      <c r="C6" s="84"/>
      <c r="D6" s="84"/>
      <c r="E6" s="84" t="s">
        <v>634</v>
      </c>
      <c r="F6" s="85">
        <v>44938</v>
      </c>
      <c r="G6" s="84" t="s">
        <v>664</v>
      </c>
      <c r="H6" s="84" t="s">
        <v>667</v>
      </c>
      <c r="I6" s="84" t="s">
        <v>676</v>
      </c>
      <c r="J6" s="84" t="s">
        <v>659</v>
      </c>
      <c r="K6" s="87">
        <v>21.17</v>
      </c>
    </row>
    <row r="7" spans="1:11" ht="14.6" x14ac:dyDescent="0.4">
      <c r="A7" s="84"/>
      <c r="B7" s="84"/>
      <c r="C7" s="84"/>
      <c r="D7" s="84"/>
      <c r="E7" s="84" t="s">
        <v>634</v>
      </c>
      <c r="F7" s="85">
        <v>44938</v>
      </c>
      <c r="G7" s="84" t="s">
        <v>664</v>
      </c>
      <c r="H7" s="84" t="s">
        <v>667</v>
      </c>
      <c r="I7" s="84" t="s">
        <v>677</v>
      </c>
      <c r="J7" s="84" t="s">
        <v>659</v>
      </c>
      <c r="K7" s="87">
        <v>16.64</v>
      </c>
    </row>
    <row r="8" spans="1:11" ht="14.6" x14ac:dyDescent="0.4">
      <c r="A8" s="84"/>
      <c r="B8" s="84"/>
      <c r="C8" s="84"/>
      <c r="D8" s="84"/>
      <c r="E8" s="84" t="s">
        <v>634</v>
      </c>
      <c r="F8" s="85">
        <v>44938</v>
      </c>
      <c r="G8" s="84" t="s">
        <v>664</v>
      </c>
      <c r="H8" s="84" t="s">
        <v>667</v>
      </c>
      <c r="I8" s="84" t="s">
        <v>678</v>
      </c>
      <c r="J8" s="84" t="s">
        <v>659</v>
      </c>
      <c r="K8" s="87">
        <v>5.2</v>
      </c>
    </row>
    <row r="9" spans="1:11" ht="14.6" x14ac:dyDescent="0.4">
      <c r="A9" s="84"/>
      <c r="B9" s="84"/>
      <c r="C9" s="84"/>
      <c r="D9" s="84"/>
      <c r="E9" s="84" t="s">
        <v>634</v>
      </c>
      <c r="F9" s="85">
        <v>44938</v>
      </c>
      <c r="G9" s="84" t="s">
        <v>664</v>
      </c>
      <c r="H9" s="84" t="s">
        <v>667</v>
      </c>
      <c r="I9" s="84" t="s">
        <v>679</v>
      </c>
      <c r="J9" s="84" t="s">
        <v>659</v>
      </c>
      <c r="K9" s="87">
        <v>15.6</v>
      </c>
    </row>
    <row r="10" spans="1:11" ht="14.6" x14ac:dyDescent="0.4">
      <c r="A10" s="84"/>
      <c r="B10" s="84"/>
      <c r="C10" s="84"/>
      <c r="D10" s="84"/>
      <c r="E10" s="84" t="s">
        <v>634</v>
      </c>
      <c r="F10" s="85">
        <v>44938</v>
      </c>
      <c r="G10" s="84" t="s">
        <v>665</v>
      </c>
      <c r="H10" s="84" t="s">
        <v>667</v>
      </c>
      <c r="I10" s="84" t="s">
        <v>680</v>
      </c>
      <c r="J10" s="84" t="s">
        <v>659</v>
      </c>
      <c r="K10" s="87">
        <v>1486.98</v>
      </c>
    </row>
    <row r="11" spans="1:11" ht="14.6" x14ac:dyDescent="0.4">
      <c r="A11" s="84"/>
      <c r="B11" s="84"/>
      <c r="C11" s="84"/>
      <c r="D11" s="84"/>
      <c r="E11" s="84" t="s">
        <v>634</v>
      </c>
      <c r="F11" s="85">
        <v>44938</v>
      </c>
      <c r="G11" s="84" t="s">
        <v>665</v>
      </c>
      <c r="H11" s="84" t="s">
        <v>667</v>
      </c>
      <c r="I11" s="84" t="s">
        <v>681</v>
      </c>
      <c r="J11" s="84" t="s">
        <v>659</v>
      </c>
      <c r="K11" s="87">
        <v>485.84</v>
      </c>
    </row>
    <row r="12" spans="1:11" ht="14.6" x14ac:dyDescent="0.4">
      <c r="A12" s="84"/>
      <c r="B12" s="84"/>
      <c r="C12" s="84"/>
      <c r="D12" s="84"/>
      <c r="E12" s="84" t="s">
        <v>634</v>
      </c>
      <c r="F12" s="85">
        <v>44938</v>
      </c>
      <c r="G12" s="84" t="s">
        <v>665</v>
      </c>
      <c r="H12" s="84" t="s">
        <v>667</v>
      </c>
      <c r="I12" s="84" t="s">
        <v>682</v>
      </c>
      <c r="J12" s="84" t="s">
        <v>659</v>
      </c>
      <c r="K12" s="87">
        <v>596.88</v>
      </c>
    </row>
    <row r="13" spans="1:11" ht="14.6" x14ac:dyDescent="0.4">
      <c r="A13" s="84"/>
      <c r="B13" s="84"/>
      <c r="C13" s="84"/>
      <c r="D13" s="84"/>
      <c r="E13" s="84" t="s">
        <v>634</v>
      </c>
      <c r="F13" s="85">
        <v>44938</v>
      </c>
      <c r="G13" s="84" t="s">
        <v>665</v>
      </c>
      <c r="H13" s="84" t="s">
        <v>667</v>
      </c>
      <c r="I13" s="84" t="s">
        <v>683</v>
      </c>
      <c r="J13" s="84" t="s">
        <v>659</v>
      </c>
      <c r="K13" s="87">
        <v>444.19</v>
      </c>
    </row>
    <row r="14" spans="1:11" ht="14.6" x14ac:dyDescent="0.4">
      <c r="A14" s="84"/>
      <c r="B14" s="84"/>
      <c r="C14" s="84"/>
      <c r="D14" s="84"/>
      <c r="E14" s="84" t="s">
        <v>634</v>
      </c>
      <c r="F14" s="85">
        <v>44938</v>
      </c>
      <c r="G14" s="84" t="s">
        <v>665</v>
      </c>
      <c r="H14" s="84" t="s">
        <v>667</v>
      </c>
      <c r="I14" s="84" t="s">
        <v>684</v>
      </c>
      <c r="J14" s="84" t="s">
        <v>659</v>
      </c>
      <c r="K14" s="87">
        <v>24.75</v>
      </c>
    </row>
    <row r="15" spans="1:11" ht="14.6" x14ac:dyDescent="0.4">
      <c r="A15" s="84"/>
      <c r="B15" s="84"/>
      <c r="C15" s="84"/>
      <c r="D15" s="84"/>
      <c r="E15" s="84" t="s">
        <v>634</v>
      </c>
      <c r="F15" s="85">
        <v>44938</v>
      </c>
      <c r="G15" s="84" t="s">
        <v>665</v>
      </c>
      <c r="H15" s="84" t="s">
        <v>667</v>
      </c>
      <c r="I15" s="84" t="s">
        <v>685</v>
      </c>
      <c r="J15" s="84" t="s">
        <v>659</v>
      </c>
      <c r="K15" s="87">
        <v>7.65</v>
      </c>
    </row>
    <row r="16" spans="1:11" ht="14.6" x14ac:dyDescent="0.4">
      <c r="A16" s="84"/>
      <c r="B16" s="84"/>
      <c r="C16" s="84"/>
      <c r="D16" s="84"/>
      <c r="E16" s="84" t="s">
        <v>634</v>
      </c>
      <c r="F16" s="85">
        <v>44953</v>
      </c>
      <c r="G16" s="84" t="s">
        <v>1234</v>
      </c>
      <c r="H16" s="84" t="s">
        <v>1245</v>
      </c>
      <c r="I16" s="84" t="s">
        <v>1247</v>
      </c>
      <c r="J16" s="84" t="s">
        <v>659</v>
      </c>
      <c r="K16" s="87">
        <v>678.59</v>
      </c>
    </row>
    <row r="17" spans="1:11" ht="14.6" x14ac:dyDescent="0.4">
      <c r="A17" s="84"/>
      <c r="B17" s="84"/>
      <c r="C17" s="84"/>
      <c r="D17" s="84"/>
      <c r="E17" s="84" t="s">
        <v>634</v>
      </c>
      <c r="F17" s="85">
        <v>44972</v>
      </c>
      <c r="G17" s="84" t="s">
        <v>1190</v>
      </c>
      <c r="H17" s="84" t="s">
        <v>667</v>
      </c>
      <c r="I17" s="84" t="s">
        <v>1248</v>
      </c>
      <c r="J17" s="84" t="s">
        <v>659</v>
      </c>
      <c r="K17" s="87">
        <v>59.04</v>
      </c>
    </row>
    <row r="18" spans="1:11" ht="14.6" x14ac:dyDescent="0.4">
      <c r="A18" s="84"/>
      <c r="B18" s="84"/>
      <c r="C18" s="84"/>
      <c r="D18" s="84"/>
      <c r="E18" s="84" t="s">
        <v>634</v>
      </c>
      <c r="F18" s="85">
        <v>44972</v>
      </c>
      <c r="G18" s="84" t="s">
        <v>1190</v>
      </c>
      <c r="H18" s="84" t="s">
        <v>667</v>
      </c>
      <c r="I18" s="84" t="s">
        <v>1249</v>
      </c>
      <c r="J18" s="84" t="s">
        <v>659</v>
      </c>
      <c r="K18" s="87">
        <v>17.079999999999998</v>
      </c>
    </row>
    <row r="19" spans="1:11" ht="14.6" x14ac:dyDescent="0.4">
      <c r="A19" s="84"/>
      <c r="B19" s="84"/>
      <c r="C19" s="84"/>
      <c r="D19" s="84"/>
      <c r="E19" s="84" t="s">
        <v>634</v>
      </c>
      <c r="F19" s="85">
        <v>44972</v>
      </c>
      <c r="G19" s="84" t="s">
        <v>1190</v>
      </c>
      <c r="H19" s="84" t="s">
        <v>667</v>
      </c>
      <c r="I19" s="84" t="s">
        <v>1250</v>
      </c>
      <c r="J19" s="84" t="s">
        <v>659</v>
      </c>
      <c r="K19" s="87">
        <v>17.71</v>
      </c>
    </row>
    <row r="20" spans="1:11" ht="14.6" x14ac:dyDescent="0.4">
      <c r="A20" s="84"/>
      <c r="B20" s="84"/>
      <c r="C20" s="84"/>
      <c r="D20" s="84"/>
      <c r="E20" s="84" t="s">
        <v>634</v>
      </c>
      <c r="F20" s="85">
        <v>44972</v>
      </c>
      <c r="G20" s="84" t="s">
        <v>1190</v>
      </c>
      <c r="H20" s="84" t="s">
        <v>667</v>
      </c>
      <c r="I20" s="84" t="s">
        <v>1251</v>
      </c>
      <c r="J20" s="84" t="s">
        <v>659</v>
      </c>
      <c r="K20" s="87">
        <v>15.62</v>
      </c>
    </row>
    <row r="21" spans="1:11" ht="14.6" x14ac:dyDescent="0.4">
      <c r="A21" s="84"/>
      <c r="B21" s="84"/>
      <c r="C21" s="84"/>
      <c r="D21" s="84"/>
      <c r="E21" s="84" t="s">
        <v>634</v>
      </c>
      <c r="F21" s="85">
        <v>44973</v>
      </c>
      <c r="G21" s="84" t="s">
        <v>1235</v>
      </c>
      <c r="H21" s="84" t="s">
        <v>667</v>
      </c>
      <c r="I21" s="84" t="s">
        <v>1252</v>
      </c>
      <c r="J21" s="84" t="s">
        <v>659</v>
      </c>
      <c r="K21" s="87">
        <v>257.44</v>
      </c>
    </row>
    <row r="22" spans="1:11" ht="14.6" x14ac:dyDescent="0.4">
      <c r="A22" s="84"/>
      <c r="B22" s="84"/>
      <c r="C22" s="84"/>
      <c r="D22" s="84"/>
      <c r="E22" s="84" t="s">
        <v>634</v>
      </c>
      <c r="F22" s="85">
        <v>44980</v>
      </c>
      <c r="G22" s="84" t="s">
        <v>1236</v>
      </c>
      <c r="H22" s="84" t="s">
        <v>648</v>
      </c>
      <c r="I22" s="84" t="s">
        <v>1253</v>
      </c>
      <c r="J22" s="84" t="s">
        <v>659</v>
      </c>
      <c r="K22" s="87">
        <v>260.10000000000002</v>
      </c>
    </row>
    <row r="23" spans="1:11" ht="14.6" x14ac:dyDescent="0.4">
      <c r="A23" s="84"/>
      <c r="B23" s="84"/>
      <c r="C23" s="84"/>
      <c r="D23" s="84"/>
      <c r="E23" s="84" t="s">
        <v>634</v>
      </c>
      <c r="F23" s="85">
        <v>45010</v>
      </c>
      <c r="G23" s="84" t="s">
        <v>1237</v>
      </c>
      <c r="H23" s="84" t="s">
        <v>1245</v>
      </c>
      <c r="I23" s="84" t="s">
        <v>1254</v>
      </c>
      <c r="J23" s="84" t="s">
        <v>659</v>
      </c>
      <c r="K23" s="87">
        <v>895</v>
      </c>
    </row>
    <row r="24" spans="1:11" ht="14.6" x14ac:dyDescent="0.4">
      <c r="A24" s="84"/>
      <c r="B24" s="84"/>
      <c r="C24" s="84"/>
      <c r="D24" s="84"/>
      <c r="E24" s="84" t="s">
        <v>634</v>
      </c>
      <c r="F24" s="85">
        <v>45016</v>
      </c>
      <c r="G24" s="84" t="s">
        <v>1238</v>
      </c>
      <c r="H24" s="84" t="s">
        <v>950</v>
      </c>
      <c r="I24" s="84" t="s">
        <v>1255</v>
      </c>
      <c r="J24" s="84" t="s">
        <v>659</v>
      </c>
      <c r="K24" s="87">
        <v>20015.439999999999</v>
      </c>
    </row>
    <row r="25" spans="1:11" ht="14.6" x14ac:dyDescent="0.4">
      <c r="A25" s="84"/>
      <c r="B25" s="84"/>
      <c r="C25" s="84"/>
      <c r="D25" s="84"/>
      <c r="E25" s="84" t="s">
        <v>634</v>
      </c>
      <c r="F25" s="85">
        <v>45016</v>
      </c>
      <c r="G25" s="84" t="s">
        <v>1238</v>
      </c>
      <c r="H25" s="84" t="s">
        <v>950</v>
      </c>
      <c r="I25" s="84" t="s">
        <v>1256</v>
      </c>
      <c r="J25" s="84" t="s">
        <v>659</v>
      </c>
      <c r="K25" s="87">
        <v>9361.84</v>
      </c>
    </row>
    <row r="26" spans="1:11" ht="14.6" x14ac:dyDescent="0.4">
      <c r="A26" s="84"/>
      <c r="B26" s="84"/>
      <c r="C26" s="84"/>
      <c r="D26" s="84"/>
      <c r="E26" s="84" t="s">
        <v>634</v>
      </c>
      <c r="F26" s="85">
        <v>45016</v>
      </c>
      <c r="G26" s="84" t="s">
        <v>1238</v>
      </c>
      <c r="H26" s="84" t="s">
        <v>950</v>
      </c>
      <c r="I26" s="84" t="s">
        <v>1257</v>
      </c>
      <c r="J26" s="84" t="s">
        <v>659</v>
      </c>
      <c r="K26" s="87">
        <v>413</v>
      </c>
    </row>
    <row r="27" spans="1:11" ht="14.6" x14ac:dyDescent="0.4">
      <c r="A27" s="84"/>
      <c r="B27" s="84"/>
      <c r="C27" s="84"/>
      <c r="D27" s="84"/>
      <c r="E27" s="84" t="s">
        <v>634</v>
      </c>
      <c r="F27" s="85">
        <v>45016</v>
      </c>
      <c r="G27" s="84" t="s">
        <v>1238</v>
      </c>
      <c r="H27" s="84" t="s">
        <v>950</v>
      </c>
      <c r="I27" s="84" t="s">
        <v>1258</v>
      </c>
      <c r="J27" s="84" t="s">
        <v>659</v>
      </c>
      <c r="K27" s="87">
        <v>7260</v>
      </c>
    </row>
    <row r="28" spans="1:11" ht="14.6" x14ac:dyDescent="0.4">
      <c r="A28" s="84"/>
      <c r="B28" s="84"/>
      <c r="C28" s="84"/>
      <c r="D28" s="84"/>
      <c r="E28" s="84" t="s">
        <v>634</v>
      </c>
      <c r="F28" s="85">
        <v>45016</v>
      </c>
      <c r="G28" s="84" t="s">
        <v>1238</v>
      </c>
      <c r="H28" s="84" t="s">
        <v>950</v>
      </c>
      <c r="I28" s="84" t="s">
        <v>1259</v>
      </c>
      <c r="J28" s="84" t="s">
        <v>659</v>
      </c>
      <c r="K28" s="87">
        <v>3262.5</v>
      </c>
    </row>
    <row r="29" spans="1:11" ht="14.6" x14ac:dyDescent="0.4">
      <c r="A29" s="84"/>
      <c r="B29" s="84"/>
      <c r="C29" s="84"/>
      <c r="D29" s="84"/>
      <c r="E29" s="84" t="s">
        <v>634</v>
      </c>
      <c r="F29" s="85">
        <v>45016</v>
      </c>
      <c r="G29" s="84" t="s">
        <v>1238</v>
      </c>
      <c r="H29" s="84" t="s">
        <v>950</v>
      </c>
      <c r="I29" s="84" t="s">
        <v>1260</v>
      </c>
      <c r="J29" s="84" t="s">
        <v>659</v>
      </c>
      <c r="K29" s="87">
        <v>6679.76</v>
      </c>
    </row>
    <row r="30" spans="1:11" ht="14.6" x14ac:dyDescent="0.4">
      <c r="A30" s="84"/>
      <c r="B30" s="84"/>
      <c r="C30" s="84"/>
      <c r="D30" s="84"/>
      <c r="E30" s="84" t="s">
        <v>634</v>
      </c>
      <c r="F30" s="85">
        <v>45016</v>
      </c>
      <c r="G30" s="84" t="s">
        <v>1238</v>
      </c>
      <c r="H30" s="84" t="s">
        <v>950</v>
      </c>
      <c r="I30" s="84" t="s">
        <v>1261</v>
      </c>
      <c r="J30" s="84" t="s">
        <v>659</v>
      </c>
      <c r="K30" s="87">
        <v>26.59</v>
      </c>
    </row>
    <row r="31" spans="1:11" ht="14.6" x14ac:dyDescent="0.4">
      <c r="A31" s="84"/>
      <c r="B31" s="84"/>
      <c r="C31" s="84"/>
      <c r="D31" s="84"/>
      <c r="E31" s="84" t="s">
        <v>634</v>
      </c>
      <c r="F31" s="85">
        <v>45016</v>
      </c>
      <c r="G31" s="84" t="s">
        <v>1238</v>
      </c>
      <c r="H31" s="84" t="s">
        <v>950</v>
      </c>
      <c r="I31" s="84" t="s">
        <v>1262</v>
      </c>
      <c r="J31" s="84" t="s">
        <v>659</v>
      </c>
      <c r="K31" s="87">
        <v>68.48</v>
      </c>
    </row>
    <row r="32" spans="1:11" ht="14.6" x14ac:dyDescent="0.4">
      <c r="A32" s="84"/>
      <c r="B32" s="84"/>
      <c r="C32" s="84"/>
      <c r="D32" s="84"/>
      <c r="E32" s="84" t="s">
        <v>634</v>
      </c>
      <c r="F32" s="85">
        <v>45016</v>
      </c>
      <c r="G32" s="84" t="s">
        <v>1238</v>
      </c>
      <c r="H32" s="84" t="s">
        <v>950</v>
      </c>
      <c r="I32" s="84" t="s">
        <v>1263</v>
      </c>
      <c r="J32" s="84" t="s">
        <v>659</v>
      </c>
      <c r="K32" s="87">
        <v>3900.77</v>
      </c>
    </row>
    <row r="33" spans="1:11" ht="14.6" x14ac:dyDescent="0.4">
      <c r="A33" s="84"/>
      <c r="B33" s="84"/>
      <c r="C33" s="84"/>
      <c r="D33" s="84"/>
      <c r="E33" s="84" t="s">
        <v>634</v>
      </c>
      <c r="F33" s="85">
        <v>45016</v>
      </c>
      <c r="G33" s="84" t="s">
        <v>1238</v>
      </c>
      <c r="H33" s="84" t="s">
        <v>950</v>
      </c>
      <c r="I33" s="84" t="s">
        <v>1264</v>
      </c>
      <c r="J33" s="84" t="s">
        <v>659</v>
      </c>
      <c r="K33" s="87">
        <v>1300.26</v>
      </c>
    </row>
    <row r="34" spans="1:11" ht="14.6" x14ac:dyDescent="0.4">
      <c r="A34" s="84"/>
      <c r="B34" s="84"/>
      <c r="C34" s="84"/>
      <c r="D34" s="84"/>
      <c r="E34" s="84" t="s">
        <v>634</v>
      </c>
      <c r="F34" s="85">
        <v>45016</v>
      </c>
      <c r="G34" s="84" t="s">
        <v>1238</v>
      </c>
      <c r="H34" s="84" t="s">
        <v>950</v>
      </c>
      <c r="I34" s="84" t="s">
        <v>1265</v>
      </c>
      <c r="J34" s="84" t="s">
        <v>659</v>
      </c>
      <c r="K34" s="87">
        <v>110</v>
      </c>
    </row>
    <row r="35" spans="1:11" ht="14.6" x14ac:dyDescent="0.4">
      <c r="A35" s="84"/>
      <c r="B35" s="84"/>
      <c r="C35" s="84"/>
      <c r="D35" s="84"/>
      <c r="E35" s="84" t="s">
        <v>634</v>
      </c>
      <c r="F35" s="85">
        <v>45040</v>
      </c>
      <c r="G35" s="84" t="s">
        <v>1239</v>
      </c>
      <c r="H35" s="84" t="s">
        <v>950</v>
      </c>
      <c r="I35" s="84" t="s">
        <v>1266</v>
      </c>
      <c r="J35" s="84" t="s">
        <v>659</v>
      </c>
      <c r="K35" s="87">
        <v>677.18</v>
      </c>
    </row>
    <row r="36" spans="1:11" ht="14.6" x14ac:dyDescent="0.4">
      <c r="A36" s="84"/>
      <c r="B36" s="84"/>
      <c r="C36" s="84"/>
      <c r="D36" s="84"/>
      <c r="E36" s="84" t="s">
        <v>634</v>
      </c>
      <c r="F36" s="85">
        <v>45040</v>
      </c>
      <c r="G36" s="84" t="s">
        <v>1239</v>
      </c>
      <c r="H36" s="84" t="s">
        <v>950</v>
      </c>
      <c r="I36" s="84" t="s">
        <v>1267</v>
      </c>
      <c r="J36" s="84" t="s">
        <v>659</v>
      </c>
      <c r="K36" s="87">
        <v>55</v>
      </c>
    </row>
    <row r="37" spans="1:11" ht="14.6" x14ac:dyDescent="0.4">
      <c r="A37" s="84"/>
      <c r="B37" s="84"/>
      <c r="C37" s="84"/>
      <c r="D37" s="84"/>
      <c r="E37" s="84" t="s">
        <v>634</v>
      </c>
      <c r="F37" s="85">
        <v>45040</v>
      </c>
      <c r="G37" s="84" t="s">
        <v>1239</v>
      </c>
      <c r="H37" s="84" t="s">
        <v>950</v>
      </c>
      <c r="I37" s="84" t="s">
        <v>1268</v>
      </c>
      <c r="J37" s="84" t="s">
        <v>659</v>
      </c>
      <c r="K37" s="87">
        <v>9</v>
      </c>
    </row>
    <row r="38" spans="1:11" ht="14.6" x14ac:dyDescent="0.4">
      <c r="A38" s="84"/>
      <c r="B38" s="84"/>
      <c r="C38" s="84"/>
      <c r="D38" s="84"/>
      <c r="E38" s="84" t="s">
        <v>634</v>
      </c>
      <c r="F38" s="85">
        <v>45040</v>
      </c>
      <c r="G38" s="84" t="s">
        <v>1239</v>
      </c>
      <c r="H38" s="84" t="s">
        <v>950</v>
      </c>
      <c r="I38" s="84" t="s">
        <v>1269</v>
      </c>
      <c r="J38" s="84" t="s">
        <v>659</v>
      </c>
      <c r="K38" s="87">
        <v>106.38</v>
      </c>
    </row>
    <row r="39" spans="1:11" ht="14.6" x14ac:dyDescent="0.4">
      <c r="A39" s="84"/>
      <c r="B39" s="84"/>
      <c r="C39" s="84"/>
      <c r="D39" s="84"/>
      <c r="E39" s="84" t="s">
        <v>634</v>
      </c>
      <c r="F39" s="85">
        <v>45040</v>
      </c>
      <c r="G39" s="84" t="s">
        <v>1239</v>
      </c>
      <c r="H39" s="84" t="s">
        <v>950</v>
      </c>
      <c r="I39" s="84" t="s">
        <v>1270</v>
      </c>
      <c r="J39" s="84" t="s">
        <v>659</v>
      </c>
      <c r="K39" s="87">
        <v>88.65</v>
      </c>
    </row>
    <row r="40" spans="1:11" ht="14.6" x14ac:dyDescent="0.4">
      <c r="A40" s="84"/>
      <c r="B40" s="84"/>
      <c r="C40" s="84"/>
      <c r="D40" s="84"/>
      <c r="E40" s="84" t="s">
        <v>634</v>
      </c>
      <c r="F40" s="85">
        <v>45040</v>
      </c>
      <c r="G40" s="84" t="s">
        <v>1239</v>
      </c>
      <c r="H40" s="84" t="s">
        <v>950</v>
      </c>
      <c r="I40" s="84" t="s">
        <v>1271</v>
      </c>
      <c r="J40" s="84" t="s">
        <v>659</v>
      </c>
      <c r="K40" s="87">
        <v>74.260000000000005</v>
      </c>
    </row>
    <row r="41" spans="1:11" ht="14.6" x14ac:dyDescent="0.4">
      <c r="A41" s="84"/>
      <c r="B41" s="84"/>
      <c r="C41" s="84"/>
      <c r="D41" s="84"/>
      <c r="E41" s="84" t="s">
        <v>634</v>
      </c>
      <c r="F41" s="85">
        <v>45040</v>
      </c>
      <c r="G41" s="84" t="s">
        <v>1239</v>
      </c>
      <c r="H41" s="84" t="s">
        <v>950</v>
      </c>
      <c r="I41" s="84" t="s">
        <v>1261</v>
      </c>
      <c r="J41" s="84" t="s">
        <v>659</v>
      </c>
      <c r="K41" s="87">
        <v>0.24</v>
      </c>
    </row>
    <row r="42" spans="1:11" ht="14.6" x14ac:dyDescent="0.4">
      <c r="A42" s="84"/>
      <c r="B42" s="84"/>
      <c r="C42" s="84"/>
      <c r="D42" s="84"/>
      <c r="E42" s="84" t="s">
        <v>634</v>
      </c>
      <c r="F42" s="85">
        <v>45040</v>
      </c>
      <c r="G42" s="84" t="s">
        <v>1239</v>
      </c>
      <c r="H42" s="84" t="s">
        <v>950</v>
      </c>
      <c r="I42" s="84" t="s">
        <v>1262</v>
      </c>
      <c r="J42" s="84" t="s">
        <v>659</v>
      </c>
      <c r="K42" s="87">
        <v>32.5</v>
      </c>
    </row>
    <row r="43" spans="1:11" ht="14.6" x14ac:dyDescent="0.4">
      <c r="A43" s="84"/>
      <c r="B43" s="84"/>
      <c r="C43" s="84"/>
      <c r="D43" s="84"/>
      <c r="E43" s="84" t="s">
        <v>634</v>
      </c>
      <c r="F43" s="85">
        <v>45040</v>
      </c>
      <c r="G43" s="84" t="s">
        <v>1239</v>
      </c>
      <c r="H43" s="84" t="s">
        <v>950</v>
      </c>
      <c r="I43" s="84" t="s">
        <v>1272</v>
      </c>
      <c r="J43" s="84" t="s">
        <v>659</v>
      </c>
      <c r="K43" s="87">
        <v>29.88</v>
      </c>
    </row>
    <row r="44" spans="1:11" ht="14.6" x14ac:dyDescent="0.4">
      <c r="A44" s="84"/>
      <c r="B44" s="84"/>
      <c r="C44" s="84"/>
      <c r="D44" s="84"/>
      <c r="E44" s="84" t="s">
        <v>634</v>
      </c>
      <c r="F44" s="85">
        <v>45040</v>
      </c>
      <c r="G44" s="84" t="s">
        <v>1239</v>
      </c>
      <c r="H44" s="84" t="s">
        <v>950</v>
      </c>
      <c r="I44" s="84" t="s">
        <v>1273</v>
      </c>
      <c r="J44" s="84" t="s">
        <v>659</v>
      </c>
      <c r="K44" s="87">
        <v>25</v>
      </c>
    </row>
    <row r="45" spans="1:11" ht="14.6" x14ac:dyDescent="0.4">
      <c r="A45" s="84"/>
      <c r="B45" s="84"/>
      <c r="C45" s="84"/>
      <c r="D45" s="84"/>
      <c r="E45" s="84" t="s">
        <v>634</v>
      </c>
      <c r="F45" s="85">
        <v>45040</v>
      </c>
      <c r="G45" s="84" t="s">
        <v>1239</v>
      </c>
      <c r="H45" s="84" t="s">
        <v>950</v>
      </c>
      <c r="I45" s="84" t="s">
        <v>1265</v>
      </c>
      <c r="J45" s="84" t="s">
        <v>659</v>
      </c>
      <c r="K45" s="87">
        <v>110</v>
      </c>
    </row>
    <row r="46" spans="1:11" ht="14.6" x14ac:dyDescent="0.4">
      <c r="A46" s="84"/>
      <c r="B46" s="84"/>
      <c r="C46" s="84"/>
      <c r="D46" s="84"/>
      <c r="E46" s="84" t="s">
        <v>634</v>
      </c>
      <c r="F46" s="85">
        <v>45044</v>
      </c>
      <c r="G46" s="84" t="s">
        <v>1240</v>
      </c>
      <c r="H46" s="84" t="s">
        <v>1245</v>
      </c>
      <c r="I46" s="84" t="s">
        <v>1274</v>
      </c>
      <c r="J46" s="84" t="s">
        <v>659</v>
      </c>
      <c r="K46" s="87">
        <v>234.87</v>
      </c>
    </row>
    <row r="47" spans="1:11" ht="14.6" x14ac:dyDescent="0.4">
      <c r="A47" s="84"/>
      <c r="B47" s="84"/>
      <c r="C47" s="84"/>
      <c r="D47" s="84"/>
      <c r="E47" s="84" t="s">
        <v>634</v>
      </c>
      <c r="F47" s="85">
        <v>45046</v>
      </c>
      <c r="G47" s="84" t="s">
        <v>1241</v>
      </c>
      <c r="H47" s="84" t="s">
        <v>1246</v>
      </c>
      <c r="I47" s="84" t="s">
        <v>1275</v>
      </c>
      <c r="J47" s="84" t="s">
        <v>659</v>
      </c>
      <c r="K47" s="87">
        <v>112.19</v>
      </c>
    </row>
    <row r="48" spans="1:11" ht="14.6" x14ac:dyDescent="0.4">
      <c r="A48" s="84"/>
      <c r="B48" s="84"/>
      <c r="C48" s="84"/>
      <c r="D48" s="84"/>
      <c r="E48" s="84" t="s">
        <v>634</v>
      </c>
      <c r="F48" s="85">
        <v>45049</v>
      </c>
      <c r="G48" s="84" t="s">
        <v>1195</v>
      </c>
      <c r="H48" s="84" t="s">
        <v>667</v>
      </c>
      <c r="I48" s="84" t="s">
        <v>1276</v>
      </c>
      <c r="J48" s="84" t="s">
        <v>659</v>
      </c>
      <c r="K48" s="87">
        <v>4.41</v>
      </c>
    </row>
    <row r="49" spans="1:11" ht="14.6" x14ac:dyDescent="0.4">
      <c r="A49" s="84"/>
      <c r="B49" s="84"/>
      <c r="C49" s="84"/>
      <c r="D49" s="84"/>
      <c r="E49" s="84" t="s">
        <v>634</v>
      </c>
      <c r="F49" s="85">
        <v>45049</v>
      </c>
      <c r="G49" s="84" t="s">
        <v>1195</v>
      </c>
      <c r="H49" s="84" t="s">
        <v>667</v>
      </c>
      <c r="I49" s="84" t="s">
        <v>1277</v>
      </c>
      <c r="J49" s="84" t="s">
        <v>659</v>
      </c>
      <c r="K49" s="87">
        <v>4.28</v>
      </c>
    </row>
    <row r="50" spans="1:11" ht="14.6" x14ac:dyDescent="0.4">
      <c r="A50" s="84"/>
      <c r="B50" s="84"/>
      <c r="C50" s="84"/>
      <c r="D50" s="84"/>
      <c r="E50" s="84" t="s">
        <v>634</v>
      </c>
      <c r="F50" s="85">
        <v>45049</v>
      </c>
      <c r="G50" s="84" t="s">
        <v>1195</v>
      </c>
      <c r="H50" s="84" t="s">
        <v>667</v>
      </c>
      <c r="I50" s="84" t="s">
        <v>1278</v>
      </c>
      <c r="J50" s="84" t="s">
        <v>659</v>
      </c>
      <c r="K50" s="87">
        <v>5.95</v>
      </c>
    </row>
    <row r="51" spans="1:11" ht="14.6" x14ac:dyDescent="0.4">
      <c r="A51" s="84"/>
      <c r="B51" s="84"/>
      <c r="C51" s="84"/>
      <c r="D51" s="84"/>
      <c r="E51" s="84" t="s">
        <v>634</v>
      </c>
      <c r="F51" s="85">
        <v>45049</v>
      </c>
      <c r="G51" s="84" t="s">
        <v>1195</v>
      </c>
      <c r="H51" s="84" t="s">
        <v>667</v>
      </c>
      <c r="I51" s="84" t="s">
        <v>1279</v>
      </c>
      <c r="J51" s="84" t="s">
        <v>659</v>
      </c>
      <c r="K51" s="87">
        <v>50</v>
      </c>
    </row>
    <row r="52" spans="1:11" ht="14.6" x14ac:dyDescent="0.4">
      <c r="A52" s="84"/>
      <c r="B52" s="84"/>
      <c r="C52" s="84"/>
      <c r="D52" s="84"/>
      <c r="E52" s="84" t="s">
        <v>634</v>
      </c>
      <c r="F52" s="85">
        <v>45049</v>
      </c>
      <c r="G52" s="84" t="s">
        <v>1195</v>
      </c>
      <c r="H52" s="84" t="s">
        <v>667</v>
      </c>
      <c r="I52" s="84" t="s">
        <v>1280</v>
      </c>
      <c r="J52" s="84" t="s">
        <v>659</v>
      </c>
      <c r="K52" s="87">
        <v>6.75</v>
      </c>
    </row>
    <row r="53" spans="1:11" ht="14.6" x14ac:dyDescent="0.4">
      <c r="A53" s="84"/>
      <c r="B53" s="84"/>
      <c r="C53" s="84"/>
      <c r="D53" s="84"/>
      <c r="E53" s="84" t="s">
        <v>634</v>
      </c>
      <c r="F53" s="85">
        <v>45049</v>
      </c>
      <c r="G53" s="84" t="s">
        <v>1195</v>
      </c>
      <c r="H53" s="84" t="s">
        <v>667</v>
      </c>
      <c r="I53" s="84" t="s">
        <v>1281</v>
      </c>
      <c r="J53" s="84" t="s">
        <v>659</v>
      </c>
      <c r="K53" s="87">
        <v>9.5</v>
      </c>
    </row>
    <row r="54" spans="1:11" ht="14.6" x14ac:dyDescent="0.4">
      <c r="A54" s="84"/>
      <c r="B54" s="84"/>
      <c r="C54" s="84"/>
      <c r="D54" s="84"/>
      <c r="E54" s="84" t="s">
        <v>634</v>
      </c>
      <c r="F54" s="85">
        <v>45058</v>
      </c>
      <c r="G54" s="84" t="s">
        <v>1196</v>
      </c>
      <c r="H54" s="84" t="s">
        <v>667</v>
      </c>
      <c r="I54" s="84" t="s">
        <v>1282</v>
      </c>
      <c r="J54" s="84" t="s">
        <v>659</v>
      </c>
      <c r="K54" s="87">
        <v>1454.94</v>
      </c>
    </row>
    <row r="55" spans="1:11" ht="14.6" x14ac:dyDescent="0.4">
      <c r="A55" s="84"/>
      <c r="B55" s="84"/>
      <c r="C55" s="84"/>
      <c r="D55" s="84"/>
      <c r="E55" s="84" t="s">
        <v>634</v>
      </c>
      <c r="F55" s="85">
        <v>45058</v>
      </c>
      <c r="G55" s="84" t="s">
        <v>1196</v>
      </c>
      <c r="H55" s="84" t="s">
        <v>667</v>
      </c>
      <c r="I55" s="84" t="s">
        <v>1283</v>
      </c>
      <c r="J55" s="84" t="s">
        <v>659</v>
      </c>
      <c r="K55" s="87">
        <v>289.02999999999997</v>
      </c>
    </row>
    <row r="56" spans="1:11" ht="14.6" x14ac:dyDescent="0.4">
      <c r="A56" s="84"/>
      <c r="B56" s="84"/>
      <c r="C56" s="84"/>
      <c r="D56" s="84"/>
      <c r="E56" s="84" t="s">
        <v>634</v>
      </c>
      <c r="F56" s="85">
        <v>45058</v>
      </c>
      <c r="G56" s="84" t="s">
        <v>1196</v>
      </c>
      <c r="H56" s="84" t="s">
        <v>667</v>
      </c>
      <c r="I56" s="84" t="s">
        <v>1284</v>
      </c>
      <c r="J56" s="84" t="s">
        <v>659</v>
      </c>
      <c r="K56" s="87">
        <v>436.46</v>
      </c>
    </row>
    <row r="57" spans="1:11" ht="14.6" x14ac:dyDescent="0.4">
      <c r="A57" s="84"/>
      <c r="B57" s="84"/>
      <c r="C57" s="84"/>
      <c r="D57" s="84"/>
      <c r="E57" s="84" t="s">
        <v>634</v>
      </c>
      <c r="F57" s="85">
        <v>45058</v>
      </c>
      <c r="G57" s="84" t="s">
        <v>1196</v>
      </c>
      <c r="H57" s="84" t="s">
        <v>667</v>
      </c>
      <c r="I57" s="84" t="s">
        <v>1285</v>
      </c>
      <c r="J57" s="84" t="s">
        <v>659</v>
      </c>
      <c r="K57" s="87">
        <v>264.26</v>
      </c>
    </row>
    <row r="58" spans="1:11" ht="14.6" x14ac:dyDescent="0.4">
      <c r="A58" s="84"/>
      <c r="B58" s="84"/>
      <c r="C58" s="84"/>
      <c r="D58" s="84"/>
      <c r="E58" s="84" t="s">
        <v>634</v>
      </c>
      <c r="F58" s="85">
        <v>45058</v>
      </c>
      <c r="G58" s="84" t="s">
        <v>1196</v>
      </c>
      <c r="H58" s="84" t="s">
        <v>667</v>
      </c>
      <c r="I58" s="84" t="s">
        <v>1286</v>
      </c>
      <c r="J58" s="84" t="s">
        <v>659</v>
      </c>
      <c r="K58" s="87">
        <v>82.5</v>
      </c>
    </row>
    <row r="59" spans="1:11" ht="14.6" x14ac:dyDescent="0.4">
      <c r="A59" s="84"/>
      <c r="B59" s="84"/>
      <c r="C59" s="84"/>
      <c r="D59" s="84"/>
      <c r="E59" s="84" t="s">
        <v>634</v>
      </c>
      <c r="F59" s="85">
        <v>45058</v>
      </c>
      <c r="G59" s="84" t="s">
        <v>1196</v>
      </c>
      <c r="H59" s="84" t="s">
        <v>667</v>
      </c>
      <c r="I59" s="84" t="s">
        <v>1350</v>
      </c>
      <c r="J59" s="84" t="s">
        <v>659</v>
      </c>
      <c r="K59" s="87">
        <v>82.5</v>
      </c>
    </row>
    <row r="60" spans="1:11" ht="14.6" x14ac:dyDescent="0.4">
      <c r="A60" s="84"/>
      <c r="B60" s="84"/>
      <c r="C60" s="84"/>
      <c r="D60" s="84"/>
      <c r="E60" s="84" t="s">
        <v>634</v>
      </c>
      <c r="F60" s="85">
        <v>45058</v>
      </c>
      <c r="G60" s="84" t="s">
        <v>1196</v>
      </c>
      <c r="H60" s="84" t="s">
        <v>667</v>
      </c>
      <c r="I60" s="84" t="s">
        <v>1287</v>
      </c>
      <c r="J60" s="84" t="s">
        <v>659</v>
      </c>
      <c r="K60" s="87">
        <v>50.75</v>
      </c>
    </row>
    <row r="61" spans="1:11" ht="14.6" x14ac:dyDescent="0.4">
      <c r="A61" s="84"/>
      <c r="B61" s="84"/>
      <c r="C61" s="84"/>
      <c r="D61" s="84"/>
      <c r="E61" s="84" t="s">
        <v>634</v>
      </c>
      <c r="F61" s="85">
        <v>45058</v>
      </c>
      <c r="G61" s="84" t="s">
        <v>1196</v>
      </c>
      <c r="H61" s="84" t="s">
        <v>667</v>
      </c>
      <c r="I61" s="84" t="s">
        <v>1288</v>
      </c>
      <c r="J61" s="84" t="s">
        <v>659</v>
      </c>
      <c r="K61" s="87">
        <v>25.5</v>
      </c>
    </row>
    <row r="62" spans="1:11" ht="14.6" x14ac:dyDescent="0.4">
      <c r="A62" s="84"/>
      <c r="B62" s="84"/>
      <c r="C62" s="84"/>
      <c r="D62" s="84"/>
      <c r="E62" s="84" t="s">
        <v>634</v>
      </c>
      <c r="F62" s="85">
        <v>45058</v>
      </c>
      <c r="G62" s="84" t="s">
        <v>1196</v>
      </c>
      <c r="H62" s="84" t="s">
        <v>667</v>
      </c>
      <c r="I62" s="84" t="s">
        <v>1289</v>
      </c>
      <c r="J62" s="84" t="s">
        <v>659</v>
      </c>
      <c r="K62" s="87">
        <v>206.25</v>
      </c>
    </row>
    <row r="63" spans="1:11" ht="14.6" x14ac:dyDescent="0.4">
      <c r="A63" s="84"/>
      <c r="B63" s="84"/>
      <c r="C63" s="84"/>
      <c r="D63" s="84"/>
      <c r="E63" s="84" t="s">
        <v>634</v>
      </c>
      <c r="F63" s="85">
        <v>45058</v>
      </c>
      <c r="G63" s="84" t="s">
        <v>1196</v>
      </c>
      <c r="H63" s="84" t="s">
        <v>667</v>
      </c>
      <c r="I63" s="84" t="s">
        <v>1290</v>
      </c>
      <c r="J63" s="84" t="s">
        <v>659</v>
      </c>
      <c r="K63" s="87">
        <v>206.25</v>
      </c>
    </row>
    <row r="64" spans="1:11" ht="14.6" x14ac:dyDescent="0.4">
      <c r="A64" s="84"/>
      <c r="B64" s="84"/>
      <c r="C64" s="84"/>
      <c r="D64" s="84"/>
      <c r="E64" s="84" t="s">
        <v>634</v>
      </c>
      <c r="F64" s="85">
        <v>45061</v>
      </c>
      <c r="G64" s="84" t="s">
        <v>1197</v>
      </c>
      <c r="H64" s="84" t="s">
        <v>950</v>
      </c>
      <c r="I64" s="84" t="s">
        <v>1291</v>
      </c>
      <c r="J64" s="84" t="s">
        <v>659</v>
      </c>
      <c r="K64" s="87">
        <v>200</v>
      </c>
    </row>
    <row r="65" spans="1:11" ht="14.6" x14ac:dyDescent="0.4">
      <c r="A65" s="84"/>
      <c r="B65" s="84"/>
      <c r="C65" s="84"/>
      <c r="D65" s="84"/>
      <c r="E65" s="84" t="s">
        <v>634</v>
      </c>
      <c r="F65" s="85">
        <v>45061</v>
      </c>
      <c r="G65" s="84" t="s">
        <v>1197</v>
      </c>
      <c r="H65" s="84" t="s">
        <v>950</v>
      </c>
      <c r="I65" s="84" t="s">
        <v>1292</v>
      </c>
      <c r="J65" s="84" t="s">
        <v>659</v>
      </c>
      <c r="K65" s="87">
        <v>10.7</v>
      </c>
    </row>
    <row r="66" spans="1:11" ht="14.6" x14ac:dyDescent="0.4">
      <c r="A66" s="84"/>
      <c r="B66" s="84"/>
      <c r="C66" s="84"/>
      <c r="D66" s="84"/>
      <c r="E66" s="84" t="s">
        <v>634</v>
      </c>
      <c r="F66" s="85">
        <v>45061</v>
      </c>
      <c r="G66" s="84" t="s">
        <v>1197</v>
      </c>
      <c r="H66" s="84" t="s">
        <v>950</v>
      </c>
      <c r="I66" s="84" t="s">
        <v>1293</v>
      </c>
      <c r="J66" s="84" t="s">
        <v>659</v>
      </c>
      <c r="K66" s="87">
        <v>55</v>
      </c>
    </row>
    <row r="67" spans="1:11" ht="14.6" x14ac:dyDescent="0.4">
      <c r="A67" s="84"/>
      <c r="B67" s="84"/>
      <c r="C67" s="84"/>
      <c r="D67" s="84"/>
      <c r="E67" s="84" t="s">
        <v>634</v>
      </c>
      <c r="F67" s="85">
        <v>45061</v>
      </c>
      <c r="G67" s="84" t="s">
        <v>1197</v>
      </c>
      <c r="H67" s="84" t="s">
        <v>950</v>
      </c>
      <c r="I67" s="84" t="s">
        <v>1294</v>
      </c>
      <c r="J67" s="84" t="s">
        <v>659</v>
      </c>
      <c r="K67" s="87">
        <v>25</v>
      </c>
    </row>
    <row r="68" spans="1:11" ht="14.6" x14ac:dyDescent="0.4">
      <c r="A68" s="84"/>
      <c r="B68" s="84"/>
      <c r="C68" s="84"/>
      <c r="D68" s="84"/>
      <c r="E68" s="84" t="s">
        <v>634</v>
      </c>
      <c r="F68" s="85">
        <v>45061</v>
      </c>
      <c r="G68" s="84" t="s">
        <v>1197</v>
      </c>
      <c r="H68" s="84" t="s">
        <v>950</v>
      </c>
      <c r="I68" s="84" t="s">
        <v>1295</v>
      </c>
      <c r="J68" s="84" t="s">
        <v>659</v>
      </c>
      <c r="K68" s="87">
        <v>0.34</v>
      </c>
    </row>
    <row r="69" spans="1:11" ht="14.6" x14ac:dyDescent="0.4">
      <c r="A69" s="84"/>
      <c r="B69" s="84"/>
      <c r="C69" s="84"/>
      <c r="D69" s="84"/>
      <c r="E69" s="84" t="s">
        <v>634</v>
      </c>
      <c r="F69" s="85">
        <v>45061</v>
      </c>
      <c r="G69" s="84" t="s">
        <v>1197</v>
      </c>
      <c r="H69" s="84" t="s">
        <v>950</v>
      </c>
      <c r="I69" s="84" t="s">
        <v>1296</v>
      </c>
      <c r="J69" s="84" t="s">
        <v>659</v>
      </c>
      <c r="K69" s="87">
        <v>0.42</v>
      </c>
    </row>
    <row r="70" spans="1:11" ht="14.6" x14ac:dyDescent="0.4">
      <c r="A70" s="84"/>
      <c r="B70" s="84"/>
      <c r="C70" s="84"/>
      <c r="D70" s="84"/>
      <c r="E70" s="84" t="s">
        <v>634</v>
      </c>
      <c r="F70" s="85">
        <v>45061</v>
      </c>
      <c r="G70" s="84" t="s">
        <v>1197</v>
      </c>
      <c r="H70" s="84" t="s">
        <v>950</v>
      </c>
      <c r="I70" s="84" t="s">
        <v>1297</v>
      </c>
      <c r="J70" s="84" t="s">
        <v>659</v>
      </c>
      <c r="K70" s="87">
        <v>23.28</v>
      </c>
    </row>
    <row r="71" spans="1:11" ht="14.6" x14ac:dyDescent="0.4">
      <c r="A71" s="84"/>
      <c r="B71" s="84"/>
      <c r="C71" s="84"/>
      <c r="D71" s="84"/>
      <c r="E71" s="84" t="s">
        <v>634</v>
      </c>
      <c r="F71" s="85">
        <v>45061</v>
      </c>
      <c r="G71" s="84" t="s">
        <v>1197</v>
      </c>
      <c r="H71" s="84" t="s">
        <v>950</v>
      </c>
      <c r="I71" s="84" t="s">
        <v>1298</v>
      </c>
      <c r="J71" s="84" t="s">
        <v>659</v>
      </c>
      <c r="K71" s="87">
        <v>40.380000000000003</v>
      </c>
    </row>
    <row r="72" spans="1:11" ht="14.6" x14ac:dyDescent="0.4">
      <c r="A72" s="84"/>
      <c r="B72" s="84"/>
      <c r="C72" s="84"/>
      <c r="D72" s="84"/>
      <c r="E72" s="84" t="s">
        <v>634</v>
      </c>
      <c r="F72" s="85">
        <v>45061</v>
      </c>
      <c r="G72" s="84" t="s">
        <v>1197</v>
      </c>
      <c r="H72" s="84" t="s">
        <v>950</v>
      </c>
      <c r="I72" s="84" t="s">
        <v>1299</v>
      </c>
      <c r="J72" s="84" t="s">
        <v>659</v>
      </c>
      <c r="K72" s="87">
        <v>80.760000000000005</v>
      </c>
    </row>
    <row r="73" spans="1:11" ht="14.6" x14ac:dyDescent="0.4">
      <c r="A73" s="84"/>
      <c r="B73" s="84"/>
      <c r="C73" s="84"/>
      <c r="D73" s="84"/>
      <c r="E73" s="84" t="s">
        <v>634</v>
      </c>
      <c r="F73" s="85">
        <v>45061</v>
      </c>
      <c r="G73" s="84" t="s">
        <v>1197</v>
      </c>
      <c r="H73" s="84" t="s">
        <v>950</v>
      </c>
      <c r="I73" s="84" t="s">
        <v>1300</v>
      </c>
      <c r="J73" s="84" t="s">
        <v>659</v>
      </c>
      <c r="K73" s="87">
        <v>80.760000000000005</v>
      </c>
    </row>
    <row r="74" spans="1:11" ht="14.6" x14ac:dyDescent="0.4">
      <c r="A74" s="84"/>
      <c r="B74" s="84"/>
      <c r="C74" s="84"/>
      <c r="D74" s="84"/>
      <c r="E74" s="84" t="s">
        <v>634</v>
      </c>
      <c r="F74" s="85">
        <v>45061</v>
      </c>
      <c r="G74" s="84" t="s">
        <v>1197</v>
      </c>
      <c r="H74" s="84" t="s">
        <v>950</v>
      </c>
      <c r="I74" s="84" t="s">
        <v>1301</v>
      </c>
      <c r="J74" s="84" t="s">
        <v>659</v>
      </c>
      <c r="K74" s="87">
        <v>16</v>
      </c>
    </row>
    <row r="75" spans="1:11" ht="14.6" x14ac:dyDescent="0.4">
      <c r="A75" s="84"/>
      <c r="B75" s="84"/>
      <c r="C75" s="84"/>
      <c r="D75" s="84"/>
      <c r="E75" s="84" t="s">
        <v>634</v>
      </c>
      <c r="F75" s="85">
        <v>45061</v>
      </c>
      <c r="G75" s="84" t="s">
        <v>1197</v>
      </c>
      <c r="H75" s="84" t="s">
        <v>950</v>
      </c>
      <c r="I75" s="84" t="s">
        <v>1302</v>
      </c>
      <c r="J75" s="84" t="s">
        <v>659</v>
      </c>
      <c r="K75" s="87">
        <v>19.399999999999999</v>
      </c>
    </row>
    <row r="76" spans="1:11" ht="14.6" x14ac:dyDescent="0.4">
      <c r="A76" s="84"/>
      <c r="B76" s="84"/>
      <c r="C76" s="84"/>
      <c r="D76" s="84"/>
      <c r="E76" s="84" t="s">
        <v>634</v>
      </c>
      <c r="F76" s="85">
        <v>45061</v>
      </c>
      <c r="G76" s="84" t="s">
        <v>1197</v>
      </c>
      <c r="H76" s="84" t="s">
        <v>950</v>
      </c>
      <c r="I76" s="84" t="s">
        <v>1303</v>
      </c>
      <c r="J76" s="84" t="s">
        <v>659</v>
      </c>
      <c r="K76" s="87">
        <v>29.57</v>
      </c>
    </row>
    <row r="77" spans="1:11" ht="14.6" x14ac:dyDescent="0.4">
      <c r="A77" s="84"/>
      <c r="B77" s="84"/>
      <c r="C77" s="84"/>
      <c r="D77" s="84"/>
      <c r="E77" s="84" t="s">
        <v>634</v>
      </c>
      <c r="F77" s="85">
        <v>45063</v>
      </c>
      <c r="G77" s="84" t="s">
        <v>1198</v>
      </c>
      <c r="H77" s="84" t="s">
        <v>667</v>
      </c>
      <c r="I77" s="84" t="s">
        <v>1304</v>
      </c>
      <c r="J77" s="84" t="s">
        <v>659</v>
      </c>
      <c r="K77" s="87">
        <v>1.93</v>
      </c>
    </row>
    <row r="78" spans="1:11" ht="14.6" x14ac:dyDescent="0.4">
      <c r="A78" s="84"/>
      <c r="B78" s="84"/>
      <c r="C78" s="84"/>
      <c r="D78" s="84"/>
      <c r="E78" s="84" t="s">
        <v>634</v>
      </c>
      <c r="F78" s="85">
        <v>45063</v>
      </c>
      <c r="G78" s="84" t="s">
        <v>1198</v>
      </c>
      <c r="H78" s="84" t="s">
        <v>667</v>
      </c>
      <c r="I78" s="84" t="s">
        <v>1305</v>
      </c>
      <c r="J78" s="84" t="s">
        <v>659</v>
      </c>
      <c r="K78" s="87">
        <v>1.87</v>
      </c>
    </row>
    <row r="79" spans="1:11" ht="14.6" x14ac:dyDescent="0.4">
      <c r="A79" s="84"/>
      <c r="B79" s="84"/>
      <c r="C79" s="84"/>
      <c r="D79" s="84"/>
      <c r="E79" s="84" t="s">
        <v>634</v>
      </c>
      <c r="F79" s="85">
        <v>45063</v>
      </c>
      <c r="G79" s="84" t="s">
        <v>1198</v>
      </c>
      <c r="H79" s="84" t="s">
        <v>667</v>
      </c>
      <c r="I79" s="84" t="s">
        <v>1278</v>
      </c>
      <c r="J79" s="84" t="s">
        <v>659</v>
      </c>
      <c r="K79" s="87"/>
    </row>
    <row r="80" spans="1:11" ht="14.6" x14ac:dyDescent="0.4">
      <c r="A80" s="84"/>
      <c r="B80" s="84"/>
      <c r="C80" s="84"/>
      <c r="D80" s="84"/>
      <c r="E80" s="84" t="s">
        <v>634</v>
      </c>
      <c r="F80" s="85">
        <v>45063</v>
      </c>
      <c r="G80" s="84" t="s">
        <v>1198</v>
      </c>
      <c r="H80" s="84" t="s">
        <v>667</v>
      </c>
      <c r="I80" s="84" t="s">
        <v>1279</v>
      </c>
      <c r="J80" s="84" t="s">
        <v>659</v>
      </c>
      <c r="K80" s="87">
        <v>50</v>
      </c>
    </row>
    <row r="81" spans="1:11" ht="14.6" x14ac:dyDescent="0.4">
      <c r="A81" s="84"/>
      <c r="B81" s="84"/>
      <c r="C81" s="84"/>
      <c r="D81" s="84"/>
      <c r="E81" s="84" t="s">
        <v>634</v>
      </c>
      <c r="F81" s="85">
        <v>45063</v>
      </c>
      <c r="G81" s="84" t="s">
        <v>1198</v>
      </c>
      <c r="H81" s="84" t="s">
        <v>667</v>
      </c>
      <c r="I81" s="84" t="s">
        <v>1280</v>
      </c>
      <c r="J81" s="84" t="s">
        <v>659</v>
      </c>
      <c r="K81" s="87">
        <v>2.97</v>
      </c>
    </row>
    <row r="82" spans="1:11" ht="14.6" x14ac:dyDescent="0.4">
      <c r="A82" s="84"/>
      <c r="B82" s="84"/>
      <c r="C82" s="84"/>
      <c r="D82" s="84"/>
      <c r="E82" s="84" t="s">
        <v>634</v>
      </c>
      <c r="F82" s="85">
        <v>45063</v>
      </c>
      <c r="G82" s="84" t="s">
        <v>1198</v>
      </c>
      <c r="H82" s="84" t="s">
        <v>667</v>
      </c>
      <c r="I82" s="84" t="s">
        <v>1281</v>
      </c>
      <c r="J82" s="84" t="s">
        <v>659</v>
      </c>
      <c r="K82" s="87"/>
    </row>
    <row r="83" spans="1:11" ht="14.6" x14ac:dyDescent="0.4">
      <c r="A83" s="84"/>
      <c r="B83" s="84"/>
      <c r="C83" s="84"/>
      <c r="D83" s="84"/>
      <c r="E83" s="84" t="s">
        <v>634</v>
      </c>
      <c r="F83" s="85">
        <v>45064</v>
      </c>
      <c r="G83" s="84" t="s">
        <v>1242</v>
      </c>
      <c r="H83" s="84" t="s">
        <v>648</v>
      </c>
      <c r="I83" s="84" t="s">
        <v>1253</v>
      </c>
      <c r="J83" s="84" t="s">
        <v>659</v>
      </c>
      <c r="K83" s="87">
        <v>266.25</v>
      </c>
    </row>
    <row r="84" spans="1:11" ht="14.6" x14ac:dyDescent="0.4">
      <c r="A84" s="84"/>
      <c r="B84" s="84"/>
      <c r="C84" s="84"/>
      <c r="D84" s="84"/>
      <c r="E84" s="84" t="s">
        <v>634</v>
      </c>
      <c r="F84" s="85">
        <v>45072</v>
      </c>
      <c r="G84" s="84" t="s">
        <v>1243</v>
      </c>
      <c r="H84" s="84" t="s">
        <v>1246</v>
      </c>
      <c r="I84" s="84" t="s">
        <v>1306</v>
      </c>
      <c r="J84" s="84" t="s">
        <v>659</v>
      </c>
      <c r="K84" s="87">
        <v>87.43</v>
      </c>
    </row>
    <row r="85" spans="1:11" ht="14.6" x14ac:dyDescent="0.4">
      <c r="A85" s="84"/>
      <c r="B85" s="84"/>
      <c r="C85" s="84"/>
      <c r="D85" s="84"/>
      <c r="E85" s="84" t="s">
        <v>634</v>
      </c>
      <c r="F85" s="85">
        <v>45086</v>
      </c>
      <c r="G85" s="84" t="s">
        <v>1201</v>
      </c>
      <c r="H85" s="84" t="s">
        <v>667</v>
      </c>
      <c r="I85" s="84" t="s">
        <v>1307</v>
      </c>
      <c r="J85" s="84" t="s">
        <v>659</v>
      </c>
      <c r="K85" s="87">
        <v>12.9</v>
      </c>
    </row>
    <row r="86" spans="1:11" ht="14.6" x14ac:dyDescent="0.4">
      <c r="A86" s="84"/>
      <c r="B86" s="84"/>
      <c r="C86" s="84"/>
      <c r="D86" s="84"/>
      <c r="E86" s="84" t="s">
        <v>634</v>
      </c>
      <c r="F86" s="85">
        <v>45086</v>
      </c>
      <c r="G86" s="84" t="s">
        <v>1201</v>
      </c>
      <c r="H86" s="84" t="s">
        <v>667</v>
      </c>
      <c r="I86" s="84" t="s">
        <v>1308</v>
      </c>
      <c r="J86" s="84" t="s">
        <v>659</v>
      </c>
      <c r="K86" s="87">
        <v>1.79</v>
      </c>
    </row>
    <row r="87" spans="1:11" ht="14.6" x14ac:dyDescent="0.4">
      <c r="A87" s="84"/>
      <c r="B87" s="84"/>
      <c r="C87" s="84"/>
      <c r="D87" s="84"/>
      <c r="E87" s="84" t="s">
        <v>634</v>
      </c>
      <c r="F87" s="85">
        <v>45086</v>
      </c>
      <c r="G87" s="84" t="s">
        <v>1201</v>
      </c>
      <c r="H87" s="84" t="s">
        <v>667</v>
      </c>
      <c r="I87" s="84" t="s">
        <v>1309</v>
      </c>
      <c r="J87" s="84" t="s">
        <v>659</v>
      </c>
      <c r="K87" s="87">
        <v>4.18</v>
      </c>
    </row>
    <row r="88" spans="1:11" ht="14.6" x14ac:dyDescent="0.4">
      <c r="A88" s="84"/>
      <c r="B88" s="84"/>
      <c r="C88" s="84"/>
      <c r="D88" s="84"/>
      <c r="E88" s="84" t="s">
        <v>634</v>
      </c>
      <c r="F88" s="85">
        <v>45086</v>
      </c>
      <c r="G88" s="84" t="s">
        <v>1201</v>
      </c>
      <c r="H88" s="84" t="s">
        <v>667</v>
      </c>
      <c r="I88" s="84" t="s">
        <v>1310</v>
      </c>
      <c r="J88" s="84" t="s">
        <v>659</v>
      </c>
      <c r="K88" s="87">
        <v>1.63</v>
      </c>
    </row>
    <row r="89" spans="1:11" ht="14.6" x14ac:dyDescent="0.4">
      <c r="A89" s="84"/>
      <c r="B89" s="84"/>
      <c r="C89" s="84"/>
      <c r="D89" s="84"/>
      <c r="E89" s="84" t="s">
        <v>634</v>
      </c>
      <c r="F89" s="85">
        <v>45086</v>
      </c>
      <c r="G89" s="84" t="s">
        <v>1201</v>
      </c>
      <c r="H89" s="84" t="s">
        <v>667</v>
      </c>
      <c r="I89" s="84" t="s">
        <v>1311</v>
      </c>
      <c r="J89" s="84" t="s">
        <v>659</v>
      </c>
      <c r="K89" s="87">
        <v>0.51</v>
      </c>
    </row>
    <row r="90" spans="1:11" ht="14.6" x14ac:dyDescent="0.4">
      <c r="A90" s="84"/>
      <c r="B90" s="84"/>
      <c r="C90" s="84"/>
      <c r="D90" s="84"/>
      <c r="E90" s="84" t="s">
        <v>634</v>
      </c>
      <c r="F90" s="85">
        <v>45086</v>
      </c>
      <c r="G90" s="84" t="s">
        <v>1201</v>
      </c>
      <c r="H90" s="84" t="s">
        <v>667</v>
      </c>
      <c r="I90" s="84" t="s">
        <v>1351</v>
      </c>
      <c r="J90" s="84" t="s">
        <v>659</v>
      </c>
      <c r="K90" s="87">
        <v>0.51</v>
      </c>
    </row>
    <row r="91" spans="1:11" ht="14.6" x14ac:dyDescent="0.4">
      <c r="A91" s="84"/>
      <c r="B91" s="84"/>
      <c r="C91" s="84"/>
      <c r="D91" s="84"/>
      <c r="E91" s="84" t="s">
        <v>634</v>
      </c>
      <c r="F91" s="85">
        <v>45086</v>
      </c>
      <c r="G91" s="84" t="s">
        <v>1201</v>
      </c>
      <c r="H91" s="84" t="s">
        <v>667</v>
      </c>
      <c r="I91" s="84" t="s">
        <v>1312</v>
      </c>
      <c r="J91" s="84" t="s">
        <v>659</v>
      </c>
      <c r="K91" s="87">
        <v>2.25</v>
      </c>
    </row>
    <row r="92" spans="1:11" ht="14.6" x14ac:dyDescent="0.4">
      <c r="A92" s="84"/>
      <c r="B92" s="84"/>
      <c r="C92" s="84"/>
      <c r="D92" s="84"/>
      <c r="E92" s="84" t="s">
        <v>634</v>
      </c>
      <c r="F92" s="85">
        <v>45086</v>
      </c>
      <c r="G92" s="84" t="s">
        <v>1201</v>
      </c>
      <c r="H92" s="84" t="s">
        <v>667</v>
      </c>
      <c r="I92" s="84" t="s">
        <v>1313</v>
      </c>
      <c r="J92" s="84" t="s">
        <v>659</v>
      </c>
      <c r="K92" s="87">
        <v>50</v>
      </c>
    </row>
    <row r="93" spans="1:11" ht="14.6" x14ac:dyDescent="0.4">
      <c r="A93" s="84"/>
      <c r="B93" s="84"/>
      <c r="C93" s="84"/>
      <c r="D93" s="84"/>
      <c r="E93" s="84" t="s">
        <v>634</v>
      </c>
      <c r="F93" s="85">
        <v>45086</v>
      </c>
      <c r="G93" s="84" t="s">
        <v>1201</v>
      </c>
      <c r="H93" s="84" t="s">
        <v>667</v>
      </c>
      <c r="I93" s="84" t="s">
        <v>1314</v>
      </c>
      <c r="J93" s="84" t="s">
        <v>659</v>
      </c>
      <c r="K93" s="87">
        <v>1.28</v>
      </c>
    </row>
    <row r="94" spans="1:11" ht="14.6" x14ac:dyDescent="0.4">
      <c r="A94" s="84"/>
      <c r="B94" s="84"/>
      <c r="C94" s="84"/>
      <c r="D94" s="84"/>
      <c r="E94" s="84" t="s">
        <v>634</v>
      </c>
      <c r="F94" s="85">
        <v>45086</v>
      </c>
      <c r="G94" s="84" t="s">
        <v>1201</v>
      </c>
      <c r="H94" s="84" t="s">
        <v>667</v>
      </c>
      <c r="I94" s="84" t="s">
        <v>1315</v>
      </c>
      <c r="J94" s="84" t="s">
        <v>659</v>
      </c>
      <c r="K94" s="87">
        <v>1.28</v>
      </c>
    </row>
    <row r="95" spans="1:11" ht="14.6" x14ac:dyDescent="0.4">
      <c r="A95" s="84"/>
      <c r="B95" s="84"/>
      <c r="C95" s="84"/>
      <c r="D95" s="84"/>
      <c r="E95" s="84" t="s">
        <v>634</v>
      </c>
      <c r="F95" s="85">
        <v>45086</v>
      </c>
      <c r="G95" s="84" t="s">
        <v>1201</v>
      </c>
      <c r="H95" s="84" t="s">
        <v>667</v>
      </c>
      <c r="I95" s="84" t="s">
        <v>1316</v>
      </c>
      <c r="J95" s="84" t="s">
        <v>659</v>
      </c>
      <c r="K95" s="87">
        <v>2.75</v>
      </c>
    </row>
    <row r="96" spans="1:11" ht="14.6" x14ac:dyDescent="0.4">
      <c r="A96" s="84"/>
      <c r="B96" s="84"/>
      <c r="C96" s="84"/>
      <c r="D96" s="84"/>
      <c r="E96" s="84" t="s">
        <v>634</v>
      </c>
      <c r="F96" s="85">
        <v>45086</v>
      </c>
      <c r="G96" s="84" t="s">
        <v>1202</v>
      </c>
      <c r="H96" s="84" t="s">
        <v>667</v>
      </c>
      <c r="I96" s="84" t="s">
        <v>1317</v>
      </c>
      <c r="J96" s="84" t="s">
        <v>659</v>
      </c>
      <c r="K96" s="87">
        <v>457.38</v>
      </c>
    </row>
    <row r="97" spans="1:11" ht="14.6" x14ac:dyDescent="0.4">
      <c r="A97" s="84"/>
      <c r="B97" s="84"/>
      <c r="C97" s="84"/>
      <c r="D97" s="84"/>
      <c r="E97" s="84" t="s">
        <v>634</v>
      </c>
      <c r="F97" s="85">
        <v>45086</v>
      </c>
      <c r="G97" s="84" t="s">
        <v>1202</v>
      </c>
      <c r="H97" s="84" t="s">
        <v>667</v>
      </c>
      <c r="I97" s="84" t="s">
        <v>1318</v>
      </c>
      <c r="J97" s="84" t="s">
        <v>659</v>
      </c>
      <c r="K97" s="87">
        <v>44.91</v>
      </c>
    </row>
    <row r="98" spans="1:11" ht="14.6" x14ac:dyDescent="0.4">
      <c r="A98" s="84"/>
      <c r="B98" s="84"/>
      <c r="C98" s="84"/>
      <c r="D98" s="84"/>
      <c r="E98" s="84" t="s">
        <v>634</v>
      </c>
      <c r="F98" s="85">
        <v>45086</v>
      </c>
      <c r="G98" s="84" t="s">
        <v>1202</v>
      </c>
      <c r="H98" s="84" t="s">
        <v>667</v>
      </c>
      <c r="I98" s="84" t="s">
        <v>1319</v>
      </c>
      <c r="J98" s="84" t="s">
        <v>659</v>
      </c>
      <c r="K98" s="87">
        <v>110.27</v>
      </c>
    </row>
    <row r="99" spans="1:11" ht="14.6" x14ac:dyDescent="0.4">
      <c r="A99" s="84"/>
      <c r="B99" s="84"/>
      <c r="C99" s="84"/>
      <c r="D99" s="84"/>
      <c r="E99" s="84" t="s">
        <v>634</v>
      </c>
      <c r="F99" s="85">
        <v>45086</v>
      </c>
      <c r="G99" s="84" t="s">
        <v>1202</v>
      </c>
      <c r="H99" s="84" t="s">
        <v>667</v>
      </c>
      <c r="I99" s="84" t="s">
        <v>1320</v>
      </c>
      <c r="J99" s="84" t="s">
        <v>659</v>
      </c>
      <c r="K99" s="87">
        <v>41.06</v>
      </c>
    </row>
    <row r="100" spans="1:11" ht="14.6" x14ac:dyDescent="0.4">
      <c r="A100" s="84"/>
      <c r="B100" s="84"/>
      <c r="C100" s="84"/>
      <c r="D100" s="84"/>
      <c r="E100" s="84" t="s">
        <v>634</v>
      </c>
      <c r="F100" s="85">
        <v>45086</v>
      </c>
      <c r="G100" s="84" t="s">
        <v>1202</v>
      </c>
      <c r="H100" s="84" t="s">
        <v>667</v>
      </c>
      <c r="I100" s="84" t="s">
        <v>1321</v>
      </c>
      <c r="J100" s="84" t="s">
        <v>659</v>
      </c>
      <c r="K100" s="87">
        <v>12.83</v>
      </c>
    </row>
    <row r="101" spans="1:11" ht="14.6" x14ac:dyDescent="0.4">
      <c r="A101" s="84"/>
      <c r="B101" s="84"/>
      <c r="C101" s="84"/>
      <c r="D101" s="84"/>
      <c r="E101" s="84" t="s">
        <v>634</v>
      </c>
      <c r="F101" s="85">
        <v>45086</v>
      </c>
      <c r="G101" s="84" t="s">
        <v>1202</v>
      </c>
      <c r="H101" s="84" t="s">
        <v>667</v>
      </c>
      <c r="I101" s="84" t="s">
        <v>1352</v>
      </c>
      <c r="J101" s="84" t="s">
        <v>659</v>
      </c>
      <c r="K101" s="87">
        <v>12.83</v>
      </c>
    </row>
    <row r="102" spans="1:11" ht="14.6" x14ac:dyDescent="0.4">
      <c r="A102" s="84"/>
      <c r="B102" s="84"/>
      <c r="C102" s="84"/>
      <c r="D102" s="84"/>
      <c r="E102" s="84" t="s">
        <v>634</v>
      </c>
      <c r="F102" s="85">
        <v>45086</v>
      </c>
      <c r="G102" s="84" t="s">
        <v>1202</v>
      </c>
      <c r="H102" s="84" t="s">
        <v>667</v>
      </c>
      <c r="I102" s="84" t="s">
        <v>1322</v>
      </c>
      <c r="J102" s="84" t="s">
        <v>659</v>
      </c>
      <c r="K102" s="87">
        <v>47.25</v>
      </c>
    </row>
    <row r="103" spans="1:11" ht="14.6" x14ac:dyDescent="0.4">
      <c r="A103" s="84"/>
      <c r="B103" s="84"/>
      <c r="C103" s="84"/>
      <c r="D103" s="84"/>
      <c r="E103" s="84" t="s">
        <v>634</v>
      </c>
      <c r="F103" s="85">
        <v>45086</v>
      </c>
      <c r="G103" s="84" t="s">
        <v>1202</v>
      </c>
      <c r="H103" s="84" t="s">
        <v>667</v>
      </c>
      <c r="I103" s="84" t="s">
        <v>1323</v>
      </c>
      <c r="J103" s="84" t="s">
        <v>659</v>
      </c>
      <c r="K103" s="87">
        <v>13.6</v>
      </c>
    </row>
    <row r="104" spans="1:11" ht="14.6" x14ac:dyDescent="0.4">
      <c r="A104" s="84"/>
      <c r="B104" s="84"/>
      <c r="C104" s="84"/>
      <c r="D104" s="84"/>
      <c r="E104" s="84" t="s">
        <v>634</v>
      </c>
      <c r="F104" s="85">
        <v>45086</v>
      </c>
      <c r="G104" s="84" t="s">
        <v>1202</v>
      </c>
      <c r="H104" s="84" t="s">
        <v>667</v>
      </c>
      <c r="I104" s="84" t="s">
        <v>1324</v>
      </c>
      <c r="J104" s="84" t="s">
        <v>659</v>
      </c>
      <c r="K104" s="87">
        <v>32.08</v>
      </c>
    </row>
    <row r="105" spans="1:11" ht="14.6" x14ac:dyDescent="0.4">
      <c r="A105" s="84"/>
      <c r="B105" s="84"/>
      <c r="C105" s="84"/>
      <c r="D105" s="84"/>
      <c r="E105" s="84" t="s">
        <v>634</v>
      </c>
      <c r="F105" s="85">
        <v>45086</v>
      </c>
      <c r="G105" s="84" t="s">
        <v>1202</v>
      </c>
      <c r="H105" s="84" t="s">
        <v>667</v>
      </c>
      <c r="I105" s="84" t="s">
        <v>1325</v>
      </c>
      <c r="J105" s="84" t="s">
        <v>659</v>
      </c>
      <c r="K105" s="87">
        <v>32.08</v>
      </c>
    </row>
    <row r="106" spans="1:11" ht="14.6" x14ac:dyDescent="0.4">
      <c r="A106" s="84"/>
      <c r="B106" s="84"/>
      <c r="C106" s="84"/>
      <c r="D106" s="84"/>
      <c r="E106" s="84" t="s">
        <v>634</v>
      </c>
      <c r="F106" s="85">
        <v>45093</v>
      </c>
      <c r="G106" s="84" t="s">
        <v>1204</v>
      </c>
      <c r="H106" s="84" t="s">
        <v>950</v>
      </c>
      <c r="I106" s="84" t="s">
        <v>1326</v>
      </c>
      <c r="J106" s="84" t="s">
        <v>659</v>
      </c>
      <c r="K106" s="87">
        <v>200</v>
      </c>
    </row>
    <row r="107" spans="1:11" ht="14.6" x14ac:dyDescent="0.4">
      <c r="A107" s="84"/>
      <c r="B107" s="84"/>
      <c r="C107" s="84"/>
      <c r="D107" s="84"/>
      <c r="E107" s="84" t="s">
        <v>634</v>
      </c>
      <c r="F107" s="85">
        <v>45093</v>
      </c>
      <c r="G107" s="84" t="s">
        <v>1204</v>
      </c>
      <c r="H107" s="84" t="s">
        <v>950</v>
      </c>
      <c r="I107" s="84" t="s">
        <v>1292</v>
      </c>
      <c r="J107" s="84" t="s">
        <v>659</v>
      </c>
      <c r="K107" s="87">
        <v>2.42</v>
      </c>
    </row>
    <row r="108" spans="1:11" ht="14.6" x14ac:dyDescent="0.4">
      <c r="A108" s="84"/>
      <c r="B108" s="84"/>
      <c r="C108" s="84"/>
      <c r="D108" s="84"/>
      <c r="E108" s="84" t="s">
        <v>634</v>
      </c>
      <c r="F108" s="85">
        <v>45093</v>
      </c>
      <c r="G108" s="84" t="s">
        <v>1204</v>
      </c>
      <c r="H108" s="84" t="s">
        <v>950</v>
      </c>
      <c r="I108" s="84" t="s">
        <v>1293</v>
      </c>
      <c r="J108" s="84" t="s">
        <v>659</v>
      </c>
      <c r="K108" s="87">
        <v>55</v>
      </c>
    </row>
    <row r="109" spans="1:11" ht="14.6" x14ac:dyDescent="0.4">
      <c r="A109" s="84"/>
      <c r="B109" s="84"/>
      <c r="C109" s="84"/>
      <c r="D109" s="84"/>
      <c r="E109" s="84" t="s">
        <v>634</v>
      </c>
      <c r="F109" s="85">
        <v>45093</v>
      </c>
      <c r="G109" s="84" t="s">
        <v>1204</v>
      </c>
      <c r="H109" s="84" t="s">
        <v>950</v>
      </c>
      <c r="I109" s="84" t="s">
        <v>1294</v>
      </c>
      <c r="J109" s="84" t="s">
        <v>659</v>
      </c>
      <c r="K109" s="87">
        <v>25</v>
      </c>
    </row>
    <row r="110" spans="1:11" ht="14.6" x14ac:dyDescent="0.4">
      <c r="A110" s="84"/>
      <c r="B110" s="84"/>
      <c r="C110" s="84"/>
      <c r="D110" s="84"/>
      <c r="E110" s="84" t="s">
        <v>634</v>
      </c>
      <c r="F110" s="85">
        <v>45093</v>
      </c>
      <c r="G110" s="84" t="s">
        <v>1204</v>
      </c>
      <c r="H110" s="84" t="s">
        <v>950</v>
      </c>
      <c r="I110" s="84" t="s">
        <v>1327</v>
      </c>
      <c r="J110" s="84" t="s">
        <v>659</v>
      </c>
      <c r="K110" s="87">
        <v>0.1</v>
      </c>
    </row>
    <row r="111" spans="1:11" ht="14.6" x14ac:dyDescent="0.4">
      <c r="A111" s="84"/>
      <c r="B111" s="84"/>
      <c r="C111" s="84"/>
      <c r="D111" s="84"/>
      <c r="E111" s="84" t="s">
        <v>634</v>
      </c>
      <c r="F111" s="85">
        <v>45093</v>
      </c>
      <c r="G111" s="84" t="s">
        <v>1204</v>
      </c>
      <c r="H111" s="84" t="s">
        <v>950</v>
      </c>
      <c r="I111" s="84" t="s">
        <v>1296</v>
      </c>
      <c r="J111" s="84" t="s">
        <v>659</v>
      </c>
      <c r="K111" s="87"/>
    </row>
    <row r="112" spans="1:11" ht="14.6" x14ac:dyDescent="0.4">
      <c r="A112" s="84"/>
      <c r="B112" s="84"/>
      <c r="C112" s="84"/>
      <c r="D112" s="84"/>
      <c r="E112" s="84" t="s">
        <v>634</v>
      </c>
      <c r="F112" s="85">
        <v>45093</v>
      </c>
      <c r="G112" s="84" t="s">
        <v>1204</v>
      </c>
      <c r="H112" s="84" t="s">
        <v>950</v>
      </c>
      <c r="I112" s="84" t="s">
        <v>1297</v>
      </c>
      <c r="J112" s="84" t="s">
        <v>659</v>
      </c>
      <c r="K112" s="87">
        <v>6.84</v>
      </c>
    </row>
    <row r="113" spans="1:11" ht="14.6" x14ac:dyDescent="0.4">
      <c r="A113" s="84"/>
      <c r="B113" s="84"/>
      <c r="C113" s="84"/>
      <c r="D113" s="84"/>
      <c r="E113" s="84" t="s">
        <v>634</v>
      </c>
      <c r="F113" s="85">
        <v>45093</v>
      </c>
      <c r="G113" s="84" t="s">
        <v>1204</v>
      </c>
      <c r="H113" s="84" t="s">
        <v>950</v>
      </c>
      <c r="I113" s="84" t="s">
        <v>1298</v>
      </c>
      <c r="J113" s="84" t="s">
        <v>659</v>
      </c>
      <c r="K113" s="87">
        <v>9.3000000000000007</v>
      </c>
    </row>
    <row r="114" spans="1:11" ht="14.6" x14ac:dyDescent="0.4">
      <c r="A114" s="84"/>
      <c r="B114" s="84"/>
      <c r="C114" s="84"/>
      <c r="D114" s="84"/>
      <c r="E114" s="84" t="s">
        <v>634</v>
      </c>
      <c r="F114" s="85">
        <v>45093</v>
      </c>
      <c r="G114" s="84" t="s">
        <v>1204</v>
      </c>
      <c r="H114" s="84" t="s">
        <v>950</v>
      </c>
      <c r="I114" s="84" t="s">
        <v>1299</v>
      </c>
      <c r="J114" s="84" t="s">
        <v>659</v>
      </c>
      <c r="K114" s="87"/>
    </row>
    <row r="115" spans="1:11" ht="14.6" x14ac:dyDescent="0.4">
      <c r="A115" s="84"/>
      <c r="B115" s="84"/>
      <c r="C115" s="84"/>
      <c r="D115" s="84"/>
      <c r="E115" s="84" t="s">
        <v>634</v>
      </c>
      <c r="F115" s="85">
        <v>45093</v>
      </c>
      <c r="G115" s="84" t="s">
        <v>1204</v>
      </c>
      <c r="H115" s="84" t="s">
        <v>950</v>
      </c>
      <c r="I115" s="84" t="s">
        <v>1300</v>
      </c>
      <c r="J115" s="84" t="s">
        <v>659</v>
      </c>
      <c r="K115" s="87">
        <v>18.600000000000001</v>
      </c>
    </row>
    <row r="116" spans="1:11" ht="14.6" x14ac:dyDescent="0.4">
      <c r="A116" s="84"/>
      <c r="B116" s="84"/>
      <c r="C116" s="84"/>
      <c r="D116" s="84"/>
      <c r="E116" s="84" t="s">
        <v>634</v>
      </c>
      <c r="F116" s="85">
        <v>45093</v>
      </c>
      <c r="G116" s="84" t="s">
        <v>1204</v>
      </c>
      <c r="H116" s="84" t="s">
        <v>950</v>
      </c>
      <c r="I116" s="84" t="s">
        <v>1301</v>
      </c>
      <c r="J116" s="84" t="s">
        <v>659</v>
      </c>
      <c r="K116" s="87">
        <v>4.7</v>
      </c>
    </row>
    <row r="117" spans="1:11" ht="14.6" x14ac:dyDescent="0.4">
      <c r="A117" s="84"/>
      <c r="B117" s="84"/>
      <c r="C117" s="84"/>
      <c r="D117" s="84"/>
      <c r="E117" s="84" t="s">
        <v>634</v>
      </c>
      <c r="F117" s="85">
        <v>45093</v>
      </c>
      <c r="G117" s="84" t="s">
        <v>1204</v>
      </c>
      <c r="H117" s="84" t="s">
        <v>950</v>
      </c>
      <c r="I117" s="84" t="s">
        <v>1302</v>
      </c>
      <c r="J117" s="84" t="s">
        <v>659</v>
      </c>
      <c r="K117" s="87">
        <v>5.7</v>
      </c>
    </row>
    <row r="118" spans="1:11" ht="14.6" x14ac:dyDescent="0.4">
      <c r="A118" s="84"/>
      <c r="B118" s="84"/>
      <c r="C118" s="84"/>
      <c r="D118" s="84"/>
      <c r="E118" s="84" t="s">
        <v>634</v>
      </c>
      <c r="F118" s="85">
        <v>45093</v>
      </c>
      <c r="G118" s="84" t="s">
        <v>1204</v>
      </c>
      <c r="H118" s="84" t="s">
        <v>950</v>
      </c>
      <c r="I118" s="84" t="s">
        <v>1303</v>
      </c>
      <c r="J118" s="84" t="s">
        <v>659</v>
      </c>
      <c r="K118" s="87"/>
    </row>
    <row r="119" spans="1:11" ht="14.6" x14ac:dyDescent="0.4">
      <c r="A119" s="84"/>
      <c r="B119" s="84"/>
      <c r="C119" s="84"/>
      <c r="D119" s="84"/>
      <c r="E119" s="84" t="s">
        <v>634</v>
      </c>
      <c r="F119" s="85">
        <v>45107</v>
      </c>
      <c r="G119" s="84" t="s">
        <v>1244</v>
      </c>
      <c r="H119" s="84" t="s">
        <v>1246</v>
      </c>
      <c r="I119" s="84" t="s">
        <v>1328</v>
      </c>
      <c r="J119" s="84" t="s">
        <v>659</v>
      </c>
      <c r="K119" s="87">
        <v>0</v>
      </c>
    </row>
    <row r="120" spans="1:11" ht="14.6" x14ac:dyDescent="0.4">
      <c r="A120" s="84"/>
      <c r="B120" s="84"/>
      <c r="C120" s="84"/>
      <c r="D120" s="84"/>
      <c r="E120" s="84" t="s">
        <v>634</v>
      </c>
      <c r="F120" s="85">
        <v>45114</v>
      </c>
      <c r="G120" s="84" t="s">
        <v>1206</v>
      </c>
      <c r="H120" s="84" t="s">
        <v>667</v>
      </c>
      <c r="I120" s="84" t="s">
        <v>1307</v>
      </c>
      <c r="J120" s="84" t="s">
        <v>659</v>
      </c>
      <c r="K120" s="87">
        <v>12.9</v>
      </c>
    </row>
    <row r="121" spans="1:11" ht="14.6" x14ac:dyDescent="0.4">
      <c r="A121" s="84"/>
      <c r="B121" s="84"/>
      <c r="C121" s="84"/>
      <c r="D121" s="84"/>
      <c r="E121" s="84" t="s">
        <v>634</v>
      </c>
      <c r="F121" s="85">
        <v>45114</v>
      </c>
      <c r="G121" s="84" t="s">
        <v>1206</v>
      </c>
      <c r="H121" s="84" t="s">
        <v>667</v>
      </c>
      <c r="I121" s="84" t="s">
        <v>1329</v>
      </c>
      <c r="J121" s="84" t="s">
        <v>659</v>
      </c>
      <c r="K121" s="87">
        <v>3.26</v>
      </c>
    </row>
    <row r="122" spans="1:11" ht="14.6" x14ac:dyDescent="0.4">
      <c r="A122" s="84"/>
      <c r="B122" s="84"/>
      <c r="C122" s="84"/>
      <c r="D122" s="84"/>
      <c r="E122" s="84" t="s">
        <v>634</v>
      </c>
      <c r="F122" s="85">
        <v>45114</v>
      </c>
      <c r="G122" s="84" t="s">
        <v>1206</v>
      </c>
      <c r="H122" s="84" t="s">
        <v>667</v>
      </c>
      <c r="I122" s="84" t="s">
        <v>1330</v>
      </c>
      <c r="J122" s="84" t="s">
        <v>659</v>
      </c>
      <c r="K122" s="87">
        <v>3.85</v>
      </c>
    </row>
    <row r="123" spans="1:11" ht="14.6" x14ac:dyDescent="0.4">
      <c r="A123" s="84"/>
      <c r="B123" s="84"/>
      <c r="C123" s="84"/>
      <c r="D123" s="84"/>
      <c r="E123" s="84" t="s">
        <v>634</v>
      </c>
      <c r="F123" s="85">
        <v>45114</v>
      </c>
      <c r="G123" s="84" t="s">
        <v>1206</v>
      </c>
      <c r="H123" s="84" t="s">
        <v>667</v>
      </c>
      <c r="I123" s="84" t="s">
        <v>1331</v>
      </c>
      <c r="J123" s="84" t="s">
        <v>659</v>
      </c>
      <c r="K123" s="87">
        <v>2.98</v>
      </c>
    </row>
    <row r="124" spans="1:11" ht="14.6" x14ac:dyDescent="0.4">
      <c r="A124" s="84"/>
      <c r="B124" s="84"/>
      <c r="C124" s="84"/>
      <c r="D124" s="84"/>
      <c r="E124" s="84" t="s">
        <v>634</v>
      </c>
      <c r="F124" s="85">
        <v>45114</v>
      </c>
      <c r="G124" s="84" t="s">
        <v>1206</v>
      </c>
      <c r="H124" s="84" t="s">
        <v>667</v>
      </c>
      <c r="I124" s="84" t="s">
        <v>1332</v>
      </c>
      <c r="J124" s="84" t="s">
        <v>659</v>
      </c>
      <c r="K124" s="87">
        <v>0.93</v>
      </c>
    </row>
    <row r="125" spans="1:11" ht="14.6" x14ac:dyDescent="0.4">
      <c r="A125" s="84"/>
      <c r="B125" s="84"/>
      <c r="C125" s="84"/>
      <c r="D125" s="84"/>
      <c r="E125" s="84" t="s">
        <v>634</v>
      </c>
      <c r="F125" s="85">
        <v>45114</v>
      </c>
      <c r="G125" s="84" t="s">
        <v>1206</v>
      </c>
      <c r="H125" s="84" t="s">
        <v>667</v>
      </c>
      <c r="I125" s="84" t="s">
        <v>1354</v>
      </c>
      <c r="J125" s="84" t="s">
        <v>659</v>
      </c>
      <c r="K125" s="87">
        <v>0.93</v>
      </c>
    </row>
    <row r="126" spans="1:11" ht="14.6" x14ac:dyDescent="0.4">
      <c r="A126" s="84"/>
      <c r="B126" s="84"/>
      <c r="C126" s="84"/>
      <c r="D126" s="84"/>
      <c r="E126" s="84" t="s">
        <v>634</v>
      </c>
      <c r="F126" s="85">
        <v>45114</v>
      </c>
      <c r="G126" s="84" t="s">
        <v>1206</v>
      </c>
      <c r="H126" s="84" t="s">
        <v>667</v>
      </c>
      <c r="I126" s="84" t="s">
        <v>1313</v>
      </c>
      <c r="J126" s="84" t="s">
        <v>659</v>
      </c>
      <c r="K126" s="87">
        <v>50</v>
      </c>
    </row>
    <row r="127" spans="1:11" ht="14.6" x14ac:dyDescent="0.4">
      <c r="A127" s="84"/>
      <c r="B127" s="84"/>
      <c r="C127" s="84"/>
      <c r="D127" s="84"/>
      <c r="E127" s="84" t="s">
        <v>634</v>
      </c>
      <c r="F127" s="85">
        <v>45114</v>
      </c>
      <c r="G127" s="84" t="s">
        <v>1206</v>
      </c>
      <c r="H127" s="84" t="s">
        <v>667</v>
      </c>
      <c r="I127" s="84" t="s">
        <v>1314</v>
      </c>
      <c r="J127" s="84" t="s">
        <v>659</v>
      </c>
      <c r="K127" s="87"/>
    </row>
    <row r="128" spans="1:11" ht="14.6" x14ac:dyDescent="0.4">
      <c r="A128" s="84"/>
      <c r="B128" s="84"/>
      <c r="C128" s="84"/>
      <c r="D128" s="84"/>
      <c r="E128" s="84" t="s">
        <v>634</v>
      </c>
      <c r="F128" s="85">
        <v>45114</v>
      </c>
      <c r="G128" s="84" t="s">
        <v>1206</v>
      </c>
      <c r="H128" s="84" t="s">
        <v>667</v>
      </c>
      <c r="I128" s="84" t="s">
        <v>1315</v>
      </c>
      <c r="J128" s="84" t="s">
        <v>659</v>
      </c>
      <c r="K128" s="87"/>
    </row>
    <row r="129" spans="1:11" ht="14.6" x14ac:dyDescent="0.4">
      <c r="A129" s="84"/>
      <c r="B129" s="84"/>
      <c r="C129" s="84"/>
      <c r="D129" s="84"/>
      <c r="E129" s="84" t="s">
        <v>634</v>
      </c>
      <c r="F129" s="85">
        <v>45114</v>
      </c>
      <c r="G129" s="84" t="s">
        <v>1206</v>
      </c>
      <c r="H129" s="84" t="s">
        <v>667</v>
      </c>
      <c r="I129" s="84" t="s">
        <v>1333</v>
      </c>
      <c r="J129" s="84" t="s">
        <v>659</v>
      </c>
      <c r="K129" s="87">
        <v>5.0199999999999996</v>
      </c>
    </row>
    <row r="130" spans="1:11" ht="14.6" x14ac:dyDescent="0.4">
      <c r="A130" s="84"/>
      <c r="B130" s="84"/>
      <c r="C130" s="84"/>
      <c r="D130" s="84"/>
      <c r="E130" s="84" t="s">
        <v>634</v>
      </c>
      <c r="F130" s="85">
        <v>45114</v>
      </c>
      <c r="G130" s="84" t="s">
        <v>1207</v>
      </c>
      <c r="H130" s="84" t="s">
        <v>667</v>
      </c>
      <c r="I130" s="84" t="s">
        <v>1334</v>
      </c>
      <c r="J130" s="84" t="s">
        <v>659</v>
      </c>
      <c r="K130" s="87">
        <v>310.74</v>
      </c>
    </row>
    <row r="131" spans="1:11" ht="14.6" x14ac:dyDescent="0.4">
      <c r="A131" s="84"/>
      <c r="B131" s="84"/>
      <c r="C131" s="84"/>
      <c r="D131" s="84"/>
      <c r="E131" s="84" t="s">
        <v>634</v>
      </c>
      <c r="F131" s="85">
        <v>45114</v>
      </c>
      <c r="G131" s="84" t="s">
        <v>1207</v>
      </c>
      <c r="H131" s="84" t="s">
        <v>667</v>
      </c>
      <c r="I131" s="84" t="s">
        <v>1335</v>
      </c>
      <c r="J131" s="84" t="s">
        <v>659</v>
      </c>
      <c r="K131" s="87">
        <v>47.6</v>
      </c>
    </row>
    <row r="132" spans="1:11" ht="14.6" x14ac:dyDescent="0.4">
      <c r="A132" s="84"/>
      <c r="B132" s="84"/>
      <c r="C132" s="84"/>
      <c r="D132" s="84"/>
      <c r="E132" s="84" t="s">
        <v>634</v>
      </c>
      <c r="F132" s="85">
        <v>45114</v>
      </c>
      <c r="G132" s="84" t="s">
        <v>1207</v>
      </c>
      <c r="H132" s="84" t="s">
        <v>667</v>
      </c>
      <c r="I132" s="84" t="s">
        <v>1336</v>
      </c>
      <c r="J132" s="84" t="s">
        <v>659</v>
      </c>
      <c r="K132" s="87">
        <v>90.94</v>
      </c>
    </row>
    <row r="133" spans="1:11" ht="14.6" x14ac:dyDescent="0.4">
      <c r="A133" s="84"/>
      <c r="B133" s="84"/>
      <c r="C133" s="84"/>
      <c r="D133" s="84"/>
      <c r="E133" s="84" t="s">
        <v>634</v>
      </c>
      <c r="F133" s="85">
        <v>45114</v>
      </c>
      <c r="G133" s="84" t="s">
        <v>1207</v>
      </c>
      <c r="H133" s="84" t="s">
        <v>667</v>
      </c>
      <c r="I133" s="84" t="s">
        <v>1337</v>
      </c>
      <c r="J133" s="84" t="s">
        <v>659</v>
      </c>
      <c r="K133" s="87">
        <v>43.52</v>
      </c>
    </row>
    <row r="134" spans="1:11" ht="14.6" x14ac:dyDescent="0.4">
      <c r="A134" s="84"/>
      <c r="B134" s="84"/>
      <c r="C134" s="84"/>
      <c r="D134" s="84"/>
      <c r="E134" s="84" t="s">
        <v>634</v>
      </c>
      <c r="F134" s="85">
        <v>45114</v>
      </c>
      <c r="G134" s="84" t="s">
        <v>1207</v>
      </c>
      <c r="H134" s="84" t="s">
        <v>667</v>
      </c>
      <c r="I134" s="84" t="s">
        <v>1338</v>
      </c>
      <c r="J134" s="84" t="s">
        <v>659</v>
      </c>
      <c r="K134" s="87">
        <v>13.6</v>
      </c>
    </row>
    <row r="135" spans="1:11" ht="14.6" x14ac:dyDescent="0.4">
      <c r="A135" s="84"/>
      <c r="B135" s="84"/>
      <c r="C135" s="84"/>
      <c r="D135" s="84"/>
      <c r="E135" s="84" t="s">
        <v>634</v>
      </c>
      <c r="F135" s="85">
        <v>45114</v>
      </c>
      <c r="G135" s="84" t="s">
        <v>1207</v>
      </c>
      <c r="H135" s="84" t="s">
        <v>667</v>
      </c>
      <c r="I135" s="84" t="s">
        <v>1353</v>
      </c>
      <c r="J135" s="84" t="s">
        <v>659</v>
      </c>
      <c r="K135" s="87">
        <v>13.6</v>
      </c>
    </row>
    <row r="136" spans="1:11" ht="14.6" x14ac:dyDescent="0.4">
      <c r="A136" s="84"/>
      <c r="B136" s="84"/>
      <c r="C136" s="84"/>
      <c r="D136" s="84"/>
      <c r="E136" s="84" t="s">
        <v>634</v>
      </c>
      <c r="F136" s="85">
        <v>45114</v>
      </c>
      <c r="G136" s="84" t="s">
        <v>1207</v>
      </c>
      <c r="H136" s="84" t="s">
        <v>667</v>
      </c>
      <c r="I136" s="84" t="s">
        <v>1339</v>
      </c>
      <c r="J136" s="84" t="s">
        <v>659</v>
      </c>
      <c r="K136" s="87">
        <v>24.5</v>
      </c>
    </row>
    <row r="137" spans="1:11" ht="14.6" x14ac:dyDescent="0.4">
      <c r="A137" s="84"/>
      <c r="B137" s="84"/>
      <c r="C137" s="84"/>
      <c r="D137" s="84"/>
      <c r="E137" s="84" t="s">
        <v>634</v>
      </c>
      <c r="F137" s="85">
        <v>45114</v>
      </c>
      <c r="G137" s="84" t="s">
        <v>1207</v>
      </c>
      <c r="H137" s="84" t="s">
        <v>667</v>
      </c>
      <c r="I137" s="84" t="s">
        <v>1340</v>
      </c>
      <c r="J137" s="84" t="s">
        <v>659</v>
      </c>
      <c r="K137" s="87">
        <v>2.5499999999999998</v>
      </c>
    </row>
    <row r="138" spans="1:11" ht="14.6" x14ac:dyDescent="0.4">
      <c r="A138" s="84"/>
      <c r="B138" s="84"/>
      <c r="C138" s="84"/>
      <c r="D138" s="84"/>
      <c r="E138" s="84" t="s">
        <v>634</v>
      </c>
      <c r="F138" s="85">
        <v>45114</v>
      </c>
      <c r="G138" s="84" t="s">
        <v>1207</v>
      </c>
      <c r="H138" s="84" t="s">
        <v>667</v>
      </c>
      <c r="I138" s="84" t="s">
        <v>1341</v>
      </c>
      <c r="J138" s="84" t="s">
        <v>659</v>
      </c>
      <c r="K138" s="87">
        <v>34</v>
      </c>
    </row>
    <row r="139" spans="1:11" ht="14.6" x14ac:dyDescent="0.4">
      <c r="A139" s="84"/>
      <c r="B139" s="84"/>
      <c r="C139" s="84"/>
      <c r="D139" s="84"/>
      <c r="E139" s="84" t="s">
        <v>634</v>
      </c>
      <c r="F139" s="85">
        <v>45114</v>
      </c>
      <c r="G139" s="84" t="s">
        <v>1207</v>
      </c>
      <c r="H139" s="84" t="s">
        <v>667</v>
      </c>
      <c r="I139" s="84" t="s">
        <v>1342</v>
      </c>
      <c r="J139" s="84" t="s">
        <v>659</v>
      </c>
      <c r="K139" s="87">
        <v>34</v>
      </c>
    </row>
    <row r="140" spans="1:11" ht="14.6" x14ac:dyDescent="0.4">
      <c r="A140" s="84"/>
      <c r="B140" s="84"/>
      <c r="C140" s="84"/>
      <c r="D140" s="84"/>
      <c r="E140" s="84" t="s">
        <v>634</v>
      </c>
      <c r="F140" s="85">
        <v>45125</v>
      </c>
      <c r="G140" s="84" t="s">
        <v>1208</v>
      </c>
      <c r="H140" s="84" t="s">
        <v>950</v>
      </c>
      <c r="I140" s="84" t="s">
        <v>1343</v>
      </c>
      <c r="J140" s="84" t="s">
        <v>659</v>
      </c>
      <c r="K140" s="87">
        <v>200</v>
      </c>
    </row>
    <row r="141" spans="1:11" ht="14.6" x14ac:dyDescent="0.4">
      <c r="A141" s="84"/>
      <c r="B141" s="84"/>
      <c r="C141" s="84"/>
      <c r="D141" s="84"/>
      <c r="E141" s="84" t="s">
        <v>634</v>
      </c>
      <c r="F141" s="85">
        <v>45125</v>
      </c>
      <c r="G141" s="84" t="s">
        <v>1208</v>
      </c>
      <c r="H141" s="84" t="s">
        <v>950</v>
      </c>
      <c r="I141" s="84" t="s">
        <v>1292</v>
      </c>
      <c r="J141" s="84" t="s">
        <v>659</v>
      </c>
      <c r="K141" s="87">
        <v>0.35</v>
      </c>
    </row>
    <row r="142" spans="1:11" ht="14.6" x14ac:dyDescent="0.4">
      <c r="A142" s="84"/>
      <c r="B142" s="84"/>
      <c r="C142" s="84"/>
      <c r="D142" s="84"/>
      <c r="E142" s="84" t="s">
        <v>634</v>
      </c>
      <c r="F142" s="85">
        <v>45125</v>
      </c>
      <c r="G142" s="84" t="s">
        <v>1208</v>
      </c>
      <c r="H142" s="84" t="s">
        <v>950</v>
      </c>
      <c r="I142" s="84" t="s">
        <v>1293</v>
      </c>
      <c r="J142" s="84" t="s">
        <v>659</v>
      </c>
      <c r="K142" s="87">
        <v>55</v>
      </c>
    </row>
    <row r="143" spans="1:11" ht="14.6" x14ac:dyDescent="0.4">
      <c r="A143" s="84"/>
      <c r="B143" s="84"/>
      <c r="C143" s="84"/>
      <c r="D143" s="84"/>
      <c r="E143" s="84" t="s">
        <v>634</v>
      </c>
      <c r="F143" s="85">
        <v>45125</v>
      </c>
      <c r="G143" s="84" t="s">
        <v>1208</v>
      </c>
      <c r="H143" s="84" t="s">
        <v>950</v>
      </c>
      <c r="I143" s="84" t="s">
        <v>1294</v>
      </c>
      <c r="J143" s="84" t="s">
        <v>659</v>
      </c>
      <c r="K143" s="87">
        <v>25</v>
      </c>
    </row>
    <row r="144" spans="1:11" ht="14.6" x14ac:dyDescent="0.4">
      <c r="A144" s="84"/>
      <c r="B144" s="84"/>
      <c r="C144" s="84"/>
      <c r="D144" s="84"/>
      <c r="E144" s="84" t="s">
        <v>634</v>
      </c>
      <c r="F144" s="85">
        <v>45125</v>
      </c>
      <c r="G144" s="84" t="s">
        <v>1208</v>
      </c>
      <c r="H144" s="84" t="s">
        <v>950</v>
      </c>
      <c r="I144" s="84" t="s">
        <v>1344</v>
      </c>
      <c r="J144" s="84" t="s">
        <v>659</v>
      </c>
      <c r="K144" s="87">
        <v>0</v>
      </c>
    </row>
    <row r="145" spans="1:11" ht="14.6" x14ac:dyDescent="0.4">
      <c r="A145" s="84"/>
      <c r="B145" s="84"/>
      <c r="C145" s="84"/>
      <c r="D145" s="84"/>
      <c r="E145" s="84" t="s">
        <v>634</v>
      </c>
      <c r="F145" s="85">
        <v>45125</v>
      </c>
      <c r="G145" s="84" t="s">
        <v>1208</v>
      </c>
      <c r="H145" s="84" t="s">
        <v>950</v>
      </c>
      <c r="I145" s="84" t="s">
        <v>1296</v>
      </c>
      <c r="J145" s="84" t="s">
        <v>659</v>
      </c>
      <c r="K145" s="87"/>
    </row>
    <row r="146" spans="1:11" ht="14.6" x14ac:dyDescent="0.4">
      <c r="A146" s="84"/>
      <c r="B146" s="84"/>
      <c r="C146" s="84"/>
      <c r="D146" s="84"/>
      <c r="E146" s="84" t="s">
        <v>634</v>
      </c>
      <c r="F146" s="85">
        <v>45125</v>
      </c>
      <c r="G146" s="84" t="s">
        <v>1208</v>
      </c>
      <c r="H146" s="84" t="s">
        <v>950</v>
      </c>
      <c r="I146" s="84" t="s">
        <v>1345</v>
      </c>
      <c r="J146" s="84" t="s">
        <v>659</v>
      </c>
      <c r="K146" s="87">
        <v>1.26</v>
      </c>
    </row>
    <row r="147" spans="1:11" ht="14.6" x14ac:dyDescent="0.4">
      <c r="A147" s="84"/>
      <c r="B147" s="84"/>
      <c r="C147" s="84"/>
      <c r="D147" s="84"/>
      <c r="E147" s="84" t="s">
        <v>634</v>
      </c>
      <c r="F147" s="85">
        <v>45125</v>
      </c>
      <c r="G147" s="84" t="s">
        <v>1208</v>
      </c>
      <c r="H147" s="84" t="s">
        <v>950</v>
      </c>
      <c r="I147" s="84" t="s">
        <v>1346</v>
      </c>
      <c r="J147" s="84" t="s">
        <v>659</v>
      </c>
      <c r="K147" s="87">
        <v>1.38</v>
      </c>
    </row>
    <row r="148" spans="1:11" ht="14.6" x14ac:dyDescent="0.4">
      <c r="A148" s="84"/>
      <c r="B148" s="84"/>
      <c r="C148" s="84"/>
      <c r="D148" s="84"/>
      <c r="E148" s="84" t="s">
        <v>634</v>
      </c>
      <c r="F148" s="85">
        <v>45125</v>
      </c>
      <c r="G148" s="84" t="s">
        <v>1208</v>
      </c>
      <c r="H148" s="84" t="s">
        <v>950</v>
      </c>
      <c r="I148" s="84" t="s">
        <v>1299</v>
      </c>
      <c r="J148" s="84" t="s">
        <v>659</v>
      </c>
      <c r="K148" s="87"/>
    </row>
    <row r="149" spans="1:11" ht="14.6" x14ac:dyDescent="0.4">
      <c r="A149" s="84"/>
      <c r="B149" s="84"/>
      <c r="C149" s="84"/>
      <c r="D149" s="84"/>
      <c r="E149" s="84" t="s">
        <v>634</v>
      </c>
      <c r="F149" s="85">
        <v>45125</v>
      </c>
      <c r="G149" s="84" t="s">
        <v>1208</v>
      </c>
      <c r="H149" s="84" t="s">
        <v>950</v>
      </c>
      <c r="I149" s="84" t="s">
        <v>1347</v>
      </c>
      <c r="J149" s="84" t="s">
        <v>659</v>
      </c>
      <c r="K149" s="87">
        <v>2.76</v>
      </c>
    </row>
    <row r="150" spans="1:11" ht="14.6" x14ac:dyDescent="0.4">
      <c r="A150" s="84"/>
      <c r="B150" s="84"/>
      <c r="C150" s="84"/>
      <c r="D150" s="84"/>
      <c r="E150" s="84" t="s">
        <v>634</v>
      </c>
      <c r="F150" s="85">
        <v>45125</v>
      </c>
      <c r="G150" s="84" t="s">
        <v>1208</v>
      </c>
      <c r="H150" s="84" t="s">
        <v>950</v>
      </c>
      <c r="I150" s="84" t="s">
        <v>1348</v>
      </c>
      <c r="J150" s="84" t="s">
        <v>659</v>
      </c>
      <c r="K150" s="87">
        <v>0.88</v>
      </c>
    </row>
    <row r="151" spans="1:11" ht="14.6" x14ac:dyDescent="0.4">
      <c r="A151" s="84"/>
      <c r="B151" s="84"/>
      <c r="C151" s="84"/>
      <c r="D151" s="84"/>
      <c r="E151" s="84" t="s">
        <v>634</v>
      </c>
      <c r="F151" s="85">
        <v>45125</v>
      </c>
      <c r="G151" s="84" t="s">
        <v>1208</v>
      </c>
      <c r="H151" s="84" t="s">
        <v>950</v>
      </c>
      <c r="I151" s="84" t="s">
        <v>1349</v>
      </c>
      <c r="J151" s="84" t="s">
        <v>659</v>
      </c>
      <c r="K151" s="87">
        <v>1.05</v>
      </c>
    </row>
    <row r="152" spans="1:11" ht="14.6" x14ac:dyDescent="0.4">
      <c r="A152" s="84"/>
      <c r="B152" s="84"/>
      <c r="C152" s="84"/>
      <c r="D152" s="84"/>
      <c r="E152" s="84" t="s">
        <v>634</v>
      </c>
      <c r="F152" s="85">
        <v>45125</v>
      </c>
      <c r="G152" s="84" t="s">
        <v>1208</v>
      </c>
      <c r="H152" s="84" t="s">
        <v>950</v>
      </c>
      <c r="I152" s="84" t="s">
        <v>1303</v>
      </c>
      <c r="J152" s="84" t="s">
        <v>659</v>
      </c>
      <c r="K152" s="87"/>
    </row>
    <row r="153" spans="1:11" ht="14.6" x14ac:dyDescent="0.4">
      <c r="A153" s="84"/>
      <c r="B153" s="84"/>
      <c r="C153" s="84"/>
      <c r="D153" s="84"/>
      <c r="E153" s="84" t="s">
        <v>688</v>
      </c>
      <c r="F153" s="85">
        <v>45126</v>
      </c>
      <c r="G153" s="84" t="s">
        <v>2439</v>
      </c>
      <c r="H153" s="84" t="s">
        <v>2449</v>
      </c>
      <c r="I153" s="84" t="s">
        <v>2451</v>
      </c>
      <c r="J153" s="84" t="s">
        <v>773</v>
      </c>
      <c r="K153" s="87">
        <v>400.59</v>
      </c>
    </row>
    <row r="154" spans="1:11" ht="14.6" x14ac:dyDescent="0.4">
      <c r="A154" s="84"/>
      <c r="B154" s="84"/>
      <c r="C154" s="84"/>
      <c r="D154" s="84"/>
      <c r="E154" s="84" t="s">
        <v>634</v>
      </c>
      <c r="F154" s="85">
        <v>45138</v>
      </c>
      <c r="G154" s="84" t="s">
        <v>2440</v>
      </c>
      <c r="H154" s="84" t="s">
        <v>950</v>
      </c>
      <c r="I154" s="84" t="s">
        <v>2452</v>
      </c>
      <c r="J154" s="84" t="s">
        <v>659</v>
      </c>
      <c r="K154" s="87">
        <v>13002.08</v>
      </c>
    </row>
    <row r="155" spans="1:11" ht="14.6" x14ac:dyDescent="0.4">
      <c r="A155" s="84"/>
      <c r="B155" s="84"/>
      <c r="C155" s="84"/>
      <c r="D155" s="84"/>
      <c r="E155" s="84" t="s">
        <v>634</v>
      </c>
      <c r="F155" s="85">
        <v>45138</v>
      </c>
      <c r="G155" s="84" t="s">
        <v>2441</v>
      </c>
      <c r="H155" s="84" t="s">
        <v>1246</v>
      </c>
      <c r="I155" s="84" t="s">
        <v>2453</v>
      </c>
      <c r="J155" s="84" t="s">
        <v>659</v>
      </c>
      <c r="K155" s="87">
        <v>100</v>
      </c>
    </row>
    <row r="156" spans="1:11" ht="14.6" x14ac:dyDescent="0.4">
      <c r="A156" s="84"/>
      <c r="B156" s="84"/>
      <c r="C156" s="84"/>
      <c r="D156" s="84"/>
      <c r="E156" s="84" t="s">
        <v>634</v>
      </c>
      <c r="F156" s="85">
        <v>45163</v>
      </c>
      <c r="G156" s="84" t="s">
        <v>2442</v>
      </c>
      <c r="H156" s="84" t="s">
        <v>1246</v>
      </c>
      <c r="I156" s="84" t="s">
        <v>2453</v>
      </c>
      <c r="J156" s="84" t="s">
        <v>659</v>
      </c>
      <c r="K156" s="87">
        <v>50</v>
      </c>
    </row>
    <row r="157" spans="1:11" ht="14.6" x14ac:dyDescent="0.4">
      <c r="A157" s="84"/>
      <c r="B157" s="84"/>
      <c r="C157" s="84"/>
      <c r="D157" s="84"/>
      <c r="E157" s="84" t="s">
        <v>634</v>
      </c>
      <c r="F157" s="85">
        <v>45187</v>
      </c>
      <c r="G157" s="84" t="s">
        <v>2443</v>
      </c>
      <c r="H157" s="84" t="s">
        <v>1246</v>
      </c>
      <c r="I157" s="84" t="s">
        <v>2454</v>
      </c>
      <c r="J157" s="84" t="s">
        <v>659</v>
      </c>
      <c r="K157" s="87">
        <v>56.49</v>
      </c>
    </row>
    <row r="158" spans="1:11" ht="14.6" x14ac:dyDescent="0.4">
      <c r="A158" s="84"/>
      <c r="B158" s="84"/>
      <c r="C158" s="84"/>
      <c r="D158" s="84"/>
      <c r="E158" s="84" t="s">
        <v>634</v>
      </c>
      <c r="F158" s="85">
        <v>45197</v>
      </c>
      <c r="G158" s="84" t="s">
        <v>2444</v>
      </c>
      <c r="H158" s="84" t="s">
        <v>1246</v>
      </c>
      <c r="I158" s="84" t="s">
        <v>2455</v>
      </c>
      <c r="J158" s="84" t="s">
        <v>659</v>
      </c>
      <c r="K158" s="87">
        <v>65.59</v>
      </c>
    </row>
    <row r="159" spans="1:11" ht="14.6" x14ac:dyDescent="0.4">
      <c r="A159" s="84"/>
      <c r="B159" s="84"/>
      <c r="C159" s="84"/>
      <c r="D159" s="84"/>
      <c r="E159" s="84" t="s">
        <v>705</v>
      </c>
      <c r="F159" s="85">
        <v>45222</v>
      </c>
      <c r="G159" s="84"/>
      <c r="H159" s="84" t="s">
        <v>2450</v>
      </c>
      <c r="I159" s="84" t="s">
        <v>3511</v>
      </c>
      <c r="J159" s="84" t="s">
        <v>773</v>
      </c>
      <c r="K159" s="87">
        <v>-400.59</v>
      </c>
    </row>
    <row r="160" spans="1:11" ht="14.6" x14ac:dyDescent="0.4">
      <c r="A160" s="84"/>
      <c r="B160" s="84"/>
      <c r="C160" s="84"/>
      <c r="D160" s="84"/>
      <c r="E160" s="84" t="s">
        <v>634</v>
      </c>
      <c r="F160" s="85">
        <v>45225</v>
      </c>
      <c r="G160" s="84" t="s">
        <v>2445</v>
      </c>
      <c r="H160" s="84" t="s">
        <v>1245</v>
      </c>
      <c r="I160" s="84" t="s">
        <v>2456</v>
      </c>
      <c r="J160" s="84" t="s">
        <v>659</v>
      </c>
      <c r="K160" s="87">
        <v>967.4</v>
      </c>
    </row>
    <row r="161" spans="1:11" ht="14.6" x14ac:dyDescent="0.4">
      <c r="A161" s="84"/>
      <c r="B161" s="84"/>
      <c r="C161" s="84"/>
      <c r="D161" s="84"/>
      <c r="E161" s="84" t="s">
        <v>634</v>
      </c>
      <c r="F161" s="85">
        <v>45230</v>
      </c>
      <c r="G161" s="84" t="s">
        <v>2446</v>
      </c>
      <c r="H161" s="84" t="s">
        <v>1246</v>
      </c>
      <c r="I161" s="84" t="s">
        <v>2457</v>
      </c>
      <c r="J161" s="84" t="s">
        <v>659</v>
      </c>
      <c r="K161" s="87">
        <v>54.99</v>
      </c>
    </row>
    <row r="162" spans="1:11" ht="14.6" x14ac:dyDescent="0.4">
      <c r="A162" s="84"/>
      <c r="B162" s="84"/>
      <c r="C162" s="84"/>
      <c r="D162" s="84"/>
      <c r="E162" s="84" t="s">
        <v>634</v>
      </c>
      <c r="F162" s="85">
        <v>45236</v>
      </c>
      <c r="G162" s="84" t="s">
        <v>2433</v>
      </c>
      <c r="H162" s="84" t="s">
        <v>950</v>
      </c>
      <c r="I162" s="84" t="s">
        <v>2458</v>
      </c>
      <c r="J162" s="84" t="s">
        <v>659</v>
      </c>
      <c r="K162" s="87">
        <v>1460.21</v>
      </c>
    </row>
    <row r="163" spans="1:11" ht="14.6" x14ac:dyDescent="0.4">
      <c r="A163" s="84"/>
      <c r="B163" s="84"/>
      <c r="C163" s="84"/>
      <c r="D163" s="84"/>
      <c r="E163" s="84" t="s">
        <v>634</v>
      </c>
      <c r="F163" s="85">
        <v>45260</v>
      </c>
      <c r="G163" s="84" t="s">
        <v>2447</v>
      </c>
      <c r="H163" s="84" t="s">
        <v>1246</v>
      </c>
      <c r="I163" s="84" t="s">
        <v>2459</v>
      </c>
      <c r="J163" s="84" t="s">
        <v>659</v>
      </c>
      <c r="K163" s="87">
        <v>274.76</v>
      </c>
    </row>
    <row r="164" spans="1:11" ht="14.6" x14ac:dyDescent="0.4">
      <c r="A164" s="84"/>
      <c r="B164" s="84"/>
      <c r="C164" s="84"/>
      <c r="D164" s="84"/>
      <c r="E164" s="84" t="s">
        <v>634</v>
      </c>
      <c r="F164" s="85">
        <v>45275</v>
      </c>
      <c r="G164" s="84" t="s">
        <v>2448</v>
      </c>
      <c r="H164" s="84" t="s">
        <v>648</v>
      </c>
      <c r="I164" s="84" t="s">
        <v>2460</v>
      </c>
      <c r="J164" s="84" t="s">
        <v>659</v>
      </c>
      <c r="K164" s="87">
        <v>753</v>
      </c>
    </row>
    <row r="165" spans="1:11" thickBot="1" x14ac:dyDescent="0.45">
      <c r="A165" s="84"/>
      <c r="B165" s="84"/>
      <c r="C165" s="84"/>
      <c r="D165" s="84"/>
      <c r="E165" s="84" t="s">
        <v>634</v>
      </c>
      <c r="F165" s="85">
        <v>45291</v>
      </c>
      <c r="G165" s="84" t="s">
        <v>3510</v>
      </c>
      <c r="H165" s="84" t="s">
        <v>1246</v>
      </c>
      <c r="I165" s="84" t="s">
        <v>3512</v>
      </c>
      <c r="J165" s="84" t="s">
        <v>659</v>
      </c>
      <c r="K165" s="413">
        <v>89.31</v>
      </c>
    </row>
    <row r="166" spans="1:11" thickBot="1" x14ac:dyDescent="0.45">
      <c r="A166" s="84"/>
      <c r="B166" s="84"/>
      <c r="C166" s="84" t="s">
        <v>673</v>
      </c>
      <c r="D166" s="84"/>
      <c r="E166" s="84"/>
      <c r="F166" s="85"/>
      <c r="G166" s="84"/>
      <c r="H166" s="84"/>
      <c r="I166" s="84"/>
      <c r="J166" s="84"/>
      <c r="K166" s="414">
        <f>ROUND(SUM(K3:K165),5)</f>
        <v>82569.240000000005</v>
      </c>
    </row>
    <row r="167" spans="1:11" thickBot="1" x14ac:dyDescent="0.45">
      <c r="A167" s="84"/>
      <c r="B167" s="84" t="s">
        <v>633</v>
      </c>
      <c r="C167" s="84"/>
      <c r="D167" s="84"/>
      <c r="E167" s="84"/>
      <c r="F167" s="85"/>
      <c r="G167" s="84"/>
      <c r="H167" s="84"/>
      <c r="I167" s="84"/>
      <c r="J167" s="84"/>
      <c r="K167" s="414">
        <f>K166</f>
        <v>82569.240000000005</v>
      </c>
    </row>
    <row r="168" spans="1:11" thickBot="1" x14ac:dyDescent="0.45">
      <c r="A168" s="84" t="s">
        <v>158</v>
      </c>
      <c r="B168" s="84"/>
      <c r="C168" s="84"/>
      <c r="D168" s="84"/>
      <c r="E168" s="84"/>
      <c r="F168" s="85"/>
      <c r="G168" s="84"/>
      <c r="H168" s="84"/>
      <c r="I168" s="84"/>
      <c r="J168" s="84"/>
      <c r="K168" s="415">
        <f>K167</f>
        <v>82569.240000000005</v>
      </c>
    </row>
    <row r="169" spans="1:11" ht="15" customHeight="1" thickTop="1" x14ac:dyDescent="0.4"/>
  </sheetData>
  <pageMargins left="0.7" right="0.7" top="0.75" bottom="0.75" header="0.1" footer="0"/>
  <pageSetup orientation="landscape" r:id="rId1"/>
  <headerFooter>
    <oddHeader>&amp;L&amp;"Arial,Bold"&amp;8 9:23 AM
&amp;"Arial,Bold"&amp;8 03/08/24
&amp;"Arial,Bold"&amp;8 Accrual Basis&amp;C&amp;"Arial,Bold"&amp;12 Williamson Central Appraisal District
&amp;"Arial,Bold"&amp;14 Account QuickReport
&amp;"Arial,Bold"&amp;10 January through December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7527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07527" r:id="rId4" name="HEADER"/>
      </mc:Fallback>
    </mc:AlternateContent>
    <mc:AlternateContent xmlns:mc="http://schemas.openxmlformats.org/markup-compatibility/2006">
      <mc:Choice Requires="x14">
        <control shapeId="107526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07526" r:id="rId6" name="FILTER"/>
      </mc:Fallback>
    </mc:AlternateContent>
  </control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K17"/>
  <sheetViews>
    <sheetView workbookViewId="0">
      <pane xSplit="3" ySplit="1" topLeftCell="D2" activePane="bottomRight" state="frozenSplit"/>
      <selection pane="topRight" activeCell="D1" sqref="D1"/>
      <selection pane="bottomLeft" activeCell="A2" sqref="A2"/>
      <selection pane="bottomRight"/>
    </sheetView>
  </sheetViews>
  <sheetFormatPr defaultColWidth="14.3828125" defaultRowHeight="15" customHeight="1" x14ac:dyDescent="0.4"/>
  <cols>
    <col min="1" max="2" width="3" customWidth="1"/>
    <col min="3" max="3" width="28" customWidth="1"/>
    <col min="4" max="4" width="2.3046875" customWidth="1"/>
    <col min="5" max="5" width="5.3046875" bestFit="1" customWidth="1"/>
    <col min="6" max="6" width="10.69140625" bestFit="1" customWidth="1"/>
    <col min="7" max="7" width="6" bestFit="1" customWidth="1"/>
    <col min="8" max="8" width="30.69140625" customWidth="1"/>
    <col min="9" max="9" width="24.53515625" bestFit="1" customWidth="1"/>
    <col min="10" max="10" width="22.3046875" bestFit="1" customWidth="1"/>
    <col min="11" max="11" width="8.15234375" bestFit="1" customWidth="1"/>
  </cols>
  <sheetData>
    <row r="1" spans="1:11" s="412" customFormat="1" thickBot="1" x14ac:dyDescent="0.45">
      <c r="A1" s="416"/>
      <c r="B1" s="416"/>
      <c r="C1" s="416"/>
      <c r="D1" s="416"/>
      <c r="E1" s="417" t="s">
        <v>623</v>
      </c>
      <c r="F1" s="417" t="s">
        <v>624</v>
      </c>
      <c r="G1" s="417" t="s">
        <v>625</v>
      </c>
      <c r="H1" s="417" t="s">
        <v>626</v>
      </c>
      <c r="I1" s="417" t="s">
        <v>627</v>
      </c>
      <c r="J1" s="417" t="s">
        <v>628</v>
      </c>
      <c r="K1" s="417" t="s">
        <v>629</v>
      </c>
    </row>
    <row r="2" spans="1:11" thickTop="1" x14ac:dyDescent="0.4">
      <c r="A2" s="84"/>
      <c r="B2" s="84" t="s">
        <v>630</v>
      </c>
      <c r="C2" s="84"/>
      <c r="D2" s="84"/>
      <c r="E2" s="84"/>
      <c r="F2" s="85"/>
      <c r="G2" s="84"/>
      <c r="H2" s="84"/>
      <c r="I2" s="84"/>
      <c r="J2" s="84"/>
      <c r="K2" s="87"/>
    </row>
    <row r="3" spans="1:11" ht="14.6" x14ac:dyDescent="0.4">
      <c r="A3" s="84"/>
      <c r="B3" s="84"/>
      <c r="C3" s="84" t="s">
        <v>953</v>
      </c>
      <c r="D3" s="84"/>
      <c r="E3" s="84"/>
      <c r="F3" s="85"/>
      <c r="G3" s="84"/>
      <c r="H3" s="84"/>
      <c r="I3" s="84"/>
      <c r="J3" s="84"/>
      <c r="K3" s="87"/>
    </row>
    <row r="4" spans="1:11" ht="14.6" x14ac:dyDescent="0.4">
      <c r="A4" s="84"/>
      <c r="B4" s="84"/>
      <c r="C4" s="84"/>
      <c r="D4" s="84"/>
      <c r="E4" s="84" t="s">
        <v>634</v>
      </c>
      <c r="F4" s="85">
        <v>44956</v>
      </c>
      <c r="G4" s="84" t="s">
        <v>955</v>
      </c>
      <c r="H4" s="84" t="s">
        <v>817</v>
      </c>
      <c r="I4" s="84" t="s">
        <v>956</v>
      </c>
      <c r="J4" s="84" t="s">
        <v>659</v>
      </c>
      <c r="K4" s="87">
        <v>711.68</v>
      </c>
    </row>
    <row r="5" spans="1:11" ht="14.6" x14ac:dyDescent="0.4">
      <c r="A5" s="84"/>
      <c r="B5" s="84"/>
      <c r="C5" s="84"/>
      <c r="D5" s="84"/>
      <c r="E5" s="84" t="s">
        <v>634</v>
      </c>
      <c r="F5" s="85">
        <v>44985</v>
      </c>
      <c r="G5" s="84" t="s">
        <v>1355</v>
      </c>
      <c r="H5" s="84" t="s">
        <v>817</v>
      </c>
      <c r="I5" s="84" t="s">
        <v>956</v>
      </c>
      <c r="J5" s="84" t="s">
        <v>659</v>
      </c>
      <c r="K5" s="87">
        <v>188.74</v>
      </c>
    </row>
    <row r="6" spans="1:11" ht="14.6" x14ac:dyDescent="0.4">
      <c r="A6" s="84"/>
      <c r="B6" s="84"/>
      <c r="C6" s="84"/>
      <c r="D6" s="84"/>
      <c r="E6" s="84" t="s">
        <v>634</v>
      </c>
      <c r="F6" s="85">
        <v>45016</v>
      </c>
      <c r="G6" s="84" t="s">
        <v>1356</v>
      </c>
      <c r="H6" s="84" t="s">
        <v>817</v>
      </c>
      <c r="I6" s="84" t="s">
        <v>956</v>
      </c>
      <c r="J6" s="84" t="s">
        <v>659</v>
      </c>
      <c r="K6" s="87">
        <v>1317.23</v>
      </c>
    </row>
    <row r="7" spans="1:11" ht="14.6" x14ac:dyDescent="0.4">
      <c r="A7" s="84"/>
      <c r="B7" s="84"/>
      <c r="C7" s="84"/>
      <c r="D7" s="84"/>
      <c r="E7" s="84" t="s">
        <v>634</v>
      </c>
      <c r="F7" s="85">
        <v>45044</v>
      </c>
      <c r="G7" s="84" t="s">
        <v>1357</v>
      </c>
      <c r="H7" s="84" t="s">
        <v>817</v>
      </c>
      <c r="I7" s="84" t="s">
        <v>956</v>
      </c>
      <c r="J7" s="84" t="s">
        <v>659</v>
      </c>
      <c r="K7" s="87">
        <v>579.99</v>
      </c>
    </row>
    <row r="8" spans="1:11" ht="14.6" x14ac:dyDescent="0.4">
      <c r="A8" s="84"/>
      <c r="B8" s="84"/>
      <c r="C8" s="84"/>
      <c r="D8" s="84"/>
      <c r="E8" s="84" t="s">
        <v>634</v>
      </c>
      <c r="F8" s="85">
        <v>45077</v>
      </c>
      <c r="G8" s="84" t="s">
        <v>1358</v>
      </c>
      <c r="H8" s="84" t="s">
        <v>817</v>
      </c>
      <c r="I8" s="84" t="s">
        <v>956</v>
      </c>
      <c r="J8" s="84" t="s">
        <v>659</v>
      </c>
      <c r="K8" s="87">
        <v>664.62</v>
      </c>
    </row>
    <row r="9" spans="1:11" ht="14.6" x14ac:dyDescent="0.4">
      <c r="A9" s="84"/>
      <c r="B9" s="84"/>
      <c r="C9" s="84"/>
      <c r="D9" s="84"/>
      <c r="E9" s="84" t="s">
        <v>634</v>
      </c>
      <c r="F9" s="85">
        <v>45107</v>
      </c>
      <c r="G9" s="84" t="s">
        <v>1359</v>
      </c>
      <c r="H9" s="84" t="s">
        <v>817</v>
      </c>
      <c r="I9" s="84" t="s">
        <v>956</v>
      </c>
      <c r="J9" s="84" t="s">
        <v>659</v>
      </c>
      <c r="K9" s="87">
        <v>623.96</v>
      </c>
    </row>
    <row r="10" spans="1:11" ht="14.6" x14ac:dyDescent="0.4">
      <c r="A10" s="84"/>
      <c r="B10" s="84"/>
      <c r="C10" s="84"/>
      <c r="D10" s="84"/>
      <c r="E10" s="84" t="s">
        <v>634</v>
      </c>
      <c r="F10" s="85">
        <v>45169</v>
      </c>
      <c r="G10" s="84" t="s">
        <v>2461</v>
      </c>
      <c r="H10" s="84" t="s">
        <v>817</v>
      </c>
      <c r="I10" s="84" t="s">
        <v>956</v>
      </c>
      <c r="J10" s="84" t="s">
        <v>659</v>
      </c>
      <c r="K10" s="87">
        <v>775.66</v>
      </c>
    </row>
    <row r="11" spans="1:11" ht="14.6" x14ac:dyDescent="0.4">
      <c r="A11" s="84"/>
      <c r="B11" s="84"/>
      <c r="C11" s="84"/>
      <c r="D11" s="84"/>
      <c r="E11" s="84" t="s">
        <v>634</v>
      </c>
      <c r="F11" s="85">
        <v>45198</v>
      </c>
      <c r="G11" s="84" t="s">
        <v>2462</v>
      </c>
      <c r="H11" s="84" t="s">
        <v>817</v>
      </c>
      <c r="I11" s="84" t="s">
        <v>956</v>
      </c>
      <c r="J11" s="84" t="s">
        <v>659</v>
      </c>
      <c r="K11" s="87">
        <v>1182.4000000000001</v>
      </c>
    </row>
    <row r="12" spans="1:11" ht="14.6" x14ac:dyDescent="0.4">
      <c r="A12" s="84"/>
      <c r="B12" s="84"/>
      <c r="C12" s="84"/>
      <c r="D12" s="84"/>
      <c r="E12" s="84" t="s">
        <v>634</v>
      </c>
      <c r="F12" s="85">
        <v>45230</v>
      </c>
      <c r="G12" s="84" t="s">
        <v>2463</v>
      </c>
      <c r="H12" s="84" t="s">
        <v>817</v>
      </c>
      <c r="I12" s="84" t="s">
        <v>956</v>
      </c>
      <c r="J12" s="84" t="s">
        <v>659</v>
      </c>
      <c r="K12" s="87">
        <v>470.88</v>
      </c>
    </row>
    <row r="13" spans="1:11" thickBot="1" x14ac:dyDescent="0.45">
      <c r="A13" s="84"/>
      <c r="B13" s="84"/>
      <c r="C13" s="84"/>
      <c r="D13" s="84"/>
      <c r="E13" s="84" t="s">
        <v>634</v>
      </c>
      <c r="F13" s="85">
        <v>45260</v>
      </c>
      <c r="G13" s="84" t="s">
        <v>2464</v>
      </c>
      <c r="H13" s="84" t="s">
        <v>817</v>
      </c>
      <c r="I13" s="84" t="s">
        <v>956</v>
      </c>
      <c r="J13" s="84" t="s">
        <v>659</v>
      </c>
      <c r="K13" s="413">
        <v>692.64</v>
      </c>
    </row>
    <row r="14" spans="1:11" ht="15" customHeight="1" thickBot="1" x14ac:dyDescent="0.45">
      <c r="A14" s="84"/>
      <c r="B14" s="84"/>
      <c r="C14" s="84" t="s">
        <v>954</v>
      </c>
      <c r="D14" s="84"/>
      <c r="E14" s="84"/>
      <c r="F14" s="85"/>
      <c r="G14" s="84"/>
      <c r="H14" s="84"/>
      <c r="I14" s="84"/>
      <c r="J14" s="84"/>
      <c r="K14" s="414">
        <f>ROUND(SUM(K3:K13),5)</f>
        <v>7207.8</v>
      </c>
    </row>
    <row r="15" spans="1:11" ht="15" customHeight="1" thickBot="1" x14ac:dyDescent="0.45">
      <c r="A15" s="84"/>
      <c r="B15" s="84" t="s">
        <v>633</v>
      </c>
      <c r="C15" s="84"/>
      <c r="D15" s="84"/>
      <c r="E15" s="84"/>
      <c r="F15" s="85"/>
      <c r="G15" s="84"/>
      <c r="H15" s="84"/>
      <c r="I15" s="84"/>
      <c r="J15" s="84"/>
      <c r="K15" s="414">
        <f>K14</f>
        <v>7207.8</v>
      </c>
    </row>
    <row r="16" spans="1:11" ht="15" customHeight="1" thickBot="1" x14ac:dyDescent="0.45">
      <c r="A16" s="84" t="s">
        <v>158</v>
      </c>
      <c r="B16" s="84"/>
      <c r="C16" s="84"/>
      <c r="D16" s="84"/>
      <c r="E16" s="84"/>
      <c r="F16" s="85"/>
      <c r="G16" s="84"/>
      <c r="H16" s="84"/>
      <c r="I16" s="84"/>
      <c r="J16" s="84"/>
      <c r="K16" s="415">
        <f>K15</f>
        <v>7207.8</v>
      </c>
    </row>
    <row r="17" ht="15" customHeight="1" thickTop="1" x14ac:dyDescent="0.4"/>
  </sheetData>
  <pageMargins left="0.7" right="0.7" top="0.75" bottom="0.75" header="0.1" footer="0"/>
  <pageSetup orientation="landscape" r:id="rId1"/>
  <headerFooter>
    <oddHeader>&amp;L&amp;"Arial,Bold"&amp;8 3:11 PM
&amp;"Arial,Bold"&amp;8 01/24/24
&amp;"Arial,Bold"&amp;8 Accrual Basis&amp;C&amp;"Arial,Bold"&amp;12 Williamson Central Appraisal District
&amp;"Arial,Bold"&amp;14 Account QuickReport
&amp;"Arial,Bold"&amp;10 January through December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39268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39268" r:id="rId4" name="HEADER"/>
      </mc:Fallback>
    </mc:AlternateContent>
    <mc:AlternateContent xmlns:mc="http://schemas.openxmlformats.org/markup-compatibility/2006">
      <mc:Choice Requires="x14">
        <control shapeId="139267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39267" r:id="rId6" name="FILTER"/>
      </mc:Fallback>
    </mc:AlternateContent>
  </control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4"/>
  <dimension ref="A1:M84"/>
  <sheetViews>
    <sheetView workbookViewId="0">
      <pane xSplit="3" ySplit="1" topLeftCell="D55" activePane="bottomRight" state="frozenSplit"/>
      <selection pane="topRight" activeCell="D1" sqref="D1"/>
      <selection pane="bottomLeft" activeCell="A2" sqref="A2"/>
      <selection pane="bottomRight" activeCell="M82" sqref="M82"/>
    </sheetView>
  </sheetViews>
  <sheetFormatPr defaultColWidth="14.3828125" defaultRowHeight="15" customHeight="1" x14ac:dyDescent="0.4"/>
  <cols>
    <col min="1" max="2" width="3" customWidth="1"/>
    <col min="3" max="3" width="37.53515625" customWidth="1"/>
    <col min="4" max="4" width="2.3046875" customWidth="1"/>
    <col min="5" max="5" width="17.69140625" bestFit="1" customWidth="1"/>
    <col min="6" max="6" width="10.69140625" bestFit="1" customWidth="1"/>
    <col min="7" max="7" width="18.3046875" bestFit="1" customWidth="1"/>
    <col min="8" max="8" width="26.15234375" bestFit="1" customWidth="1"/>
    <col min="9" max="10" width="30.69140625" customWidth="1"/>
    <col min="11" max="11" width="10.15234375" bestFit="1" customWidth="1"/>
  </cols>
  <sheetData>
    <row r="1" spans="1:11" s="412" customFormat="1" thickBot="1" x14ac:dyDescent="0.45">
      <c r="A1" s="416"/>
      <c r="B1" s="416"/>
      <c r="C1" s="416"/>
      <c r="D1" s="416"/>
      <c r="E1" s="417" t="s">
        <v>623</v>
      </c>
      <c r="F1" s="417" t="s">
        <v>624</v>
      </c>
      <c r="G1" s="417" t="s">
        <v>625</v>
      </c>
      <c r="H1" s="417" t="s">
        <v>626</v>
      </c>
      <c r="I1" s="417" t="s">
        <v>627</v>
      </c>
      <c r="J1" s="417" t="s">
        <v>628</v>
      </c>
      <c r="K1" s="417" t="s">
        <v>629</v>
      </c>
    </row>
    <row r="2" spans="1:11" thickTop="1" x14ac:dyDescent="0.4">
      <c r="A2" s="84"/>
      <c r="B2" s="84" t="s">
        <v>630</v>
      </c>
      <c r="C2" s="84"/>
      <c r="D2" s="84"/>
      <c r="E2" s="84"/>
      <c r="F2" s="85"/>
      <c r="G2" s="84"/>
      <c r="H2" s="84"/>
      <c r="I2" s="84"/>
      <c r="J2" s="84"/>
      <c r="K2" s="87"/>
    </row>
    <row r="3" spans="1:11" ht="14.6" x14ac:dyDescent="0.4">
      <c r="A3" s="84"/>
      <c r="B3" s="84"/>
      <c r="C3" s="84" t="s">
        <v>686</v>
      </c>
      <c r="D3" s="84"/>
      <c r="E3" s="84"/>
      <c r="F3" s="85"/>
      <c r="G3" s="84"/>
      <c r="H3" s="84"/>
      <c r="I3" s="84"/>
      <c r="J3" s="84"/>
      <c r="K3" s="87"/>
    </row>
    <row r="4" spans="1:11" ht="14.6" x14ac:dyDescent="0.4">
      <c r="A4" s="84"/>
      <c r="B4" s="84"/>
      <c r="C4" s="84"/>
      <c r="D4" s="84"/>
      <c r="E4" s="84" t="s">
        <v>688</v>
      </c>
      <c r="F4" s="85">
        <v>44939</v>
      </c>
      <c r="G4" s="84" t="s">
        <v>689</v>
      </c>
      <c r="H4" s="84" t="s">
        <v>691</v>
      </c>
      <c r="I4" s="84" t="s">
        <v>692</v>
      </c>
      <c r="J4" s="84" t="s">
        <v>693</v>
      </c>
      <c r="K4" s="87">
        <v>-50</v>
      </c>
    </row>
    <row r="5" spans="1:11" ht="14.6" x14ac:dyDescent="0.4">
      <c r="A5" s="84"/>
      <c r="B5" s="84"/>
      <c r="C5" s="84"/>
      <c r="D5" s="84"/>
      <c r="E5" s="84" t="s">
        <v>704</v>
      </c>
      <c r="F5" s="85">
        <v>44946</v>
      </c>
      <c r="G5" s="84" t="s">
        <v>957</v>
      </c>
      <c r="H5" s="84" t="s">
        <v>960</v>
      </c>
      <c r="I5" s="84" t="s">
        <v>962</v>
      </c>
      <c r="J5" s="84" t="s">
        <v>771</v>
      </c>
      <c r="K5" s="87">
        <v>299.99</v>
      </c>
    </row>
    <row r="6" spans="1:11" ht="14.6" x14ac:dyDescent="0.4">
      <c r="A6" s="84"/>
      <c r="B6" s="84"/>
      <c r="C6" s="84"/>
      <c r="D6" s="84"/>
      <c r="E6" s="84" t="s">
        <v>688</v>
      </c>
      <c r="F6" s="85">
        <v>44953</v>
      </c>
      <c r="G6" s="84" t="s">
        <v>690</v>
      </c>
      <c r="H6" s="84" t="s">
        <v>691</v>
      </c>
      <c r="I6" s="84" t="s">
        <v>692</v>
      </c>
      <c r="J6" s="84" t="s">
        <v>693</v>
      </c>
      <c r="K6" s="87">
        <v>-50</v>
      </c>
    </row>
    <row r="7" spans="1:11" ht="14.6" x14ac:dyDescent="0.4">
      <c r="A7" s="84"/>
      <c r="B7" s="84"/>
      <c r="C7" s="84"/>
      <c r="D7" s="84"/>
      <c r="E7" s="84" t="s">
        <v>704</v>
      </c>
      <c r="F7" s="85">
        <v>44956</v>
      </c>
      <c r="G7" s="84" t="s">
        <v>1360</v>
      </c>
      <c r="H7" s="84" t="s">
        <v>1386</v>
      </c>
      <c r="I7" s="84" t="s">
        <v>1388</v>
      </c>
      <c r="J7" s="84" t="s">
        <v>771</v>
      </c>
      <c r="K7" s="87">
        <v>675</v>
      </c>
    </row>
    <row r="8" spans="1:11" ht="14.6" x14ac:dyDescent="0.4">
      <c r="A8" s="84"/>
      <c r="B8" s="84"/>
      <c r="C8" s="84"/>
      <c r="D8" s="84"/>
      <c r="E8" s="84" t="s">
        <v>634</v>
      </c>
      <c r="F8" s="85">
        <v>44963</v>
      </c>
      <c r="G8" s="84" t="s">
        <v>958</v>
      </c>
      <c r="H8" s="84" t="s">
        <v>647</v>
      </c>
      <c r="I8" s="84" t="s">
        <v>963</v>
      </c>
      <c r="J8" s="84" t="s">
        <v>659</v>
      </c>
      <c r="K8" s="87">
        <v>13.99</v>
      </c>
    </row>
    <row r="9" spans="1:11" ht="14.6" x14ac:dyDescent="0.4">
      <c r="A9" s="84"/>
      <c r="B9" s="84"/>
      <c r="C9" s="84"/>
      <c r="D9" s="84"/>
      <c r="E9" s="84" t="s">
        <v>634</v>
      </c>
      <c r="F9" s="85">
        <v>44963</v>
      </c>
      <c r="G9" s="84"/>
      <c r="H9" s="84" t="s">
        <v>961</v>
      </c>
      <c r="I9" s="84" t="s">
        <v>964</v>
      </c>
      <c r="J9" s="84" t="s">
        <v>659</v>
      </c>
      <c r="K9" s="87">
        <v>43.51</v>
      </c>
    </row>
    <row r="10" spans="1:11" ht="14.6" x14ac:dyDescent="0.4">
      <c r="A10" s="84"/>
      <c r="B10" s="84"/>
      <c r="C10" s="84"/>
      <c r="D10" s="84"/>
      <c r="E10" s="84" t="s">
        <v>634</v>
      </c>
      <c r="F10" s="85">
        <v>44963</v>
      </c>
      <c r="G10" s="84"/>
      <c r="H10" s="84" t="s">
        <v>961</v>
      </c>
      <c r="I10" s="84" t="s">
        <v>1389</v>
      </c>
      <c r="J10" s="84" t="s">
        <v>659</v>
      </c>
      <c r="K10" s="87">
        <v>3179.08</v>
      </c>
    </row>
    <row r="11" spans="1:11" ht="14.6" x14ac:dyDescent="0.4">
      <c r="A11" s="84"/>
      <c r="B11" s="84"/>
      <c r="C11" s="84"/>
      <c r="D11" s="84"/>
      <c r="E11" s="84" t="s">
        <v>634</v>
      </c>
      <c r="F11" s="85">
        <v>44963</v>
      </c>
      <c r="G11" s="84"/>
      <c r="H11" s="84" t="s">
        <v>961</v>
      </c>
      <c r="I11" s="84" t="s">
        <v>967</v>
      </c>
      <c r="J11" s="84" t="s">
        <v>659</v>
      </c>
      <c r="K11" s="87">
        <v>1501.24</v>
      </c>
    </row>
    <row r="12" spans="1:11" ht="14.6" x14ac:dyDescent="0.4">
      <c r="A12" s="84"/>
      <c r="B12" s="84"/>
      <c r="C12" s="84"/>
      <c r="D12" s="84"/>
      <c r="E12" s="84" t="s">
        <v>634</v>
      </c>
      <c r="F12" s="85">
        <v>44963</v>
      </c>
      <c r="G12" s="84"/>
      <c r="H12" s="84" t="s">
        <v>961</v>
      </c>
      <c r="I12" s="84" t="s">
        <v>965</v>
      </c>
      <c r="J12" s="84" t="s">
        <v>659</v>
      </c>
      <c r="K12" s="87">
        <v>-10.76</v>
      </c>
    </row>
    <row r="13" spans="1:11" ht="14.6" x14ac:dyDescent="0.4">
      <c r="A13" s="84"/>
      <c r="B13" s="84"/>
      <c r="C13" s="84"/>
      <c r="D13" s="84"/>
      <c r="E13" s="84" t="s">
        <v>634</v>
      </c>
      <c r="F13" s="85">
        <v>44965</v>
      </c>
      <c r="G13" s="84" t="s">
        <v>959</v>
      </c>
      <c r="H13" s="84" t="s">
        <v>647</v>
      </c>
      <c r="I13" s="84" t="s">
        <v>966</v>
      </c>
      <c r="J13" s="84" t="s">
        <v>659</v>
      </c>
      <c r="K13" s="87">
        <v>23.99</v>
      </c>
    </row>
    <row r="14" spans="1:11" ht="14.6" x14ac:dyDescent="0.4">
      <c r="A14" s="84"/>
      <c r="B14" s="84"/>
      <c r="C14" s="84"/>
      <c r="D14" s="84"/>
      <c r="E14" s="84" t="s">
        <v>688</v>
      </c>
      <c r="F14" s="85">
        <v>44967</v>
      </c>
      <c r="G14" s="84" t="s">
        <v>1361</v>
      </c>
      <c r="H14" s="84" t="s">
        <v>691</v>
      </c>
      <c r="I14" s="84" t="s">
        <v>692</v>
      </c>
      <c r="J14" s="84" t="s">
        <v>693</v>
      </c>
      <c r="K14" s="87">
        <v>-50</v>
      </c>
    </row>
    <row r="15" spans="1:11" ht="14.6" x14ac:dyDescent="0.4">
      <c r="A15" s="84"/>
      <c r="B15" s="84"/>
      <c r="C15" s="84"/>
      <c r="D15" s="84"/>
      <c r="E15" s="84" t="s">
        <v>704</v>
      </c>
      <c r="F15" s="85">
        <v>44974</v>
      </c>
      <c r="G15" s="84" t="s">
        <v>1191</v>
      </c>
      <c r="H15" s="84" t="s">
        <v>1210</v>
      </c>
      <c r="I15" s="84" t="s">
        <v>1390</v>
      </c>
      <c r="J15" s="84" t="s">
        <v>771</v>
      </c>
      <c r="K15" s="87">
        <v>120</v>
      </c>
    </row>
    <row r="16" spans="1:11" ht="14.6" x14ac:dyDescent="0.4">
      <c r="A16" s="84"/>
      <c r="B16" s="84"/>
      <c r="C16" s="84"/>
      <c r="D16" s="84"/>
      <c r="E16" s="84" t="s">
        <v>704</v>
      </c>
      <c r="F16" s="85">
        <v>44974</v>
      </c>
      <c r="G16" s="84" t="s">
        <v>1191</v>
      </c>
      <c r="H16" s="84" t="s">
        <v>1210</v>
      </c>
      <c r="I16" s="84" t="s">
        <v>1391</v>
      </c>
      <c r="J16" s="84" t="s">
        <v>771</v>
      </c>
      <c r="K16" s="87">
        <v>195</v>
      </c>
    </row>
    <row r="17" spans="1:11" ht="14.6" x14ac:dyDescent="0.4">
      <c r="A17" s="84"/>
      <c r="B17" s="84"/>
      <c r="C17" s="84"/>
      <c r="D17" s="84"/>
      <c r="E17" s="84" t="s">
        <v>634</v>
      </c>
      <c r="F17" s="85">
        <v>44979</v>
      </c>
      <c r="G17" s="84" t="s">
        <v>1362</v>
      </c>
      <c r="H17" s="84" t="s">
        <v>961</v>
      </c>
      <c r="I17" s="84" t="s">
        <v>1392</v>
      </c>
      <c r="J17" s="84" t="s">
        <v>659</v>
      </c>
      <c r="K17" s="87">
        <v>299.99</v>
      </c>
    </row>
    <row r="18" spans="1:11" ht="14.6" x14ac:dyDescent="0.4">
      <c r="A18" s="84"/>
      <c r="B18" s="84"/>
      <c r="C18" s="84"/>
      <c r="D18" s="84"/>
      <c r="E18" s="84" t="s">
        <v>688</v>
      </c>
      <c r="F18" s="85">
        <v>44981</v>
      </c>
      <c r="G18" s="84" t="s">
        <v>1363</v>
      </c>
      <c r="H18" s="84" t="s">
        <v>691</v>
      </c>
      <c r="I18" s="84" t="s">
        <v>692</v>
      </c>
      <c r="J18" s="84" t="s">
        <v>693</v>
      </c>
      <c r="K18" s="87">
        <v>-50</v>
      </c>
    </row>
    <row r="19" spans="1:11" ht="14.6" x14ac:dyDescent="0.4">
      <c r="A19" s="84"/>
      <c r="B19" s="84"/>
      <c r="C19" s="84"/>
      <c r="D19" s="84"/>
      <c r="E19" s="84" t="s">
        <v>634</v>
      </c>
      <c r="F19" s="85">
        <v>44983</v>
      </c>
      <c r="G19" s="84" t="s">
        <v>1364</v>
      </c>
      <c r="H19" s="84" t="s">
        <v>647</v>
      </c>
      <c r="I19" s="84" t="s">
        <v>1393</v>
      </c>
      <c r="J19" s="84" t="s">
        <v>659</v>
      </c>
      <c r="K19" s="87">
        <v>279.99</v>
      </c>
    </row>
    <row r="20" spans="1:11" ht="14.6" x14ac:dyDescent="0.4">
      <c r="A20" s="84"/>
      <c r="B20" s="84"/>
      <c r="C20" s="84"/>
      <c r="D20" s="84"/>
      <c r="E20" s="84" t="s">
        <v>634</v>
      </c>
      <c r="F20" s="85">
        <v>44992</v>
      </c>
      <c r="G20" s="84" t="s">
        <v>1365</v>
      </c>
      <c r="H20" s="84" t="s">
        <v>647</v>
      </c>
      <c r="I20" s="84" t="s">
        <v>1394</v>
      </c>
      <c r="J20" s="84" t="s">
        <v>659</v>
      </c>
      <c r="K20" s="87">
        <v>1559.16</v>
      </c>
    </row>
    <row r="21" spans="1:11" ht="14.6" x14ac:dyDescent="0.4">
      <c r="A21" s="84"/>
      <c r="B21" s="84"/>
      <c r="C21" s="84"/>
      <c r="D21" s="84"/>
      <c r="E21" s="84" t="s">
        <v>688</v>
      </c>
      <c r="F21" s="85">
        <v>44995</v>
      </c>
      <c r="G21" s="84" t="s">
        <v>1366</v>
      </c>
      <c r="H21" s="84" t="s">
        <v>691</v>
      </c>
      <c r="I21" s="84" t="s">
        <v>692</v>
      </c>
      <c r="J21" s="84" t="s">
        <v>693</v>
      </c>
      <c r="K21" s="87">
        <v>-50</v>
      </c>
    </row>
    <row r="22" spans="1:11" ht="14.6" x14ac:dyDescent="0.4">
      <c r="A22" s="84"/>
      <c r="B22" s="84"/>
      <c r="C22" s="84"/>
      <c r="D22" s="84"/>
      <c r="E22" s="84" t="s">
        <v>634</v>
      </c>
      <c r="F22" s="85">
        <v>44995</v>
      </c>
      <c r="G22" s="84" t="s">
        <v>1367</v>
      </c>
      <c r="H22" s="84" t="s">
        <v>647</v>
      </c>
      <c r="I22" s="84" t="s">
        <v>1395</v>
      </c>
      <c r="J22" s="84" t="s">
        <v>659</v>
      </c>
      <c r="K22" s="87">
        <v>219.95</v>
      </c>
    </row>
    <row r="23" spans="1:11" ht="14.6" x14ac:dyDescent="0.4">
      <c r="A23" s="84"/>
      <c r="B23" s="84"/>
      <c r="C23" s="84"/>
      <c r="D23" s="84"/>
      <c r="E23" s="84" t="s">
        <v>634</v>
      </c>
      <c r="F23" s="85">
        <v>44995</v>
      </c>
      <c r="G23" s="84" t="s">
        <v>1367</v>
      </c>
      <c r="H23" s="84" t="s">
        <v>647</v>
      </c>
      <c r="I23" s="84" t="s">
        <v>1396</v>
      </c>
      <c r="J23" s="84" t="s">
        <v>659</v>
      </c>
      <c r="K23" s="87">
        <v>989.94</v>
      </c>
    </row>
    <row r="24" spans="1:11" ht="14.6" x14ac:dyDescent="0.4">
      <c r="A24" s="84"/>
      <c r="B24" s="84"/>
      <c r="C24" s="84"/>
      <c r="D24" s="84"/>
      <c r="E24" s="84" t="s">
        <v>634</v>
      </c>
      <c r="F24" s="85">
        <v>44999</v>
      </c>
      <c r="G24" s="84" t="s">
        <v>1112</v>
      </c>
      <c r="H24" s="84" t="s">
        <v>1158</v>
      </c>
      <c r="I24" s="84" t="s">
        <v>1397</v>
      </c>
      <c r="J24" s="84" t="s">
        <v>659</v>
      </c>
      <c r="K24" s="87">
        <v>3359.88</v>
      </c>
    </row>
    <row r="25" spans="1:11" ht="14.6" x14ac:dyDescent="0.4">
      <c r="A25" s="84"/>
      <c r="B25" s="84"/>
      <c r="C25" s="84"/>
      <c r="D25" s="84"/>
      <c r="E25" s="84" t="s">
        <v>634</v>
      </c>
      <c r="F25" s="85">
        <v>45000</v>
      </c>
      <c r="G25" s="84" t="s">
        <v>1368</v>
      </c>
      <c r="H25" s="84" t="s">
        <v>647</v>
      </c>
      <c r="I25" s="84" t="s">
        <v>1398</v>
      </c>
      <c r="J25" s="84" t="s">
        <v>659</v>
      </c>
      <c r="K25" s="87">
        <v>759.99</v>
      </c>
    </row>
    <row r="26" spans="1:11" ht="14.6" x14ac:dyDescent="0.4">
      <c r="A26" s="84"/>
      <c r="B26" s="84"/>
      <c r="C26" s="84"/>
      <c r="D26" s="84"/>
      <c r="E26" s="84" t="s">
        <v>634</v>
      </c>
      <c r="F26" s="85">
        <v>45006</v>
      </c>
      <c r="G26" s="84" t="s">
        <v>1369</v>
      </c>
      <c r="H26" s="84" t="s">
        <v>1387</v>
      </c>
      <c r="I26" s="84" t="s">
        <v>1399</v>
      </c>
      <c r="J26" s="84" t="s">
        <v>659</v>
      </c>
      <c r="K26" s="87">
        <v>24618.3</v>
      </c>
    </row>
    <row r="27" spans="1:11" ht="14.6" x14ac:dyDescent="0.4">
      <c r="A27" s="84"/>
      <c r="B27" s="84"/>
      <c r="C27" s="84"/>
      <c r="D27" s="84"/>
      <c r="E27" s="84" t="s">
        <v>634</v>
      </c>
      <c r="F27" s="85">
        <v>45006</v>
      </c>
      <c r="G27" s="84" t="s">
        <v>1369</v>
      </c>
      <c r="H27" s="84" t="s">
        <v>1387</v>
      </c>
      <c r="I27" s="84" t="s">
        <v>1400</v>
      </c>
      <c r="J27" s="84" t="s">
        <v>659</v>
      </c>
      <c r="K27" s="87">
        <v>1703.94</v>
      </c>
    </row>
    <row r="28" spans="1:11" ht="14.6" x14ac:dyDescent="0.4">
      <c r="A28" s="84"/>
      <c r="B28" s="84"/>
      <c r="C28" s="84"/>
      <c r="D28" s="84"/>
      <c r="E28" s="84" t="s">
        <v>634</v>
      </c>
      <c r="F28" s="85">
        <v>45006</v>
      </c>
      <c r="G28" s="84" t="s">
        <v>1369</v>
      </c>
      <c r="H28" s="84" t="s">
        <v>1387</v>
      </c>
      <c r="I28" s="84" t="s">
        <v>1401</v>
      </c>
      <c r="J28" s="84" t="s">
        <v>659</v>
      </c>
      <c r="K28" s="87">
        <v>3748.58</v>
      </c>
    </row>
    <row r="29" spans="1:11" ht="14.6" x14ac:dyDescent="0.4">
      <c r="A29" s="84"/>
      <c r="B29" s="84"/>
      <c r="C29" s="84"/>
      <c r="D29" s="84"/>
      <c r="E29" s="84" t="s">
        <v>634</v>
      </c>
      <c r="F29" s="85">
        <v>45009</v>
      </c>
      <c r="G29" s="84" t="s">
        <v>1370</v>
      </c>
      <c r="H29" s="84" t="s">
        <v>647</v>
      </c>
      <c r="I29" s="84" t="s">
        <v>1402</v>
      </c>
      <c r="J29" s="84" t="s">
        <v>659</v>
      </c>
      <c r="K29" s="87">
        <v>659.85</v>
      </c>
    </row>
    <row r="30" spans="1:11" ht="14.6" x14ac:dyDescent="0.4">
      <c r="A30" s="84"/>
      <c r="B30" s="84"/>
      <c r="C30" s="84"/>
      <c r="D30" s="84"/>
      <c r="E30" s="84" t="s">
        <v>688</v>
      </c>
      <c r="F30" s="85">
        <v>45009</v>
      </c>
      <c r="G30" s="84" t="s">
        <v>1371</v>
      </c>
      <c r="H30" s="84" t="s">
        <v>691</v>
      </c>
      <c r="I30" s="84" t="s">
        <v>692</v>
      </c>
      <c r="J30" s="84" t="s">
        <v>693</v>
      </c>
      <c r="K30" s="87">
        <v>-50</v>
      </c>
    </row>
    <row r="31" spans="1:11" ht="14.6" x14ac:dyDescent="0.4">
      <c r="A31" s="84"/>
      <c r="B31" s="84"/>
      <c r="C31" s="84"/>
      <c r="D31" s="84"/>
      <c r="E31" s="84" t="s">
        <v>634</v>
      </c>
      <c r="F31" s="85">
        <v>45015</v>
      </c>
      <c r="G31" s="84" t="s">
        <v>1372</v>
      </c>
      <c r="H31" s="84" t="s">
        <v>647</v>
      </c>
      <c r="I31" s="84" t="s">
        <v>1403</v>
      </c>
      <c r="J31" s="84" t="s">
        <v>659</v>
      </c>
      <c r="K31" s="87">
        <v>342.84</v>
      </c>
    </row>
    <row r="32" spans="1:11" ht="14.6" x14ac:dyDescent="0.4">
      <c r="A32" s="84"/>
      <c r="B32" s="84"/>
      <c r="C32" s="84"/>
      <c r="D32" s="84"/>
      <c r="E32" s="84" t="s">
        <v>634</v>
      </c>
      <c r="F32" s="85">
        <v>45015</v>
      </c>
      <c r="G32" s="84" t="s">
        <v>1372</v>
      </c>
      <c r="H32" s="84" t="s">
        <v>647</v>
      </c>
      <c r="I32" s="84" t="s">
        <v>1403</v>
      </c>
      <c r="J32" s="84" t="s">
        <v>659</v>
      </c>
      <c r="K32" s="87">
        <v>599.98</v>
      </c>
    </row>
    <row r="33" spans="1:11" ht="14.6" x14ac:dyDescent="0.4">
      <c r="A33" s="84"/>
      <c r="B33" s="84"/>
      <c r="C33" s="84"/>
      <c r="D33" s="84"/>
      <c r="E33" s="84" t="s">
        <v>634</v>
      </c>
      <c r="F33" s="85">
        <v>45019</v>
      </c>
      <c r="G33" s="84" t="s">
        <v>1373</v>
      </c>
      <c r="H33" s="84" t="s">
        <v>647</v>
      </c>
      <c r="I33" s="84" t="s">
        <v>1404</v>
      </c>
      <c r="J33" s="84" t="s">
        <v>659</v>
      </c>
      <c r="K33" s="87">
        <v>15.24</v>
      </c>
    </row>
    <row r="34" spans="1:11" ht="14.6" x14ac:dyDescent="0.4">
      <c r="A34" s="84"/>
      <c r="B34" s="84"/>
      <c r="C34" s="84"/>
      <c r="D34" s="84"/>
      <c r="E34" s="84" t="s">
        <v>688</v>
      </c>
      <c r="F34" s="85">
        <v>45022</v>
      </c>
      <c r="G34" s="84" t="s">
        <v>1374</v>
      </c>
      <c r="H34" s="84" t="s">
        <v>691</v>
      </c>
      <c r="I34" s="84" t="s">
        <v>692</v>
      </c>
      <c r="J34" s="84" t="s">
        <v>693</v>
      </c>
      <c r="K34" s="87">
        <v>-50</v>
      </c>
    </row>
    <row r="35" spans="1:11" ht="14.6" x14ac:dyDescent="0.4">
      <c r="A35" s="84"/>
      <c r="B35" s="84"/>
      <c r="C35" s="84"/>
      <c r="D35" s="84"/>
      <c r="E35" s="84" t="s">
        <v>634</v>
      </c>
      <c r="F35" s="85">
        <v>45026</v>
      </c>
      <c r="G35" s="84" t="s">
        <v>1375</v>
      </c>
      <c r="H35" s="84" t="s">
        <v>1387</v>
      </c>
      <c r="I35" s="84" t="s">
        <v>1405</v>
      </c>
      <c r="J35" s="84" t="s">
        <v>659</v>
      </c>
      <c r="K35" s="87">
        <v>9320.49</v>
      </c>
    </row>
    <row r="36" spans="1:11" ht="14.6" x14ac:dyDescent="0.4">
      <c r="A36" s="84"/>
      <c r="B36" s="84"/>
      <c r="C36" s="84"/>
      <c r="D36" s="84"/>
      <c r="E36" s="84" t="s">
        <v>634</v>
      </c>
      <c r="F36" s="85">
        <v>45030</v>
      </c>
      <c r="G36" s="84" t="s">
        <v>1376</v>
      </c>
      <c r="H36" s="84" t="s">
        <v>647</v>
      </c>
      <c r="I36" s="84" t="s">
        <v>1406</v>
      </c>
      <c r="J36" s="84" t="s">
        <v>659</v>
      </c>
      <c r="K36" s="87">
        <v>79.989999999999995</v>
      </c>
    </row>
    <row r="37" spans="1:11" ht="14.6" x14ac:dyDescent="0.4">
      <c r="A37" s="84"/>
      <c r="B37" s="84"/>
      <c r="C37" s="84"/>
      <c r="D37" s="84"/>
      <c r="E37" s="84" t="s">
        <v>688</v>
      </c>
      <c r="F37" s="85">
        <v>45037</v>
      </c>
      <c r="G37" s="84" t="s">
        <v>1377</v>
      </c>
      <c r="H37" s="84" t="s">
        <v>691</v>
      </c>
      <c r="I37" s="84" t="s">
        <v>692</v>
      </c>
      <c r="J37" s="84" t="s">
        <v>693</v>
      </c>
      <c r="K37" s="87">
        <v>-50</v>
      </c>
    </row>
    <row r="38" spans="1:11" ht="14.6" x14ac:dyDescent="0.4">
      <c r="A38" s="84"/>
      <c r="B38" s="84"/>
      <c r="C38" s="84"/>
      <c r="D38" s="84"/>
      <c r="E38" s="84" t="s">
        <v>634</v>
      </c>
      <c r="F38" s="85">
        <v>45048</v>
      </c>
      <c r="G38" s="84" t="s">
        <v>1378</v>
      </c>
      <c r="H38" s="84" t="s">
        <v>647</v>
      </c>
      <c r="I38" s="84" t="s">
        <v>1407</v>
      </c>
      <c r="J38" s="84" t="s">
        <v>659</v>
      </c>
      <c r="K38" s="87">
        <v>188.09</v>
      </c>
    </row>
    <row r="39" spans="1:11" ht="14.6" x14ac:dyDescent="0.4">
      <c r="A39" s="84"/>
      <c r="B39" s="84"/>
      <c r="C39" s="84"/>
      <c r="D39" s="84"/>
      <c r="E39" s="84" t="s">
        <v>634</v>
      </c>
      <c r="F39" s="85">
        <v>45051</v>
      </c>
      <c r="G39" s="84" t="s">
        <v>1378</v>
      </c>
      <c r="H39" s="84" t="s">
        <v>647</v>
      </c>
      <c r="I39" s="84" t="s">
        <v>1407</v>
      </c>
      <c r="J39" s="84" t="s">
        <v>659</v>
      </c>
      <c r="K39" s="87">
        <v>188.09</v>
      </c>
    </row>
    <row r="40" spans="1:11" ht="14.6" x14ac:dyDescent="0.4">
      <c r="A40" s="84"/>
      <c r="B40" s="84"/>
      <c r="C40" s="84"/>
      <c r="D40" s="84"/>
      <c r="E40" s="84" t="s">
        <v>634</v>
      </c>
      <c r="F40" s="85">
        <v>45053</v>
      </c>
      <c r="G40" s="84" t="s">
        <v>1379</v>
      </c>
      <c r="H40" s="84" t="s">
        <v>647</v>
      </c>
      <c r="I40" s="84" t="s">
        <v>1408</v>
      </c>
      <c r="J40" s="84" t="s">
        <v>659</v>
      </c>
      <c r="K40" s="87">
        <v>33.9</v>
      </c>
    </row>
    <row r="41" spans="1:11" ht="14.6" x14ac:dyDescent="0.4">
      <c r="A41" s="84"/>
      <c r="B41" s="84"/>
      <c r="C41" s="84"/>
      <c r="D41" s="84"/>
      <c r="E41" s="84" t="s">
        <v>634</v>
      </c>
      <c r="F41" s="85">
        <v>45054</v>
      </c>
      <c r="G41" s="84" t="s">
        <v>1379</v>
      </c>
      <c r="H41" s="84" t="s">
        <v>647</v>
      </c>
      <c r="I41" s="84" t="s">
        <v>1408</v>
      </c>
      <c r="J41" s="84" t="s">
        <v>659</v>
      </c>
      <c r="K41" s="87">
        <v>33.99</v>
      </c>
    </row>
    <row r="42" spans="1:11" ht="14.6" x14ac:dyDescent="0.4">
      <c r="A42" s="84"/>
      <c r="B42" s="84"/>
      <c r="C42" s="84"/>
      <c r="D42" s="84"/>
      <c r="E42" s="84" t="s">
        <v>634</v>
      </c>
      <c r="F42" s="85">
        <v>45088</v>
      </c>
      <c r="G42" s="84" t="s">
        <v>1380</v>
      </c>
      <c r="H42" s="84" t="s">
        <v>647</v>
      </c>
      <c r="I42" s="84" t="s">
        <v>1409</v>
      </c>
      <c r="J42" s="84" t="s">
        <v>659</v>
      </c>
      <c r="K42" s="87">
        <v>129.88999999999999</v>
      </c>
    </row>
    <row r="43" spans="1:11" ht="14.6" x14ac:dyDescent="0.4">
      <c r="A43" s="84"/>
      <c r="B43" s="84"/>
      <c r="C43" s="84"/>
      <c r="D43" s="84"/>
      <c r="E43" s="84" t="s">
        <v>634</v>
      </c>
      <c r="F43" s="85">
        <v>45092</v>
      </c>
      <c r="G43" s="84" t="s">
        <v>1381</v>
      </c>
      <c r="H43" s="84" t="s">
        <v>647</v>
      </c>
      <c r="I43" s="84" t="s">
        <v>1410</v>
      </c>
      <c r="J43" s="84" t="s">
        <v>659</v>
      </c>
      <c r="K43" s="87">
        <v>638</v>
      </c>
    </row>
    <row r="44" spans="1:11" ht="14.6" x14ac:dyDescent="0.4">
      <c r="A44" s="84"/>
      <c r="B44" s="84"/>
      <c r="C44" s="84"/>
      <c r="D44" s="84"/>
      <c r="E44" s="84" t="s">
        <v>705</v>
      </c>
      <c r="F44" s="85">
        <v>45104</v>
      </c>
      <c r="G44" s="84" t="s">
        <v>1382</v>
      </c>
      <c r="H44" s="84" t="s">
        <v>647</v>
      </c>
      <c r="I44" s="84" t="s">
        <v>1414</v>
      </c>
      <c r="J44" s="84" t="s">
        <v>773</v>
      </c>
      <c r="K44" s="87">
        <v>-654.98</v>
      </c>
    </row>
    <row r="45" spans="1:11" ht="14.6" x14ac:dyDescent="0.4">
      <c r="A45" s="84"/>
      <c r="B45" s="84"/>
      <c r="C45" s="84"/>
      <c r="D45" s="84"/>
      <c r="E45" s="84" t="s">
        <v>634</v>
      </c>
      <c r="F45" s="85">
        <v>45105</v>
      </c>
      <c r="G45" s="84" t="s">
        <v>1383</v>
      </c>
      <c r="H45" s="84" t="s">
        <v>647</v>
      </c>
      <c r="I45" s="84" t="s">
        <v>1411</v>
      </c>
      <c r="J45" s="84" t="s">
        <v>659</v>
      </c>
      <c r="K45" s="87">
        <v>677.96</v>
      </c>
    </row>
    <row r="46" spans="1:11" ht="14.6" x14ac:dyDescent="0.4">
      <c r="A46" s="84"/>
      <c r="B46" s="84"/>
      <c r="C46" s="84"/>
      <c r="D46" s="84"/>
      <c r="E46" s="84" t="s">
        <v>635</v>
      </c>
      <c r="F46" s="85">
        <v>45105</v>
      </c>
      <c r="G46" s="84" t="s">
        <v>1384</v>
      </c>
      <c r="H46" s="84" t="s">
        <v>647</v>
      </c>
      <c r="I46" s="84" t="s">
        <v>1412</v>
      </c>
      <c r="J46" s="84" t="s">
        <v>659</v>
      </c>
      <c r="K46" s="87">
        <v>-638</v>
      </c>
    </row>
    <row r="47" spans="1:11" ht="14.6" x14ac:dyDescent="0.4">
      <c r="A47" s="84"/>
      <c r="B47" s="84"/>
      <c r="C47" s="84"/>
      <c r="D47" s="84"/>
      <c r="E47" s="84" t="s">
        <v>634</v>
      </c>
      <c r="F47" s="85">
        <v>45127</v>
      </c>
      <c r="G47" s="84" t="s">
        <v>1385</v>
      </c>
      <c r="H47" s="84" t="s">
        <v>647</v>
      </c>
      <c r="I47" s="84" t="s">
        <v>1413</v>
      </c>
      <c r="J47" s="84" t="s">
        <v>659</v>
      </c>
      <c r="K47" s="87">
        <v>46.98</v>
      </c>
    </row>
    <row r="48" spans="1:11" ht="14.6" x14ac:dyDescent="0.4">
      <c r="A48" s="84"/>
      <c r="B48" s="84"/>
      <c r="C48" s="84"/>
      <c r="D48" s="84"/>
      <c r="E48" s="84" t="s">
        <v>634</v>
      </c>
      <c r="F48" s="85">
        <v>45147</v>
      </c>
      <c r="G48" s="84" t="s">
        <v>2465</v>
      </c>
      <c r="H48" s="84" t="s">
        <v>647</v>
      </c>
      <c r="I48" s="84" t="s">
        <v>2479</v>
      </c>
      <c r="J48" s="84" t="s">
        <v>659</v>
      </c>
      <c r="K48" s="87">
        <v>39.74</v>
      </c>
    </row>
    <row r="49" spans="1:12" ht="14.6" x14ac:dyDescent="0.4">
      <c r="A49" s="84"/>
      <c r="B49" s="84"/>
      <c r="C49" s="84"/>
      <c r="D49" s="84"/>
      <c r="E49" s="84" t="s">
        <v>704</v>
      </c>
      <c r="F49" s="85">
        <v>45152</v>
      </c>
      <c r="G49" s="84" t="s">
        <v>2361</v>
      </c>
      <c r="H49" s="84" t="s">
        <v>1160</v>
      </c>
      <c r="I49" s="84" t="s">
        <v>2480</v>
      </c>
      <c r="J49" s="84" t="s">
        <v>2426</v>
      </c>
      <c r="K49" s="87">
        <v>84.97</v>
      </c>
    </row>
    <row r="50" spans="1:12" ht="14.6" x14ac:dyDescent="0.4">
      <c r="A50" s="84"/>
      <c r="B50" s="84"/>
      <c r="C50" s="84"/>
      <c r="D50" s="84"/>
      <c r="E50" s="84" t="s">
        <v>634</v>
      </c>
      <c r="F50" s="85">
        <v>45154</v>
      </c>
      <c r="G50" s="84" t="s">
        <v>2466</v>
      </c>
      <c r="H50" s="84" t="s">
        <v>647</v>
      </c>
      <c r="I50" s="84" t="s">
        <v>2481</v>
      </c>
      <c r="J50" s="84" t="s">
        <v>659</v>
      </c>
      <c r="K50" s="87">
        <v>188.09</v>
      </c>
    </row>
    <row r="51" spans="1:12" ht="14.6" x14ac:dyDescent="0.4">
      <c r="A51" s="84"/>
      <c r="B51" s="84"/>
      <c r="C51" s="84"/>
      <c r="D51" s="84"/>
      <c r="E51" s="84" t="s">
        <v>634</v>
      </c>
      <c r="F51" s="85">
        <v>45176</v>
      </c>
      <c r="G51" s="84" t="s">
        <v>2365</v>
      </c>
      <c r="H51" s="84" t="s">
        <v>647</v>
      </c>
      <c r="I51" s="84" t="s">
        <v>2482</v>
      </c>
      <c r="J51" s="84" t="s">
        <v>659</v>
      </c>
      <c r="K51" s="87">
        <v>181.84</v>
      </c>
    </row>
    <row r="52" spans="1:12" ht="15" customHeight="1" x14ac:dyDescent="0.4">
      <c r="A52" s="84"/>
      <c r="B52" s="84"/>
      <c r="C52" s="84"/>
      <c r="D52" s="84"/>
      <c r="E52" s="84" t="s">
        <v>704</v>
      </c>
      <c r="F52" s="85">
        <v>45182</v>
      </c>
      <c r="G52" s="84" t="s">
        <v>2467</v>
      </c>
      <c r="H52" s="84" t="s">
        <v>960</v>
      </c>
      <c r="I52" s="84" t="s">
        <v>962</v>
      </c>
      <c r="J52" s="84" t="s">
        <v>771</v>
      </c>
      <c r="K52" s="87">
        <v>299.99</v>
      </c>
    </row>
    <row r="53" spans="1:12" ht="15" customHeight="1" x14ac:dyDescent="0.4">
      <c r="A53" s="84"/>
      <c r="B53" s="84"/>
      <c r="C53" s="84"/>
      <c r="D53" s="84"/>
      <c r="E53" s="84" t="s">
        <v>704</v>
      </c>
      <c r="F53" s="85">
        <v>45197</v>
      </c>
      <c r="G53" s="84" t="s">
        <v>2468</v>
      </c>
      <c r="H53" s="84" t="s">
        <v>961</v>
      </c>
      <c r="I53" s="84" t="s">
        <v>2483</v>
      </c>
      <c r="J53" s="84" t="s">
        <v>771</v>
      </c>
      <c r="K53" s="87">
        <v>1999</v>
      </c>
    </row>
    <row r="54" spans="1:12" ht="15" customHeight="1" x14ac:dyDescent="0.4">
      <c r="A54" s="84"/>
      <c r="B54" s="84"/>
      <c r="C54" s="84"/>
      <c r="D54" s="84"/>
      <c r="E54" s="84" t="s">
        <v>634</v>
      </c>
      <c r="F54" s="85">
        <v>45201</v>
      </c>
      <c r="G54" s="84" t="s">
        <v>2469</v>
      </c>
      <c r="H54" s="84" t="s">
        <v>1387</v>
      </c>
      <c r="I54" s="84" t="s">
        <v>2484</v>
      </c>
      <c r="J54" s="84" t="s">
        <v>659</v>
      </c>
      <c r="K54" s="87">
        <v>1867.85</v>
      </c>
    </row>
    <row r="55" spans="1:12" ht="15" customHeight="1" x14ac:dyDescent="0.4">
      <c r="A55" s="84"/>
      <c r="B55" s="84"/>
      <c r="C55" s="84"/>
      <c r="D55" s="84"/>
      <c r="E55" s="84" t="s">
        <v>704</v>
      </c>
      <c r="F55" s="85">
        <v>45211</v>
      </c>
      <c r="G55" s="84" t="s">
        <v>2470</v>
      </c>
      <c r="H55" s="84" t="s">
        <v>960</v>
      </c>
      <c r="I55" s="84" t="s">
        <v>962</v>
      </c>
      <c r="J55" s="84" t="s">
        <v>771</v>
      </c>
      <c r="K55" s="87">
        <v>284.99</v>
      </c>
    </row>
    <row r="56" spans="1:12" ht="15" customHeight="1" x14ac:dyDescent="0.4">
      <c r="A56" s="84"/>
      <c r="B56" s="84"/>
      <c r="C56" s="84"/>
      <c r="D56" s="84"/>
      <c r="E56" s="84" t="s">
        <v>634</v>
      </c>
      <c r="F56" s="85">
        <v>45218</v>
      </c>
      <c r="G56" s="84" t="s">
        <v>2376</v>
      </c>
      <c r="H56" s="84" t="s">
        <v>647</v>
      </c>
      <c r="I56" s="84" t="s">
        <v>2485</v>
      </c>
      <c r="J56" s="84" t="s">
        <v>659</v>
      </c>
      <c r="K56" s="87">
        <v>79.099999999999994</v>
      </c>
    </row>
    <row r="57" spans="1:12" ht="15" customHeight="1" x14ac:dyDescent="0.4">
      <c r="A57" s="84"/>
      <c r="B57" s="84"/>
      <c r="C57" s="84"/>
      <c r="D57" s="84"/>
      <c r="E57" s="84" t="s">
        <v>634</v>
      </c>
      <c r="F57" s="85">
        <v>45225</v>
      </c>
      <c r="G57" s="84" t="s">
        <v>2471</v>
      </c>
      <c r="H57" s="84" t="s">
        <v>647</v>
      </c>
      <c r="I57" s="84" t="s">
        <v>2486</v>
      </c>
      <c r="J57" s="84" t="s">
        <v>659</v>
      </c>
      <c r="K57" s="87">
        <v>6044</v>
      </c>
    </row>
    <row r="58" spans="1:12" ht="15" customHeight="1" x14ac:dyDescent="0.4">
      <c r="A58" s="84"/>
      <c r="B58" s="84"/>
      <c r="C58" s="84"/>
      <c r="D58" s="84"/>
      <c r="E58" s="84" t="s">
        <v>634</v>
      </c>
      <c r="F58" s="85">
        <v>45232</v>
      </c>
      <c r="G58" s="84" t="s">
        <v>2472</v>
      </c>
      <c r="H58" s="84" t="s">
        <v>1387</v>
      </c>
      <c r="I58" s="84" t="s">
        <v>2487</v>
      </c>
      <c r="J58" s="84" t="s">
        <v>659</v>
      </c>
      <c r="L58" s="87">
        <v>45564.12</v>
      </c>
    </row>
    <row r="59" spans="1:12" ht="15" customHeight="1" x14ac:dyDescent="0.4">
      <c r="A59" s="84"/>
      <c r="B59" s="84"/>
      <c r="C59" s="84"/>
      <c r="D59" s="84"/>
      <c r="E59" s="84" t="s">
        <v>634</v>
      </c>
      <c r="F59" s="85">
        <v>45238</v>
      </c>
      <c r="G59" s="84" t="s">
        <v>2382</v>
      </c>
      <c r="H59" s="84" t="s">
        <v>647</v>
      </c>
      <c r="I59" s="84" t="s">
        <v>2488</v>
      </c>
      <c r="J59" s="84" t="s">
        <v>659</v>
      </c>
      <c r="K59" s="87">
        <v>2343.06</v>
      </c>
    </row>
    <row r="60" spans="1:12" ht="15" customHeight="1" x14ac:dyDescent="0.4">
      <c r="A60" s="84"/>
      <c r="B60" s="84"/>
      <c r="C60" s="84"/>
      <c r="D60" s="84"/>
      <c r="E60" s="84" t="s">
        <v>634</v>
      </c>
      <c r="F60" s="85">
        <v>45238</v>
      </c>
      <c r="G60" s="84" t="s">
        <v>2382</v>
      </c>
      <c r="H60" s="84" t="s">
        <v>647</v>
      </c>
      <c r="I60" s="84" t="s">
        <v>2489</v>
      </c>
      <c r="J60" s="84" t="s">
        <v>659</v>
      </c>
      <c r="K60" s="87">
        <v>273.98</v>
      </c>
    </row>
    <row r="61" spans="1:12" ht="15" customHeight="1" x14ac:dyDescent="0.4">
      <c r="A61" s="84"/>
      <c r="B61" s="84"/>
      <c r="C61" s="84"/>
      <c r="D61" s="84"/>
      <c r="E61" s="84" t="s">
        <v>634</v>
      </c>
      <c r="F61" s="85">
        <v>45238</v>
      </c>
      <c r="G61" s="84" t="s">
        <v>2382</v>
      </c>
      <c r="H61" s="84" t="s">
        <v>647</v>
      </c>
      <c r="I61" s="84" t="s">
        <v>2490</v>
      </c>
      <c r="J61" s="84" t="s">
        <v>659</v>
      </c>
      <c r="K61" s="87">
        <v>73.98</v>
      </c>
    </row>
    <row r="62" spans="1:12" ht="15" customHeight="1" x14ac:dyDescent="0.4">
      <c r="A62" s="84"/>
      <c r="B62" s="84"/>
      <c r="C62" s="84"/>
      <c r="D62" s="84"/>
      <c r="E62" s="84" t="s">
        <v>634</v>
      </c>
      <c r="F62" s="85">
        <v>45240</v>
      </c>
      <c r="G62" s="84" t="s">
        <v>2473</v>
      </c>
      <c r="H62" s="84" t="s">
        <v>2478</v>
      </c>
      <c r="I62" s="84" t="s">
        <v>2491</v>
      </c>
      <c r="J62" s="84" t="s">
        <v>659</v>
      </c>
      <c r="K62" s="87">
        <v>589</v>
      </c>
    </row>
    <row r="63" spans="1:12" ht="15" customHeight="1" x14ac:dyDescent="0.4">
      <c r="A63" s="84"/>
      <c r="B63" s="84"/>
      <c r="C63" s="84"/>
      <c r="D63" s="84"/>
      <c r="E63" s="84" t="s">
        <v>634</v>
      </c>
      <c r="F63" s="85">
        <v>45240</v>
      </c>
      <c r="G63" s="84" t="s">
        <v>2473</v>
      </c>
      <c r="H63" s="84" t="s">
        <v>2478</v>
      </c>
      <c r="I63" s="84" t="s">
        <v>2492</v>
      </c>
      <c r="J63" s="84" t="s">
        <v>659</v>
      </c>
      <c r="K63" s="87">
        <v>299</v>
      </c>
    </row>
    <row r="64" spans="1:12" ht="15" customHeight="1" x14ac:dyDescent="0.4">
      <c r="A64" s="84"/>
      <c r="B64" s="84"/>
      <c r="C64" s="84"/>
      <c r="D64" s="84"/>
      <c r="E64" s="84" t="s">
        <v>634</v>
      </c>
      <c r="F64" s="85">
        <v>45240</v>
      </c>
      <c r="G64" s="84" t="s">
        <v>2473</v>
      </c>
      <c r="H64" s="84" t="s">
        <v>2478</v>
      </c>
      <c r="I64" s="84" t="s">
        <v>2493</v>
      </c>
      <c r="J64" s="84" t="s">
        <v>659</v>
      </c>
      <c r="K64" s="87">
        <v>199</v>
      </c>
    </row>
    <row r="65" spans="1:11" ht="15" customHeight="1" x14ac:dyDescent="0.4">
      <c r="A65" s="84"/>
      <c r="B65" s="84"/>
      <c r="C65" s="84"/>
      <c r="D65" s="84"/>
      <c r="E65" s="84" t="s">
        <v>634</v>
      </c>
      <c r="F65" s="85">
        <v>45240</v>
      </c>
      <c r="G65" s="84" t="s">
        <v>2473</v>
      </c>
      <c r="H65" s="84" t="s">
        <v>2478</v>
      </c>
      <c r="I65" s="84" t="s">
        <v>2494</v>
      </c>
      <c r="J65" s="84" t="s">
        <v>659</v>
      </c>
      <c r="K65" s="87">
        <v>349</v>
      </c>
    </row>
    <row r="66" spans="1:11" ht="15" customHeight="1" x14ac:dyDescent="0.4">
      <c r="A66" s="84"/>
      <c r="B66" s="84"/>
      <c r="C66" s="84"/>
      <c r="D66" s="84"/>
      <c r="E66" s="84" t="s">
        <v>634</v>
      </c>
      <c r="F66" s="85">
        <v>45240</v>
      </c>
      <c r="G66" s="84" t="s">
        <v>2473</v>
      </c>
      <c r="H66" s="84" t="s">
        <v>2478</v>
      </c>
      <c r="I66" s="84" t="s">
        <v>2495</v>
      </c>
      <c r="J66" s="84" t="s">
        <v>659</v>
      </c>
      <c r="K66" s="87">
        <v>359</v>
      </c>
    </row>
    <row r="67" spans="1:11" ht="15" customHeight="1" x14ac:dyDescent="0.4">
      <c r="A67" s="84"/>
      <c r="B67" s="84"/>
      <c r="C67" s="84"/>
      <c r="D67" s="84"/>
      <c r="E67" s="84" t="s">
        <v>634</v>
      </c>
      <c r="F67" s="85">
        <v>45240</v>
      </c>
      <c r="G67" s="84" t="s">
        <v>2473</v>
      </c>
      <c r="H67" s="84" t="s">
        <v>2478</v>
      </c>
      <c r="I67" s="84" t="s">
        <v>2496</v>
      </c>
      <c r="J67" s="84" t="s">
        <v>659</v>
      </c>
      <c r="K67" s="87">
        <v>315</v>
      </c>
    </row>
    <row r="68" spans="1:11" ht="15" customHeight="1" x14ac:dyDescent="0.4">
      <c r="A68" s="84"/>
      <c r="B68" s="84"/>
      <c r="C68" s="84"/>
      <c r="D68" s="84"/>
      <c r="E68" s="84" t="s">
        <v>634</v>
      </c>
      <c r="F68" s="85">
        <v>45242</v>
      </c>
      <c r="G68" s="84" t="s">
        <v>2474</v>
      </c>
      <c r="H68" s="84" t="s">
        <v>647</v>
      </c>
      <c r="I68" s="84" t="s">
        <v>2497</v>
      </c>
      <c r="J68" s="84" t="s">
        <v>659</v>
      </c>
      <c r="K68" s="87">
        <v>543.98</v>
      </c>
    </row>
    <row r="69" spans="1:11" ht="15" customHeight="1" x14ac:dyDescent="0.4">
      <c r="A69" s="84"/>
      <c r="B69" s="84"/>
      <c r="C69" s="84"/>
      <c r="D69" s="84"/>
      <c r="E69" s="84" t="s">
        <v>634</v>
      </c>
      <c r="F69" s="85">
        <v>45242</v>
      </c>
      <c r="G69" s="84" t="s">
        <v>2474</v>
      </c>
      <c r="H69" s="84" t="s">
        <v>647</v>
      </c>
      <c r="I69" s="84" t="s">
        <v>2498</v>
      </c>
      <c r="J69" s="84" t="s">
        <v>659</v>
      </c>
      <c r="K69" s="87">
        <v>249.99</v>
      </c>
    </row>
    <row r="70" spans="1:11" ht="15" customHeight="1" x14ac:dyDescent="0.4">
      <c r="A70" s="84"/>
      <c r="B70" s="84"/>
      <c r="C70" s="84"/>
      <c r="D70" s="84"/>
      <c r="E70" s="84" t="s">
        <v>634</v>
      </c>
      <c r="F70" s="85">
        <v>45242</v>
      </c>
      <c r="G70" s="84" t="s">
        <v>2474</v>
      </c>
      <c r="H70" s="84" t="s">
        <v>647</v>
      </c>
      <c r="I70" s="84" t="s">
        <v>2499</v>
      </c>
      <c r="J70" s="84" t="s">
        <v>659</v>
      </c>
      <c r="K70" s="87">
        <v>103.96</v>
      </c>
    </row>
    <row r="71" spans="1:11" ht="15" customHeight="1" x14ac:dyDescent="0.4">
      <c r="A71" s="84"/>
      <c r="B71" s="84"/>
      <c r="C71" s="84"/>
      <c r="D71" s="84"/>
      <c r="E71" s="84" t="s">
        <v>634</v>
      </c>
      <c r="F71" s="85">
        <v>45242</v>
      </c>
      <c r="G71" s="84" t="s">
        <v>2475</v>
      </c>
      <c r="H71" s="84" t="s">
        <v>647</v>
      </c>
      <c r="I71" s="84" t="s">
        <v>2500</v>
      </c>
      <c r="J71" s="84" t="s">
        <v>659</v>
      </c>
      <c r="K71" s="87">
        <v>-6.6</v>
      </c>
    </row>
    <row r="72" spans="1:11" ht="15" customHeight="1" x14ac:dyDescent="0.4">
      <c r="A72" s="84"/>
      <c r="B72" s="84"/>
      <c r="C72" s="84"/>
      <c r="D72" s="84"/>
      <c r="E72" s="84" t="s">
        <v>634</v>
      </c>
      <c r="F72" s="85">
        <v>45242</v>
      </c>
      <c r="G72" s="84" t="s">
        <v>2475</v>
      </c>
      <c r="H72" s="84" t="s">
        <v>647</v>
      </c>
      <c r="I72" s="84" t="s">
        <v>2501</v>
      </c>
      <c r="J72" s="84" t="s">
        <v>659</v>
      </c>
      <c r="K72" s="87">
        <v>65.97</v>
      </c>
    </row>
    <row r="73" spans="1:11" ht="15" customHeight="1" x14ac:dyDescent="0.4">
      <c r="A73" s="84"/>
      <c r="B73" s="84"/>
      <c r="C73" s="84"/>
      <c r="D73" s="84"/>
      <c r="E73" s="84" t="s">
        <v>634</v>
      </c>
      <c r="F73" s="85">
        <v>45242</v>
      </c>
      <c r="G73" s="84" t="s">
        <v>2475</v>
      </c>
      <c r="H73" s="84" t="s">
        <v>647</v>
      </c>
      <c r="I73" s="84" t="s">
        <v>2502</v>
      </c>
      <c r="J73" s="84" t="s">
        <v>659</v>
      </c>
      <c r="K73" s="87">
        <v>67.959999999999994</v>
      </c>
    </row>
    <row r="74" spans="1:11" ht="15" customHeight="1" x14ac:dyDescent="0.4">
      <c r="A74" s="84"/>
      <c r="B74" s="84"/>
      <c r="C74" s="84"/>
      <c r="D74" s="84"/>
      <c r="E74" s="84" t="s">
        <v>634</v>
      </c>
      <c r="F74" s="85">
        <v>45242</v>
      </c>
      <c r="G74" s="84" t="s">
        <v>2475</v>
      </c>
      <c r="H74" s="84" t="s">
        <v>647</v>
      </c>
      <c r="I74" s="84" t="s">
        <v>2503</v>
      </c>
      <c r="J74" s="84" t="s">
        <v>659</v>
      </c>
      <c r="K74" s="87">
        <v>0</v>
      </c>
    </row>
    <row r="75" spans="1:11" ht="15" customHeight="1" x14ac:dyDescent="0.4">
      <c r="A75" s="84"/>
      <c r="B75" s="84"/>
      <c r="C75" s="84"/>
      <c r="D75" s="84"/>
      <c r="E75" s="84" t="s">
        <v>634</v>
      </c>
      <c r="F75" s="85">
        <v>45242</v>
      </c>
      <c r="G75" s="84" t="s">
        <v>2475</v>
      </c>
      <c r="H75" s="84" t="s">
        <v>647</v>
      </c>
      <c r="I75" s="84" t="s">
        <v>2504</v>
      </c>
      <c r="J75" s="84" t="s">
        <v>659</v>
      </c>
      <c r="K75" s="87">
        <v>31.96</v>
      </c>
    </row>
    <row r="76" spans="1:11" ht="15" customHeight="1" x14ac:dyDescent="0.4">
      <c r="A76" s="84"/>
      <c r="B76" s="84"/>
      <c r="C76" s="84"/>
      <c r="D76" s="84"/>
      <c r="E76" s="84" t="s">
        <v>634</v>
      </c>
      <c r="F76" s="85">
        <v>45242</v>
      </c>
      <c r="G76" s="84" t="s">
        <v>2475</v>
      </c>
      <c r="H76" s="84" t="s">
        <v>647</v>
      </c>
      <c r="I76" s="84" t="s">
        <v>2505</v>
      </c>
      <c r="J76" s="84" t="s">
        <v>659</v>
      </c>
      <c r="K76" s="87">
        <v>99.93</v>
      </c>
    </row>
    <row r="77" spans="1:11" ht="15" customHeight="1" x14ac:dyDescent="0.4">
      <c r="A77" s="84"/>
      <c r="B77" s="84"/>
      <c r="C77" s="84"/>
      <c r="D77" s="84"/>
      <c r="E77" s="84" t="s">
        <v>634</v>
      </c>
      <c r="F77" s="85">
        <v>45261</v>
      </c>
      <c r="G77" s="84" t="s">
        <v>2390</v>
      </c>
      <c r="H77" s="84" t="s">
        <v>647</v>
      </c>
      <c r="I77" s="84" t="s">
        <v>2506</v>
      </c>
      <c r="J77" s="84" t="s">
        <v>659</v>
      </c>
      <c r="K77" s="87">
        <v>265.99</v>
      </c>
    </row>
    <row r="78" spans="1:11" ht="15" customHeight="1" x14ac:dyDescent="0.4">
      <c r="A78" s="84"/>
      <c r="B78" s="84"/>
      <c r="C78" s="84"/>
      <c r="D78" s="84"/>
      <c r="E78" s="84" t="s">
        <v>634</v>
      </c>
      <c r="F78" s="85">
        <v>45266</v>
      </c>
      <c r="G78" s="84" t="s">
        <v>2395</v>
      </c>
      <c r="H78" s="84" t="s">
        <v>647</v>
      </c>
      <c r="I78" s="84" t="s">
        <v>2503</v>
      </c>
      <c r="J78" s="84" t="s">
        <v>659</v>
      </c>
      <c r="K78" s="87">
        <v>32.99</v>
      </c>
    </row>
    <row r="79" spans="1:11" ht="15" customHeight="1" x14ac:dyDescent="0.4">
      <c r="A79" s="84"/>
      <c r="B79" s="84"/>
      <c r="C79" s="84"/>
      <c r="D79" s="84"/>
      <c r="E79" s="84" t="s">
        <v>634</v>
      </c>
      <c r="F79" s="85">
        <v>45271</v>
      </c>
      <c r="G79" s="84" t="s">
        <v>2476</v>
      </c>
      <c r="H79" s="84" t="s">
        <v>647</v>
      </c>
      <c r="I79" s="84" t="s">
        <v>1413</v>
      </c>
      <c r="J79" s="84" t="s">
        <v>659</v>
      </c>
      <c r="K79" s="87">
        <v>7.79</v>
      </c>
    </row>
    <row r="80" spans="1:11" ht="15" customHeight="1" thickBot="1" x14ac:dyDescent="0.45">
      <c r="A80" s="84"/>
      <c r="B80" s="84"/>
      <c r="C80" s="84"/>
      <c r="D80" s="84"/>
      <c r="E80" s="84" t="s">
        <v>634</v>
      </c>
      <c r="F80" s="85">
        <v>45273</v>
      </c>
      <c r="G80" s="84" t="s">
        <v>2477</v>
      </c>
      <c r="H80" s="84" t="s">
        <v>647</v>
      </c>
      <c r="I80" s="84" t="s">
        <v>2507</v>
      </c>
      <c r="J80" s="84" t="s">
        <v>659</v>
      </c>
      <c r="K80" s="413">
        <v>103.43</v>
      </c>
    </row>
    <row r="81" spans="1:13" ht="15" customHeight="1" thickBot="1" x14ac:dyDescent="0.45">
      <c r="A81" s="84"/>
      <c r="B81" s="84"/>
      <c r="C81" s="84" t="s">
        <v>687</v>
      </c>
      <c r="D81" s="84"/>
      <c r="E81" s="84"/>
      <c r="F81" s="85"/>
      <c r="G81" s="84"/>
      <c r="H81" s="84"/>
      <c r="I81" s="84"/>
      <c r="J81" s="84"/>
      <c r="K81" s="414">
        <f>ROUND(SUM(K3:K80),5)</f>
        <v>72281.009999999995</v>
      </c>
    </row>
    <row r="82" spans="1:13" ht="15" customHeight="1" thickBot="1" x14ac:dyDescent="0.45">
      <c r="A82" s="84"/>
      <c r="B82" s="84" t="s">
        <v>633</v>
      </c>
      <c r="C82" s="84"/>
      <c r="D82" s="84"/>
      <c r="E82" s="84"/>
      <c r="F82" s="85"/>
      <c r="G82" s="84"/>
      <c r="H82" s="84"/>
      <c r="I82" s="84"/>
      <c r="J82" s="84"/>
      <c r="K82" s="414">
        <f>K81</f>
        <v>72281.009999999995</v>
      </c>
      <c r="M82" s="939"/>
    </row>
    <row r="83" spans="1:13" ht="15" customHeight="1" thickBot="1" x14ac:dyDescent="0.45">
      <c r="A83" s="84" t="s">
        <v>158</v>
      </c>
      <c r="B83" s="84"/>
      <c r="C83" s="84"/>
      <c r="D83" s="84"/>
      <c r="E83" s="84"/>
      <c r="F83" s="85"/>
      <c r="G83" s="84"/>
      <c r="H83" s="84"/>
      <c r="I83" s="84"/>
      <c r="J83" s="84"/>
      <c r="K83" s="415">
        <f>K82</f>
        <v>72281.009999999995</v>
      </c>
    </row>
    <row r="84" spans="1:13" ht="15" customHeight="1" thickTop="1" x14ac:dyDescent="0.4"/>
  </sheetData>
  <pageMargins left="0.7" right="0.7" top="0.75" bottom="0.75" header="0.1" footer="0"/>
  <pageSetup orientation="landscape" r:id="rId1"/>
  <headerFooter>
    <oddHeader>&amp;L&amp;"Arial,Bold"&amp;8 3:12 PM
&amp;"Arial,Bold"&amp;8 01/24/24
&amp;"Arial,Bold"&amp;8 Accrual Basis&amp;C&amp;"Arial,Bold"&amp;12 Williamson Central Appraisal District
&amp;"Arial,Bold"&amp;14 Account QuickReport
&amp;"Arial,Bold"&amp;10 January through December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2288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22886" r:id="rId4" name="HEADER"/>
      </mc:Fallback>
    </mc:AlternateContent>
    <mc:AlternateContent xmlns:mc="http://schemas.openxmlformats.org/markup-compatibility/2006">
      <mc:Choice Requires="x14">
        <control shapeId="12288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22885" r:id="rId6" name="FILTER"/>
      </mc:Fallback>
    </mc:AlternateContent>
  </control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5"/>
  <dimension ref="A1:K52"/>
  <sheetViews>
    <sheetView workbookViewId="0">
      <pane xSplit="3" ySplit="1" topLeftCell="D16" activePane="bottomRight" state="frozenSplit"/>
      <selection pane="topRight" activeCell="D1" sqref="D1"/>
      <selection pane="bottomLeft" activeCell="A2" sqref="A2"/>
      <selection pane="bottomRight" activeCell="I47" sqref="I47"/>
    </sheetView>
  </sheetViews>
  <sheetFormatPr defaultColWidth="14.3828125" defaultRowHeight="15" customHeight="1" x14ac:dyDescent="0.4"/>
  <cols>
    <col min="1" max="2" width="3" customWidth="1"/>
    <col min="3" max="3" width="36.84375" customWidth="1"/>
    <col min="4" max="4" width="2.3046875" customWidth="1"/>
    <col min="5" max="5" width="17.69140625" bestFit="1" customWidth="1"/>
    <col min="6" max="6" width="10.69140625" bestFit="1" customWidth="1"/>
    <col min="7" max="7" width="18.15234375" bestFit="1" customWidth="1"/>
    <col min="8" max="8" width="16.3828125" bestFit="1" customWidth="1"/>
    <col min="9" max="9" width="30.69140625" customWidth="1"/>
    <col min="10" max="10" width="27.3828125" bestFit="1" customWidth="1"/>
    <col min="11" max="11" width="8.15234375" bestFit="1" customWidth="1"/>
  </cols>
  <sheetData>
    <row r="1" spans="1:11" s="412" customFormat="1" thickBot="1" x14ac:dyDescent="0.45">
      <c r="A1" s="416"/>
      <c r="B1" s="416"/>
      <c r="C1" s="416"/>
      <c r="D1" s="416"/>
      <c r="E1" s="417" t="s">
        <v>623</v>
      </c>
      <c r="F1" s="417" t="s">
        <v>624</v>
      </c>
      <c r="G1" s="417" t="s">
        <v>625</v>
      </c>
      <c r="H1" s="417" t="s">
        <v>626</v>
      </c>
      <c r="I1" s="417" t="s">
        <v>627</v>
      </c>
      <c r="J1" s="417" t="s">
        <v>628</v>
      </c>
      <c r="K1" s="417" t="s">
        <v>629</v>
      </c>
    </row>
    <row r="2" spans="1:11" thickTop="1" x14ac:dyDescent="0.4">
      <c r="A2" s="84"/>
      <c r="B2" s="84" t="s">
        <v>630</v>
      </c>
      <c r="C2" s="84"/>
      <c r="D2" s="84"/>
      <c r="E2" s="84"/>
      <c r="F2" s="85"/>
      <c r="G2" s="84"/>
      <c r="H2" s="84"/>
      <c r="I2" s="84"/>
      <c r="J2" s="84"/>
      <c r="K2" s="87"/>
    </row>
    <row r="3" spans="1:11" ht="14.6" x14ac:dyDescent="0.4">
      <c r="A3" s="84"/>
      <c r="B3" s="84"/>
      <c r="C3" s="84" t="s">
        <v>694</v>
      </c>
      <c r="D3" s="84"/>
      <c r="E3" s="84"/>
      <c r="F3" s="85"/>
      <c r="G3" s="84"/>
      <c r="H3" s="84"/>
      <c r="I3" s="84"/>
      <c r="J3" s="84"/>
      <c r="K3" s="87"/>
    </row>
    <row r="4" spans="1:11" ht="14.6" x14ac:dyDescent="0.4">
      <c r="A4" s="84"/>
      <c r="B4" s="84"/>
      <c r="C4" s="84"/>
      <c r="D4" s="84"/>
      <c r="E4" s="84" t="s">
        <v>634</v>
      </c>
      <c r="F4" s="85">
        <v>44929</v>
      </c>
      <c r="G4" s="84" t="s">
        <v>696</v>
      </c>
      <c r="H4" s="84" t="s">
        <v>647</v>
      </c>
      <c r="I4" s="84" t="s">
        <v>699</v>
      </c>
      <c r="J4" s="84" t="s">
        <v>659</v>
      </c>
      <c r="K4" s="87">
        <v>48.17</v>
      </c>
    </row>
    <row r="5" spans="1:11" ht="14.6" x14ac:dyDescent="0.4">
      <c r="A5" s="84"/>
      <c r="B5" s="84"/>
      <c r="C5" s="84"/>
      <c r="D5" s="84"/>
      <c r="E5" s="84" t="s">
        <v>634</v>
      </c>
      <c r="F5" s="85">
        <v>44930</v>
      </c>
      <c r="G5" s="84" t="s">
        <v>697</v>
      </c>
      <c r="H5" s="84" t="s">
        <v>647</v>
      </c>
      <c r="I5" s="84" t="s">
        <v>699</v>
      </c>
      <c r="J5" s="84" t="s">
        <v>659</v>
      </c>
      <c r="K5" s="87">
        <v>35.08</v>
      </c>
    </row>
    <row r="6" spans="1:11" ht="14.6" x14ac:dyDescent="0.4">
      <c r="A6" s="84"/>
      <c r="B6" s="84"/>
      <c r="C6" s="84"/>
      <c r="D6" s="84"/>
      <c r="E6" s="84" t="s">
        <v>634</v>
      </c>
      <c r="F6" s="85">
        <v>44946</v>
      </c>
      <c r="G6" s="84" t="s">
        <v>698</v>
      </c>
      <c r="H6" s="84" t="s">
        <v>647</v>
      </c>
      <c r="I6" s="84" t="s">
        <v>699</v>
      </c>
      <c r="J6" s="84" t="s">
        <v>659</v>
      </c>
      <c r="K6" s="87">
        <v>29.98</v>
      </c>
    </row>
    <row r="7" spans="1:11" ht="14.6" x14ac:dyDescent="0.4">
      <c r="A7" s="84"/>
      <c r="B7" s="84"/>
      <c r="C7" s="84"/>
      <c r="D7" s="84"/>
      <c r="E7" s="84" t="s">
        <v>704</v>
      </c>
      <c r="F7" s="85">
        <v>44956</v>
      </c>
      <c r="G7" s="84" t="s">
        <v>1360</v>
      </c>
      <c r="H7" s="84" t="s">
        <v>1386</v>
      </c>
      <c r="I7" s="84" t="s">
        <v>1424</v>
      </c>
      <c r="J7" s="84" t="s">
        <v>771</v>
      </c>
      <c r="K7" s="87">
        <v>0</v>
      </c>
    </row>
    <row r="8" spans="1:11" ht="14.6" x14ac:dyDescent="0.4">
      <c r="A8" s="84"/>
      <c r="B8" s="84"/>
      <c r="C8" s="84"/>
      <c r="D8" s="84"/>
      <c r="E8" s="84" t="s">
        <v>634</v>
      </c>
      <c r="F8" s="85">
        <v>44963</v>
      </c>
      <c r="G8" s="84" t="s">
        <v>968</v>
      </c>
      <c r="H8" s="84" t="s">
        <v>647</v>
      </c>
      <c r="I8" s="84" t="s">
        <v>699</v>
      </c>
      <c r="J8" s="84" t="s">
        <v>659</v>
      </c>
      <c r="K8" s="87">
        <v>25.98</v>
      </c>
    </row>
    <row r="9" spans="1:11" ht="14.6" x14ac:dyDescent="0.4">
      <c r="A9" s="84"/>
      <c r="B9" s="84"/>
      <c r="C9" s="84"/>
      <c r="D9" s="84"/>
      <c r="E9" s="84" t="s">
        <v>634</v>
      </c>
      <c r="F9" s="85">
        <v>44994</v>
      </c>
      <c r="G9" s="84" t="s">
        <v>1415</v>
      </c>
      <c r="H9" s="84" t="s">
        <v>647</v>
      </c>
      <c r="I9" s="84" t="s">
        <v>1425</v>
      </c>
      <c r="J9" s="84" t="s">
        <v>659</v>
      </c>
      <c r="K9" s="87">
        <v>207.92</v>
      </c>
    </row>
    <row r="10" spans="1:11" ht="14.6" x14ac:dyDescent="0.4">
      <c r="A10" s="84"/>
      <c r="B10" s="84"/>
      <c r="C10" s="84"/>
      <c r="D10" s="84"/>
      <c r="E10" s="84" t="s">
        <v>634</v>
      </c>
      <c r="F10" s="85">
        <v>44994</v>
      </c>
      <c r="G10" s="84" t="s">
        <v>1415</v>
      </c>
      <c r="H10" s="84" t="s">
        <v>647</v>
      </c>
      <c r="I10" s="84" t="s">
        <v>1426</v>
      </c>
      <c r="J10" s="84" t="s">
        <v>659</v>
      </c>
      <c r="K10" s="87">
        <v>79.959999999999994</v>
      </c>
    </row>
    <row r="11" spans="1:11" ht="14.6" x14ac:dyDescent="0.4">
      <c r="A11" s="84"/>
      <c r="B11" s="84"/>
      <c r="C11" s="84"/>
      <c r="D11" s="84"/>
      <c r="E11" s="84" t="s">
        <v>634</v>
      </c>
      <c r="F11" s="85">
        <v>44994</v>
      </c>
      <c r="G11" s="84" t="s">
        <v>1415</v>
      </c>
      <c r="H11" s="84" t="s">
        <v>647</v>
      </c>
      <c r="I11" s="84" t="s">
        <v>1427</v>
      </c>
      <c r="J11" s="84" t="s">
        <v>659</v>
      </c>
      <c r="K11" s="87">
        <v>33.96</v>
      </c>
    </row>
    <row r="12" spans="1:11" ht="14.6" x14ac:dyDescent="0.4">
      <c r="A12" s="84"/>
      <c r="B12" s="84"/>
      <c r="C12" s="84"/>
      <c r="D12" s="84"/>
      <c r="E12" s="84" t="s">
        <v>634</v>
      </c>
      <c r="F12" s="85">
        <v>44994</v>
      </c>
      <c r="G12" s="84" t="s">
        <v>1415</v>
      </c>
      <c r="H12" s="84" t="s">
        <v>647</v>
      </c>
      <c r="I12" s="84" t="s">
        <v>1428</v>
      </c>
      <c r="J12" s="84" t="s">
        <v>659</v>
      </c>
      <c r="K12" s="87">
        <v>70.47</v>
      </c>
    </row>
    <row r="13" spans="1:11" ht="14.6" x14ac:dyDescent="0.4">
      <c r="A13" s="84"/>
      <c r="B13" s="84"/>
      <c r="C13" s="84"/>
      <c r="D13" s="84"/>
      <c r="E13" s="84" t="s">
        <v>634</v>
      </c>
      <c r="F13" s="85">
        <v>45006</v>
      </c>
      <c r="G13" s="84" t="s">
        <v>1416</v>
      </c>
      <c r="H13" s="84" t="s">
        <v>647</v>
      </c>
      <c r="I13" s="84" t="s">
        <v>1429</v>
      </c>
      <c r="J13" s="84" t="s">
        <v>659</v>
      </c>
      <c r="K13" s="87">
        <v>79.790000000000006</v>
      </c>
    </row>
    <row r="14" spans="1:11" ht="14.6" x14ac:dyDescent="0.4">
      <c r="A14" s="84"/>
      <c r="B14" s="84"/>
      <c r="C14" s="84"/>
      <c r="D14" s="84"/>
      <c r="E14" s="84" t="s">
        <v>634</v>
      </c>
      <c r="F14" s="85">
        <v>45013</v>
      </c>
      <c r="G14" s="84" t="s">
        <v>1417</v>
      </c>
      <c r="H14" s="84" t="s">
        <v>647</v>
      </c>
      <c r="I14" s="84" t="s">
        <v>1430</v>
      </c>
      <c r="J14" s="84" t="s">
        <v>659</v>
      </c>
      <c r="K14" s="87">
        <v>86.03</v>
      </c>
    </row>
    <row r="15" spans="1:11" ht="14.6" x14ac:dyDescent="0.4">
      <c r="A15" s="84"/>
      <c r="B15" s="84"/>
      <c r="C15" s="84"/>
      <c r="D15" s="84"/>
      <c r="E15" s="84" t="s">
        <v>634</v>
      </c>
      <c r="F15" s="85">
        <v>45019</v>
      </c>
      <c r="G15" s="84" t="s">
        <v>1373</v>
      </c>
      <c r="H15" s="84" t="s">
        <v>647</v>
      </c>
      <c r="I15" s="84" t="s">
        <v>1430</v>
      </c>
      <c r="J15" s="84" t="s">
        <v>659</v>
      </c>
      <c r="K15" s="87">
        <v>30.88</v>
      </c>
    </row>
    <row r="16" spans="1:11" ht="14.6" x14ac:dyDescent="0.4">
      <c r="A16" s="84"/>
      <c r="B16" s="84"/>
      <c r="C16" s="84"/>
      <c r="D16" s="84"/>
      <c r="E16" s="84" t="s">
        <v>634</v>
      </c>
      <c r="F16" s="85">
        <v>45025</v>
      </c>
      <c r="G16" s="84" t="s">
        <v>1418</v>
      </c>
      <c r="H16" s="84" t="s">
        <v>647</v>
      </c>
      <c r="I16" s="84" t="s">
        <v>1430</v>
      </c>
      <c r="J16" s="84" t="s">
        <v>659</v>
      </c>
      <c r="K16" s="87">
        <v>89.9</v>
      </c>
    </row>
    <row r="17" spans="1:11" ht="14.6" x14ac:dyDescent="0.4">
      <c r="A17" s="84"/>
      <c r="B17" s="84"/>
      <c r="C17" s="84"/>
      <c r="D17" s="84"/>
      <c r="E17" s="84" t="s">
        <v>634</v>
      </c>
      <c r="F17" s="85">
        <v>45048</v>
      </c>
      <c r="G17" s="84" t="s">
        <v>1134</v>
      </c>
      <c r="H17" s="84" t="s">
        <v>647</v>
      </c>
      <c r="I17" s="84" t="s">
        <v>1175</v>
      </c>
      <c r="J17" s="84" t="s">
        <v>659</v>
      </c>
      <c r="K17" s="87">
        <v>156.99</v>
      </c>
    </row>
    <row r="18" spans="1:11" ht="14.6" x14ac:dyDescent="0.4">
      <c r="A18" s="84"/>
      <c r="B18" s="84"/>
      <c r="C18" s="84"/>
      <c r="D18" s="84"/>
      <c r="E18" s="84" t="s">
        <v>634</v>
      </c>
      <c r="F18" s="85">
        <v>45048</v>
      </c>
      <c r="G18" s="84" t="s">
        <v>1134</v>
      </c>
      <c r="H18" s="84" t="s">
        <v>647</v>
      </c>
      <c r="I18" s="84" t="s">
        <v>1175</v>
      </c>
      <c r="J18" s="84" t="s">
        <v>659</v>
      </c>
      <c r="K18" s="87">
        <v>156.99</v>
      </c>
    </row>
    <row r="19" spans="1:11" ht="14.6" x14ac:dyDescent="0.4">
      <c r="A19" s="84"/>
      <c r="B19" s="84"/>
      <c r="C19" s="84"/>
      <c r="D19" s="84"/>
      <c r="E19" s="84" t="s">
        <v>634</v>
      </c>
      <c r="F19" s="85">
        <v>45095</v>
      </c>
      <c r="G19" s="84" t="s">
        <v>1419</v>
      </c>
      <c r="H19" s="84" t="s">
        <v>647</v>
      </c>
      <c r="I19" s="84" t="s">
        <v>1435</v>
      </c>
      <c r="J19" s="84" t="s">
        <v>659</v>
      </c>
      <c r="K19" s="87">
        <v>142.32</v>
      </c>
    </row>
    <row r="20" spans="1:11" ht="14.6" x14ac:dyDescent="0.4">
      <c r="A20" s="84"/>
      <c r="B20" s="84"/>
      <c r="C20" s="84"/>
      <c r="D20" s="84"/>
      <c r="E20" s="84" t="s">
        <v>634</v>
      </c>
      <c r="F20" s="85">
        <v>45095</v>
      </c>
      <c r="G20" s="84" t="s">
        <v>1419</v>
      </c>
      <c r="H20" s="84" t="s">
        <v>647</v>
      </c>
      <c r="I20" s="84" t="s">
        <v>1434</v>
      </c>
      <c r="J20" s="84" t="s">
        <v>659</v>
      </c>
      <c r="K20" s="87">
        <v>38.89</v>
      </c>
    </row>
    <row r="21" spans="1:11" ht="14.6" x14ac:dyDescent="0.4">
      <c r="A21" s="84"/>
      <c r="B21" s="84"/>
      <c r="C21" s="84"/>
      <c r="D21" s="84"/>
      <c r="E21" s="84" t="s">
        <v>634</v>
      </c>
      <c r="F21" s="85">
        <v>45095</v>
      </c>
      <c r="G21" s="84" t="s">
        <v>1419</v>
      </c>
      <c r="H21" s="84" t="s">
        <v>647</v>
      </c>
      <c r="I21" s="84" t="s">
        <v>1431</v>
      </c>
      <c r="J21" s="84" t="s">
        <v>659</v>
      </c>
      <c r="K21" s="87">
        <v>19.989999999999998</v>
      </c>
    </row>
    <row r="22" spans="1:11" ht="14.6" x14ac:dyDescent="0.4">
      <c r="A22" s="84"/>
      <c r="B22" s="84"/>
      <c r="C22" s="84"/>
      <c r="D22" s="84"/>
      <c r="E22" s="84" t="s">
        <v>634</v>
      </c>
      <c r="F22" s="85">
        <v>45103</v>
      </c>
      <c r="G22" s="84" t="s">
        <v>1420</v>
      </c>
      <c r="H22" s="84" t="s">
        <v>647</v>
      </c>
      <c r="I22" s="84" t="s">
        <v>1432</v>
      </c>
      <c r="J22" s="84" t="s">
        <v>659</v>
      </c>
      <c r="K22" s="87">
        <v>33.99</v>
      </c>
    </row>
    <row r="23" spans="1:11" ht="14.6" x14ac:dyDescent="0.4">
      <c r="A23" s="84"/>
      <c r="B23" s="84"/>
      <c r="C23" s="84"/>
      <c r="D23" s="84"/>
      <c r="E23" s="84" t="s">
        <v>634</v>
      </c>
      <c r="F23" s="85">
        <v>45113</v>
      </c>
      <c r="G23" s="84" t="s">
        <v>1421</v>
      </c>
      <c r="H23" s="84" t="s">
        <v>647</v>
      </c>
      <c r="I23" s="84" t="s">
        <v>699</v>
      </c>
      <c r="J23" s="84" t="s">
        <v>659</v>
      </c>
      <c r="K23" s="87">
        <v>94.21</v>
      </c>
    </row>
    <row r="24" spans="1:11" ht="14.6" x14ac:dyDescent="0.4">
      <c r="A24" s="84"/>
      <c r="B24" s="84"/>
      <c r="C24" s="84"/>
      <c r="D24" s="84"/>
      <c r="E24" s="84" t="s">
        <v>634</v>
      </c>
      <c r="F24" s="85">
        <v>45120</v>
      </c>
      <c r="G24" s="84" t="s">
        <v>1422</v>
      </c>
      <c r="H24" s="84" t="s">
        <v>647</v>
      </c>
      <c r="I24" s="84" t="s">
        <v>1432</v>
      </c>
      <c r="J24" s="84" t="s">
        <v>659</v>
      </c>
      <c r="K24" s="87">
        <v>81.37</v>
      </c>
    </row>
    <row r="25" spans="1:11" ht="14.6" x14ac:dyDescent="0.4">
      <c r="A25" s="84"/>
      <c r="B25" s="84"/>
      <c r="C25" s="84"/>
      <c r="D25" s="84"/>
      <c r="E25" s="84" t="s">
        <v>634</v>
      </c>
      <c r="F25" s="85">
        <v>45126</v>
      </c>
      <c r="G25" s="84" t="s">
        <v>1423</v>
      </c>
      <c r="H25" s="84" t="s">
        <v>647</v>
      </c>
      <c r="I25" s="84" t="s">
        <v>1433</v>
      </c>
      <c r="J25" s="84" t="s">
        <v>659</v>
      </c>
      <c r="K25" s="87">
        <v>23.97</v>
      </c>
    </row>
    <row r="26" spans="1:11" ht="14.6" x14ac:dyDescent="0.4">
      <c r="A26" s="84"/>
      <c r="B26" s="84"/>
      <c r="C26" s="84"/>
      <c r="D26" s="84"/>
      <c r="E26" s="84" t="s">
        <v>634</v>
      </c>
      <c r="F26" s="85">
        <v>45126</v>
      </c>
      <c r="G26" s="84" t="s">
        <v>1423</v>
      </c>
      <c r="H26" s="84" t="s">
        <v>647</v>
      </c>
      <c r="I26" s="84" t="s">
        <v>1175</v>
      </c>
      <c r="J26" s="84" t="s">
        <v>659</v>
      </c>
      <c r="K26" s="87">
        <v>53.99</v>
      </c>
    </row>
    <row r="27" spans="1:11" ht="14.6" x14ac:dyDescent="0.4">
      <c r="A27" s="84"/>
      <c r="B27" s="84"/>
      <c r="C27" s="84"/>
      <c r="D27" s="84"/>
      <c r="E27" s="84" t="s">
        <v>634</v>
      </c>
      <c r="F27" s="85">
        <v>45147</v>
      </c>
      <c r="G27" s="84" t="s">
        <v>2321</v>
      </c>
      <c r="H27" s="84" t="s">
        <v>647</v>
      </c>
      <c r="I27" s="84" t="s">
        <v>699</v>
      </c>
      <c r="J27" s="84" t="s">
        <v>659</v>
      </c>
      <c r="K27" s="87">
        <v>79.97</v>
      </c>
    </row>
    <row r="28" spans="1:11" ht="14.6" x14ac:dyDescent="0.4">
      <c r="A28" s="84"/>
      <c r="B28" s="84"/>
      <c r="C28" s="84"/>
      <c r="D28" s="84"/>
      <c r="E28" s="84" t="s">
        <v>634</v>
      </c>
      <c r="F28" s="85">
        <v>45148</v>
      </c>
      <c r="G28" s="84" t="s">
        <v>2322</v>
      </c>
      <c r="H28" s="84" t="s">
        <v>647</v>
      </c>
      <c r="I28" s="84" t="s">
        <v>2328</v>
      </c>
      <c r="J28" s="84" t="s">
        <v>659</v>
      </c>
      <c r="K28" s="87">
        <v>116.89</v>
      </c>
    </row>
    <row r="29" spans="1:11" ht="14.6" x14ac:dyDescent="0.4">
      <c r="A29" s="84"/>
      <c r="B29" s="84"/>
      <c r="C29" s="84"/>
      <c r="D29" s="84"/>
      <c r="E29" s="84" t="s">
        <v>634</v>
      </c>
      <c r="F29" s="85">
        <v>45148</v>
      </c>
      <c r="G29" s="84" t="s">
        <v>2322</v>
      </c>
      <c r="H29" s="84" t="s">
        <v>647</v>
      </c>
      <c r="I29" s="84" t="s">
        <v>699</v>
      </c>
      <c r="J29" s="84" t="s">
        <v>659</v>
      </c>
      <c r="K29" s="87">
        <v>98.27</v>
      </c>
    </row>
    <row r="30" spans="1:11" ht="14.6" x14ac:dyDescent="0.4">
      <c r="A30" s="84"/>
      <c r="B30" s="84"/>
      <c r="C30" s="84"/>
      <c r="D30" s="84"/>
      <c r="E30" s="84" t="s">
        <v>634</v>
      </c>
      <c r="F30" s="85">
        <v>45152</v>
      </c>
      <c r="G30" s="84" t="s">
        <v>2323</v>
      </c>
      <c r="H30" s="84" t="s">
        <v>647</v>
      </c>
      <c r="I30" s="84" t="s">
        <v>699</v>
      </c>
      <c r="J30" s="84" t="s">
        <v>659</v>
      </c>
      <c r="K30" s="87">
        <v>74.97</v>
      </c>
    </row>
    <row r="31" spans="1:11" ht="14.6" x14ac:dyDescent="0.4">
      <c r="A31" s="84"/>
      <c r="B31" s="84"/>
      <c r="C31" s="84"/>
      <c r="D31" s="84"/>
      <c r="E31" s="84" t="s">
        <v>634</v>
      </c>
      <c r="F31" s="85">
        <v>45152</v>
      </c>
      <c r="G31" s="84" t="s">
        <v>2324</v>
      </c>
      <c r="H31" s="84" t="s">
        <v>647</v>
      </c>
      <c r="I31" s="84" t="s">
        <v>699</v>
      </c>
      <c r="J31" s="84" t="s">
        <v>659</v>
      </c>
      <c r="K31" s="87">
        <v>207.97</v>
      </c>
    </row>
    <row r="32" spans="1:11" ht="14.6" x14ac:dyDescent="0.4">
      <c r="A32" s="84"/>
      <c r="B32" s="84"/>
      <c r="C32" s="84"/>
      <c r="D32" s="84"/>
      <c r="E32" s="84" t="s">
        <v>634</v>
      </c>
      <c r="F32" s="85">
        <v>45154</v>
      </c>
      <c r="G32" s="84" t="s">
        <v>2325</v>
      </c>
      <c r="H32" s="84" t="s">
        <v>647</v>
      </c>
      <c r="I32" s="84" t="s">
        <v>2329</v>
      </c>
      <c r="J32" s="84" t="s">
        <v>659</v>
      </c>
      <c r="K32" s="87">
        <v>69.989999999999995</v>
      </c>
    </row>
    <row r="33" spans="1:11" ht="14.6" x14ac:dyDescent="0.4">
      <c r="A33" s="84"/>
      <c r="B33" s="84"/>
      <c r="C33" s="84"/>
      <c r="D33" s="84"/>
      <c r="E33" s="84" t="s">
        <v>634</v>
      </c>
      <c r="F33" s="85">
        <v>45154</v>
      </c>
      <c r="G33" s="84" t="s">
        <v>2326</v>
      </c>
      <c r="H33" s="84" t="s">
        <v>647</v>
      </c>
      <c r="I33" s="84" t="s">
        <v>699</v>
      </c>
      <c r="J33" s="84" t="s">
        <v>659</v>
      </c>
      <c r="K33" s="87">
        <v>91.91</v>
      </c>
    </row>
    <row r="34" spans="1:11" ht="14.6" x14ac:dyDescent="0.4">
      <c r="A34" s="84"/>
      <c r="B34" s="84"/>
      <c r="C34" s="84"/>
      <c r="D34" s="84"/>
      <c r="E34" s="84" t="s">
        <v>634</v>
      </c>
      <c r="F34" s="85">
        <v>45177</v>
      </c>
      <c r="G34" s="84" t="s">
        <v>2327</v>
      </c>
      <c r="H34" s="84" t="s">
        <v>647</v>
      </c>
      <c r="I34" s="84" t="s">
        <v>699</v>
      </c>
      <c r="J34" s="84" t="s">
        <v>659</v>
      </c>
      <c r="K34" s="87">
        <v>77.94</v>
      </c>
    </row>
    <row r="35" spans="1:11" ht="14.6" x14ac:dyDescent="0.4">
      <c r="A35" s="84"/>
      <c r="B35" s="84"/>
      <c r="C35" s="84"/>
      <c r="D35" s="84"/>
      <c r="E35" s="84" t="s">
        <v>634</v>
      </c>
      <c r="F35" s="85">
        <v>45179</v>
      </c>
      <c r="G35" s="84" t="s">
        <v>2508</v>
      </c>
      <c r="H35" s="84" t="s">
        <v>647</v>
      </c>
      <c r="I35" s="84" t="s">
        <v>699</v>
      </c>
      <c r="J35" s="84" t="s">
        <v>659</v>
      </c>
      <c r="K35" s="87">
        <v>156.21</v>
      </c>
    </row>
    <row r="36" spans="1:11" ht="14.6" x14ac:dyDescent="0.4">
      <c r="A36" s="84"/>
      <c r="B36" s="84"/>
      <c r="C36" s="84"/>
      <c r="D36" s="84"/>
      <c r="E36" s="84" t="s">
        <v>634</v>
      </c>
      <c r="F36" s="85">
        <v>45188</v>
      </c>
      <c r="G36" s="84" t="s">
        <v>2509</v>
      </c>
      <c r="H36" s="84" t="s">
        <v>647</v>
      </c>
      <c r="I36" s="84" t="s">
        <v>1175</v>
      </c>
      <c r="J36" s="84" t="s">
        <v>659</v>
      </c>
      <c r="K36" s="87">
        <v>59.99</v>
      </c>
    </row>
    <row r="37" spans="1:11" ht="14.6" x14ac:dyDescent="0.4">
      <c r="A37" s="84"/>
      <c r="B37" s="84"/>
      <c r="C37" s="84"/>
      <c r="D37" s="84"/>
      <c r="E37" s="84" t="s">
        <v>634</v>
      </c>
      <c r="F37" s="85">
        <v>45201</v>
      </c>
      <c r="G37" s="84" t="s">
        <v>2510</v>
      </c>
      <c r="H37" s="84" t="s">
        <v>647</v>
      </c>
      <c r="I37" s="84" t="s">
        <v>699</v>
      </c>
      <c r="J37" s="84" t="s">
        <v>659</v>
      </c>
      <c r="K37" s="87">
        <v>1118.99</v>
      </c>
    </row>
    <row r="38" spans="1:11" ht="14.6" x14ac:dyDescent="0.4">
      <c r="A38" s="84"/>
      <c r="B38" s="84"/>
      <c r="C38" s="84"/>
      <c r="D38" s="84"/>
      <c r="E38" s="84" t="s">
        <v>634</v>
      </c>
      <c r="F38" s="85">
        <v>45212</v>
      </c>
      <c r="G38" s="84" t="s">
        <v>2511</v>
      </c>
      <c r="H38" s="84" t="s">
        <v>647</v>
      </c>
      <c r="I38" s="84" t="s">
        <v>2517</v>
      </c>
      <c r="J38" s="84" t="s">
        <v>659</v>
      </c>
      <c r="K38" s="87">
        <v>58.89</v>
      </c>
    </row>
    <row r="39" spans="1:11" ht="15" customHeight="1" x14ac:dyDescent="0.4">
      <c r="A39" s="84"/>
      <c r="B39" s="84"/>
      <c r="C39" s="84"/>
      <c r="D39" s="84"/>
      <c r="E39" s="84" t="s">
        <v>634</v>
      </c>
      <c r="F39" s="85">
        <v>45212</v>
      </c>
      <c r="G39" s="84" t="s">
        <v>2512</v>
      </c>
      <c r="H39" s="84" t="s">
        <v>647</v>
      </c>
      <c r="I39" s="84" t="s">
        <v>2517</v>
      </c>
      <c r="J39" s="84" t="s">
        <v>659</v>
      </c>
      <c r="K39" s="87">
        <v>22.99</v>
      </c>
    </row>
    <row r="40" spans="1:11" ht="15" customHeight="1" x14ac:dyDescent="0.4">
      <c r="A40" s="84"/>
      <c r="B40" s="84"/>
      <c r="C40" s="84"/>
      <c r="D40" s="84"/>
      <c r="E40" s="84" t="s">
        <v>634</v>
      </c>
      <c r="F40" s="85">
        <v>45225</v>
      </c>
      <c r="G40" s="84" t="s">
        <v>2513</v>
      </c>
      <c r="H40" s="84" t="s">
        <v>647</v>
      </c>
      <c r="I40" s="84" t="s">
        <v>2518</v>
      </c>
      <c r="J40" s="84" t="s">
        <v>659</v>
      </c>
      <c r="K40" s="87">
        <v>2850</v>
      </c>
    </row>
    <row r="41" spans="1:11" ht="15" customHeight="1" x14ac:dyDescent="0.4">
      <c r="A41" s="84"/>
      <c r="B41" s="84"/>
      <c r="C41" s="84"/>
      <c r="D41" s="84"/>
      <c r="E41" s="84" t="s">
        <v>634</v>
      </c>
      <c r="F41" s="85">
        <v>45225</v>
      </c>
      <c r="G41" s="84" t="s">
        <v>2513</v>
      </c>
      <c r="H41" s="84" t="s">
        <v>647</v>
      </c>
      <c r="I41" s="84" t="s">
        <v>2519</v>
      </c>
      <c r="J41" s="84" t="s">
        <v>659</v>
      </c>
      <c r="K41" s="87">
        <v>35.99</v>
      </c>
    </row>
    <row r="42" spans="1:11" ht="15" customHeight="1" x14ac:dyDescent="0.4">
      <c r="A42" s="84"/>
      <c r="B42" s="84"/>
      <c r="C42" s="84"/>
      <c r="D42" s="84"/>
      <c r="E42" s="84" t="s">
        <v>704</v>
      </c>
      <c r="F42" s="85">
        <v>45229</v>
      </c>
      <c r="G42" s="84" t="s">
        <v>1534</v>
      </c>
      <c r="H42" s="84" t="s">
        <v>2516</v>
      </c>
      <c r="I42" s="84" t="s">
        <v>2520</v>
      </c>
      <c r="J42" s="84" t="s">
        <v>771</v>
      </c>
      <c r="K42" s="87">
        <v>1500</v>
      </c>
    </row>
    <row r="43" spans="1:11" ht="15" customHeight="1" x14ac:dyDescent="0.4">
      <c r="A43" s="84"/>
      <c r="B43" s="84"/>
      <c r="C43" s="84"/>
      <c r="D43" s="84"/>
      <c r="E43" s="84" t="s">
        <v>634</v>
      </c>
      <c r="F43" s="85">
        <v>45261</v>
      </c>
      <c r="G43" s="84" t="s">
        <v>2390</v>
      </c>
      <c r="H43" s="84" t="s">
        <v>647</v>
      </c>
      <c r="I43" s="84" t="s">
        <v>2524</v>
      </c>
      <c r="J43" s="84" t="s">
        <v>659</v>
      </c>
      <c r="K43" s="87">
        <v>115.96</v>
      </c>
    </row>
    <row r="44" spans="1:11" ht="15" customHeight="1" x14ac:dyDescent="0.4">
      <c r="A44" s="84"/>
      <c r="B44" s="84"/>
      <c r="C44" s="84"/>
      <c r="D44" s="84"/>
      <c r="E44" s="84" t="s">
        <v>634</v>
      </c>
      <c r="F44" s="85">
        <v>45263</v>
      </c>
      <c r="G44" s="84" t="s">
        <v>2391</v>
      </c>
      <c r="H44" s="84" t="s">
        <v>647</v>
      </c>
      <c r="I44" s="84" t="s">
        <v>2521</v>
      </c>
      <c r="J44" s="84" t="s">
        <v>659</v>
      </c>
      <c r="K44" s="87">
        <v>463.17</v>
      </c>
    </row>
    <row r="45" spans="1:11" ht="15" customHeight="1" x14ac:dyDescent="0.4">
      <c r="A45" s="84"/>
      <c r="B45" s="84"/>
      <c r="C45" s="84"/>
      <c r="D45" s="84"/>
      <c r="E45" s="84" t="s">
        <v>634</v>
      </c>
      <c r="F45" s="85">
        <v>45266</v>
      </c>
      <c r="G45" s="84" t="s">
        <v>2514</v>
      </c>
      <c r="H45" s="84" t="s">
        <v>647</v>
      </c>
      <c r="I45" s="84" t="s">
        <v>699</v>
      </c>
      <c r="J45" s="84" t="s">
        <v>659</v>
      </c>
      <c r="K45" s="87">
        <v>90.5</v>
      </c>
    </row>
    <row r="46" spans="1:11" ht="15" customHeight="1" x14ac:dyDescent="0.4">
      <c r="A46" s="84"/>
      <c r="B46" s="84"/>
      <c r="C46" s="84"/>
      <c r="D46" s="84"/>
      <c r="E46" s="84" t="s">
        <v>634</v>
      </c>
      <c r="F46" s="85">
        <v>45273</v>
      </c>
      <c r="G46" s="84" t="s">
        <v>2477</v>
      </c>
      <c r="H46" s="84" t="s">
        <v>647</v>
      </c>
      <c r="I46" s="84" t="s">
        <v>2522</v>
      </c>
      <c r="J46" s="84" t="s">
        <v>659</v>
      </c>
      <c r="K46" s="87">
        <v>74.45</v>
      </c>
    </row>
    <row r="47" spans="1:11" ht="15" customHeight="1" x14ac:dyDescent="0.4">
      <c r="A47" s="84"/>
      <c r="B47" s="84"/>
      <c r="C47" s="84"/>
      <c r="D47" s="84"/>
      <c r="E47" s="84" t="s">
        <v>634</v>
      </c>
      <c r="F47" s="85">
        <v>45277</v>
      </c>
      <c r="G47" s="84" t="s">
        <v>2397</v>
      </c>
      <c r="H47" s="84" t="s">
        <v>647</v>
      </c>
      <c r="I47" s="84" t="s">
        <v>2525</v>
      </c>
      <c r="J47" s="84" t="s">
        <v>659</v>
      </c>
      <c r="K47" s="87">
        <v>122</v>
      </c>
    </row>
    <row r="48" spans="1:11" ht="15" customHeight="1" thickBot="1" x14ac:dyDescent="0.45">
      <c r="A48" s="84"/>
      <c r="B48" s="84"/>
      <c r="C48" s="84"/>
      <c r="D48" s="84"/>
      <c r="E48" s="84" t="s">
        <v>634</v>
      </c>
      <c r="F48" s="85">
        <v>45280</v>
      </c>
      <c r="G48" s="84" t="s">
        <v>2515</v>
      </c>
      <c r="H48" s="84" t="s">
        <v>647</v>
      </c>
      <c r="I48" s="84" t="s">
        <v>2523</v>
      </c>
      <c r="J48" s="84" t="s">
        <v>659</v>
      </c>
      <c r="K48" s="413">
        <v>90.96</v>
      </c>
    </row>
    <row r="49" spans="1:11" ht="15" customHeight="1" thickBot="1" x14ac:dyDescent="0.45">
      <c r="A49" s="84"/>
      <c r="B49" s="84"/>
      <c r="C49" s="84" t="s">
        <v>695</v>
      </c>
      <c r="D49" s="84"/>
      <c r="E49" s="84"/>
      <c r="F49" s="85"/>
      <c r="G49" s="84"/>
      <c r="H49" s="84"/>
      <c r="I49" s="84"/>
      <c r="J49" s="84"/>
      <c r="K49" s="414">
        <f>ROUND(SUM(K3:K48),5)</f>
        <v>9198.84</v>
      </c>
    </row>
    <row r="50" spans="1:11" ht="15" customHeight="1" thickBot="1" x14ac:dyDescent="0.45">
      <c r="A50" s="84"/>
      <c r="B50" s="84" t="s">
        <v>633</v>
      </c>
      <c r="C50" s="84"/>
      <c r="D50" s="84"/>
      <c r="E50" s="84"/>
      <c r="F50" s="85"/>
      <c r="G50" s="84"/>
      <c r="H50" s="84"/>
      <c r="I50" s="84"/>
      <c r="J50" s="84"/>
      <c r="K50" s="414">
        <f>K49</f>
        <v>9198.84</v>
      </c>
    </row>
    <row r="51" spans="1:11" ht="15" customHeight="1" thickBot="1" x14ac:dyDescent="0.45">
      <c r="A51" s="84" t="s">
        <v>158</v>
      </c>
      <c r="B51" s="84"/>
      <c r="C51" s="84"/>
      <c r="D51" s="84"/>
      <c r="E51" s="84"/>
      <c r="F51" s="85"/>
      <c r="G51" s="84"/>
      <c r="H51" s="84"/>
      <c r="I51" s="84"/>
      <c r="J51" s="84"/>
      <c r="K51" s="415">
        <f>K50</f>
        <v>9198.84</v>
      </c>
    </row>
    <row r="52" spans="1:11" ht="15" customHeight="1" thickTop="1" x14ac:dyDescent="0.4"/>
  </sheetData>
  <pageMargins left="0.7" right="0.7" top="0.75" bottom="0.75" header="0.1" footer="0"/>
  <pageSetup orientation="landscape" r:id="rId1"/>
  <headerFooter>
    <oddHeader>&amp;L&amp;"Arial,Bold"&amp;8 3:19 PM
&amp;"Arial,Bold"&amp;8 01/24/24
&amp;"Arial,Bold"&amp;8 Accrual Basis&amp;C&amp;"Arial,Bold"&amp;12 Williamson Central Appraisal District
&amp;"Arial,Bold"&amp;14 Account QuickReport
&amp;"Arial,Bold"&amp;10 January through December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23911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23911" r:id="rId4" name="HEADER"/>
      </mc:Fallback>
    </mc:AlternateContent>
    <mc:AlternateContent xmlns:mc="http://schemas.openxmlformats.org/markup-compatibility/2006">
      <mc:Choice Requires="x14">
        <control shapeId="123910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23910" r:id="rId6" name="FILTER"/>
      </mc:Fallback>
    </mc:AlternateContent>
  </control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41"/>
  <dimension ref="A1:K557"/>
  <sheetViews>
    <sheetView workbookViewId="0">
      <pane xSplit="3" ySplit="1" topLeftCell="D165" activePane="bottomRight" state="frozenSplit"/>
      <selection pane="topRight" activeCell="D1" sqref="D1"/>
      <selection pane="bottomLeft" activeCell="A2" sqref="A2"/>
      <selection pane="bottomRight" activeCell="I124" sqref="I124"/>
    </sheetView>
  </sheetViews>
  <sheetFormatPr defaultColWidth="14.3828125" defaultRowHeight="15" customHeight="1" x14ac:dyDescent="0.4"/>
  <cols>
    <col min="1" max="2" width="3" customWidth="1"/>
    <col min="3" max="3" width="39.15234375" customWidth="1"/>
    <col min="4" max="4" width="2.3046875" customWidth="1"/>
    <col min="5" max="5" width="17.69140625" bestFit="1" customWidth="1"/>
    <col min="6" max="6" width="10.69140625" bestFit="1" customWidth="1"/>
    <col min="7" max="7" width="17" bestFit="1" customWidth="1"/>
    <col min="8" max="10" width="30.69140625" customWidth="1"/>
    <col min="11" max="11" width="10.15234375" bestFit="1" customWidth="1"/>
  </cols>
  <sheetData>
    <row r="1" spans="1:11" s="412" customFormat="1" thickBot="1" x14ac:dyDescent="0.45">
      <c r="A1" s="416"/>
      <c r="B1" s="416"/>
      <c r="C1" s="416"/>
      <c r="D1" s="416"/>
      <c r="E1" s="417" t="s">
        <v>623</v>
      </c>
      <c r="F1" s="417" t="s">
        <v>624</v>
      </c>
      <c r="G1" s="417" t="s">
        <v>625</v>
      </c>
      <c r="H1" s="417" t="s">
        <v>626</v>
      </c>
      <c r="I1" s="417" t="s">
        <v>627</v>
      </c>
      <c r="J1" s="417" t="s">
        <v>628</v>
      </c>
      <c r="K1" s="417" t="s">
        <v>629</v>
      </c>
    </row>
    <row r="2" spans="1:11" thickTop="1" x14ac:dyDescent="0.4">
      <c r="A2" s="84"/>
      <c r="B2" s="84" t="s">
        <v>700</v>
      </c>
      <c r="C2" s="84"/>
      <c r="D2" s="84"/>
      <c r="E2" s="84"/>
      <c r="F2" s="85"/>
      <c r="G2" s="84"/>
      <c r="H2" s="84"/>
      <c r="I2" s="84"/>
      <c r="J2" s="84"/>
      <c r="K2" s="87"/>
    </row>
    <row r="3" spans="1:11" ht="14.6" x14ac:dyDescent="0.4">
      <c r="A3" s="84"/>
      <c r="B3" s="84"/>
      <c r="C3" s="84" t="s">
        <v>701</v>
      </c>
      <c r="D3" s="84"/>
      <c r="E3" s="84"/>
      <c r="F3" s="85"/>
      <c r="G3" s="84"/>
      <c r="H3" s="84"/>
      <c r="I3" s="84"/>
      <c r="J3" s="84"/>
      <c r="K3" s="87"/>
    </row>
    <row r="4" spans="1:11" ht="14.6" x14ac:dyDescent="0.4">
      <c r="A4" s="84"/>
      <c r="B4" s="84"/>
      <c r="C4" s="84"/>
      <c r="D4" s="84"/>
      <c r="E4" s="84" t="s">
        <v>634</v>
      </c>
      <c r="F4" s="85">
        <v>44929</v>
      </c>
      <c r="G4" s="84" t="s">
        <v>706</v>
      </c>
      <c r="H4" s="84" t="s">
        <v>716</v>
      </c>
      <c r="I4" s="84" t="s">
        <v>726</v>
      </c>
      <c r="J4" s="84" t="s">
        <v>659</v>
      </c>
      <c r="K4" s="87">
        <v>200</v>
      </c>
    </row>
    <row r="5" spans="1:11" ht="14.6" x14ac:dyDescent="0.4">
      <c r="A5" s="84"/>
      <c r="B5" s="84"/>
      <c r="C5" s="84"/>
      <c r="D5" s="84"/>
      <c r="E5" s="84" t="s">
        <v>634</v>
      </c>
      <c r="F5" s="85">
        <v>44929</v>
      </c>
      <c r="G5" s="84" t="s">
        <v>707</v>
      </c>
      <c r="H5" s="84" t="s">
        <v>717</v>
      </c>
      <c r="I5" s="84" t="s">
        <v>727</v>
      </c>
      <c r="J5" s="84" t="s">
        <v>659</v>
      </c>
      <c r="K5" s="87">
        <v>2500</v>
      </c>
    </row>
    <row r="6" spans="1:11" ht="14.6" x14ac:dyDescent="0.4">
      <c r="A6" s="84"/>
      <c r="B6" s="84"/>
      <c r="C6" s="84"/>
      <c r="D6" s="84"/>
      <c r="E6" s="84" t="s">
        <v>634</v>
      </c>
      <c r="F6" s="85">
        <v>44929</v>
      </c>
      <c r="G6" s="84" t="s">
        <v>708</v>
      </c>
      <c r="H6" s="84" t="s">
        <v>718</v>
      </c>
      <c r="I6" s="84" t="s">
        <v>728</v>
      </c>
      <c r="J6" s="84" t="s">
        <v>659</v>
      </c>
      <c r="K6" s="87">
        <v>500</v>
      </c>
    </row>
    <row r="7" spans="1:11" ht="14.6" x14ac:dyDescent="0.4">
      <c r="A7" s="84"/>
      <c r="B7" s="84"/>
      <c r="C7" s="84"/>
      <c r="D7" s="84"/>
      <c r="E7" s="84" t="s">
        <v>634</v>
      </c>
      <c r="F7" s="85">
        <v>44929</v>
      </c>
      <c r="G7" s="84" t="s">
        <v>709</v>
      </c>
      <c r="H7" s="84" t="s">
        <v>719</v>
      </c>
      <c r="I7" s="84" t="s">
        <v>729</v>
      </c>
      <c r="J7" s="84" t="s">
        <v>659</v>
      </c>
      <c r="K7" s="87">
        <v>20</v>
      </c>
    </row>
    <row r="8" spans="1:11" ht="14.6" x14ac:dyDescent="0.4">
      <c r="A8" s="84"/>
      <c r="B8" s="84"/>
      <c r="C8" s="84"/>
      <c r="D8" s="84"/>
      <c r="E8" s="84" t="s">
        <v>634</v>
      </c>
      <c r="F8" s="85">
        <v>44929</v>
      </c>
      <c r="G8" s="84" t="s">
        <v>709</v>
      </c>
      <c r="H8" s="84" t="s">
        <v>719</v>
      </c>
      <c r="I8" s="84" t="s">
        <v>730</v>
      </c>
      <c r="J8" s="84" t="s">
        <v>659</v>
      </c>
      <c r="K8" s="87">
        <v>20</v>
      </c>
    </row>
    <row r="9" spans="1:11" ht="14.6" x14ac:dyDescent="0.4">
      <c r="A9" s="84"/>
      <c r="B9" s="84"/>
      <c r="C9" s="84"/>
      <c r="D9" s="84"/>
      <c r="E9" s="84" t="s">
        <v>634</v>
      </c>
      <c r="F9" s="85">
        <v>44929</v>
      </c>
      <c r="G9" s="84" t="s">
        <v>709</v>
      </c>
      <c r="H9" s="84" t="s">
        <v>719</v>
      </c>
      <c r="I9" s="84" t="s">
        <v>731</v>
      </c>
      <c r="J9" s="84" t="s">
        <v>659</v>
      </c>
      <c r="K9" s="87">
        <v>20</v>
      </c>
    </row>
    <row r="10" spans="1:11" ht="14.6" x14ac:dyDescent="0.4">
      <c r="A10" s="84"/>
      <c r="B10" s="84"/>
      <c r="C10" s="84"/>
      <c r="D10" s="84"/>
      <c r="E10" s="84" t="s">
        <v>634</v>
      </c>
      <c r="F10" s="85">
        <v>44929</v>
      </c>
      <c r="G10" s="84" t="s">
        <v>709</v>
      </c>
      <c r="H10" s="84" t="s">
        <v>719</v>
      </c>
      <c r="I10" s="84" t="s">
        <v>732</v>
      </c>
      <c r="J10" s="84" t="s">
        <v>659</v>
      </c>
      <c r="K10" s="87">
        <v>20</v>
      </c>
    </row>
    <row r="11" spans="1:11" ht="14.6" x14ac:dyDescent="0.4">
      <c r="A11" s="84"/>
      <c r="B11" s="84"/>
      <c r="C11" s="84"/>
      <c r="D11" s="84"/>
      <c r="E11" s="84" t="s">
        <v>634</v>
      </c>
      <c r="F11" s="85">
        <v>44929</v>
      </c>
      <c r="G11" s="84" t="s">
        <v>709</v>
      </c>
      <c r="H11" s="84" t="s">
        <v>719</v>
      </c>
      <c r="I11" s="84" t="s">
        <v>733</v>
      </c>
      <c r="J11" s="84" t="s">
        <v>659</v>
      </c>
      <c r="K11" s="87">
        <v>20</v>
      </c>
    </row>
    <row r="12" spans="1:11" ht="14.6" x14ac:dyDescent="0.4">
      <c r="A12" s="84"/>
      <c r="B12" s="84"/>
      <c r="C12" s="84"/>
      <c r="D12" s="84"/>
      <c r="E12" s="84" t="s">
        <v>634</v>
      </c>
      <c r="F12" s="85">
        <v>44929</v>
      </c>
      <c r="G12" s="84" t="s">
        <v>709</v>
      </c>
      <c r="H12" s="84" t="s">
        <v>719</v>
      </c>
      <c r="I12" s="84" t="s">
        <v>734</v>
      </c>
      <c r="J12" s="84" t="s">
        <v>659</v>
      </c>
      <c r="K12" s="87">
        <v>20</v>
      </c>
    </row>
    <row r="13" spans="1:11" ht="14.6" x14ac:dyDescent="0.4">
      <c r="A13" s="84"/>
      <c r="B13" s="84"/>
      <c r="C13" s="84"/>
      <c r="D13" s="84"/>
      <c r="E13" s="84" t="s">
        <v>634</v>
      </c>
      <c r="F13" s="85">
        <v>44929</v>
      </c>
      <c r="G13" s="84" t="s">
        <v>709</v>
      </c>
      <c r="H13" s="84" t="s">
        <v>719</v>
      </c>
      <c r="I13" s="84" t="s">
        <v>735</v>
      </c>
      <c r="J13" s="84" t="s">
        <v>659</v>
      </c>
      <c r="K13" s="87">
        <v>20</v>
      </c>
    </row>
    <row r="14" spans="1:11" ht="14.6" x14ac:dyDescent="0.4">
      <c r="A14" s="84"/>
      <c r="B14" s="84"/>
      <c r="C14" s="84"/>
      <c r="D14" s="84"/>
      <c r="E14" s="84" t="s">
        <v>634</v>
      </c>
      <c r="F14" s="85">
        <v>44929</v>
      </c>
      <c r="G14" s="84" t="s">
        <v>709</v>
      </c>
      <c r="H14" s="84" t="s">
        <v>719</v>
      </c>
      <c r="I14" s="84" t="s">
        <v>736</v>
      </c>
      <c r="J14" s="84" t="s">
        <v>659</v>
      </c>
      <c r="K14" s="87">
        <v>20</v>
      </c>
    </row>
    <row r="15" spans="1:11" ht="14.6" x14ac:dyDescent="0.4">
      <c r="A15" s="84"/>
      <c r="B15" s="84"/>
      <c r="C15" s="84"/>
      <c r="D15" s="84"/>
      <c r="E15" s="84" t="s">
        <v>634</v>
      </c>
      <c r="F15" s="85">
        <v>44929</v>
      </c>
      <c r="G15" s="84" t="s">
        <v>709</v>
      </c>
      <c r="H15" s="84" t="s">
        <v>719</v>
      </c>
      <c r="I15" s="84" t="s">
        <v>737</v>
      </c>
      <c r="J15" s="84" t="s">
        <v>659</v>
      </c>
      <c r="K15" s="87">
        <v>20</v>
      </c>
    </row>
    <row r="16" spans="1:11" ht="14.6" x14ac:dyDescent="0.4">
      <c r="A16" s="84"/>
      <c r="B16" s="84"/>
      <c r="C16" s="84"/>
      <c r="D16" s="84"/>
      <c r="E16" s="84" t="s">
        <v>634</v>
      </c>
      <c r="F16" s="85">
        <v>44929</v>
      </c>
      <c r="G16" s="84" t="s">
        <v>709</v>
      </c>
      <c r="H16" s="84" t="s">
        <v>719</v>
      </c>
      <c r="I16" s="84" t="s">
        <v>738</v>
      </c>
      <c r="J16" s="84" t="s">
        <v>659</v>
      </c>
      <c r="K16" s="87">
        <v>20</v>
      </c>
    </row>
    <row r="17" spans="1:11" ht="14.6" x14ac:dyDescent="0.4">
      <c r="A17" s="84"/>
      <c r="B17" s="84"/>
      <c r="C17" s="84"/>
      <c r="D17" s="84"/>
      <c r="E17" s="84" t="s">
        <v>634</v>
      </c>
      <c r="F17" s="85">
        <v>44929</v>
      </c>
      <c r="G17" s="84" t="s">
        <v>709</v>
      </c>
      <c r="H17" s="84" t="s">
        <v>719</v>
      </c>
      <c r="I17" s="84" t="s">
        <v>739</v>
      </c>
      <c r="J17" s="84" t="s">
        <v>659</v>
      </c>
      <c r="K17" s="87">
        <v>20</v>
      </c>
    </row>
    <row r="18" spans="1:11" ht="14.6" x14ac:dyDescent="0.4">
      <c r="A18" s="84"/>
      <c r="B18" s="84"/>
      <c r="C18" s="84"/>
      <c r="D18" s="84"/>
      <c r="E18" s="84" t="s">
        <v>634</v>
      </c>
      <c r="F18" s="85">
        <v>44929</v>
      </c>
      <c r="G18" s="84" t="s">
        <v>709</v>
      </c>
      <c r="H18" s="84" t="s">
        <v>719</v>
      </c>
      <c r="I18" s="84" t="s">
        <v>740</v>
      </c>
      <c r="J18" s="84" t="s">
        <v>659</v>
      </c>
      <c r="K18" s="87">
        <v>20</v>
      </c>
    </row>
    <row r="19" spans="1:11" ht="14.6" x14ac:dyDescent="0.4">
      <c r="A19" s="84"/>
      <c r="B19" s="84"/>
      <c r="C19" s="84"/>
      <c r="D19" s="84"/>
      <c r="E19" s="84" t="s">
        <v>634</v>
      </c>
      <c r="F19" s="85">
        <v>44929</v>
      </c>
      <c r="G19" s="84" t="s">
        <v>709</v>
      </c>
      <c r="H19" s="84" t="s">
        <v>719</v>
      </c>
      <c r="I19" s="84" t="s">
        <v>741</v>
      </c>
      <c r="J19" s="84" t="s">
        <v>659</v>
      </c>
      <c r="K19" s="87">
        <v>20</v>
      </c>
    </row>
    <row r="20" spans="1:11" ht="14.6" x14ac:dyDescent="0.4">
      <c r="A20" s="84"/>
      <c r="B20" s="84"/>
      <c r="C20" s="84"/>
      <c r="D20" s="84"/>
      <c r="E20" s="84" t="s">
        <v>634</v>
      </c>
      <c r="F20" s="85">
        <v>44929</v>
      </c>
      <c r="G20" s="84" t="s">
        <v>709</v>
      </c>
      <c r="H20" s="84" t="s">
        <v>719</v>
      </c>
      <c r="I20" s="84" t="s">
        <v>742</v>
      </c>
      <c r="J20" s="84" t="s">
        <v>659</v>
      </c>
      <c r="K20" s="87">
        <v>20</v>
      </c>
    </row>
    <row r="21" spans="1:11" ht="14.6" x14ac:dyDescent="0.4">
      <c r="A21" s="84"/>
      <c r="B21" s="84"/>
      <c r="C21" s="84"/>
      <c r="D21" s="84"/>
      <c r="E21" s="84" t="s">
        <v>634</v>
      </c>
      <c r="F21" s="85">
        <v>44929</v>
      </c>
      <c r="G21" s="84" t="s">
        <v>709</v>
      </c>
      <c r="H21" s="84" t="s">
        <v>719</v>
      </c>
      <c r="I21" s="84" t="s">
        <v>743</v>
      </c>
      <c r="J21" s="84" t="s">
        <v>659</v>
      </c>
      <c r="K21" s="87">
        <v>20</v>
      </c>
    </row>
    <row r="22" spans="1:11" ht="14.6" x14ac:dyDescent="0.4">
      <c r="A22" s="84"/>
      <c r="B22" s="84"/>
      <c r="C22" s="84"/>
      <c r="D22" s="84"/>
      <c r="E22" s="84" t="s">
        <v>634</v>
      </c>
      <c r="F22" s="85">
        <v>44929</v>
      </c>
      <c r="G22" s="84" t="s">
        <v>709</v>
      </c>
      <c r="H22" s="84" t="s">
        <v>719</v>
      </c>
      <c r="I22" s="84" t="s">
        <v>744</v>
      </c>
      <c r="J22" s="84" t="s">
        <v>659</v>
      </c>
      <c r="K22" s="87">
        <v>20</v>
      </c>
    </row>
    <row r="23" spans="1:11" ht="14.6" x14ac:dyDescent="0.4">
      <c r="A23" s="84"/>
      <c r="B23" s="84"/>
      <c r="C23" s="84"/>
      <c r="D23" s="84"/>
      <c r="E23" s="84" t="s">
        <v>634</v>
      </c>
      <c r="F23" s="85">
        <v>44929</v>
      </c>
      <c r="G23" s="84" t="s">
        <v>709</v>
      </c>
      <c r="H23" s="84" t="s">
        <v>719</v>
      </c>
      <c r="I23" s="84" t="s">
        <v>745</v>
      </c>
      <c r="J23" s="84" t="s">
        <v>659</v>
      </c>
      <c r="K23" s="87">
        <v>20</v>
      </c>
    </row>
    <row r="24" spans="1:11" ht="14.6" x14ac:dyDescent="0.4">
      <c r="A24" s="84"/>
      <c r="B24" s="84"/>
      <c r="C24" s="84"/>
      <c r="D24" s="84"/>
      <c r="E24" s="84" t="s">
        <v>634</v>
      </c>
      <c r="F24" s="85">
        <v>44929</v>
      </c>
      <c r="G24" s="84" t="s">
        <v>709</v>
      </c>
      <c r="H24" s="84" t="s">
        <v>719</v>
      </c>
      <c r="I24" s="84" t="s">
        <v>746</v>
      </c>
      <c r="J24" s="84" t="s">
        <v>659</v>
      </c>
      <c r="K24" s="87">
        <v>20</v>
      </c>
    </row>
    <row r="25" spans="1:11" ht="14.6" x14ac:dyDescent="0.4">
      <c r="A25" s="84"/>
      <c r="B25" s="84"/>
      <c r="C25" s="84"/>
      <c r="D25" s="84"/>
      <c r="E25" s="84" t="s">
        <v>634</v>
      </c>
      <c r="F25" s="85">
        <v>44929</v>
      </c>
      <c r="G25" s="84" t="s">
        <v>709</v>
      </c>
      <c r="H25" s="84" t="s">
        <v>719</v>
      </c>
      <c r="I25" s="84" t="s">
        <v>747</v>
      </c>
      <c r="J25" s="84" t="s">
        <v>659</v>
      </c>
      <c r="K25" s="87">
        <v>20</v>
      </c>
    </row>
    <row r="26" spans="1:11" ht="14.6" x14ac:dyDescent="0.4">
      <c r="A26" s="84"/>
      <c r="B26" s="84"/>
      <c r="C26" s="84"/>
      <c r="D26" s="84"/>
      <c r="E26" s="84" t="s">
        <v>634</v>
      </c>
      <c r="F26" s="85">
        <v>44929</v>
      </c>
      <c r="G26" s="84" t="s">
        <v>709</v>
      </c>
      <c r="H26" s="84" t="s">
        <v>719</v>
      </c>
      <c r="I26" s="84" t="s">
        <v>748</v>
      </c>
      <c r="J26" s="84" t="s">
        <v>659</v>
      </c>
      <c r="K26" s="87">
        <v>20</v>
      </c>
    </row>
    <row r="27" spans="1:11" ht="14.6" x14ac:dyDescent="0.4">
      <c r="A27" s="84"/>
      <c r="B27" s="84"/>
      <c r="C27" s="84"/>
      <c r="D27" s="84"/>
      <c r="E27" s="84" t="s">
        <v>634</v>
      </c>
      <c r="F27" s="85">
        <v>44929</v>
      </c>
      <c r="G27" s="84" t="s">
        <v>709</v>
      </c>
      <c r="H27" s="84" t="s">
        <v>719</v>
      </c>
      <c r="I27" s="84" t="s">
        <v>749</v>
      </c>
      <c r="J27" s="84" t="s">
        <v>659</v>
      </c>
      <c r="K27" s="87">
        <v>20</v>
      </c>
    </row>
    <row r="28" spans="1:11" ht="14.6" x14ac:dyDescent="0.4">
      <c r="A28" s="84"/>
      <c r="B28" s="84"/>
      <c r="C28" s="84"/>
      <c r="D28" s="84"/>
      <c r="E28" s="84" t="s">
        <v>634</v>
      </c>
      <c r="F28" s="85">
        <v>44929</v>
      </c>
      <c r="G28" s="84" t="s">
        <v>709</v>
      </c>
      <c r="H28" s="84" t="s">
        <v>719</v>
      </c>
      <c r="I28" s="84" t="s">
        <v>750</v>
      </c>
      <c r="J28" s="84" t="s">
        <v>659</v>
      </c>
      <c r="K28" s="87">
        <v>20</v>
      </c>
    </row>
    <row r="29" spans="1:11" ht="14.6" x14ac:dyDescent="0.4">
      <c r="A29" s="84"/>
      <c r="B29" s="84"/>
      <c r="C29" s="84"/>
      <c r="D29" s="84"/>
      <c r="E29" s="84" t="s">
        <v>634</v>
      </c>
      <c r="F29" s="85">
        <v>44929</v>
      </c>
      <c r="G29" s="84" t="s">
        <v>709</v>
      </c>
      <c r="H29" s="84" t="s">
        <v>719</v>
      </c>
      <c r="I29" s="84" t="s">
        <v>751</v>
      </c>
      <c r="J29" s="84" t="s">
        <v>659</v>
      </c>
      <c r="K29" s="87">
        <v>20</v>
      </c>
    </row>
    <row r="30" spans="1:11" ht="14.6" x14ac:dyDescent="0.4">
      <c r="A30" s="84"/>
      <c r="B30" s="84"/>
      <c r="C30" s="84"/>
      <c r="D30" s="84"/>
      <c r="E30" s="84" t="s">
        <v>704</v>
      </c>
      <c r="F30" s="85">
        <v>44929</v>
      </c>
      <c r="G30" s="84" t="s">
        <v>710</v>
      </c>
      <c r="H30" s="84" t="s">
        <v>720</v>
      </c>
      <c r="I30" s="84" t="s">
        <v>752</v>
      </c>
      <c r="J30" s="84" t="s">
        <v>771</v>
      </c>
      <c r="K30" s="87">
        <v>149</v>
      </c>
    </row>
    <row r="31" spans="1:11" ht="14.6" x14ac:dyDescent="0.4">
      <c r="A31" s="84"/>
      <c r="B31" s="84"/>
      <c r="C31" s="84"/>
      <c r="D31" s="84"/>
      <c r="E31" s="84" t="s">
        <v>704</v>
      </c>
      <c r="F31" s="85">
        <v>44930</v>
      </c>
      <c r="G31" s="84" t="s">
        <v>646</v>
      </c>
      <c r="H31" s="84" t="s">
        <v>721</v>
      </c>
      <c r="I31" s="84" t="s">
        <v>753</v>
      </c>
      <c r="J31" s="84" t="s">
        <v>771</v>
      </c>
      <c r="K31" s="87">
        <v>229</v>
      </c>
    </row>
    <row r="32" spans="1:11" ht="14.6" x14ac:dyDescent="0.4">
      <c r="A32" s="84"/>
      <c r="B32" s="84"/>
      <c r="C32" s="84"/>
      <c r="D32" s="84"/>
      <c r="E32" s="84" t="s">
        <v>704</v>
      </c>
      <c r="F32" s="85">
        <v>44933</v>
      </c>
      <c r="G32" s="84" t="s">
        <v>711</v>
      </c>
      <c r="H32" s="84" t="s">
        <v>722</v>
      </c>
      <c r="I32" s="84" t="s">
        <v>754</v>
      </c>
      <c r="J32" s="84" t="s">
        <v>772</v>
      </c>
      <c r="K32" s="87">
        <v>119.18</v>
      </c>
    </row>
    <row r="33" spans="1:11" ht="14.6" x14ac:dyDescent="0.4">
      <c r="A33" s="84"/>
      <c r="B33" s="84"/>
      <c r="C33" s="84"/>
      <c r="D33" s="84"/>
      <c r="E33" s="84" t="s">
        <v>634</v>
      </c>
      <c r="F33" s="85">
        <v>44935</v>
      </c>
      <c r="G33" s="84" t="s">
        <v>712</v>
      </c>
      <c r="H33" s="84" t="s">
        <v>723</v>
      </c>
      <c r="I33" s="84" t="s">
        <v>755</v>
      </c>
      <c r="J33" s="84" t="s">
        <v>659</v>
      </c>
      <c r="K33" s="87">
        <v>25.48</v>
      </c>
    </row>
    <row r="34" spans="1:11" ht="14.6" x14ac:dyDescent="0.4">
      <c r="A34" s="84"/>
      <c r="B34" s="84"/>
      <c r="C34" s="84"/>
      <c r="D34" s="84"/>
      <c r="E34" s="84" t="s">
        <v>634</v>
      </c>
      <c r="F34" s="85">
        <v>44935</v>
      </c>
      <c r="G34" s="84" t="s">
        <v>646</v>
      </c>
      <c r="H34" s="84" t="s">
        <v>724</v>
      </c>
      <c r="I34" s="84" t="s">
        <v>756</v>
      </c>
      <c r="J34" s="84" t="s">
        <v>659</v>
      </c>
      <c r="K34" s="87">
        <v>43.88</v>
      </c>
    </row>
    <row r="35" spans="1:11" ht="14.6" x14ac:dyDescent="0.4">
      <c r="A35" s="84"/>
      <c r="B35" s="84"/>
      <c r="C35" s="84"/>
      <c r="D35" s="84"/>
      <c r="E35" s="84" t="s">
        <v>704</v>
      </c>
      <c r="F35" s="85">
        <v>44937</v>
      </c>
      <c r="G35" s="84" t="s">
        <v>713</v>
      </c>
      <c r="H35" s="84" t="s">
        <v>717</v>
      </c>
      <c r="I35" s="84" t="s">
        <v>757</v>
      </c>
      <c r="J35" s="84" t="s">
        <v>771</v>
      </c>
      <c r="K35" s="87">
        <v>375</v>
      </c>
    </row>
    <row r="36" spans="1:11" ht="14.6" x14ac:dyDescent="0.4">
      <c r="A36" s="84"/>
      <c r="B36" s="84"/>
      <c r="C36" s="84"/>
      <c r="D36" s="84"/>
      <c r="E36" s="84" t="s">
        <v>704</v>
      </c>
      <c r="F36" s="85">
        <v>44938</v>
      </c>
      <c r="G36" s="84" t="s">
        <v>1436</v>
      </c>
      <c r="H36" s="84" t="s">
        <v>1542</v>
      </c>
      <c r="I36" s="84" t="s">
        <v>1585</v>
      </c>
      <c r="J36" s="84" t="s">
        <v>771</v>
      </c>
      <c r="K36" s="87">
        <v>243.95</v>
      </c>
    </row>
    <row r="37" spans="1:11" ht="14.6" x14ac:dyDescent="0.4">
      <c r="A37" s="84"/>
      <c r="B37" s="84"/>
      <c r="C37" s="84"/>
      <c r="D37" s="84"/>
      <c r="E37" s="84" t="s">
        <v>704</v>
      </c>
      <c r="F37" s="85">
        <v>44939</v>
      </c>
      <c r="G37" s="84" t="s">
        <v>969</v>
      </c>
      <c r="H37" s="84" t="s">
        <v>989</v>
      </c>
      <c r="I37" s="84" t="s">
        <v>996</v>
      </c>
      <c r="J37" s="84" t="s">
        <v>771</v>
      </c>
      <c r="K37" s="87">
        <v>30</v>
      </c>
    </row>
    <row r="38" spans="1:11" ht="14.6" x14ac:dyDescent="0.4">
      <c r="A38" s="84"/>
      <c r="B38" s="84"/>
      <c r="C38" s="84"/>
      <c r="D38" s="84"/>
      <c r="E38" s="84" t="s">
        <v>704</v>
      </c>
      <c r="F38" s="85">
        <v>44939</v>
      </c>
      <c r="G38" s="84" t="s">
        <v>970</v>
      </c>
      <c r="H38" s="84" t="s">
        <v>989</v>
      </c>
      <c r="I38" s="84" t="s">
        <v>997</v>
      </c>
      <c r="J38" s="84" t="s">
        <v>771</v>
      </c>
      <c r="K38" s="87">
        <v>675</v>
      </c>
    </row>
    <row r="39" spans="1:11" ht="14.6" x14ac:dyDescent="0.4">
      <c r="A39" s="84"/>
      <c r="B39" s="84"/>
      <c r="C39" s="84"/>
      <c r="D39" s="84"/>
      <c r="E39" s="84" t="s">
        <v>704</v>
      </c>
      <c r="F39" s="85">
        <v>44939</v>
      </c>
      <c r="G39" s="84" t="s">
        <v>971</v>
      </c>
      <c r="H39" s="84" t="s">
        <v>990</v>
      </c>
      <c r="I39" s="84" t="s">
        <v>998</v>
      </c>
      <c r="J39" s="84" t="s">
        <v>771</v>
      </c>
      <c r="K39" s="87">
        <v>45</v>
      </c>
    </row>
    <row r="40" spans="1:11" ht="14.6" x14ac:dyDescent="0.4">
      <c r="A40" s="84"/>
      <c r="B40" s="84"/>
      <c r="C40" s="84"/>
      <c r="D40" s="84"/>
      <c r="E40" s="84" t="s">
        <v>704</v>
      </c>
      <c r="F40" s="85">
        <v>44939</v>
      </c>
      <c r="G40" s="84" t="s">
        <v>972</v>
      </c>
      <c r="H40" s="84" t="s">
        <v>990</v>
      </c>
      <c r="I40" s="84" t="s">
        <v>999</v>
      </c>
      <c r="J40" s="84" t="s">
        <v>771</v>
      </c>
      <c r="K40" s="87">
        <v>45</v>
      </c>
    </row>
    <row r="41" spans="1:11" ht="14.6" x14ac:dyDescent="0.4">
      <c r="A41" s="84"/>
      <c r="B41" s="84"/>
      <c r="C41" s="84"/>
      <c r="D41" s="84"/>
      <c r="E41" s="84" t="s">
        <v>704</v>
      </c>
      <c r="F41" s="85">
        <v>44939</v>
      </c>
      <c r="G41" s="84" t="s">
        <v>973</v>
      </c>
      <c r="H41" s="84" t="s">
        <v>990</v>
      </c>
      <c r="I41" s="84" t="s">
        <v>1000</v>
      </c>
      <c r="J41" s="84" t="s">
        <v>771</v>
      </c>
      <c r="K41" s="87">
        <v>45</v>
      </c>
    </row>
    <row r="42" spans="1:11" ht="14.6" x14ac:dyDescent="0.4">
      <c r="A42" s="84"/>
      <c r="B42" s="84"/>
      <c r="C42" s="84"/>
      <c r="D42" s="84"/>
      <c r="E42" s="84" t="s">
        <v>704</v>
      </c>
      <c r="F42" s="85">
        <v>44939</v>
      </c>
      <c r="G42" s="84" t="s">
        <v>974</v>
      </c>
      <c r="H42" s="84" t="s">
        <v>990</v>
      </c>
      <c r="I42" s="84" t="s">
        <v>1001</v>
      </c>
      <c r="J42" s="84" t="s">
        <v>771</v>
      </c>
      <c r="K42" s="87">
        <v>45</v>
      </c>
    </row>
    <row r="43" spans="1:11" ht="14.6" x14ac:dyDescent="0.4">
      <c r="A43" s="84"/>
      <c r="B43" s="84"/>
      <c r="C43" s="84"/>
      <c r="D43" s="84"/>
      <c r="E43" s="84" t="s">
        <v>704</v>
      </c>
      <c r="F43" s="85">
        <v>44939</v>
      </c>
      <c r="G43" s="84" t="s">
        <v>975</v>
      </c>
      <c r="H43" s="84" t="s">
        <v>990</v>
      </c>
      <c r="I43" s="84" t="s">
        <v>1002</v>
      </c>
      <c r="J43" s="84" t="s">
        <v>771</v>
      </c>
      <c r="K43" s="87">
        <v>45</v>
      </c>
    </row>
    <row r="44" spans="1:11" ht="14.6" x14ac:dyDescent="0.4">
      <c r="A44" s="84"/>
      <c r="B44" s="84"/>
      <c r="C44" s="84"/>
      <c r="D44" s="84"/>
      <c r="E44" s="84" t="s">
        <v>704</v>
      </c>
      <c r="F44" s="85">
        <v>44939</v>
      </c>
      <c r="G44" s="84" t="s">
        <v>976</v>
      </c>
      <c r="H44" s="84" t="s">
        <v>990</v>
      </c>
      <c r="I44" s="84" t="s">
        <v>1003</v>
      </c>
      <c r="J44" s="84" t="s">
        <v>771</v>
      </c>
      <c r="K44" s="87">
        <v>45</v>
      </c>
    </row>
    <row r="45" spans="1:11" ht="14.6" x14ac:dyDescent="0.4">
      <c r="A45" s="84"/>
      <c r="B45" s="84"/>
      <c r="C45" s="84"/>
      <c r="D45" s="84"/>
      <c r="E45" s="84" t="s">
        <v>704</v>
      </c>
      <c r="F45" s="85">
        <v>44939</v>
      </c>
      <c r="G45" s="84" t="s">
        <v>977</v>
      </c>
      <c r="H45" s="84" t="s">
        <v>990</v>
      </c>
      <c r="I45" s="84" t="s">
        <v>1004</v>
      </c>
      <c r="J45" s="84" t="s">
        <v>771</v>
      </c>
      <c r="K45" s="87">
        <v>45</v>
      </c>
    </row>
    <row r="46" spans="1:11" ht="14.6" x14ac:dyDescent="0.4">
      <c r="A46" s="84"/>
      <c r="B46" s="84"/>
      <c r="C46" s="84"/>
      <c r="D46" s="84"/>
      <c r="E46" s="84" t="s">
        <v>634</v>
      </c>
      <c r="F46" s="85">
        <v>44944</v>
      </c>
      <c r="G46" s="84" t="s">
        <v>714</v>
      </c>
      <c r="H46" s="84" t="s">
        <v>717</v>
      </c>
      <c r="I46" s="84" t="s">
        <v>758</v>
      </c>
      <c r="J46" s="84" t="s">
        <v>659</v>
      </c>
      <c r="K46" s="87">
        <v>450</v>
      </c>
    </row>
    <row r="47" spans="1:11" ht="14.6" x14ac:dyDescent="0.4">
      <c r="A47" s="84"/>
      <c r="B47" s="84"/>
      <c r="C47" s="84"/>
      <c r="D47" s="84"/>
      <c r="E47" s="84" t="s">
        <v>634</v>
      </c>
      <c r="F47" s="85">
        <v>44944</v>
      </c>
      <c r="G47" s="84" t="s">
        <v>714</v>
      </c>
      <c r="H47" s="84" t="s">
        <v>717</v>
      </c>
      <c r="I47" s="84" t="s">
        <v>759</v>
      </c>
      <c r="J47" s="84" t="s">
        <v>659</v>
      </c>
      <c r="K47" s="87">
        <v>450</v>
      </c>
    </row>
    <row r="48" spans="1:11" ht="14.6" x14ac:dyDescent="0.4">
      <c r="A48" s="84"/>
      <c r="B48" s="84"/>
      <c r="C48" s="84"/>
      <c r="D48" s="84"/>
      <c r="E48" s="84" t="s">
        <v>634</v>
      </c>
      <c r="F48" s="85">
        <v>44944</v>
      </c>
      <c r="G48" s="84" t="s">
        <v>714</v>
      </c>
      <c r="H48" s="84" t="s">
        <v>717</v>
      </c>
      <c r="I48" s="84" t="s">
        <v>760</v>
      </c>
      <c r="J48" s="84" t="s">
        <v>659</v>
      </c>
      <c r="K48" s="87">
        <v>450</v>
      </c>
    </row>
    <row r="49" spans="1:11" ht="14.6" x14ac:dyDescent="0.4">
      <c r="A49" s="84"/>
      <c r="B49" s="84"/>
      <c r="C49" s="84"/>
      <c r="D49" s="84"/>
      <c r="E49" s="84" t="s">
        <v>634</v>
      </c>
      <c r="F49" s="85">
        <v>44944</v>
      </c>
      <c r="G49" s="84" t="s">
        <v>714</v>
      </c>
      <c r="H49" s="84" t="s">
        <v>717</v>
      </c>
      <c r="I49" s="84" t="s">
        <v>761</v>
      </c>
      <c r="J49" s="84" t="s">
        <v>659</v>
      </c>
      <c r="K49" s="87">
        <v>450</v>
      </c>
    </row>
    <row r="50" spans="1:11" ht="14.6" x14ac:dyDescent="0.4">
      <c r="A50" s="84"/>
      <c r="B50" s="84"/>
      <c r="C50" s="84"/>
      <c r="D50" s="84"/>
      <c r="E50" s="84" t="s">
        <v>634</v>
      </c>
      <c r="F50" s="85">
        <v>44944</v>
      </c>
      <c r="G50" s="84" t="s">
        <v>714</v>
      </c>
      <c r="H50" s="84" t="s">
        <v>717</v>
      </c>
      <c r="I50" s="84" t="s">
        <v>762</v>
      </c>
      <c r="J50" s="84" t="s">
        <v>659</v>
      </c>
      <c r="K50" s="87">
        <v>450</v>
      </c>
    </row>
    <row r="51" spans="1:11" ht="14.6" x14ac:dyDescent="0.4">
      <c r="A51" s="84"/>
      <c r="B51" s="84"/>
      <c r="C51" s="84"/>
      <c r="D51" s="84"/>
      <c r="E51" s="84" t="s">
        <v>634</v>
      </c>
      <c r="F51" s="85">
        <v>44944</v>
      </c>
      <c r="G51" s="84" t="s">
        <v>714</v>
      </c>
      <c r="H51" s="84" t="s">
        <v>717</v>
      </c>
      <c r="I51" s="84" t="s">
        <v>763</v>
      </c>
      <c r="J51" s="84" t="s">
        <v>659</v>
      </c>
      <c r="K51" s="87">
        <v>450</v>
      </c>
    </row>
    <row r="52" spans="1:11" ht="14.6" x14ac:dyDescent="0.4">
      <c r="A52" s="84"/>
      <c r="B52" s="84"/>
      <c r="C52" s="84"/>
      <c r="D52" s="84"/>
      <c r="E52" s="84" t="s">
        <v>634</v>
      </c>
      <c r="F52" s="85">
        <v>44944</v>
      </c>
      <c r="G52" s="84" t="s">
        <v>714</v>
      </c>
      <c r="H52" s="84" t="s">
        <v>717</v>
      </c>
      <c r="I52" s="84" t="s">
        <v>764</v>
      </c>
      <c r="J52" s="84" t="s">
        <v>659</v>
      </c>
      <c r="K52" s="87">
        <v>450</v>
      </c>
    </row>
    <row r="53" spans="1:11" ht="14.6" x14ac:dyDescent="0.4">
      <c r="A53" s="84"/>
      <c r="B53" s="84"/>
      <c r="C53" s="84"/>
      <c r="D53" s="84"/>
      <c r="E53" s="84" t="s">
        <v>634</v>
      </c>
      <c r="F53" s="85">
        <v>44944</v>
      </c>
      <c r="G53" s="84" t="s">
        <v>714</v>
      </c>
      <c r="H53" s="84" t="s">
        <v>717</v>
      </c>
      <c r="I53" s="84" t="s">
        <v>765</v>
      </c>
      <c r="J53" s="84" t="s">
        <v>659</v>
      </c>
      <c r="K53" s="87">
        <v>450</v>
      </c>
    </row>
    <row r="54" spans="1:11" ht="14.6" x14ac:dyDescent="0.4">
      <c r="A54" s="84"/>
      <c r="B54" s="84"/>
      <c r="C54" s="84"/>
      <c r="D54" s="84"/>
      <c r="E54" s="84" t="s">
        <v>634</v>
      </c>
      <c r="F54" s="85">
        <v>44944</v>
      </c>
      <c r="G54" s="84" t="s">
        <v>714</v>
      </c>
      <c r="H54" s="84" t="s">
        <v>717</v>
      </c>
      <c r="I54" s="84" t="s">
        <v>766</v>
      </c>
      <c r="J54" s="84" t="s">
        <v>659</v>
      </c>
      <c r="K54" s="87">
        <v>450</v>
      </c>
    </row>
    <row r="55" spans="1:11" ht="14.6" x14ac:dyDescent="0.4">
      <c r="A55" s="84"/>
      <c r="B55" s="84"/>
      <c r="C55" s="84"/>
      <c r="D55" s="84"/>
      <c r="E55" s="84" t="s">
        <v>634</v>
      </c>
      <c r="F55" s="85">
        <v>44944</v>
      </c>
      <c r="G55" s="84" t="s">
        <v>714</v>
      </c>
      <c r="H55" s="84" t="s">
        <v>717</v>
      </c>
      <c r="I55" s="84" t="s">
        <v>767</v>
      </c>
      <c r="J55" s="84" t="s">
        <v>659</v>
      </c>
      <c r="K55" s="87">
        <v>450</v>
      </c>
    </row>
    <row r="56" spans="1:11" ht="14.6" x14ac:dyDescent="0.4">
      <c r="A56" s="84"/>
      <c r="B56" s="84"/>
      <c r="C56" s="84"/>
      <c r="D56" s="84"/>
      <c r="E56" s="84" t="s">
        <v>634</v>
      </c>
      <c r="F56" s="85">
        <v>44944</v>
      </c>
      <c r="G56" s="84" t="s">
        <v>714</v>
      </c>
      <c r="H56" s="84" t="s">
        <v>717</v>
      </c>
      <c r="I56" s="84" t="s">
        <v>768</v>
      </c>
      <c r="J56" s="84" t="s">
        <v>659</v>
      </c>
      <c r="K56" s="87">
        <v>450</v>
      </c>
    </row>
    <row r="57" spans="1:11" ht="14.6" x14ac:dyDescent="0.4">
      <c r="A57" s="84"/>
      <c r="B57" s="84"/>
      <c r="C57" s="84"/>
      <c r="D57" s="84"/>
      <c r="E57" s="84" t="s">
        <v>634</v>
      </c>
      <c r="F57" s="85">
        <v>44944</v>
      </c>
      <c r="G57" s="84" t="s">
        <v>714</v>
      </c>
      <c r="H57" s="84" t="s">
        <v>717</v>
      </c>
      <c r="I57" s="84" t="s">
        <v>769</v>
      </c>
      <c r="J57" s="84" t="s">
        <v>659</v>
      </c>
      <c r="K57" s="87">
        <v>450</v>
      </c>
    </row>
    <row r="58" spans="1:11" ht="14.6" x14ac:dyDescent="0.4">
      <c r="A58" s="84"/>
      <c r="B58" s="84"/>
      <c r="C58" s="84"/>
      <c r="D58" s="84"/>
      <c r="E58" s="84" t="s">
        <v>704</v>
      </c>
      <c r="F58" s="85">
        <v>44944</v>
      </c>
      <c r="G58" s="84" t="s">
        <v>978</v>
      </c>
      <c r="H58" s="84" t="s">
        <v>990</v>
      </c>
      <c r="I58" s="84" t="s">
        <v>1005</v>
      </c>
      <c r="J58" s="84" t="s">
        <v>771</v>
      </c>
      <c r="K58" s="87">
        <v>45</v>
      </c>
    </row>
    <row r="59" spans="1:11" ht="14.6" x14ac:dyDescent="0.4">
      <c r="A59" s="84"/>
      <c r="B59" s="84"/>
      <c r="C59" s="84"/>
      <c r="D59" s="84"/>
      <c r="E59" s="84" t="s">
        <v>704</v>
      </c>
      <c r="F59" s="85">
        <v>44944</v>
      </c>
      <c r="G59" s="84" t="s">
        <v>1437</v>
      </c>
      <c r="H59" s="84" t="s">
        <v>1159</v>
      </c>
      <c r="I59" s="84" t="s">
        <v>1586</v>
      </c>
      <c r="J59" s="84" t="s">
        <v>771</v>
      </c>
      <c r="K59" s="87">
        <v>25.57</v>
      </c>
    </row>
    <row r="60" spans="1:11" ht="14.6" x14ac:dyDescent="0.4">
      <c r="A60" s="84"/>
      <c r="B60" s="84"/>
      <c r="C60" s="84"/>
      <c r="D60" s="84"/>
      <c r="E60" s="84" t="s">
        <v>704</v>
      </c>
      <c r="F60" s="85">
        <v>44948</v>
      </c>
      <c r="G60" s="84" t="s">
        <v>646</v>
      </c>
      <c r="H60" s="84" t="s">
        <v>991</v>
      </c>
      <c r="I60" s="84" t="s">
        <v>1006</v>
      </c>
      <c r="J60" s="84" t="s">
        <v>771</v>
      </c>
      <c r="K60" s="87">
        <v>100</v>
      </c>
    </row>
    <row r="61" spans="1:11" ht="14.6" x14ac:dyDescent="0.4">
      <c r="A61" s="84"/>
      <c r="B61" s="84"/>
      <c r="C61" s="84"/>
      <c r="D61" s="84"/>
      <c r="E61" s="84" t="s">
        <v>704</v>
      </c>
      <c r="F61" s="85">
        <v>44949</v>
      </c>
      <c r="G61" s="84" t="s">
        <v>1438</v>
      </c>
      <c r="H61" s="84" t="s">
        <v>1542</v>
      </c>
      <c r="I61" s="84" t="s">
        <v>1587</v>
      </c>
      <c r="J61" s="84" t="s">
        <v>772</v>
      </c>
      <c r="K61" s="87">
        <v>20</v>
      </c>
    </row>
    <row r="62" spans="1:11" ht="14.6" x14ac:dyDescent="0.4">
      <c r="A62" s="84"/>
      <c r="B62" s="84"/>
      <c r="C62" s="84"/>
      <c r="D62" s="84"/>
      <c r="E62" s="84" t="s">
        <v>704</v>
      </c>
      <c r="F62" s="85">
        <v>44949</v>
      </c>
      <c r="G62" s="84" t="s">
        <v>1439</v>
      </c>
      <c r="H62" s="84" t="s">
        <v>1542</v>
      </c>
      <c r="I62" s="84" t="s">
        <v>1587</v>
      </c>
      <c r="J62" s="84" t="s">
        <v>772</v>
      </c>
      <c r="K62" s="87">
        <v>20</v>
      </c>
    </row>
    <row r="63" spans="1:11" ht="14.6" x14ac:dyDescent="0.4">
      <c r="A63" s="84"/>
      <c r="B63" s="84"/>
      <c r="C63" s="84"/>
      <c r="D63" s="84"/>
      <c r="E63" s="84" t="s">
        <v>704</v>
      </c>
      <c r="F63" s="85">
        <v>44949</v>
      </c>
      <c r="G63" s="84" t="s">
        <v>1440</v>
      </c>
      <c r="H63" s="84" t="s">
        <v>717</v>
      </c>
      <c r="I63" s="84" t="s">
        <v>1588</v>
      </c>
      <c r="J63" s="84" t="s">
        <v>771</v>
      </c>
      <c r="K63" s="87">
        <v>375</v>
      </c>
    </row>
    <row r="64" spans="1:11" ht="14.6" x14ac:dyDescent="0.4">
      <c r="A64" s="84"/>
      <c r="B64" s="84"/>
      <c r="C64" s="84"/>
      <c r="D64" s="84"/>
      <c r="E64" s="84" t="s">
        <v>704</v>
      </c>
      <c r="F64" s="85">
        <v>44949</v>
      </c>
      <c r="G64" s="84" t="s">
        <v>1441</v>
      </c>
      <c r="H64" s="84" t="s">
        <v>717</v>
      </c>
      <c r="I64" s="84" t="s">
        <v>1588</v>
      </c>
      <c r="J64" s="84" t="s">
        <v>771</v>
      </c>
      <c r="K64" s="87">
        <v>325</v>
      </c>
    </row>
    <row r="65" spans="1:11" ht="14.6" x14ac:dyDescent="0.4">
      <c r="A65" s="84"/>
      <c r="B65" s="84"/>
      <c r="C65" s="84"/>
      <c r="D65" s="84"/>
      <c r="E65" s="84" t="s">
        <v>634</v>
      </c>
      <c r="F65" s="85">
        <v>44949</v>
      </c>
      <c r="G65" s="84" t="s">
        <v>1442</v>
      </c>
      <c r="H65" s="84" t="s">
        <v>717</v>
      </c>
      <c r="I65" s="84" t="s">
        <v>1589</v>
      </c>
      <c r="J65" s="84" t="s">
        <v>659</v>
      </c>
      <c r="K65" s="87">
        <v>50</v>
      </c>
    </row>
    <row r="66" spans="1:11" ht="14.6" x14ac:dyDescent="0.4">
      <c r="A66" s="84"/>
      <c r="B66" s="84"/>
      <c r="C66" s="84"/>
      <c r="D66" s="84"/>
      <c r="E66" s="84" t="s">
        <v>704</v>
      </c>
      <c r="F66" s="85">
        <v>44950</v>
      </c>
      <c r="G66" s="84" t="s">
        <v>979</v>
      </c>
      <c r="H66" s="84" t="s">
        <v>717</v>
      </c>
      <c r="I66" s="84" t="s">
        <v>1007</v>
      </c>
      <c r="J66" s="84" t="s">
        <v>771</v>
      </c>
      <c r="K66" s="87">
        <v>465</v>
      </c>
    </row>
    <row r="67" spans="1:11" ht="14.6" x14ac:dyDescent="0.4">
      <c r="A67" s="84"/>
      <c r="B67" s="84"/>
      <c r="C67" s="84"/>
      <c r="D67" s="84"/>
      <c r="E67" s="84" t="s">
        <v>704</v>
      </c>
      <c r="F67" s="85">
        <v>44950</v>
      </c>
      <c r="G67" s="84" t="s">
        <v>980</v>
      </c>
      <c r="H67" s="84" t="s">
        <v>717</v>
      </c>
      <c r="I67" s="84" t="s">
        <v>1008</v>
      </c>
      <c r="J67" s="84" t="s">
        <v>771</v>
      </c>
      <c r="K67" s="87">
        <v>365</v>
      </c>
    </row>
    <row r="68" spans="1:11" ht="14.6" x14ac:dyDescent="0.4">
      <c r="A68" s="84"/>
      <c r="B68" s="84"/>
      <c r="C68" s="84"/>
      <c r="D68" s="84"/>
      <c r="E68" s="84" t="s">
        <v>704</v>
      </c>
      <c r="F68" s="85">
        <v>44951</v>
      </c>
      <c r="G68" s="84" t="s">
        <v>981</v>
      </c>
      <c r="H68" s="84" t="s">
        <v>717</v>
      </c>
      <c r="I68" s="84" t="s">
        <v>1009</v>
      </c>
      <c r="J68" s="84" t="s">
        <v>771</v>
      </c>
      <c r="K68" s="87">
        <v>290</v>
      </c>
    </row>
    <row r="69" spans="1:11" ht="14.6" x14ac:dyDescent="0.4">
      <c r="A69" s="84"/>
      <c r="B69" s="84"/>
      <c r="C69" s="84"/>
      <c r="D69" s="84"/>
      <c r="E69" s="84" t="s">
        <v>704</v>
      </c>
      <c r="F69" s="85">
        <v>44951</v>
      </c>
      <c r="G69" s="84" t="s">
        <v>982</v>
      </c>
      <c r="H69" s="84" t="s">
        <v>992</v>
      </c>
      <c r="I69" s="84" t="s">
        <v>1010</v>
      </c>
      <c r="J69" s="84" t="s">
        <v>771</v>
      </c>
      <c r="K69" s="87">
        <v>71</v>
      </c>
    </row>
    <row r="70" spans="1:11" ht="14.6" x14ac:dyDescent="0.4">
      <c r="A70" s="84"/>
      <c r="B70" s="84"/>
      <c r="C70" s="84"/>
      <c r="D70" s="84"/>
      <c r="E70" s="84" t="s">
        <v>704</v>
      </c>
      <c r="F70" s="85">
        <v>44951</v>
      </c>
      <c r="G70" s="84" t="s">
        <v>983</v>
      </c>
      <c r="H70" s="84" t="s">
        <v>717</v>
      </c>
      <c r="I70" s="84" t="s">
        <v>1011</v>
      </c>
      <c r="J70" s="84" t="s">
        <v>771</v>
      </c>
      <c r="K70" s="87">
        <v>365</v>
      </c>
    </row>
    <row r="71" spans="1:11" ht="14.6" x14ac:dyDescent="0.4">
      <c r="A71" s="84"/>
      <c r="B71" s="84"/>
      <c r="C71" s="84"/>
      <c r="D71" s="84"/>
      <c r="E71" s="84" t="s">
        <v>704</v>
      </c>
      <c r="F71" s="85">
        <v>44951</v>
      </c>
      <c r="G71" s="84" t="s">
        <v>984</v>
      </c>
      <c r="H71" s="84" t="s">
        <v>717</v>
      </c>
      <c r="I71" s="84" t="s">
        <v>1012</v>
      </c>
      <c r="J71" s="84" t="s">
        <v>771</v>
      </c>
      <c r="K71" s="87">
        <v>290</v>
      </c>
    </row>
    <row r="72" spans="1:11" ht="14.6" x14ac:dyDescent="0.4">
      <c r="A72" s="84"/>
      <c r="B72" s="84"/>
      <c r="C72" s="84"/>
      <c r="D72" s="84"/>
      <c r="E72" s="84" t="s">
        <v>634</v>
      </c>
      <c r="F72" s="85">
        <v>44952</v>
      </c>
      <c r="G72" s="84" t="s">
        <v>646</v>
      </c>
      <c r="H72" s="84" t="s">
        <v>993</v>
      </c>
      <c r="I72" s="84" t="s">
        <v>1013</v>
      </c>
      <c r="J72" s="84" t="s">
        <v>659</v>
      </c>
      <c r="K72" s="87">
        <v>35</v>
      </c>
    </row>
    <row r="73" spans="1:11" ht="14.6" x14ac:dyDescent="0.4">
      <c r="A73" s="84"/>
      <c r="B73" s="84"/>
      <c r="C73" s="84"/>
      <c r="D73" s="84"/>
      <c r="E73" s="84" t="s">
        <v>704</v>
      </c>
      <c r="F73" s="85">
        <v>44953</v>
      </c>
      <c r="G73" s="84" t="s">
        <v>985</v>
      </c>
      <c r="H73" s="84" t="s">
        <v>990</v>
      </c>
      <c r="I73" s="84" t="s">
        <v>1014</v>
      </c>
      <c r="J73" s="84" t="s">
        <v>771</v>
      </c>
      <c r="K73" s="87">
        <v>45</v>
      </c>
    </row>
    <row r="74" spans="1:11" ht="14.6" x14ac:dyDescent="0.4">
      <c r="A74" s="84"/>
      <c r="B74" s="84"/>
      <c r="C74" s="84"/>
      <c r="D74" s="84"/>
      <c r="E74" s="84" t="s">
        <v>704</v>
      </c>
      <c r="F74" s="85">
        <v>44953</v>
      </c>
      <c r="G74" s="84" t="s">
        <v>986</v>
      </c>
      <c r="H74" s="84" t="s">
        <v>990</v>
      </c>
      <c r="I74" s="84" t="s">
        <v>1015</v>
      </c>
      <c r="J74" s="84" t="s">
        <v>771</v>
      </c>
      <c r="K74" s="87">
        <v>45</v>
      </c>
    </row>
    <row r="75" spans="1:11" ht="14.6" x14ac:dyDescent="0.4">
      <c r="A75" s="84"/>
      <c r="B75" s="84"/>
      <c r="C75" s="84"/>
      <c r="D75" s="84"/>
      <c r="E75" s="84" t="s">
        <v>704</v>
      </c>
      <c r="F75" s="85">
        <v>44953</v>
      </c>
      <c r="G75" s="84" t="s">
        <v>987</v>
      </c>
      <c r="H75" s="84" t="s">
        <v>990</v>
      </c>
      <c r="I75" s="84" t="s">
        <v>1016</v>
      </c>
      <c r="J75" s="84" t="s">
        <v>771</v>
      </c>
      <c r="K75" s="87">
        <v>45</v>
      </c>
    </row>
    <row r="76" spans="1:11" ht="14.6" x14ac:dyDescent="0.4">
      <c r="A76" s="84"/>
      <c r="B76" s="84"/>
      <c r="C76" s="84"/>
      <c r="D76" s="84"/>
      <c r="E76" s="84" t="s">
        <v>705</v>
      </c>
      <c r="F76" s="85">
        <v>44956</v>
      </c>
      <c r="G76" s="84" t="s">
        <v>715</v>
      </c>
      <c r="H76" s="84" t="s">
        <v>725</v>
      </c>
      <c r="I76" s="84" t="s">
        <v>770</v>
      </c>
      <c r="J76" s="84" t="s">
        <v>773</v>
      </c>
      <c r="K76" s="87">
        <v>-188.54</v>
      </c>
    </row>
    <row r="77" spans="1:11" ht="14.6" x14ac:dyDescent="0.4">
      <c r="A77" s="84"/>
      <c r="B77" s="84"/>
      <c r="C77" s="84"/>
      <c r="D77" s="84"/>
      <c r="E77" s="84" t="s">
        <v>634</v>
      </c>
      <c r="F77" s="85">
        <v>44960</v>
      </c>
      <c r="G77" s="84" t="s">
        <v>848</v>
      </c>
      <c r="H77" s="84" t="s">
        <v>994</v>
      </c>
      <c r="I77" s="84" t="s">
        <v>1017</v>
      </c>
      <c r="J77" s="84" t="s">
        <v>659</v>
      </c>
      <c r="K77" s="87">
        <v>100</v>
      </c>
    </row>
    <row r="78" spans="1:11" ht="14.6" x14ac:dyDescent="0.4">
      <c r="A78" s="84"/>
      <c r="B78" s="84"/>
      <c r="C78" s="84"/>
      <c r="D78" s="84"/>
      <c r="E78" s="84" t="s">
        <v>634</v>
      </c>
      <c r="F78" s="85">
        <v>44964</v>
      </c>
      <c r="G78" s="84" t="s">
        <v>988</v>
      </c>
      <c r="H78" s="84" t="s">
        <v>995</v>
      </c>
      <c r="I78" s="84" t="s">
        <v>1018</v>
      </c>
      <c r="J78" s="84" t="s">
        <v>659</v>
      </c>
      <c r="K78" s="87">
        <v>15</v>
      </c>
    </row>
    <row r="79" spans="1:11" ht="14.6" x14ac:dyDescent="0.4">
      <c r="A79" s="84"/>
      <c r="B79" s="84"/>
      <c r="C79" s="84"/>
      <c r="D79" s="84"/>
      <c r="E79" s="84" t="s">
        <v>634</v>
      </c>
      <c r="F79" s="85">
        <v>44964</v>
      </c>
      <c r="G79" s="84" t="s">
        <v>988</v>
      </c>
      <c r="H79" s="84" t="s">
        <v>995</v>
      </c>
      <c r="I79" s="84" t="s">
        <v>1019</v>
      </c>
      <c r="J79" s="84" t="s">
        <v>659</v>
      </c>
      <c r="K79" s="87">
        <v>15</v>
      </c>
    </row>
    <row r="80" spans="1:11" ht="14.6" x14ac:dyDescent="0.4">
      <c r="A80" s="84"/>
      <c r="B80" s="84"/>
      <c r="C80" s="84"/>
      <c r="D80" s="84"/>
      <c r="E80" s="84" t="s">
        <v>634</v>
      </c>
      <c r="F80" s="85">
        <v>44964</v>
      </c>
      <c r="G80" s="84" t="s">
        <v>988</v>
      </c>
      <c r="H80" s="84" t="s">
        <v>995</v>
      </c>
      <c r="I80" s="84" t="s">
        <v>1020</v>
      </c>
      <c r="J80" s="84" t="s">
        <v>659</v>
      </c>
      <c r="K80" s="87">
        <v>15</v>
      </c>
    </row>
    <row r="81" spans="1:11" ht="14.6" x14ac:dyDescent="0.4">
      <c r="A81" s="84"/>
      <c r="B81" s="84"/>
      <c r="C81" s="84"/>
      <c r="D81" s="84"/>
      <c r="E81" s="84" t="s">
        <v>634</v>
      </c>
      <c r="F81" s="85">
        <v>44964</v>
      </c>
      <c r="G81" s="84" t="s">
        <v>988</v>
      </c>
      <c r="H81" s="84" t="s">
        <v>995</v>
      </c>
      <c r="I81" s="84" t="s">
        <v>1021</v>
      </c>
      <c r="J81" s="84" t="s">
        <v>659</v>
      </c>
      <c r="K81" s="87">
        <v>15</v>
      </c>
    </row>
    <row r="82" spans="1:11" ht="14.6" x14ac:dyDescent="0.4">
      <c r="A82" s="84"/>
      <c r="B82" s="84"/>
      <c r="C82" s="84"/>
      <c r="D82" s="84"/>
      <c r="E82" s="84" t="s">
        <v>704</v>
      </c>
      <c r="F82" s="85">
        <v>44964</v>
      </c>
      <c r="G82" s="84" t="s">
        <v>940</v>
      </c>
      <c r="H82" s="84" t="s">
        <v>716</v>
      </c>
      <c r="I82" s="84" t="s">
        <v>1022</v>
      </c>
      <c r="J82" s="84" t="s">
        <v>771</v>
      </c>
      <c r="K82" s="87">
        <v>25</v>
      </c>
    </row>
    <row r="83" spans="1:11" ht="14.6" x14ac:dyDescent="0.4">
      <c r="A83" s="84"/>
      <c r="B83" s="84"/>
      <c r="C83" s="84"/>
      <c r="D83" s="84"/>
      <c r="E83" s="84" t="s">
        <v>704</v>
      </c>
      <c r="F83" s="85">
        <v>44967</v>
      </c>
      <c r="G83" s="84" t="s">
        <v>1443</v>
      </c>
      <c r="H83" s="84" t="s">
        <v>989</v>
      </c>
      <c r="I83" s="84" t="s">
        <v>1590</v>
      </c>
      <c r="J83" s="84" t="s">
        <v>1729</v>
      </c>
      <c r="K83" s="87">
        <v>675</v>
      </c>
    </row>
    <row r="84" spans="1:11" ht="14.6" x14ac:dyDescent="0.4">
      <c r="A84" s="84"/>
      <c r="B84" s="84"/>
      <c r="C84" s="84"/>
      <c r="D84" s="84"/>
      <c r="E84" s="84" t="s">
        <v>634</v>
      </c>
      <c r="F84" s="85">
        <v>44972</v>
      </c>
      <c r="G84" s="84" t="s">
        <v>1444</v>
      </c>
      <c r="H84" s="84" t="s">
        <v>647</v>
      </c>
      <c r="I84" s="84" t="s">
        <v>1591</v>
      </c>
      <c r="J84" s="84" t="s">
        <v>659</v>
      </c>
      <c r="K84" s="87">
        <v>499</v>
      </c>
    </row>
    <row r="85" spans="1:11" ht="14.6" x14ac:dyDescent="0.4">
      <c r="A85" s="84"/>
      <c r="B85" s="84"/>
      <c r="C85" s="84"/>
      <c r="D85" s="84"/>
      <c r="E85" s="84" t="s">
        <v>634</v>
      </c>
      <c r="F85" s="85">
        <v>44973</v>
      </c>
      <c r="G85" s="84" t="s">
        <v>1445</v>
      </c>
      <c r="H85" s="84" t="s">
        <v>896</v>
      </c>
      <c r="I85" s="84" t="s">
        <v>1592</v>
      </c>
      <c r="J85" s="84" t="s">
        <v>659</v>
      </c>
      <c r="K85" s="87">
        <v>3297</v>
      </c>
    </row>
    <row r="86" spans="1:11" ht="14.6" x14ac:dyDescent="0.4">
      <c r="A86" s="84"/>
      <c r="B86" s="84"/>
      <c r="C86" s="84"/>
      <c r="D86" s="84"/>
      <c r="E86" s="84" t="s">
        <v>704</v>
      </c>
      <c r="F86" s="85">
        <v>44976</v>
      </c>
      <c r="G86" s="84" t="s">
        <v>1446</v>
      </c>
      <c r="H86" s="84" t="s">
        <v>1543</v>
      </c>
      <c r="I86" s="84" t="s">
        <v>1593</v>
      </c>
      <c r="J86" s="84" t="s">
        <v>772</v>
      </c>
      <c r="K86" s="87">
        <v>21</v>
      </c>
    </row>
    <row r="87" spans="1:11" ht="14.6" x14ac:dyDescent="0.4">
      <c r="A87" s="84"/>
      <c r="B87" s="84"/>
      <c r="C87" s="84"/>
      <c r="D87" s="84"/>
      <c r="E87" s="84" t="s">
        <v>704</v>
      </c>
      <c r="F87" s="85">
        <v>44977</v>
      </c>
      <c r="G87" s="84" t="s">
        <v>1447</v>
      </c>
      <c r="H87" s="84" t="s">
        <v>1544</v>
      </c>
      <c r="I87" s="84" t="s">
        <v>1594</v>
      </c>
      <c r="J87" s="84" t="s">
        <v>772</v>
      </c>
      <c r="K87" s="87">
        <v>426.23</v>
      </c>
    </row>
    <row r="88" spans="1:11" ht="14.6" x14ac:dyDescent="0.4">
      <c r="A88" s="84"/>
      <c r="B88" s="84"/>
      <c r="C88" s="84"/>
      <c r="D88" s="84"/>
      <c r="E88" s="84" t="s">
        <v>704</v>
      </c>
      <c r="F88" s="85">
        <v>44979</v>
      </c>
      <c r="G88" s="84" t="s">
        <v>1448</v>
      </c>
      <c r="H88" s="84" t="s">
        <v>1543</v>
      </c>
      <c r="I88" s="84" t="s">
        <v>1595</v>
      </c>
      <c r="J88" s="84" t="s">
        <v>772</v>
      </c>
      <c r="K88" s="87">
        <v>856.67</v>
      </c>
    </row>
    <row r="89" spans="1:11" ht="14.6" x14ac:dyDescent="0.4">
      <c r="A89" s="84"/>
      <c r="B89" s="84"/>
      <c r="C89" s="84"/>
      <c r="D89" s="84"/>
      <c r="E89" s="84" t="s">
        <v>704</v>
      </c>
      <c r="F89" s="85">
        <v>44979</v>
      </c>
      <c r="G89" s="84" t="s">
        <v>1449</v>
      </c>
      <c r="H89" s="84" t="s">
        <v>1543</v>
      </c>
      <c r="I89" s="84" t="s">
        <v>1596</v>
      </c>
      <c r="J89" s="84" t="s">
        <v>772</v>
      </c>
      <c r="K89" s="87">
        <v>824.31</v>
      </c>
    </row>
    <row r="90" spans="1:11" ht="14.6" x14ac:dyDescent="0.4">
      <c r="A90" s="84"/>
      <c r="B90" s="84"/>
      <c r="C90" s="84"/>
      <c r="D90" s="84"/>
      <c r="E90" s="84" t="s">
        <v>704</v>
      </c>
      <c r="F90" s="85">
        <v>44979</v>
      </c>
      <c r="G90" s="84" t="s">
        <v>1450</v>
      </c>
      <c r="H90" s="84" t="s">
        <v>1545</v>
      </c>
      <c r="I90" s="84" t="s">
        <v>1597</v>
      </c>
      <c r="J90" s="84" t="s">
        <v>772</v>
      </c>
      <c r="K90" s="87">
        <v>156.31</v>
      </c>
    </row>
    <row r="91" spans="1:11" ht="14.6" x14ac:dyDescent="0.4">
      <c r="A91" s="84"/>
      <c r="B91" s="84"/>
      <c r="C91" s="84"/>
      <c r="D91" s="84"/>
      <c r="E91" s="84" t="s">
        <v>704</v>
      </c>
      <c r="F91" s="85">
        <v>44979</v>
      </c>
      <c r="G91" s="84" t="s">
        <v>789</v>
      </c>
      <c r="H91" s="84" t="s">
        <v>991</v>
      </c>
      <c r="I91" s="84" t="s">
        <v>1006</v>
      </c>
      <c r="J91" s="84" t="s">
        <v>771</v>
      </c>
      <c r="K91" s="87">
        <v>100</v>
      </c>
    </row>
    <row r="92" spans="1:11" ht="14.6" x14ac:dyDescent="0.4">
      <c r="A92" s="84"/>
      <c r="B92" s="84"/>
      <c r="C92" s="84"/>
      <c r="D92" s="84"/>
      <c r="E92" s="84" t="s">
        <v>634</v>
      </c>
      <c r="F92" s="85">
        <v>44980</v>
      </c>
      <c r="G92" s="84" t="s">
        <v>789</v>
      </c>
      <c r="H92" s="84" t="s">
        <v>1546</v>
      </c>
      <c r="I92" s="84" t="s">
        <v>1598</v>
      </c>
      <c r="J92" s="84" t="s">
        <v>659</v>
      </c>
      <c r="K92" s="87">
        <v>302.70999999999998</v>
      </c>
    </row>
    <row r="93" spans="1:11" ht="14.6" x14ac:dyDescent="0.4">
      <c r="A93" s="84"/>
      <c r="B93" s="84"/>
      <c r="C93" s="84"/>
      <c r="D93" s="84"/>
      <c r="E93" s="84" t="s">
        <v>634</v>
      </c>
      <c r="F93" s="85">
        <v>44981</v>
      </c>
      <c r="G93" s="84" t="s">
        <v>789</v>
      </c>
      <c r="H93" s="84" t="s">
        <v>724</v>
      </c>
      <c r="I93" s="84" t="s">
        <v>1599</v>
      </c>
      <c r="J93" s="84" t="s">
        <v>659</v>
      </c>
      <c r="K93" s="87">
        <v>1255.54</v>
      </c>
    </row>
    <row r="94" spans="1:11" ht="14.6" x14ac:dyDescent="0.4">
      <c r="A94" s="84"/>
      <c r="B94" s="84"/>
      <c r="C94" s="84"/>
      <c r="D94" s="84"/>
      <c r="E94" s="84" t="s">
        <v>634</v>
      </c>
      <c r="F94" s="85">
        <v>44981</v>
      </c>
      <c r="G94" s="84" t="s">
        <v>789</v>
      </c>
      <c r="H94" s="84" t="s">
        <v>1547</v>
      </c>
      <c r="I94" s="84" t="s">
        <v>1600</v>
      </c>
      <c r="J94" s="84" t="s">
        <v>659</v>
      </c>
      <c r="K94" s="87">
        <v>225.32</v>
      </c>
    </row>
    <row r="95" spans="1:11" ht="14.6" x14ac:dyDescent="0.4">
      <c r="A95" s="84"/>
      <c r="B95" s="84"/>
      <c r="C95" s="84"/>
      <c r="D95" s="84"/>
      <c r="E95" s="84" t="s">
        <v>704</v>
      </c>
      <c r="F95" s="85">
        <v>44981</v>
      </c>
      <c r="G95" s="84" t="s">
        <v>1451</v>
      </c>
      <c r="H95" s="84" t="s">
        <v>990</v>
      </c>
      <c r="I95" s="84" t="s">
        <v>1601</v>
      </c>
      <c r="J95" s="84" t="s">
        <v>1729</v>
      </c>
      <c r="K95" s="87">
        <v>45</v>
      </c>
    </row>
    <row r="96" spans="1:11" ht="14.6" x14ac:dyDescent="0.4">
      <c r="A96" s="84"/>
      <c r="B96" s="84"/>
      <c r="C96" s="84"/>
      <c r="D96" s="84"/>
      <c r="E96" s="84" t="s">
        <v>704</v>
      </c>
      <c r="F96" s="85">
        <v>44981</v>
      </c>
      <c r="G96" s="84" t="s">
        <v>1452</v>
      </c>
      <c r="H96" s="84" t="s">
        <v>990</v>
      </c>
      <c r="I96" s="84" t="s">
        <v>1602</v>
      </c>
      <c r="J96" s="84" t="s">
        <v>1729</v>
      </c>
      <c r="K96" s="87">
        <v>45</v>
      </c>
    </row>
    <row r="97" spans="1:11" ht="14.6" x14ac:dyDescent="0.4">
      <c r="A97" s="84"/>
      <c r="B97" s="84"/>
      <c r="C97" s="84"/>
      <c r="D97" s="84"/>
      <c r="E97" s="84" t="s">
        <v>634</v>
      </c>
      <c r="F97" s="85">
        <v>44983</v>
      </c>
      <c r="G97" s="84" t="s">
        <v>789</v>
      </c>
      <c r="H97" s="84" t="s">
        <v>1548</v>
      </c>
      <c r="I97" s="84" t="s">
        <v>1603</v>
      </c>
      <c r="J97" s="84" t="s">
        <v>659</v>
      </c>
      <c r="K97" s="87">
        <v>225.32</v>
      </c>
    </row>
    <row r="98" spans="1:11" ht="14.6" x14ac:dyDescent="0.4">
      <c r="A98" s="84"/>
      <c r="B98" s="84"/>
      <c r="C98" s="84"/>
      <c r="D98" s="84"/>
      <c r="E98" s="84" t="s">
        <v>634</v>
      </c>
      <c r="F98" s="85">
        <v>44984</v>
      </c>
      <c r="G98" s="84" t="s">
        <v>789</v>
      </c>
      <c r="H98" s="84" t="s">
        <v>1549</v>
      </c>
      <c r="I98" s="84" t="s">
        <v>1604</v>
      </c>
      <c r="J98" s="84" t="s">
        <v>659</v>
      </c>
      <c r="K98" s="87">
        <v>100</v>
      </c>
    </row>
    <row r="99" spans="1:11" ht="14.6" x14ac:dyDescent="0.4">
      <c r="A99" s="84"/>
      <c r="B99" s="84"/>
      <c r="C99" s="84"/>
      <c r="D99" s="84"/>
      <c r="E99" s="84" t="s">
        <v>634</v>
      </c>
      <c r="F99" s="85">
        <v>44984</v>
      </c>
      <c r="G99" s="84" t="s">
        <v>789</v>
      </c>
      <c r="H99" s="84" t="s">
        <v>1550</v>
      </c>
      <c r="I99" s="84" t="s">
        <v>1605</v>
      </c>
      <c r="J99" s="84" t="s">
        <v>659</v>
      </c>
      <c r="K99" s="87">
        <v>100</v>
      </c>
    </row>
    <row r="100" spans="1:11" ht="14.6" x14ac:dyDescent="0.4">
      <c r="A100" s="84"/>
      <c r="B100" s="84"/>
      <c r="C100" s="84"/>
      <c r="D100" s="84"/>
      <c r="E100" s="84" t="s">
        <v>704</v>
      </c>
      <c r="F100" s="85">
        <v>44984</v>
      </c>
      <c r="G100" s="84" t="s">
        <v>1453</v>
      </c>
      <c r="H100" s="84" t="s">
        <v>717</v>
      </c>
      <c r="I100" s="84" t="s">
        <v>1606</v>
      </c>
      <c r="J100" s="84" t="s">
        <v>1729</v>
      </c>
      <c r="K100" s="87">
        <v>75</v>
      </c>
    </row>
    <row r="101" spans="1:11" ht="14.6" x14ac:dyDescent="0.4">
      <c r="A101" s="84"/>
      <c r="B101" s="84"/>
      <c r="C101" s="84"/>
      <c r="D101" s="84"/>
      <c r="E101" s="84" t="s">
        <v>634</v>
      </c>
      <c r="F101" s="85">
        <v>44985</v>
      </c>
      <c r="G101" s="84" t="s">
        <v>789</v>
      </c>
      <c r="H101" s="84" t="s">
        <v>1551</v>
      </c>
      <c r="I101" s="84" t="s">
        <v>1607</v>
      </c>
      <c r="J101" s="84" t="s">
        <v>659</v>
      </c>
      <c r="K101" s="87">
        <v>824.31</v>
      </c>
    </row>
    <row r="102" spans="1:11" ht="14.6" x14ac:dyDescent="0.4">
      <c r="A102" s="84"/>
      <c r="B102" s="84"/>
      <c r="C102" s="84"/>
      <c r="D102" s="84"/>
      <c r="E102" s="84" t="s">
        <v>634</v>
      </c>
      <c r="F102" s="85">
        <v>44985</v>
      </c>
      <c r="G102" s="84" t="s">
        <v>789</v>
      </c>
      <c r="H102" s="84" t="s">
        <v>1552</v>
      </c>
      <c r="I102" s="84" t="s">
        <v>1731</v>
      </c>
      <c r="J102" s="84" t="s">
        <v>659</v>
      </c>
      <c r="K102" s="87">
        <v>260.8</v>
      </c>
    </row>
    <row r="103" spans="1:11" ht="14.6" x14ac:dyDescent="0.4">
      <c r="A103" s="84"/>
      <c r="B103" s="84"/>
      <c r="C103" s="84"/>
      <c r="D103" s="84"/>
      <c r="E103" s="84" t="s">
        <v>634</v>
      </c>
      <c r="F103" s="85">
        <v>44985</v>
      </c>
      <c r="G103" s="84" t="s">
        <v>1454</v>
      </c>
      <c r="H103" s="84" t="s">
        <v>717</v>
      </c>
      <c r="I103" s="84" t="s">
        <v>1608</v>
      </c>
      <c r="J103" s="84" t="s">
        <v>659</v>
      </c>
      <c r="K103" s="87">
        <v>365</v>
      </c>
    </row>
    <row r="104" spans="1:11" ht="14.6" x14ac:dyDescent="0.4">
      <c r="A104" s="84"/>
      <c r="B104" s="84"/>
      <c r="C104" s="84"/>
      <c r="D104" s="84"/>
      <c r="E104" s="84" t="s">
        <v>634</v>
      </c>
      <c r="F104" s="85">
        <v>44985</v>
      </c>
      <c r="G104" s="84" t="s">
        <v>1454</v>
      </c>
      <c r="H104" s="84" t="s">
        <v>717</v>
      </c>
      <c r="I104" s="84" t="s">
        <v>1609</v>
      </c>
      <c r="J104" s="84" t="s">
        <v>659</v>
      </c>
      <c r="K104" s="87">
        <v>365</v>
      </c>
    </row>
    <row r="105" spans="1:11" ht="14.6" x14ac:dyDescent="0.4">
      <c r="A105" s="84"/>
      <c r="B105" s="84"/>
      <c r="C105" s="84"/>
      <c r="D105" s="84"/>
      <c r="E105" s="84" t="s">
        <v>634</v>
      </c>
      <c r="F105" s="85">
        <v>44985</v>
      </c>
      <c r="G105" s="84" t="s">
        <v>1454</v>
      </c>
      <c r="H105" s="84" t="s">
        <v>717</v>
      </c>
      <c r="I105" s="84" t="s">
        <v>1610</v>
      </c>
      <c r="J105" s="84" t="s">
        <v>659</v>
      </c>
      <c r="K105" s="87">
        <v>365</v>
      </c>
    </row>
    <row r="106" spans="1:11" ht="14.6" x14ac:dyDescent="0.4">
      <c r="A106" s="84"/>
      <c r="B106" s="84"/>
      <c r="C106" s="84"/>
      <c r="D106" s="84"/>
      <c r="E106" s="84" t="s">
        <v>634</v>
      </c>
      <c r="F106" s="85">
        <v>44985</v>
      </c>
      <c r="G106" s="84" t="s">
        <v>1454</v>
      </c>
      <c r="H106" s="84" t="s">
        <v>717</v>
      </c>
      <c r="I106" s="84" t="s">
        <v>1611</v>
      </c>
      <c r="J106" s="84" t="s">
        <v>659</v>
      </c>
      <c r="K106" s="87">
        <v>465</v>
      </c>
    </row>
    <row r="107" spans="1:11" ht="14.6" x14ac:dyDescent="0.4">
      <c r="A107" s="84"/>
      <c r="B107" s="84"/>
      <c r="C107" s="84"/>
      <c r="D107" s="84"/>
      <c r="E107" s="84" t="s">
        <v>634</v>
      </c>
      <c r="F107" s="85">
        <v>44985</v>
      </c>
      <c r="G107" s="84" t="s">
        <v>1454</v>
      </c>
      <c r="H107" s="84" t="s">
        <v>717</v>
      </c>
      <c r="I107" s="84" t="s">
        <v>1612</v>
      </c>
      <c r="J107" s="84" t="s">
        <v>659</v>
      </c>
      <c r="K107" s="87">
        <v>365</v>
      </c>
    </row>
    <row r="108" spans="1:11" ht="14.6" x14ac:dyDescent="0.4">
      <c r="A108" s="84"/>
      <c r="B108" s="84"/>
      <c r="C108" s="84"/>
      <c r="D108" s="84"/>
      <c r="E108" s="84" t="s">
        <v>634</v>
      </c>
      <c r="F108" s="85">
        <v>44985</v>
      </c>
      <c r="G108" s="84" t="s">
        <v>1454</v>
      </c>
      <c r="H108" s="84" t="s">
        <v>717</v>
      </c>
      <c r="I108" s="84" t="s">
        <v>1613</v>
      </c>
      <c r="J108" s="84" t="s">
        <v>659</v>
      </c>
      <c r="K108" s="87">
        <v>365</v>
      </c>
    </row>
    <row r="109" spans="1:11" ht="14.6" x14ac:dyDescent="0.4">
      <c r="A109" s="84"/>
      <c r="B109" s="84"/>
      <c r="C109" s="84"/>
      <c r="D109" s="84"/>
      <c r="E109" s="84" t="s">
        <v>634</v>
      </c>
      <c r="F109" s="85">
        <v>44985</v>
      </c>
      <c r="G109" s="84" t="s">
        <v>1454</v>
      </c>
      <c r="H109" s="84" t="s">
        <v>717</v>
      </c>
      <c r="I109" s="84" t="s">
        <v>1614</v>
      </c>
      <c r="J109" s="84" t="s">
        <v>659</v>
      </c>
      <c r="K109" s="87">
        <v>-50</v>
      </c>
    </row>
    <row r="110" spans="1:11" ht="14.6" x14ac:dyDescent="0.4">
      <c r="A110" s="84"/>
      <c r="B110" s="84"/>
      <c r="C110" s="84"/>
      <c r="D110" s="84"/>
      <c r="E110" s="84" t="s">
        <v>634</v>
      </c>
      <c r="F110" s="85">
        <v>44985</v>
      </c>
      <c r="G110" s="84" t="s">
        <v>848</v>
      </c>
      <c r="H110" s="84" t="s">
        <v>1553</v>
      </c>
      <c r="I110" s="84" t="s">
        <v>1615</v>
      </c>
      <c r="J110" s="84" t="s">
        <v>659</v>
      </c>
      <c r="K110" s="87">
        <v>100</v>
      </c>
    </row>
    <row r="111" spans="1:11" ht="14.6" x14ac:dyDescent="0.4">
      <c r="A111" s="84"/>
      <c r="B111" s="84"/>
      <c r="C111" s="84"/>
      <c r="D111" s="84"/>
      <c r="E111" s="84" t="s">
        <v>704</v>
      </c>
      <c r="F111" s="85">
        <v>44985</v>
      </c>
      <c r="G111" s="84" t="s">
        <v>1455</v>
      </c>
      <c r="H111" s="84" t="s">
        <v>717</v>
      </c>
      <c r="I111" s="84" t="s">
        <v>1616</v>
      </c>
      <c r="J111" s="84" t="s">
        <v>1729</v>
      </c>
      <c r="K111" s="87">
        <v>50</v>
      </c>
    </row>
    <row r="112" spans="1:11" ht="14.6" x14ac:dyDescent="0.4">
      <c r="A112" s="84"/>
      <c r="B112" s="84"/>
      <c r="C112" s="84"/>
      <c r="D112" s="84"/>
      <c r="E112" s="84" t="s">
        <v>704</v>
      </c>
      <c r="F112" s="85">
        <v>44985</v>
      </c>
      <c r="G112" s="84" t="s">
        <v>1455</v>
      </c>
      <c r="H112" s="84" t="s">
        <v>717</v>
      </c>
      <c r="I112" s="84" t="s">
        <v>1617</v>
      </c>
      <c r="J112" s="84" t="s">
        <v>1729</v>
      </c>
      <c r="K112" s="87">
        <v>50</v>
      </c>
    </row>
    <row r="113" spans="1:11" ht="14.6" x14ac:dyDescent="0.4">
      <c r="A113" s="84"/>
      <c r="B113" s="84"/>
      <c r="C113" s="84"/>
      <c r="D113" s="84"/>
      <c r="E113" s="84" t="s">
        <v>634</v>
      </c>
      <c r="F113" s="85">
        <v>44986</v>
      </c>
      <c r="G113" s="84" t="s">
        <v>1456</v>
      </c>
      <c r="H113" s="84" t="s">
        <v>990</v>
      </c>
      <c r="I113" s="84" t="s">
        <v>1618</v>
      </c>
      <c r="J113" s="84" t="s">
        <v>659</v>
      </c>
      <c r="K113" s="87">
        <v>100</v>
      </c>
    </row>
    <row r="114" spans="1:11" ht="14.6" x14ac:dyDescent="0.4">
      <c r="A114" s="84"/>
      <c r="B114" s="84"/>
      <c r="C114" s="84"/>
      <c r="D114" s="84"/>
      <c r="E114" s="84" t="s">
        <v>704</v>
      </c>
      <c r="F114" s="85">
        <v>44986</v>
      </c>
      <c r="G114" s="84" t="s">
        <v>1457</v>
      </c>
      <c r="H114" s="84" t="s">
        <v>1554</v>
      </c>
      <c r="I114" s="84" t="s">
        <v>1619</v>
      </c>
      <c r="J114" s="84" t="s">
        <v>772</v>
      </c>
      <c r="K114" s="87">
        <v>46.2</v>
      </c>
    </row>
    <row r="115" spans="1:11" ht="14.6" x14ac:dyDescent="0.4">
      <c r="A115" s="84"/>
      <c r="B115" s="84"/>
      <c r="C115" s="84"/>
      <c r="D115" s="84"/>
      <c r="E115" s="84" t="s">
        <v>704</v>
      </c>
      <c r="F115" s="85">
        <v>44986</v>
      </c>
      <c r="G115" s="84" t="s">
        <v>1458</v>
      </c>
      <c r="H115" s="84" t="s">
        <v>1542</v>
      </c>
      <c r="I115" s="84" t="s">
        <v>1620</v>
      </c>
      <c r="J115" s="84" t="s">
        <v>771</v>
      </c>
      <c r="K115" s="87">
        <v>40</v>
      </c>
    </row>
    <row r="116" spans="1:11" ht="14.6" x14ac:dyDescent="0.4">
      <c r="A116" s="84"/>
      <c r="B116" s="84"/>
      <c r="C116" s="84"/>
      <c r="D116" s="84"/>
      <c r="E116" s="84" t="s">
        <v>704</v>
      </c>
      <c r="F116" s="85">
        <v>44986</v>
      </c>
      <c r="G116" s="84" t="s">
        <v>1459</v>
      </c>
      <c r="H116" s="84" t="s">
        <v>1555</v>
      </c>
      <c r="I116" s="84" t="s">
        <v>1621</v>
      </c>
      <c r="J116" s="84" t="s">
        <v>1729</v>
      </c>
      <c r="K116" s="87">
        <v>32.46</v>
      </c>
    </row>
    <row r="117" spans="1:11" ht="14.6" x14ac:dyDescent="0.4">
      <c r="A117" s="84"/>
      <c r="B117" s="84"/>
      <c r="C117" s="84"/>
      <c r="D117" s="84"/>
      <c r="E117" s="84" t="s">
        <v>704</v>
      </c>
      <c r="F117" s="85">
        <v>44986</v>
      </c>
      <c r="G117" s="84" t="s">
        <v>1460</v>
      </c>
      <c r="H117" s="84" t="s">
        <v>1555</v>
      </c>
      <c r="I117" s="84" t="s">
        <v>1622</v>
      </c>
      <c r="J117" s="84" t="s">
        <v>1729</v>
      </c>
      <c r="K117" s="87">
        <v>18.39</v>
      </c>
    </row>
    <row r="118" spans="1:11" ht="14.6" x14ac:dyDescent="0.4">
      <c r="A118" s="84"/>
      <c r="B118" s="84"/>
      <c r="C118" s="84"/>
      <c r="D118" s="84"/>
      <c r="E118" s="84" t="s">
        <v>704</v>
      </c>
      <c r="F118" s="85">
        <v>44986</v>
      </c>
      <c r="G118" s="84" t="s">
        <v>1461</v>
      </c>
      <c r="H118" s="84" t="s">
        <v>1555</v>
      </c>
      <c r="I118" s="84" t="s">
        <v>1623</v>
      </c>
      <c r="J118" s="84" t="s">
        <v>1729</v>
      </c>
      <c r="K118" s="87">
        <v>27.05</v>
      </c>
    </row>
    <row r="119" spans="1:11" ht="14.6" x14ac:dyDescent="0.4">
      <c r="A119" s="84"/>
      <c r="B119" s="84"/>
      <c r="C119" s="84"/>
      <c r="D119" s="84"/>
      <c r="E119" s="84" t="s">
        <v>704</v>
      </c>
      <c r="F119" s="85">
        <v>44986</v>
      </c>
      <c r="G119" s="84" t="s">
        <v>1462</v>
      </c>
      <c r="H119" s="84" t="s">
        <v>717</v>
      </c>
      <c r="I119" s="84" t="s">
        <v>1624</v>
      </c>
      <c r="J119" s="84" t="s">
        <v>1729</v>
      </c>
      <c r="K119" s="87">
        <v>50</v>
      </c>
    </row>
    <row r="120" spans="1:11" ht="14.6" x14ac:dyDescent="0.4">
      <c r="A120" s="84"/>
      <c r="B120" s="84"/>
      <c r="C120" s="84"/>
      <c r="D120" s="84"/>
      <c r="E120" s="84" t="s">
        <v>704</v>
      </c>
      <c r="F120" s="85">
        <v>44995</v>
      </c>
      <c r="G120" s="84" t="s">
        <v>1463</v>
      </c>
      <c r="H120" s="84" t="s">
        <v>647</v>
      </c>
      <c r="I120" s="84" t="s">
        <v>1625</v>
      </c>
      <c r="J120" s="84" t="s">
        <v>771</v>
      </c>
      <c r="K120" s="87">
        <v>150</v>
      </c>
    </row>
    <row r="121" spans="1:11" ht="14.6" x14ac:dyDescent="0.4">
      <c r="A121" s="84"/>
      <c r="B121" s="84"/>
      <c r="C121" s="84"/>
      <c r="D121" s="84"/>
      <c r="E121" s="84" t="s">
        <v>704</v>
      </c>
      <c r="F121" s="85">
        <v>44998</v>
      </c>
      <c r="G121" s="84" t="s">
        <v>1464</v>
      </c>
      <c r="H121" s="84" t="s">
        <v>717</v>
      </c>
      <c r="I121" s="84" t="s">
        <v>1626</v>
      </c>
      <c r="J121" s="84" t="s">
        <v>1729</v>
      </c>
      <c r="K121" s="87">
        <v>365</v>
      </c>
    </row>
    <row r="122" spans="1:11" ht="14.6" x14ac:dyDescent="0.4">
      <c r="A122" s="84"/>
      <c r="B122" s="84"/>
      <c r="C122" s="84"/>
      <c r="D122" s="84"/>
      <c r="E122" s="84" t="s">
        <v>704</v>
      </c>
      <c r="F122" s="85">
        <v>44998</v>
      </c>
      <c r="G122" s="84" t="s">
        <v>1464</v>
      </c>
      <c r="H122" s="84" t="s">
        <v>717</v>
      </c>
      <c r="I122" s="84" t="s">
        <v>1627</v>
      </c>
      <c r="J122" s="84" t="s">
        <v>1729</v>
      </c>
      <c r="K122" s="87">
        <v>465</v>
      </c>
    </row>
    <row r="123" spans="1:11" ht="14.6" x14ac:dyDescent="0.4">
      <c r="A123" s="84"/>
      <c r="B123" s="84"/>
      <c r="C123" s="84"/>
      <c r="D123" s="84"/>
      <c r="E123" s="84" t="s">
        <v>704</v>
      </c>
      <c r="F123" s="85">
        <v>44999</v>
      </c>
      <c r="G123" s="84" t="s">
        <v>1450</v>
      </c>
      <c r="H123" s="84" t="s">
        <v>1545</v>
      </c>
      <c r="I123" s="84" t="s">
        <v>1628</v>
      </c>
      <c r="J123" s="84" t="s">
        <v>772</v>
      </c>
      <c r="K123" s="87">
        <v>156.31</v>
      </c>
    </row>
    <row r="124" spans="1:11" ht="14.6" x14ac:dyDescent="0.4">
      <c r="A124" s="84"/>
      <c r="B124" s="84"/>
      <c r="C124" s="84"/>
      <c r="D124" s="84"/>
      <c r="E124" s="84" t="s">
        <v>704</v>
      </c>
      <c r="F124" s="85">
        <v>45007</v>
      </c>
      <c r="G124" s="84" t="s">
        <v>1122</v>
      </c>
      <c r="H124" s="84" t="s">
        <v>991</v>
      </c>
      <c r="I124" s="84" t="s">
        <v>1006</v>
      </c>
      <c r="J124" s="84" t="s">
        <v>771</v>
      </c>
      <c r="K124" s="87">
        <v>100</v>
      </c>
    </row>
    <row r="125" spans="1:11" ht="14.6" x14ac:dyDescent="0.4">
      <c r="A125" s="84"/>
      <c r="B125" s="84"/>
      <c r="C125" s="84"/>
      <c r="D125" s="84"/>
      <c r="E125" s="84" t="s">
        <v>704</v>
      </c>
      <c r="F125" s="85">
        <v>45008</v>
      </c>
      <c r="G125" s="84" t="s">
        <v>1465</v>
      </c>
      <c r="H125" s="84" t="s">
        <v>1556</v>
      </c>
      <c r="I125" s="84" t="s">
        <v>1629</v>
      </c>
      <c r="J125" s="84" t="s">
        <v>772</v>
      </c>
      <c r="K125" s="87">
        <v>146.37</v>
      </c>
    </row>
    <row r="126" spans="1:11" ht="14.6" x14ac:dyDescent="0.4">
      <c r="A126" s="84"/>
      <c r="B126" s="84"/>
      <c r="C126" s="84"/>
      <c r="D126" s="84"/>
      <c r="E126" s="84" t="s">
        <v>704</v>
      </c>
      <c r="F126" s="85">
        <v>45009</v>
      </c>
      <c r="G126" s="84" t="s">
        <v>1466</v>
      </c>
      <c r="H126" s="84" t="s">
        <v>717</v>
      </c>
      <c r="I126" s="84" t="s">
        <v>1630</v>
      </c>
      <c r="J126" s="84" t="s">
        <v>1729</v>
      </c>
      <c r="K126" s="87">
        <v>75</v>
      </c>
    </row>
    <row r="127" spans="1:11" ht="14.6" x14ac:dyDescent="0.4">
      <c r="A127" s="84"/>
      <c r="B127" s="84"/>
      <c r="C127" s="84"/>
      <c r="D127" s="84"/>
      <c r="E127" s="84" t="s">
        <v>704</v>
      </c>
      <c r="F127" s="85">
        <v>45009</v>
      </c>
      <c r="G127" s="84" t="s">
        <v>1467</v>
      </c>
      <c r="H127" s="84" t="s">
        <v>717</v>
      </c>
      <c r="I127" s="84" t="s">
        <v>1631</v>
      </c>
      <c r="J127" s="84" t="s">
        <v>1729</v>
      </c>
      <c r="K127" s="87">
        <v>50</v>
      </c>
    </row>
    <row r="128" spans="1:11" ht="14.6" x14ac:dyDescent="0.4">
      <c r="A128" s="84"/>
      <c r="B128" s="84"/>
      <c r="C128" s="84"/>
      <c r="D128" s="84"/>
      <c r="E128" s="84" t="s">
        <v>704</v>
      </c>
      <c r="F128" s="85">
        <v>45009</v>
      </c>
      <c r="G128" s="84" t="s">
        <v>1468</v>
      </c>
      <c r="H128" s="84" t="s">
        <v>717</v>
      </c>
      <c r="I128" s="84" t="s">
        <v>1632</v>
      </c>
      <c r="J128" s="84" t="s">
        <v>1729</v>
      </c>
      <c r="K128" s="87">
        <v>75</v>
      </c>
    </row>
    <row r="129" spans="1:11" ht="14.6" x14ac:dyDescent="0.4">
      <c r="A129" s="84"/>
      <c r="B129" s="84"/>
      <c r="C129" s="84"/>
      <c r="D129" s="84"/>
      <c r="E129" s="84" t="s">
        <v>704</v>
      </c>
      <c r="F129" s="85">
        <v>45012</v>
      </c>
      <c r="G129" s="84" t="s">
        <v>1469</v>
      </c>
      <c r="H129" s="84" t="s">
        <v>1159</v>
      </c>
      <c r="I129" s="84" t="s">
        <v>1633</v>
      </c>
      <c r="J129" s="84" t="s">
        <v>771</v>
      </c>
      <c r="K129" s="87">
        <v>97.48</v>
      </c>
    </row>
    <row r="130" spans="1:11" ht="14.6" x14ac:dyDescent="0.4">
      <c r="A130" s="84"/>
      <c r="B130" s="84"/>
      <c r="C130" s="84"/>
      <c r="D130" s="84"/>
      <c r="E130" s="84" t="s">
        <v>704</v>
      </c>
      <c r="F130" s="85">
        <v>45019</v>
      </c>
      <c r="G130" s="84" t="s">
        <v>1470</v>
      </c>
      <c r="H130" s="84" t="s">
        <v>1557</v>
      </c>
      <c r="I130" s="84" t="s">
        <v>1634</v>
      </c>
      <c r="J130" s="84" t="s">
        <v>771</v>
      </c>
      <c r="K130" s="87">
        <v>1292</v>
      </c>
    </row>
    <row r="131" spans="1:11" ht="14.6" x14ac:dyDescent="0.4">
      <c r="A131" s="84"/>
      <c r="B131" s="84"/>
      <c r="C131" s="84"/>
      <c r="D131" s="84"/>
      <c r="E131" s="84" t="s">
        <v>634</v>
      </c>
      <c r="F131" s="85">
        <v>45020</v>
      </c>
      <c r="G131" s="84" t="s">
        <v>1470</v>
      </c>
      <c r="H131" s="84" t="s">
        <v>1558</v>
      </c>
      <c r="I131" s="84" t="s">
        <v>1635</v>
      </c>
      <c r="J131" s="84" t="s">
        <v>659</v>
      </c>
      <c r="K131" s="87">
        <v>71</v>
      </c>
    </row>
    <row r="132" spans="1:11" ht="14.6" x14ac:dyDescent="0.4">
      <c r="A132" s="84"/>
      <c r="B132" s="84"/>
      <c r="C132" s="84"/>
      <c r="D132" s="84"/>
      <c r="E132" s="84" t="s">
        <v>704</v>
      </c>
      <c r="F132" s="85">
        <v>45026</v>
      </c>
      <c r="G132" s="84" t="s">
        <v>1471</v>
      </c>
      <c r="H132" s="84" t="s">
        <v>717</v>
      </c>
      <c r="I132" s="84" t="s">
        <v>1636</v>
      </c>
      <c r="J132" s="84" t="s">
        <v>1729</v>
      </c>
      <c r="K132" s="87">
        <v>290</v>
      </c>
    </row>
    <row r="133" spans="1:11" ht="14.6" x14ac:dyDescent="0.4">
      <c r="A133" s="84"/>
      <c r="B133" s="84"/>
      <c r="C133" s="84"/>
      <c r="D133" s="84"/>
      <c r="E133" s="84" t="s">
        <v>704</v>
      </c>
      <c r="F133" s="85">
        <v>45026</v>
      </c>
      <c r="G133" s="84" t="s">
        <v>1472</v>
      </c>
      <c r="H133" s="84" t="s">
        <v>717</v>
      </c>
      <c r="I133" s="84" t="s">
        <v>1637</v>
      </c>
      <c r="J133" s="84" t="s">
        <v>1729</v>
      </c>
      <c r="K133" s="87">
        <v>290</v>
      </c>
    </row>
    <row r="134" spans="1:11" ht="14.6" x14ac:dyDescent="0.4">
      <c r="A134" s="84"/>
      <c r="B134" s="84"/>
      <c r="C134" s="84"/>
      <c r="D134" s="84"/>
      <c r="E134" s="84" t="s">
        <v>704</v>
      </c>
      <c r="F134" s="85">
        <v>45026</v>
      </c>
      <c r="G134" s="84" t="s">
        <v>1473</v>
      </c>
      <c r="H134" s="84" t="s">
        <v>717</v>
      </c>
      <c r="I134" s="84" t="s">
        <v>1638</v>
      </c>
      <c r="J134" s="84" t="s">
        <v>1729</v>
      </c>
      <c r="K134" s="87">
        <v>225</v>
      </c>
    </row>
    <row r="135" spans="1:11" ht="14.6" x14ac:dyDescent="0.4">
      <c r="A135" s="84"/>
      <c r="B135" s="84"/>
      <c r="C135" s="84"/>
      <c r="D135" s="84"/>
      <c r="E135" s="84" t="s">
        <v>704</v>
      </c>
      <c r="F135" s="85">
        <v>45027</v>
      </c>
      <c r="G135" s="84" t="s">
        <v>1474</v>
      </c>
      <c r="H135" s="84" t="s">
        <v>1557</v>
      </c>
      <c r="I135" s="84" t="s">
        <v>1634</v>
      </c>
      <c r="J135" s="84" t="s">
        <v>771</v>
      </c>
      <c r="K135" s="87">
        <v>136</v>
      </c>
    </row>
    <row r="136" spans="1:11" ht="14.6" x14ac:dyDescent="0.4">
      <c r="A136" s="84"/>
      <c r="B136" s="84"/>
      <c r="C136" s="84"/>
      <c r="D136" s="84"/>
      <c r="E136" s="84" t="s">
        <v>704</v>
      </c>
      <c r="F136" s="85">
        <v>45027</v>
      </c>
      <c r="G136" s="84" t="s">
        <v>1475</v>
      </c>
      <c r="H136" s="84" t="s">
        <v>717</v>
      </c>
      <c r="I136" s="84" t="s">
        <v>1639</v>
      </c>
      <c r="J136" s="84" t="s">
        <v>1729</v>
      </c>
      <c r="K136" s="87">
        <v>290</v>
      </c>
    </row>
    <row r="137" spans="1:11" ht="14.6" x14ac:dyDescent="0.4">
      <c r="A137" s="84"/>
      <c r="B137" s="84"/>
      <c r="C137" s="84"/>
      <c r="D137" s="84"/>
      <c r="E137" s="84" t="s">
        <v>704</v>
      </c>
      <c r="F137" s="85">
        <v>45027</v>
      </c>
      <c r="G137" s="84" t="s">
        <v>1476</v>
      </c>
      <c r="H137" s="84" t="s">
        <v>717</v>
      </c>
      <c r="I137" s="84" t="s">
        <v>1640</v>
      </c>
      <c r="J137" s="84" t="s">
        <v>1729</v>
      </c>
      <c r="K137" s="87">
        <v>290</v>
      </c>
    </row>
    <row r="138" spans="1:11" ht="14.6" x14ac:dyDescent="0.4">
      <c r="A138" s="84"/>
      <c r="B138" s="84"/>
      <c r="C138" s="84"/>
      <c r="D138" s="84"/>
      <c r="E138" s="84" t="s">
        <v>634</v>
      </c>
      <c r="F138" s="85">
        <v>45027</v>
      </c>
      <c r="G138" s="84" t="s">
        <v>1193</v>
      </c>
      <c r="H138" s="84" t="s">
        <v>1559</v>
      </c>
      <c r="I138" s="84" t="s">
        <v>1641</v>
      </c>
      <c r="J138" s="84" t="s">
        <v>659</v>
      </c>
      <c r="K138" s="87">
        <v>38.94</v>
      </c>
    </row>
    <row r="139" spans="1:11" ht="14.6" x14ac:dyDescent="0.4">
      <c r="A139" s="84"/>
      <c r="B139" s="84"/>
      <c r="C139" s="84"/>
      <c r="D139" s="84"/>
      <c r="E139" s="84" t="s">
        <v>634</v>
      </c>
      <c r="F139" s="85">
        <v>45027</v>
      </c>
      <c r="G139" s="84" t="s">
        <v>1122</v>
      </c>
      <c r="H139" s="84" t="s">
        <v>1558</v>
      </c>
      <c r="I139" s="84" t="s">
        <v>1642</v>
      </c>
      <c r="J139" s="84" t="s">
        <v>659</v>
      </c>
      <c r="K139" s="87">
        <v>128.38</v>
      </c>
    </row>
    <row r="140" spans="1:11" ht="14.6" x14ac:dyDescent="0.4">
      <c r="A140" s="84"/>
      <c r="B140" s="84"/>
      <c r="C140" s="84"/>
      <c r="D140" s="84"/>
      <c r="E140" s="84" t="s">
        <v>704</v>
      </c>
      <c r="F140" s="85">
        <v>45028</v>
      </c>
      <c r="G140" s="84" t="s">
        <v>1477</v>
      </c>
      <c r="H140" s="84" t="s">
        <v>990</v>
      </c>
      <c r="I140" s="84" t="s">
        <v>1643</v>
      </c>
      <c r="J140" s="84" t="s">
        <v>1729</v>
      </c>
      <c r="K140" s="87">
        <v>45</v>
      </c>
    </row>
    <row r="141" spans="1:11" ht="14.6" x14ac:dyDescent="0.4">
      <c r="A141" s="84"/>
      <c r="B141" s="84"/>
      <c r="C141" s="84"/>
      <c r="D141" s="84"/>
      <c r="E141" s="84" t="s">
        <v>704</v>
      </c>
      <c r="F141" s="85">
        <v>45028</v>
      </c>
      <c r="G141" s="84" t="s">
        <v>1478</v>
      </c>
      <c r="H141" s="84" t="s">
        <v>990</v>
      </c>
      <c r="I141" s="84" t="s">
        <v>1644</v>
      </c>
      <c r="J141" s="84" t="s">
        <v>1729</v>
      </c>
      <c r="K141" s="87">
        <v>45</v>
      </c>
    </row>
    <row r="142" spans="1:11" ht="14.6" x14ac:dyDescent="0.4">
      <c r="A142" s="84"/>
      <c r="B142" s="84"/>
      <c r="C142" s="84"/>
      <c r="D142" s="84"/>
      <c r="E142" s="84" t="s">
        <v>704</v>
      </c>
      <c r="F142" s="85">
        <v>45028</v>
      </c>
      <c r="G142" s="84" t="s">
        <v>1479</v>
      </c>
      <c r="H142" s="84" t="s">
        <v>990</v>
      </c>
      <c r="I142" s="84" t="s">
        <v>1645</v>
      </c>
      <c r="J142" s="84" t="s">
        <v>1729</v>
      </c>
      <c r="K142" s="87">
        <v>45</v>
      </c>
    </row>
    <row r="143" spans="1:11" ht="14.6" x14ac:dyDescent="0.4">
      <c r="A143" s="84"/>
      <c r="B143" s="84"/>
      <c r="C143" s="84"/>
      <c r="D143" s="84"/>
      <c r="E143" s="84" t="s">
        <v>704</v>
      </c>
      <c r="F143" s="85">
        <v>45028</v>
      </c>
      <c r="G143" s="84" t="s">
        <v>1480</v>
      </c>
      <c r="H143" s="84" t="s">
        <v>990</v>
      </c>
      <c r="I143" s="84" t="s">
        <v>1646</v>
      </c>
      <c r="J143" s="84" t="s">
        <v>1729</v>
      </c>
      <c r="K143" s="87">
        <v>45</v>
      </c>
    </row>
    <row r="144" spans="1:11" ht="14.6" x14ac:dyDescent="0.4">
      <c r="A144" s="84"/>
      <c r="B144" s="84"/>
      <c r="C144" s="84"/>
      <c r="D144" s="84"/>
      <c r="E144" s="84" t="s">
        <v>704</v>
      </c>
      <c r="F144" s="85">
        <v>45028</v>
      </c>
      <c r="G144" s="84" t="s">
        <v>1481</v>
      </c>
      <c r="H144" s="84" t="s">
        <v>990</v>
      </c>
      <c r="I144" s="84" t="s">
        <v>1647</v>
      </c>
      <c r="J144" s="84" t="s">
        <v>1729</v>
      </c>
      <c r="K144" s="87">
        <v>45</v>
      </c>
    </row>
    <row r="145" spans="1:11" ht="14.6" x14ac:dyDescent="0.4">
      <c r="A145" s="84"/>
      <c r="B145" s="84"/>
      <c r="C145" s="84"/>
      <c r="D145" s="84"/>
      <c r="E145" s="84" t="s">
        <v>704</v>
      </c>
      <c r="F145" s="85">
        <v>45029</v>
      </c>
      <c r="G145" s="84" t="s">
        <v>1482</v>
      </c>
      <c r="H145" s="84" t="s">
        <v>717</v>
      </c>
      <c r="I145" s="84" t="s">
        <v>1648</v>
      </c>
      <c r="J145" s="84" t="s">
        <v>1729</v>
      </c>
      <c r="K145" s="87">
        <v>225</v>
      </c>
    </row>
    <row r="146" spans="1:11" ht="14.6" x14ac:dyDescent="0.4">
      <c r="A146" s="84"/>
      <c r="B146" s="84"/>
      <c r="C146" s="84"/>
      <c r="D146" s="84"/>
      <c r="E146" s="84" t="s">
        <v>704</v>
      </c>
      <c r="F146" s="85">
        <v>45029</v>
      </c>
      <c r="G146" s="84" t="s">
        <v>1483</v>
      </c>
      <c r="H146" s="84" t="s">
        <v>717</v>
      </c>
      <c r="I146" s="84" t="s">
        <v>1649</v>
      </c>
      <c r="J146" s="84" t="s">
        <v>1729</v>
      </c>
      <c r="K146" s="87">
        <v>290</v>
      </c>
    </row>
    <row r="147" spans="1:11" ht="14.6" x14ac:dyDescent="0.4">
      <c r="A147" s="84"/>
      <c r="B147" s="84"/>
      <c r="C147" s="84"/>
      <c r="D147" s="84"/>
      <c r="E147" s="84" t="s">
        <v>704</v>
      </c>
      <c r="F147" s="85">
        <v>45029</v>
      </c>
      <c r="G147" s="84" t="s">
        <v>1484</v>
      </c>
      <c r="H147" s="84" t="s">
        <v>717</v>
      </c>
      <c r="I147" s="84" t="s">
        <v>1650</v>
      </c>
      <c r="J147" s="84" t="s">
        <v>1729</v>
      </c>
      <c r="K147" s="87">
        <v>290</v>
      </c>
    </row>
    <row r="148" spans="1:11" ht="14.6" x14ac:dyDescent="0.4">
      <c r="A148" s="84"/>
      <c r="B148" s="84"/>
      <c r="C148" s="84"/>
      <c r="D148" s="84"/>
      <c r="E148" s="84" t="s">
        <v>704</v>
      </c>
      <c r="F148" s="85">
        <v>45029</v>
      </c>
      <c r="G148" s="84" t="s">
        <v>1485</v>
      </c>
      <c r="H148" s="84" t="s">
        <v>1560</v>
      </c>
      <c r="I148" s="84" t="s">
        <v>1651</v>
      </c>
      <c r="J148" s="84" t="s">
        <v>772</v>
      </c>
      <c r="K148" s="87">
        <v>13.92</v>
      </c>
    </row>
    <row r="149" spans="1:11" ht="14.6" x14ac:dyDescent="0.4">
      <c r="A149" s="84"/>
      <c r="B149" s="84"/>
      <c r="C149" s="84"/>
      <c r="D149" s="84"/>
      <c r="E149" s="84" t="s">
        <v>704</v>
      </c>
      <c r="F149" s="85">
        <v>45032</v>
      </c>
      <c r="G149" s="84" t="s">
        <v>1486</v>
      </c>
      <c r="H149" s="84" t="s">
        <v>1561</v>
      </c>
      <c r="I149" s="84" t="s">
        <v>1652</v>
      </c>
      <c r="J149" s="84" t="s">
        <v>771</v>
      </c>
      <c r="K149" s="87">
        <v>468</v>
      </c>
    </row>
    <row r="150" spans="1:11" ht="14.6" x14ac:dyDescent="0.4">
      <c r="A150" s="84"/>
      <c r="B150" s="84"/>
      <c r="C150" s="84"/>
      <c r="D150" s="84"/>
      <c r="E150" s="84" t="s">
        <v>704</v>
      </c>
      <c r="F150" s="85">
        <v>45033</v>
      </c>
      <c r="G150" s="84" t="s">
        <v>1487</v>
      </c>
      <c r="H150" s="84" t="s">
        <v>990</v>
      </c>
      <c r="I150" s="84" t="s">
        <v>1653</v>
      </c>
      <c r="J150" s="84" t="s">
        <v>1729</v>
      </c>
      <c r="K150" s="87">
        <v>67.5</v>
      </c>
    </row>
    <row r="151" spans="1:11" ht="14.6" x14ac:dyDescent="0.4">
      <c r="A151" s="84"/>
      <c r="B151" s="84"/>
      <c r="C151" s="84"/>
      <c r="D151" s="84"/>
      <c r="E151" s="84" t="s">
        <v>704</v>
      </c>
      <c r="F151" s="85">
        <v>45036</v>
      </c>
      <c r="G151" s="84" t="s">
        <v>1488</v>
      </c>
      <c r="H151" s="84" t="s">
        <v>717</v>
      </c>
      <c r="I151" s="84" t="s">
        <v>1654</v>
      </c>
      <c r="J151" s="84" t="s">
        <v>1729</v>
      </c>
      <c r="K151" s="87">
        <v>75</v>
      </c>
    </row>
    <row r="152" spans="1:11" ht="14.6" x14ac:dyDescent="0.4">
      <c r="A152" s="84"/>
      <c r="B152" s="84"/>
      <c r="C152" s="84"/>
      <c r="D152" s="84"/>
      <c r="E152" s="84" t="s">
        <v>704</v>
      </c>
      <c r="F152" s="85">
        <v>45036</v>
      </c>
      <c r="G152" s="84" t="s">
        <v>1488</v>
      </c>
      <c r="H152" s="84" t="s">
        <v>717</v>
      </c>
      <c r="I152" s="84" t="s">
        <v>1655</v>
      </c>
      <c r="J152" s="84" t="s">
        <v>1729</v>
      </c>
      <c r="K152" s="87">
        <v>75</v>
      </c>
    </row>
    <row r="153" spans="1:11" ht="14.6" x14ac:dyDescent="0.4">
      <c r="A153" s="84"/>
      <c r="B153" s="84"/>
      <c r="C153" s="84"/>
      <c r="D153" s="84"/>
      <c r="E153" s="84" t="s">
        <v>634</v>
      </c>
      <c r="F153" s="85">
        <v>45036</v>
      </c>
      <c r="G153" s="84" t="s">
        <v>1489</v>
      </c>
      <c r="H153" s="84" t="s">
        <v>1562</v>
      </c>
      <c r="I153" s="84" t="s">
        <v>1656</v>
      </c>
      <c r="J153" s="84" t="s">
        <v>659</v>
      </c>
      <c r="K153" s="87">
        <v>835</v>
      </c>
    </row>
    <row r="154" spans="1:11" ht="14.6" x14ac:dyDescent="0.4">
      <c r="A154" s="84"/>
      <c r="B154" s="84"/>
      <c r="C154" s="84"/>
      <c r="D154" s="84"/>
      <c r="E154" s="84" t="s">
        <v>634</v>
      </c>
      <c r="F154" s="85">
        <v>45036</v>
      </c>
      <c r="G154" s="84" t="s">
        <v>1489</v>
      </c>
      <c r="H154" s="84" t="s">
        <v>1562</v>
      </c>
      <c r="I154" s="84" t="s">
        <v>1657</v>
      </c>
      <c r="J154" s="84" t="s">
        <v>659</v>
      </c>
      <c r="K154" s="87">
        <v>550</v>
      </c>
    </row>
    <row r="155" spans="1:11" ht="14.6" x14ac:dyDescent="0.4">
      <c r="A155" s="84"/>
      <c r="B155" s="84"/>
      <c r="C155" s="84"/>
      <c r="D155" s="84"/>
      <c r="E155" s="84" t="s">
        <v>634</v>
      </c>
      <c r="F155" s="85">
        <v>45036</v>
      </c>
      <c r="G155" s="84" t="s">
        <v>1489</v>
      </c>
      <c r="H155" s="84" t="s">
        <v>1562</v>
      </c>
      <c r="I155" s="84" t="s">
        <v>1658</v>
      </c>
      <c r="J155" s="84" t="s">
        <v>659</v>
      </c>
      <c r="K155" s="87">
        <v>795</v>
      </c>
    </row>
    <row r="156" spans="1:11" ht="14.6" x14ac:dyDescent="0.4">
      <c r="A156" s="84"/>
      <c r="B156" s="84"/>
      <c r="C156" s="84"/>
      <c r="D156" s="84"/>
      <c r="E156" s="84" t="s">
        <v>634</v>
      </c>
      <c r="F156" s="85">
        <v>45036</v>
      </c>
      <c r="G156" s="84" t="s">
        <v>1489</v>
      </c>
      <c r="H156" s="84" t="s">
        <v>1562</v>
      </c>
      <c r="I156" s="84" t="s">
        <v>1659</v>
      </c>
      <c r="J156" s="84" t="s">
        <v>659</v>
      </c>
      <c r="K156" s="87">
        <v>795</v>
      </c>
    </row>
    <row r="157" spans="1:11" ht="14.6" x14ac:dyDescent="0.4">
      <c r="A157" s="84"/>
      <c r="B157" s="84"/>
      <c r="C157" s="84"/>
      <c r="D157" s="84"/>
      <c r="E157" s="84" t="s">
        <v>704</v>
      </c>
      <c r="F157" s="85">
        <v>45037</v>
      </c>
      <c r="G157" s="84" t="s">
        <v>1490</v>
      </c>
      <c r="H157" s="84" t="s">
        <v>717</v>
      </c>
      <c r="I157" s="84" t="s">
        <v>1660</v>
      </c>
      <c r="J157" s="84" t="s">
        <v>1729</v>
      </c>
      <c r="K157" s="87">
        <v>365</v>
      </c>
    </row>
    <row r="158" spans="1:11" ht="14.6" x14ac:dyDescent="0.4">
      <c r="A158" s="84"/>
      <c r="B158" s="84"/>
      <c r="C158" s="84"/>
      <c r="D158" s="84"/>
      <c r="E158" s="84" t="s">
        <v>704</v>
      </c>
      <c r="F158" s="85">
        <v>45037</v>
      </c>
      <c r="G158" s="84" t="s">
        <v>1491</v>
      </c>
      <c r="H158" s="84" t="s">
        <v>1563</v>
      </c>
      <c r="I158" s="84" t="s">
        <v>1661</v>
      </c>
      <c r="J158" s="84" t="s">
        <v>1729</v>
      </c>
      <c r="K158" s="87">
        <v>400</v>
      </c>
    </row>
    <row r="159" spans="1:11" ht="14.6" x14ac:dyDescent="0.4">
      <c r="A159" s="84"/>
      <c r="B159" s="84"/>
      <c r="C159" s="84"/>
      <c r="D159" s="84"/>
      <c r="E159" s="84" t="s">
        <v>704</v>
      </c>
      <c r="F159" s="85">
        <v>45038</v>
      </c>
      <c r="G159" s="84" t="s">
        <v>1193</v>
      </c>
      <c r="H159" s="84" t="s">
        <v>991</v>
      </c>
      <c r="I159" s="84" t="s">
        <v>1006</v>
      </c>
      <c r="J159" s="84" t="s">
        <v>771</v>
      </c>
      <c r="K159" s="87">
        <v>100</v>
      </c>
    </row>
    <row r="160" spans="1:11" ht="14.6" x14ac:dyDescent="0.4">
      <c r="A160" s="84"/>
      <c r="B160" s="84"/>
      <c r="C160" s="84"/>
      <c r="D160" s="84"/>
      <c r="E160" s="84" t="s">
        <v>704</v>
      </c>
      <c r="F160" s="85">
        <v>45042</v>
      </c>
      <c r="G160" s="84" t="s">
        <v>1492</v>
      </c>
      <c r="H160" s="84" t="s">
        <v>1564</v>
      </c>
      <c r="I160" s="84" t="s">
        <v>1662</v>
      </c>
      <c r="J160" s="84" t="s">
        <v>771</v>
      </c>
      <c r="K160" s="87">
        <v>166.9</v>
      </c>
    </row>
    <row r="161" spans="1:11" ht="14.6" x14ac:dyDescent="0.4">
      <c r="A161" s="84"/>
      <c r="B161" s="84"/>
      <c r="C161" s="84"/>
      <c r="D161" s="84"/>
      <c r="E161" s="84" t="s">
        <v>704</v>
      </c>
      <c r="F161" s="85">
        <v>45042</v>
      </c>
      <c r="G161" s="84" t="s">
        <v>1493</v>
      </c>
      <c r="H161" s="84" t="s">
        <v>1542</v>
      </c>
      <c r="I161" s="84" t="s">
        <v>1662</v>
      </c>
      <c r="J161" s="84" t="s">
        <v>771</v>
      </c>
      <c r="K161" s="87">
        <v>167.98</v>
      </c>
    </row>
    <row r="162" spans="1:11" ht="14.6" x14ac:dyDescent="0.4">
      <c r="A162" s="84"/>
      <c r="B162" s="84"/>
      <c r="C162" s="84"/>
      <c r="D162" s="84"/>
      <c r="E162" s="84" t="s">
        <v>704</v>
      </c>
      <c r="F162" s="85">
        <v>45042</v>
      </c>
      <c r="G162" s="84" t="s">
        <v>1494</v>
      </c>
      <c r="H162" s="84" t="s">
        <v>1542</v>
      </c>
      <c r="I162" s="84" t="s">
        <v>1663</v>
      </c>
      <c r="J162" s="84" t="s">
        <v>771</v>
      </c>
      <c r="K162" s="87">
        <v>25</v>
      </c>
    </row>
    <row r="163" spans="1:11" ht="14.6" x14ac:dyDescent="0.4">
      <c r="A163" s="84"/>
      <c r="B163" s="84"/>
      <c r="C163" s="84"/>
      <c r="D163" s="84"/>
      <c r="E163" s="84" t="s">
        <v>704</v>
      </c>
      <c r="F163" s="85">
        <v>45043</v>
      </c>
      <c r="G163" s="84" t="s">
        <v>1495</v>
      </c>
      <c r="H163" s="84" t="s">
        <v>1542</v>
      </c>
      <c r="I163" s="84" t="s">
        <v>1664</v>
      </c>
      <c r="J163" s="84" t="s">
        <v>772</v>
      </c>
      <c r="K163" s="87">
        <v>109</v>
      </c>
    </row>
    <row r="164" spans="1:11" ht="14.6" x14ac:dyDescent="0.4">
      <c r="A164" s="84"/>
      <c r="B164" s="84"/>
      <c r="C164" s="84"/>
      <c r="D164" s="84"/>
      <c r="E164" s="84" t="s">
        <v>634</v>
      </c>
      <c r="F164" s="85">
        <v>45047</v>
      </c>
      <c r="G164" s="84" t="s">
        <v>646</v>
      </c>
      <c r="H164" s="84" t="s">
        <v>1565</v>
      </c>
      <c r="I164" s="84" t="s">
        <v>1665</v>
      </c>
      <c r="J164" s="84" t="s">
        <v>659</v>
      </c>
      <c r="K164" s="87">
        <v>4489</v>
      </c>
    </row>
    <row r="165" spans="1:11" ht="14.6" x14ac:dyDescent="0.4">
      <c r="A165" s="84"/>
      <c r="B165" s="84"/>
      <c r="C165" s="84"/>
      <c r="D165" s="84"/>
      <c r="E165" s="84" t="s">
        <v>634</v>
      </c>
      <c r="F165" s="85">
        <v>45048</v>
      </c>
      <c r="G165" s="84" t="s">
        <v>1496</v>
      </c>
      <c r="H165" s="84" t="s">
        <v>1566</v>
      </c>
      <c r="I165" s="84" t="s">
        <v>1666</v>
      </c>
      <c r="J165" s="84" t="s">
        <v>659</v>
      </c>
      <c r="K165" s="87">
        <v>255</v>
      </c>
    </row>
    <row r="166" spans="1:11" ht="14.6" x14ac:dyDescent="0.4">
      <c r="A166" s="84"/>
      <c r="B166" s="84"/>
      <c r="C166" s="84"/>
      <c r="D166" s="84"/>
      <c r="E166" s="84" t="s">
        <v>704</v>
      </c>
      <c r="F166" s="85">
        <v>45051</v>
      </c>
      <c r="G166" s="84" t="s">
        <v>1497</v>
      </c>
      <c r="H166" s="84" t="s">
        <v>717</v>
      </c>
      <c r="I166" s="84" t="s">
        <v>1667</v>
      </c>
      <c r="J166" s="84" t="s">
        <v>1729</v>
      </c>
      <c r="K166" s="87">
        <v>50</v>
      </c>
    </row>
    <row r="167" spans="1:11" ht="14.6" x14ac:dyDescent="0.4">
      <c r="A167" s="84"/>
      <c r="B167" s="84"/>
      <c r="C167" s="84"/>
      <c r="D167" s="84"/>
      <c r="E167" s="84" t="s">
        <v>704</v>
      </c>
      <c r="F167" s="85">
        <v>45053</v>
      </c>
      <c r="G167" s="84" t="s">
        <v>1498</v>
      </c>
      <c r="H167" s="84" t="s">
        <v>1567</v>
      </c>
      <c r="I167" s="84" t="s">
        <v>1668</v>
      </c>
      <c r="J167" s="84" t="s">
        <v>772</v>
      </c>
      <c r="K167" s="87">
        <v>82.11</v>
      </c>
    </row>
    <row r="168" spans="1:11" ht="14.6" x14ac:dyDescent="0.4">
      <c r="A168" s="84"/>
      <c r="B168" s="84"/>
      <c r="C168" s="84"/>
      <c r="D168" s="84"/>
      <c r="E168" s="84" t="s">
        <v>634</v>
      </c>
      <c r="F168" s="85">
        <v>45054</v>
      </c>
      <c r="G168" s="84" t="s">
        <v>1499</v>
      </c>
      <c r="H168" s="84" t="s">
        <v>717</v>
      </c>
      <c r="I168" s="84" t="s">
        <v>1669</v>
      </c>
      <c r="J168" s="84" t="s">
        <v>659</v>
      </c>
      <c r="K168" s="87">
        <v>300</v>
      </c>
    </row>
    <row r="169" spans="1:11" ht="14.6" x14ac:dyDescent="0.4">
      <c r="A169" s="84"/>
      <c r="B169" s="84"/>
      <c r="C169" s="84"/>
      <c r="D169" s="84"/>
      <c r="E169" s="84" t="s">
        <v>634</v>
      </c>
      <c r="F169" s="85">
        <v>45054</v>
      </c>
      <c r="G169" s="84" t="s">
        <v>1499</v>
      </c>
      <c r="H169" s="84" t="s">
        <v>717</v>
      </c>
      <c r="I169" s="84" t="s">
        <v>1670</v>
      </c>
      <c r="J169" s="84" t="s">
        <v>659</v>
      </c>
      <c r="K169" s="87">
        <v>300</v>
      </c>
    </row>
    <row r="170" spans="1:11" ht="14.6" x14ac:dyDescent="0.4">
      <c r="A170" s="84"/>
      <c r="B170" s="84"/>
      <c r="C170" s="84"/>
      <c r="D170" s="84"/>
      <c r="E170" s="84" t="s">
        <v>634</v>
      </c>
      <c r="F170" s="85">
        <v>45054</v>
      </c>
      <c r="G170" s="84" t="s">
        <v>1499</v>
      </c>
      <c r="H170" s="84" t="s">
        <v>717</v>
      </c>
      <c r="I170" s="84" t="s">
        <v>1671</v>
      </c>
      <c r="J170" s="84" t="s">
        <v>659</v>
      </c>
      <c r="K170" s="87">
        <v>300</v>
      </c>
    </row>
    <row r="171" spans="1:11" ht="14.6" x14ac:dyDescent="0.4">
      <c r="A171" s="84"/>
      <c r="B171" s="84"/>
      <c r="C171" s="84"/>
      <c r="D171" s="84"/>
      <c r="E171" s="84" t="s">
        <v>634</v>
      </c>
      <c r="F171" s="85">
        <v>45054</v>
      </c>
      <c r="G171" s="84" t="s">
        <v>1499</v>
      </c>
      <c r="H171" s="84" t="s">
        <v>717</v>
      </c>
      <c r="I171" s="84" t="s">
        <v>1672</v>
      </c>
      <c r="J171" s="84" t="s">
        <v>659</v>
      </c>
      <c r="K171" s="87">
        <v>300</v>
      </c>
    </row>
    <row r="172" spans="1:11" ht="14.6" x14ac:dyDescent="0.4">
      <c r="A172" s="84"/>
      <c r="B172" s="84"/>
      <c r="C172" s="84"/>
      <c r="D172" s="84"/>
      <c r="E172" s="84" t="s">
        <v>634</v>
      </c>
      <c r="F172" s="85">
        <v>45054</v>
      </c>
      <c r="G172" s="84" t="s">
        <v>1499</v>
      </c>
      <c r="H172" s="84" t="s">
        <v>717</v>
      </c>
      <c r="I172" s="84" t="s">
        <v>1673</v>
      </c>
      <c r="J172" s="84" t="s">
        <v>659</v>
      </c>
      <c r="K172" s="87">
        <v>300</v>
      </c>
    </row>
    <row r="173" spans="1:11" ht="14.6" x14ac:dyDescent="0.4">
      <c r="A173" s="84"/>
      <c r="B173" s="84"/>
      <c r="C173" s="84"/>
      <c r="D173" s="84"/>
      <c r="E173" s="84" t="s">
        <v>634</v>
      </c>
      <c r="F173" s="85">
        <v>45054</v>
      </c>
      <c r="G173" s="84" t="s">
        <v>1499</v>
      </c>
      <c r="H173" s="84" t="s">
        <v>717</v>
      </c>
      <c r="I173" s="84" t="s">
        <v>1674</v>
      </c>
      <c r="J173" s="84" t="s">
        <v>659</v>
      </c>
      <c r="K173" s="87">
        <v>300</v>
      </c>
    </row>
    <row r="174" spans="1:11" ht="14.6" x14ac:dyDescent="0.4">
      <c r="A174" s="84"/>
      <c r="B174" s="84"/>
      <c r="C174" s="84"/>
      <c r="D174" s="84"/>
      <c r="E174" s="84" t="s">
        <v>634</v>
      </c>
      <c r="F174" s="85">
        <v>45054</v>
      </c>
      <c r="G174" s="84" t="s">
        <v>1499</v>
      </c>
      <c r="H174" s="84" t="s">
        <v>717</v>
      </c>
      <c r="I174" s="84" t="s">
        <v>1675</v>
      </c>
      <c r="J174" s="84" t="s">
        <v>659</v>
      </c>
      <c r="K174" s="87">
        <v>300</v>
      </c>
    </row>
    <row r="175" spans="1:11" ht="14.6" x14ac:dyDescent="0.4">
      <c r="A175" s="84"/>
      <c r="B175" s="84"/>
      <c r="C175" s="84"/>
      <c r="D175" s="84"/>
      <c r="E175" s="84" t="s">
        <v>634</v>
      </c>
      <c r="F175" s="85">
        <v>45054</v>
      </c>
      <c r="G175" s="84" t="s">
        <v>1499</v>
      </c>
      <c r="H175" s="84" t="s">
        <v>717</v>
      </c>
      <c r="I175" s="84" t="s">
        <v>1676</v>
      </c>
      <c r="J175" s="84" t="s">
        <v>659</v>
      </c>
      <c r="K175" s="87">
        <v>300</v>
      </c>
    </row>
    <row r="176" spans="1:11" ht="14.6" x14ac:dyDescent="0.4">
      <c r="A176" s="84"/>
      <c r="B176" s="84"/>
      <c r="C176" s="84"/>
      <c r="D176" s="84"/>
      <c r="E176" s="84" t="s">
        <v>704</v>
      </c>
      <c r="F176" s="85">
        <v>45054</v>
      </c>
      <c r="G176" s="84" t="s">
        <v>1500</v>
      </c>
      <c r="H176" s="84" t="s">
        <v>1568</v>
      </c>
      <c r="I176" s="84" t="s">
        <v>1677</v>
      </c>
      <c r="J176" s="84" t="s">
        <v>772</v>
      </c>
      <c r="K176" s="87">
        <v>97.68</v>
      </c>
    </row>
    <row r="177" spans="1:11" ht="14.6" x14ac:dyDescent="0.4">
      <c r="A177" s="84"/>
      <c r="B177" s="84"/>
      <c r="C177" s="84"/>
      <c r="D177" s="84"/>
      <c r="E177" s="84" t="s">
        <v>704</v>
      </c>
      <c r="F177" s="85">
        <v>45055</v>
      </c>
      <c r="G177" s="84" t="s">
        <v>1501</v>
      </c>
      <c r="H177" s="84" t="s">
        <v>1569</v>
      </c>
      <c r="I177" s="84" t="s">
        <v>1678</v>
      </c>
      <c r="J177" s="84" t="s">
        <v>772</v>
      </c>
      <c r="K177" s="87">
        <v>101.9</v>
      </c>
    </row>
    <row r="178" spans="1:11" ht="14.6" x14ac:dyDescent="0.4">
      <c r="A178" s="84"/>
      <c r="B178" s="84"/>
      <c r="C178" s="84"/>
      <c r="D178" s="84"/>
      <c r="E178" s="84" t="s">
        <v>704</v>
      </c>
      <c r="F178" s="85">
        <v>45055</v>
      </c>
      <c r="G178" s="84" t="s">
        <v>1502</v>
      </c>
      <c r="H178" s="84" t="s">
        <v>1570</v>
      </c>
      <c r="I178" s="84" t="s">
        <v>1679</v>
      </c>
      <c r="J178" s="84" t="s">
        <v>772</v>
      </c>
      <c r="K178" s="87">
        <v>107</v>
      </c>
    </row>
    <row r="179" spans="1:11" ht="14.6" x14ac:dyDescent="0.4">
      <c r="A179" s="84"/>
      <c r="B179" s="84"/>
      <c r="C179" s="84"/>
      <c r="D179" s="84"/>
      <c r="E179" s="84" t="s">
        <v>704</v>
      </c>
      <c r="F179" s="85">
        <v>45055</v>
      </c>
      <c r="G179" s="84" t="s">
        <v>1503</v>
      </c>
      <c r="H179" s="84" t="s">
        <v>1571</v>
      </c>
      <c r="I179" s="84" t="s">
        <v>1680</v>
      </c>
      <c r="J179" s="84" t="s">
        <v>772</v>
      </c>
      <c r="K179" s="87">
        <v>341.03</v>
      </c>
    </row>
    <row r="180" spans="1:11" ht="14.6" x14ac:dyDescent="0.4">
      <c r="A180" s="84"/>
      <c r="B180" s="84"/>
      <c r="C180" s="84"/>
      <c r="D180" s="84"/>
      <c r="E180" s="84" t="s">
        <v>704</v>
      </c>
      <c r="F180" s="85">
        <v>45056</v>
      </c>
      <c r="G180" s="84" t="s">
        <v>1504</v>
      </c>
      <c r="H180" s="84" t="s">
        <v>1569</v>
      </c>
      <c r="I180" s="84" t="s">
        <v>1681</v>
      </c>
      <c r="J180" s="84" t="s">
        <v>772</v>
      </c>
      <c r="K180" s="87">
        <v>48.76</v>
      </c>
    </row>
    <row r="181" spans="1:11" ht="14.6" x14ac:dyDescent="0.4">
      <c r="A181" s="84"/>
      <c r="B181" s="84"/>
      <c r="C181" s="84"/>
      <c r="D181" s="84"/>
      <c r="E181" s="84" t="s">
        <v>704</v>
      </c>
      <c r="F181" s="85">
        <v>45056</v>
      </c>
      <c r="G181" s="84" t="s">
        <v>1505</v>
      </c>
      <c r="H181" s="84" t="s">
        <v>1572</v>
      </c>
      <c r="I181" s="84" t="s">
        <v>1682</v>
      </c>
      <c r="J181" s="84" t="s">
        <v>772</v>
      </c>
      <c r="K181" s="87">
        <v>1158.8699999999999</v>
      </c>
    </row>
    <row r="182" spans="1:11" ht="14.6" x14ac:dyDescent="0.4">
      <c r="A182" s="84"/>
      <c r="B182" s="84"/>
      <c r="C182" s="84"/>
      <c r="D182" s="84"/>
      <c r="E182" s="84" t="s">
        <v>704</v>
      </c>
      <c r="F182" s="85">
        <v>45056</v>
      </c>
      <c r="G182" s="84" t="s">
        <v>1506</v>
      </c>
      <c r="H182" s="84" t="s">
        <v>1572</v>
      </c>
      <c r="I182" s="84" t="s">
        <v>1683</v>
      </c>
      <c r="J182" s="84" t="s">
        <v>772</v>
      </c>
      <c r="K182" s="87">
        <v>1298.8399999999999</v>
      </c>
    </row>
    <row r="183" spans="1:11" ht="14.6" x14ac:dyDescent="0.4">
      <c r="A183" s="84"/>
      <c r="B183" s="84"/>
      <c r="C183" s="84"/>
      <c r="D183" s="84"/>
      <c r="E183" s="84" t="s">
        <v>704</v>
      </c>
      <c r="F183" s="85">
        <v>45056</v>
      </c>
      <c r="G183" s="84" t="s">
        <v>1507</v>
      </c>
      <c r="H183" s="84" t="s">
        <v>1572</v>
      </c>
      <c r="I183" s="84" t="s">
        <v>1684</v>
      </c>
      <c r="J183" s="84" t="s">
        <v>772</v>
      </c>
      <c r="K183" s="87">
        <v>893.67</v>
      </c>
    </row>
    <row r="184" spans="1:11" ht="14.6" x14ac:dyDescent="0.4">
      <c r="A184" s="84"/>
      <c r="B184" s="84"/>
      <c r="C184" s="84"/>
      <c r="D184" s="84"/>
      <c r="E184" s="84" t="s">
        <v>704</v>
      </c>
      <c r="F184" s="85">
        <v>45057</v>
      </c>
      <c r="G184" s="84" t="s">
        <v>1508</v>
      </c>
      <c r="H184" s="84" t="s">
        <v>717</v>
      </c>
      <c r="I184" s="84" t="s">
        <v>1685</v>
      </c>
      <c r="J184" s="84" t="s">
        <v>1729</v>
      </c>
      <c r="K184" s="87">
        <v>50</v>
      </c>
    </row>
    <row r="185" spans="1:11" ht="14.6" x14ac:dyDescent="0.4">
      <c r="A185" s="84"/>
      <c r="B185" s="84"/>
      <c r="C185" s="84"/>
      <c r="D185" s="84"/>
      <c r="E185" s="84" t="s">
        <v>704</v>
      </c>
      <c r="F185" s="85">
        <v>45057</v>
      </c>
      <c r="G185" s="84" t="s">
        <v>1508</v>
      </c>
      <c r="H185" s="84" t="s">
        <v>717</v>
      </c>
      <c r="I185" s="84" t="s">
        <v>1686</v>
      </c>
      <c r="J185" s="84" t="s">
        <v>1729</v>
      </c>
      <c r="K185" s="87">
        <v>50</v>
      </c>
    </row>
    <row r="186" spans="1:11" ht="14.6" x14ac:dyDescent="0.4">
      <c r="A186" s="84"/>
      <c r="B186" s="84"/>
      <c r="C186" s="84"/>
      <c r="D186" s="84"/>
      <c r="E186" s="84" t="s">
        <v>704</v>
      </c>
      <c r="F186" s="85">
        <v>45057</v>
      </c>
      <c r="G186" s="84" t="s">
        <v>1508</v>
      </c>
      <c r="H186" s="84" t="s">
        <v>717</v>
      </c>
      <c r="I186" s="84" t="s">
        <v>1687</v>
      </c>
      <c r="J186" s="84" t="s">
        <v>1729</v>
      </c>
      <c r="K186" s="87">
        <v>50</v>
      </c>
    </row>
    <row r="187" spans="1:11" ht="14.6" x14ac:dyDescent="0.4">
      <c r="A187" s="84"/>
      <c r="B187" s="84"/>
      <c r="C187" s="84"/>
      <c r="D187" s="84"/>
      <c r="E187" s="84" t="s">
        <v>704</v>
      </c>
      <c r="F187" s="85">
        <v>45061</v>
      </c>
      <c r="G187" s="84" t="s">
        <v>1509</v>
      </c>
      <c r="H187" s="84" t="s">
        <v>1542</v>
      </c>
      <c r="I187" s="84" t="s">
        <v>1688</v>
      </c>
      <c r="J187" s="84" t="s">
        <v>771</v>
      </c>
      <c r="K187" s="87">
        <v>405.96</v>
      </c>
    </row>
    <row r="188" spans="1:11" ht="14.6" x14ac:dyDescent="0.4">
      <c r="A188" s="84"/>
      <c r="B188" s="84"/>
      <c r="C188" s="84"/>
      <c r="D188" s="84"/>
      <c r="E188" s="84" t="s">
        <v>704</v>
      </c>
      <c r="F188" s="85">
        <v>45061</v>
      </c>
      <c r="G188" s="84" t="s">
        <v>1510</v>
      </c>
      <c r="H188" s="84" t="s">
        <v>1542</v>
      </c>
      <c r="I188" s="84" t="s">
        <v>1689</v>
      </c>
      <c r="J188" s="84" t="s">
        <v>771</v>
      </c>
      <c r="K188" s="87">
        <v>405.96</v>
      </c>
    </row>
    <row r="189" spans="1:11" ht="14.6" x14ac:dyDescent="0.4">
      <c r="A189" s="84"/>
      <c r="B189" s="84"/>
      <c r="C189" s="84"/>
      <c r="D189" s="84"/>
      <c r="E189" s="84" t="s">
        <v>634</v>
      </c>
      <c r="F189" s="85">
        <v>45062</v>
      </c>
      <c r="G189" s="84" t="s">
        <v>1511</v>
      </c>
      <c r="H189" s="84" t="s">
        <v>2681</v>
      </c>
      <c r="I189" s="84" t="s">
        <v>1690</v>
      </c>
      <c r="J189" s="84" t="s">
        <v>659</v>
      </c>
      <c r="K189" s="87">
        <v>250</v>
      </c>
    </row>
    <row r="190" spans="1:11" ht="14.6" x14ac:dyDescent="0.4">
      <c r="A190" s="84"/>
      <c r="B190" s="84"/>
      <c r="C190" s="84"/>
      <c r="D190" s="84"/>
      <c r="E190" s="84" t="s">
        <v>634</v>
      </c>
      <c r="F190" s="85">
        <v>45064</v>
      </c>
      <c r="G190" s="84" t="s">
        <v>1489</v>
      </c>
      <c r="H190" s="84" t="s">
        <v>1573</v>
      </c>
      <c r="I190" s="84" t="s">
        <v>1691</v>
      </c>
      <c r="J190" s="84" t="s">
        <v>659</v>
      </c>
      <c r="K190" s="87">
        <v>300</v>
      </c>
    </row>
    <row r="191" spans="1:11" ht="14.6" x14ac:dyDescent="0.4">
      <c r="A191" s="84"/>
      <c r="B191" s="84"/>
      <c r="C191" s="84"/>
      <c r="D191" s="84"/>
      <c r="E191" s="84" t="s">
        <v>704</v>
      </c>
      <c r="F191" s="85">
        <v>45065</v>
      </c>
      <c r="G191" s="84" t="s">
        <v>1512</v>
      </c>
      <c r="H191" s="84" t="s">
        <v>717</v>
      </c>
      <c r="I191" s="84" t="s">
        <v>1692</v>
      </c>
      <c r="J191" s="84" t="s">
        <v>1729</v>
      </c>
      <c r="K191" s="87">
        <v>50</v>
      </c>
    </row>
    <row r="192" spans="1:11" ht="14.6" x14ac:dyDescent="0.4">
      <c r="A192" s="84"/>
      <c r="B192" s="84"/>
      <c r="C192" s="84"/>
      <c r="D192" s="84"/>
      <c r="E192" s="84" t="s">
        <v>704</v>
      </c>
      <c r="F192" s="85">
        <v>45065</v>
      </c>
      <c r="G192" s="84" t="s">
        <v>1512</v>
      </c>
      <c r="H192" s="84" t="s">
        <v>717</v>
      </c>
      <c r="I192" s="84" t="s">
        <v>1693</v>
      </c>
      <c r="J192" s="84" t="s">
        <v>1729</v>
      </c>
      <c r="K192" s="87">
        <v>50</v>
      </c>
    </row>
    <row r="193" spans="1:11" ht="14.6" x14ac:dyDescent="0.4">
      <c r="A193" s="84"/>
      <c r="B193" s="84"/>
      <c r="C193" s="84"/>
      <c r="D193" s="84"/>
      <c r="E193" s="84" t="s">
        <v>704</v>
      </c>
      <c r="F193" s="85">
        <v>45065</v>
      </c>
      <c r="G193" s="84" t="s">
        <v>1512</v>
      </c>
      <c r="H193" s="84" t="s">
        <v>1574</v>
      </c>
      <c r="I193" s="84" t="s">
        <v>1694</v>
      </c>
      <c r="J193" s="84" t="s">
        <v>1729</v>
      </c>
      <c r="K193" s="87">
        <v>180</v>
      </c>
    </row>
    <row r="194" spans="1:11" ht="14.6" x14ac:dyDescent="0.4">
      <c r="A194" s="84"/>
      <c r="B194" s="84"/>
      <c r="C194" s="84"/>
      <c r="D194" s="84"/>
      <c r="E194" s="84" t="s">
        <v>704</v>
      </c>
      <c r="F194" s="85">
        <v>45065</v>
      </c>
      <c r="G194" s="84" t="s">
        <v>1513</v>
      </c>
      <c r="H194" s="84" t="s">
        <v>717</v>
      </c>
      <c r="I194" s="84" t="s">
        <v>1695</v>
      </c>
      <c r="J194" s="84" t="s">
        <v>1729</v>
      </c>
      <c r="K194" s="87">
        <v>75</v>
      </c>
    </row>
    <row r="195" spans="1:11" ht="14.6" x14ac:dyDescent="0.4">
      <c r="A195" s="84"/>
      <c r="B195" s="84"/>
      <c r="C195" s="84"/>
      <c r="D195" s="84"/>
      <c r="E195" s="84" t="s">
        <v>704</v>
      </c>
      <c r="F195" s="85">
        <v>45065</v>
      </c>
      <c r="G195" s="84" t="s">
        <v>1514</v>
      </c>
      <c r="H195" s="84" t="s">
        <v>717</v>
      </c>
      <c r="I195" s="84" t="s">
        <v>1696</v>
      </c>
      <c r="J195" s="84" t="s">
        <v>1729</v>
      </c>
      <c r="K195" s="87">
        <v>375</v>
      </c>
    </row>
    <row r="196" spans="1:11" ht="14.6" x14ac:dyDescent="0.4">
      <c r="A196" s="84"/>
      <c r="B196" s="84"/>
      <c r="C196" s="84"/>
      <c r="D196" s="84"/>
      <c r="E196" s="84" t="s">
        <v>634</v>
      </c>
      <c r="F196" s="85">
        <v>45068</v>
      </c>
      <c r="G196" s="84" t="s">
        <v>1515</v>
      </c>
      <c r="H196" s="84" t="s">
        <v>1573</v>
      </c>
      <c r="I196" s="84" t="s">
        <v>1697</v>
      </c>
      <c r="J196" s="84" t="s">
        <v>659</v>
      </c>
      <c r="K196" s="87">
        <v>450</v>
      </c>
    </row>
    <row r="197" spans="1:11" ht="14.6" x14ac:dyDescent="0.4">
      <c r="A197" s="84"/>
      <c r="B197" s="84"/>
      <c r="C197" s="84"/>
      <c r="D197" s="84"/>
      <c r="E197" s="84" t="s">
        <v>704</v>
      </c>
      <c r="F197" s="85">
        <v>45068</v>
      </c>
      <c r="G197" s="84" t="s">
        <v>1516</v>
      </c>
      <c r="H197" s="84" t="s">
        <v>991</v>
      </c>
      <c r="I197" s="84" t="s">
        <v>1006</v>
      </c>
      <c r="J197" s="84" t="s">
        <v>771</v>
      </c>
      <c r="K197" s="87">
        <v>100</v>
      </c>
    </row>
    <row r="198" spans="1:11" ht="14.6" x14ac:dyDescent="0.4">
      <c r="A198" s="84"/>
      <c r="B198" s="84"/>
      <c r="C198" s="84"/>
      <c r="D198" s="84"/>
      <c r="E198" s="84" t="s">
        <v>704</v>
      </c>
      <c r="F198" s="85">
        <v>45068</v>
      </c>
      <c r="G198" s="84" t="s">
        <v>1517</v>
      </c>
      <c r="H198" s="84" t="s">
        <v>1575</v>
      </c>
      <c r="I198" s="84" t="s">
        <v>1698</v>
      </c>
      <c r="J198" s="84" t="s">
        <v>771</v>
      </c>
      <c r="K198" s="87">
        <v>714.45</v>
      </c>
    </row>
    <row r="199" spans="1:11" ht="14.6" x14ac:dyDescent="0.4">
      <c r="A199" s="84"/>
      <c r="B199" s="84"/>
      <c r="C199" s="84"/>
      <c r="D199" s="84"/>
      <c r="E199" s="84" t="s">
        <v>704</v>
      </c>
      <c r="F199" s="85">
        <v>45069</v>
      </c>
      <c r="G199" s="84" t="s">
        <v>1518</v>
      </c>
      <c r="H199" s="84" t="s">
        <v>1576</v>
      </c>
      <c r="I199" s="84" t="s">
        <v>1699</v>
      </c>
      <c r="J199" s="84" t="s">
        <v>771</v>
      </c>
      <c r="K199" s="87">
        <v>515</v>
      </c>
    </row>
    <row r="200" spans="1:11" ht="14.6" x14ac:dyDescent="0.4">
      <c r="A200" s="84"/>
      <c r="B200" s="84"/>
      <c r="C200" s="84"/>
      <c r="D200" s="84"/>
      <c r="E200" s="84" t="s">
        <v>704</v>
      </c>
      <c r="F200" s="85">
        <v>45069</v>
      </c>
      <c r="G200" s="84" t="s">
        <v>1518</v>
      </c>
      <c r="H200" s="84" t="s">
        <v>1576</v>
      </c>
      <c r="I200" s="84" t="s">
        <v>1700</v>
      </c>
      <c r="J200" s="84" t="s">
        <v>771</v>
      </c>
      <c r="K200" s="87">
        <v>515</v>
      </c>
    </row>
    <row r="201" spans="1:11" ht="14.6" x14ac:dyDescent="0.4">
      <c r="A201" s="84"/>
      <c r="B201" s="84"/>
      <c r="C201" s="84"/>
      <c r="D201" s="84"/>
      <c r="E201" s="84" t="s">
        <v>704</v>
      </c>
      <c r="F201" s="85">
        <v>45076</v>
      </c>
      <c r="G201" s="84" t="s">
        <v>1520</v>
      </c>
      <c r="H201" s="84" t="s">
        <v>647</v>
      </c>
      <c r="I201" s="84" t="s">
        <v>1625</v>
      </c>
      <c r="J201" s="84" t="s">
        <v>771</v>
      </c>
      <c r="K201" s="87">
        <v>210</v>
      </c>
    </row>
    <row r="202" spans="1:11" ht="14.6" x14ac:dyDescent="0.4">
      <c r="A202" s="84"/>
      <c r="B202" s="84"/>
      <c r="C202" s="84"/>
      <c r="D202" s="84"/>
      <c r="E202" s="84" t="s">
        <v>704</v>
      </c>
      <c r="F202" s="85">
        <v>45076</v>
      </c>
      <c r="G202" s="84" t="s">
        <v>1521</v>
      </c>
      <c r="H202" s="84" t="s">
        <v>923</v>
      </c>
      <c r="I202" s="84" t="s">
        <v>1702</v>
      </c>
      <c r="J202" s="84" t="s">
        <v>1729</v>
      </c>
      <c r="K202" s="87">
        <v>69</v>
      </c>
    </row>
    <row r="203" spans="1:11" ht="14.6" x14ac:dyDescent="0.4">
      <c r="A203" s="84"/>
      <c r="B203" s="84"/>
      <c r="C203" s="84"/>
      <c r="D203" s="84"/>
      <c r="E203" s="84" t="s">
        <v>705</v>
      </c>
      <c r="F203" s="85">
        <v>45079</v>
      </c>
      <c r="G203" s="84"/>
      <c r="H203" s="84" t="s">
        <v>1548</v>
      </c>
      <c r="I203" s="84" t="s">
        <v>1703</v>
      </c>
      <c r="J203" s="84" t="s">
        <v>773</v>
      </c>
      <c r="K203" s="87">
        <v>-27</v>
      </c>
    </row>
    <row r="204" spans="1:11" ht="14.6" x14ac:dyDescent="0.4">
      <c r="A204" s="84"/>
      <c r="B204" s="84"/>
      <c r="C204" s="84"/>
      <c r="D204" s="84"/>
      <c r="E204" s="84" t="s">
        <v>705</v>
      </c>
      <c r="F204" s="85">
        <v>45079</v>
      </c>
      <c r="G204" s="84"/>
      <c r="H204" s="84" t="s">
        <v>1548</v>
      </c>
      <c r="I204" s="84" t="s">
        <v>1704</v>
      </c>
      <c r="J204" s="84" t="s">
        <v>773</v>
      </c>
      <c r="K204" s="87">
        <v>-13.92</v>
      </c>
    </row>
    <row r="205" spans="1:11" ht="14.6" x14ac:dyDescent="0.4">
      <c r="A205" s="84"/>
      <c r="B205" s="84"/>
      <c r="C205" s="84"/>
      <c r="D205" s="84"/>
      <c r="E205" s="84" t="s">
        <v>705</v>
      </c>
      <c r="F205" s="85">
        <v>45079</v>
      </c>
      <c r="G205" s="84"/>
      <c r="H205" s="84" t="s">
        <v>725</v>
      </c>
      <c r="I205" s="84" t="s">
        <v>1705</v>
      </c>
      <c r="J205" s="84" t="s">
        <v>773</v>
      </c>
      <c r="K205" s="87">
        <v>-697</v>
      </c>
    </row>
    <row r="206" spans="1:11" ht="14.6" x14ac:dyDescent="0.4">
      <c r="A206" s="84"/>
      <c r="B206" s="84"/>
      <c r="C206" s="84"/>
      <c r="D206" s="84"/>
      <c r="E206" s="84" t="s">
        <v>705</v>
      </c>
      <c r="F206" s="85">
        <v>45079</v>
      </c>
      <c r="G206" s="84"/>
      <c r="H206" s="84" t="s">
        <v>1578</v>
      </c>
      <c r="I206" s="84" t="s">
        <v>1706</v>
      </c>
      <c r="J206" s="84" t="s">
        <v>773</v>
      </c>
      <c r="K206" s="87">
        <v>-51</v>
      </c>
    </row>
    <row r="207" spans="1:11" ht="14.6" x14ac:dyDescent="0.4">
      <c r="A207" s="84"/>
      <c r="B207" s="84"/>
      <c r="C207" s="84"/>
      <c r="D207" s="84"/>
      <c r="E207" s="84" t="s">
        <v>705</v>
      </c>
      <c r="F207" s="85">
        <v>45079</v>
      </c>
      <c r="G207" s="84"/>
      <c r="H207" s="84" t="s">
        <v>1579</v>
      </c>
      <c r="I207" s="84" t="s">
        <v>1706</v>
      </c>
      <c r="J207" s="84" t="s">
        <v>773</v>
      </c>
      <c r="K207" s="87">
        <v>-17</v>
      </c>
    </row>
    <row r="208" spans="1:11" ht="14.6" x14ac:dyDescent="0.4">
      <c r="A208" s="84"/>
      <c r="B208" s="84"/>
      <c r="C208" s="84"/>
      <c r="D208" s="84"/>
      <c r="E208" s="84" t="s">
        <v>704</v>
      </c>
      <c r="F208" s="85">
        <v>45083</v>
      </c>
      <c r="G208" s="84" t="s">
        <v>1522</v>
      </c>
      <c r="H208" s="84" t="s">
        <v>1580</v>
      </c>
      <c r="I208" s="84" t="s">
        <v>1707</v>
      </c>
      <c r="J208" s="84" t="s">
        <v>1729</v>
      </c>
      <c r="K208" s="87">
        <v>229</v>
      </c>
    </row>
    <row r="209" spans="1:11" ht="14.6" x14ac:dyDescent="0.4">
      <c r="A209" s="84"/>
      <c r="B209" s="84"/>
      <c r="C209" s="84"/>
      <c r="D209" s="84"/>
      <c r="E209" s="84" t="s">
        <v>634</v>
      </c>
      <c r="F209" s="85">
        <v>45084</v>
      </c>
      <c r="G209" s="84" t="s">
        <v>1516</v>
      </c>
      <c r="H209" s="84" t="s">
        <v>1581</v>
      </c>
      <c r="I209" s="84" t="s">
        <v>1730</v>
      </c>
      <c r="J209" s="84" t="s">
        <v>659</v>
      </c>
      <c r="K209" s="87">
        <v>291.63</v>
      </c>
    </row>
    <row r="210" spans="1:11" ht="14.6" x14ac:dyDescent="0.4">
      <c r="A210" s="84"/>
      <c r="B210" s="84"/>
      <c r="C210" s="84"/>
      <c r="D210" s="84"/>
      <c r="E210" s="84" t="s">
        <v>704</v>
      </c>
      <c r="F210" s="85">
        <v>45085</v>
      </c>
      <c r="G210" s="84" t="s">
        <v>1523</v>
      </c>
      <c r="H210" s="84" t="s">
        <v>1582</v>
      </c>
      <c r="I210" s="84" t="s">
        <v>1708</v>
      </c>
      <c r="J210" s="84" t="s">
        <v>772</v>
      </c>
      <c r="K210" s="87">
        <v>52.79</v>
      </c>
    </row>
    <row r="211" spans="1:11" ht="14.6" x14ac:dyDescent="0.4">
      <c r="A211" s="84"/>
      <c r="B211" s="84"/>
      <c r="C211" s="84"/>
      <c r="D211" s="84"/>
      <c r="E211" s="84" t="s">
        <v>704</v>
      </c>
      <c r="F211" s="85">
        <v>45091</v>
      </c>
      <c r="G211" s="84" t="s">
        <v>1524</v>
      </c>
      <c r="H211" s="84" t="s">
        <v>896</v>
      </c>
      <c r="I211" s="84" t="s">
        <v>1709</v>
      </c>
      <c r="J211" s="84" t="s">
        <v>771</v>
      </c>
      <c r="K211" s="87">
        <v>1099</v>
      </c>
    </row>
    <row r="212" spans="1:11" ht="14.6" x14ac:dyDescent="0.4">
      <c r="A212" s="84"/>
      <c r="B212" s="84"/>
      <c r="C212" s="84"/>
      <c r="D212" s="84"/>
      <c r="E212" s="84" t="s">
        <v>704</v>
      </c>
      <c r="F212" s="85">
        <v>45092</v>
      </c>
      <c r="G212" s="84" t="s">
        <v>1525</v>
      </c>
      <c r="H212" s="84" t="s">
        <v>1574</v>
      </c>
      <c r="I212" s="84" t="s">
        <v>1710</v>
      </c>
      <c r="J212" s="84" t="s">
        <v>1729</v>
      </c>
      <c r="K212" s="87">
        <v>425</v>
      </c>
    </row>
    <row r="213" spans="1:11" ht="14.6" x14ac:dyDescent="0.4">
      <c r="A213" s="84"/>
      <c r="B213" s="84"/>
      <c r="C213" s="84"/>
      <c r="D213" s="84"/>
      <c r="E213" s="84" t="s">
        <v>704</v>
      </c>
      <c r="F213" s="85">
        <v>45092</v>
      </c>
      <c r="G213" s="84" t="s">
        <v>1525</v>
      </c>
      <c r="H213" s="84" t="s">
        <v>1574</v>
      </c>
      <c r="I213" s="84" t="s">
        <v>1711</v>
      </c>
      <c r="J213" s="84" t="s">
        <v>1729</v>
      </c>
      <c r="K213" s="87">
        <v>425</v>
      </c>
    </row>
    <row r="214" spans="1:11" ht="14.6" x14ac:dyDescent="0.4">
      <c r="A214" s="84"/>
      <c r="B214" s="84"/>
      <c r="C214" s="84"/>
      <c r="D214" s="84"/>
      <c r="E214" s="84" t="s">
        <v>705</v>
      </c>
      <c r="F214" s="85">
        <v>45092</v>
      </c>
      <c r="G214" s="84" t="s">
        <v>1526</v>
      </c>
      <c r="H214" s="84" t="s">
        <v>1580</v>
      </c>
      <c r="I214" s="84" t="s">
        <v>1712</v>
      </c>
      <c r="J214" s="84" t="s">
        <v>773</v>
      </c>
      <c r="K214" s="87">
        <v>-40</v>
      </c>
    </row>
    <row r="215" spans="1:11" ht="14.6" x14ac:dyDescent="0.4">
      <c r="A215" s="84"/>
      <c r="B215" s="84"/>
      <c r="C215" s="84"/>
      <c r="D215" s="84"/>
      <c r="E215" s="84" t="s">
        <v>704</v>
      </c>
      <c r="F215" s="85">
        <v>45097</v>
      </c>
      <c r="G215" s="84" t="s">
        <v>1527</v>
      </c>
      <c r="H215" s="84" t="s">
        <v>1561</v>
      </c>
      <c r="I215" s="84" t="s">
        <v>1652</v>
      </c>
      <c r="J215" s="84" t="s">
        <v>771</v>
      </c>
      <c r="K215" s="87">
        <v>468</v>
      </c>
    </row>
    <row r="216" spans="1:11" ht="14.6" x14ac:dyDescent="0.4">
      <c r="A216" s="84"/>
      <c r="B216" s="84"/>
      <c r="C216" s="84"/>
      <c r="D216" s="84"/>
      <c r="E216" s="84" t="s">
        <v>704</v>
      </c>
      <c r="F216" s="85">
        <v>45098</v>
      </c>
      <c r="G216" s="84" t="s">
        <v>1528</v>
      </c>
      <c r="H216" s="84" t="s">
        <v>990</v>
      </c>
      <c r="I216" s="84" t="s">
        <v>1713</v>
      </c>
      <c r="J216" s="84" t="s">
        <v>1729</v>
      </c>
      <c r="K216" s="87">
        <v>45</v>
      </c>
    </row>
    <row r="217" spans="1:11" ht="14.6" x14ac:dyDescent="0.4">
      <c r="A217" s="84"/>
      <c r="B217" s="84"/>
      <c r="C217" s="84"/>
      <c r="D217" s="84"/>
      <c r="E217" s="84" t="s">
        <v>704</v>
      </c>
      <c r="F217" s="85">
        <v>45098</v>
      </c>
      <c r="G217" s="84" t="s">
        <v>1529</v>
      </c>
      <c r="H217" s="84" t="s">
        <v>990</v>
      </c>
      <c r="I217" s="84" t="s">
        <v>1714</v>
      </c>
      <c r="J217" s="84" t="s">
        <v>1729</v>
      </c>
      <c r="K217" s="87">
        <v>45</v>
      </c>
    </row>
    <row r="218" spans="1:11" ht="14.6" x14ac:dyDescent="0.4">
      <c r="A218" s="84"/>
      <c r="B218" s="84"/>
      <c r="C218" s="84"/>
      <c r="D218" s="84"/>
      <c r="E218" s="84" t="s">
        <v>704</v>
      </c>
      <c r="F218" s="85">
        <v>45098</v>
      </c>
      <c r="G218" s="84" t="s">
        <v>1530</v>
      </c>
      <c r="H218" s="84" t="s">
        <v>990</v>
      </c>
      <c r="I218" s="84" t="s">
        <v>1715</v>
      </c>
      <c r="J218" s="84" t="s">
        <v>1729</v>
      </c>
      <c r="K218" s="87">
        <v>45</v>
      </c>
    </row>
    <row r="219" spans="1:11" ht="14.6" x14ac:dyDescent="0.4">
      <c r="A219" s="84"/>
      <c r="B219" s="84"/>
      <c r="C219" s="84"/>
      <c r="D219" s="84"/>
      <c r="E219" s="84" t="s">
        <v>704</v>
      </c>
      <c r="F219" s="85">
        <v>45099</v>
      </c>
      <c r="G219" s="84" t="s">
        <v>1531</v>
      </c>
      <c r="H219" s="84" t="s">
        <v>991</v>
      </c>
      <c r="I219" s="84" t="s">
        <v>1006</v>
      </c>
      <c r="J219" s="84" t="s">
        <v>771</v>
      </c>
      <c r="K219" s="87">
        <v>100</v>
      </c>
    </row>
    <row r="220" spans="1:11" ht="14.6" x14ac:dyDescent="0.4">
      <c r="A220" s="84"/>
      <c r="B220" s="84"/>
      <c r="C220" s="84"/>
      <c r="D220" s="84"/>
      <c r="E220" s="84" t="s">
        <v>704</v>
      </c>
      <c r="F220" s="85">
        <v>45107</v>
      </c>
      <c r="G220" s="84" t="s">
        <v>1532</v>
      </c>
      <c r="H220" s="84" t="s">
        <v>1580</v>
      </c>
      <c r="I220" s="84" t="s">
        <v>1716</v>
      </c>
      <c r="J220" s="84" t="s">
        <v>1729</v>
      </c>
      <c r="K220" s="87">
        <v>349</v>
      </c>
    </row>
    <row r="221" spans="1:11" ht="14.6" x14ac:dyDescent="0.4">
      <c r="A221" s="84"/>
      <c r="B221" s="84"/>
      <c r="C221" s="84"/>
      <c r="D221" s="84"/>
      <c r="E221" s="84" t="s">
        <v>704</v>
      </c>
      <c r="F221" s="85">
        <v>45109</v>
      </c>
      <c r="G221" s="84" t="s">
        <v>1533</v>
      </c>
      <c r="H221" s="84" t="s">
        <v>647</v>
      </c>
      <c r="I221" s="84" t="s">
        <v>1732</v>
      </c>
      <c r="J221" s="84" t="s">
        <v>772</v>
      </c>
      <c r="K221" s="87">
        <v>29.22</v>
      </c>
    </row>
    <row r="222" spans="1:11" ht="14.6" x14ac:dyDescent="0.4">
      <c r="A222" s="84"/>
      <c r="B222" s="84"/>
      <c r="C222" s="84"/>
      <c r="D222" s="84"/>
      <c r="E222" s="84" t="s">
        <v>634</v>
      </c>
      <c r="F222" s="85">
        <v>45111</v>
      </c>
      <c r="G222" s="84" t="s">
        <v>1534</v>
      </c>
      <c r="H222" s="84" t="s">
        <v>1583</v>
      </c>
      <c r="I222" s="84" t="s">
        <v>1717</v>
      </c>
      <c r="J222" s="84" t="s">
        <v>659</v>
      </c>
      <c r="K222" s="87">
        <v>695</v>
      </c>
    </row>
    <row r="223" spans="1:11" ht="14.6" x14ac:dyDescent="0.4">
      <c r="A223" s="84"/>
      <c r="B223" s="84"/>
      <c r="C223" s="84"/>
      <c r="D223" s="84"/>
      <c r="E223" s="84" t="s">
        <v>704</v>
      </c>
      <c r="F223" s="85">
        <v>45117</v>
      </c>
      <c r="G223" s="84" t="s">
        <v>1535</v>
      </c>
      <c r="H223" s="84" t="s">
        <v>717</v>
      </c>
      <c r="I223" s="84" t="s">
        <v>1718</v>
      </c>
      <c r="J223" s="84" t="s">
        <v>1729</v>
      </c>
      <c r="K223" s="87">
        <v>30</v>
      </c>
    </row>
    <row r="224" spans="1:11" ht="14.6" x14ac:dyDescent="0.4">
      <c r="A224" s="84"/>
      <c r="B224" s="84"/>
      <c r="C224" s="84"/>
      <c r="D224" s="84"/>
      <c r="E224" s="84" t="s">
        <v>704</v>
      </c>
      <c r="F224" s="85">
        <v>45118</v>
      </c>
      <c r="G224" s="84" t="s">
        <v>1536</v>
      </c>
      <c r="H224" s="84" t="s">
        <v>717</v>
      </c>
      <c r="I224" s="84" t="s">
        <v>1719</v>
      </c>
      <c r="J224" s="84" t="s">
        <v>1729</v>
      </c>
      <c r="K224" s="87">
        <v>365</v>
      </c>
    </row>
    <row r="225" spans="1:11" ht="14.6" x14ac:dyDescent="0.4">
      <c r="A225" s="84"/>
      <c r="B225" s="84"/>
      <c r="C225" s="84"/>
      <c r="D225" s="84"/>
      <c r="E225" s="84" t="s">
        <v>634</v>
      </c>
      <c r="F225" s="85">
        <v>45121</v>
      </c>
      <c r="G225" s="84" t="s">
        <v>1537</v>
      </c>
      <c r="H225" s="84" t="s">
        <v>1584</v>
      </c>
      <c r="I225" s="84" t="s">
        <v>1720</v>
      </c>
      <c r="J225" s="84" t="s">
        <v>659</v>
      </c>
      <c r="K225" s="87">
        <v>95</v>
      </c>
    </row>
    <row r="226" spans="1:11" ht="14.6" x14ac:dyDescent="0.4">
      <c r="A226" s="84"/>
      <c r="B226" s="84"/>
      <c r="C226" s="84"/>
      <c r="D226" s="84"/>
      <c r="E226" s="84" t="s">
        <v>704</v>
      </c>
      <c r="F226" s="85">
        <v>45121</v>
      </c>
      <c r="G226" s="84" t="s">
        <v>1538</v>
      </c>
      <c r="H226" s="84" t="s">
        <v>1580</v>
      </c>
      <c r="I226" s="84" t="s">
        <v>1721</v>
      </c>
      <c r="J226" s="84" t="s">
        <v>1729</v>
      </c>
      <c r="K226" s="87">
        <v>40</v>
      </c>
    </row>
    <row r="227" spans="1:11" ht="14.6" x14ac:dyDescent="0.4">
      <c r="A227" s="84"/>
      <c r="B227" s="84"/>
      <c r="C227" s="84"/>
      <c r="D227" s="84"/>
      <c r="E227" s="84" t="s">
        <v>634</v>
      </c>
      <c r="F227" s="85">
        <v>45124</v>
      </c>
      <c r="G227" s="84" t="s">
        <v>1539</v>
      </c>
      <c r="H227" s="84" t="s">
        <v>1565</v>
      </c>
      <c r="I227" s="84" t="s">
        <v>1722</v>
      </c>
      <c r="J227" s="84" t="s">
        <v>659</v>
      </c>
      <c r="K227" s="87">
        <v>1817.81</v>
      </c>
    </row>
    <row r="228" spans="1:11" ht="14.6" x14ac:dyDescent="0.4">
      <c r="A228" s="84"/>
      <c r="B228" s="84"/>
      <c r="C228" s="84"/>
      <c r="D228" s="84"/>
      <c r="E228" s="84" t="s">
        <v>634</v>
      </c>
      <c r="F228" s="85">
        <v>45125</v>
      </c>
      <c r="G228" s="84" t="s">
        <v>1540</v>
      </c>
      <c r="H228" s="84" t="s">
        <v>717</v>
      </c>
      <c r="I228" s="84" t="s">
        <v>1723</v>
      </c>
      <c r="J228" s="84" t="s">
        <v>659</v>
      </c>
      <c r="K228" s="87">
        <v>1000</v>
      </c>
    </row>
    <row r="229" spans="1:11" ht="14.6" x14ac:dyDescent="0.4">
      <c r="A229" s="84"/>
      <c r="B229" s="84"/>
      <c r="C229" s="84"/>
      <c r="D229" s="84"/>
      <c r="E229" s="84" t="s">
        <v>704</v>
      </c>
      <c r="F229" s="85">
        <v>45125</v>
      </c>
      <c r="G229" s="84" t="s">
        <v>2526</v>
      </c>
      <c r="H229" s="84" t="s">
        <v>717</v>
      </c>
      <c r="I229" s="84" t="s">
        <v>1693</v>
      </c>
      <c r="J229" s="84" t="s">
        <v>1729</v>
      </c>
      <c r="K229" s="87">
        <v>50</v>
      </c>
    </row>
    <row r="230" spans="1:11" ht="14.6" x14ac:dyDescent="0.4">
      <c r="A230" s="84"/>
      <c r="B230" s="84"/>
      <c r="C230" s="84"/>
      <c r="D230" s="84"/>
      <c r="E230" s="84" t="s">
        <v>704</v>
      </c>
      <c r="F230" s="85">
        <v>45125</v>
      </c>
      <c r="G230" s="84" t="s">
        <v>2527</v>
      </c>
      <c r="H230" s="84" t="s">
        <v>717</v>
      </c>
      <c r="I230" s="84" t="s">
        <v>2724</v>
      </c>
      <c r="J230" s="84" t="s">
        <v>1729</v>
      </c>
      <c r="K230" s="87">
        <v>465</v>
      </c>
    </row>
    <row r="231" spans="1:11" ht="14.6" x14ac:dyDescent="0.4">
      <c r="A231" s="84"/>
      <c r="B231" s="84"/>
      <c r="C231" s="84"/>
      <c r="D231" s="84"/>
      <c r="E231" s="84" t="s">
        <v>704</v>
      </c>
      <c r="F231" s="85">
        <v>45125</v>
      </c>
      <c r="G231" s="84" t="s">
        <v>2528</v>
      </c>
      <c r="H231" s="84" t="s">
        <v>1574</v>
      </c>
      <c r="I231" s="84" t="s">
        <v>2725</v>
      </c>
      <c r="J231" s="84" t="s">
        <v>1729</v>
      </c>
      <c r="K231" s="87">
        <v>180</v>
      </c>
    </row>
    <row r="232" spans="1:11" ht="14.6" x14ac:dyDescent="0.4">
      <c r="A232" s="84"/>
      <c r="B232" s="84"/>
      <c r="C232" s="84"/>
      <c r="D232" s="84"/>
      <c r="E232" s="84" t="s">
        <v>704</v>
      </c>
      <c r="F232" s="85">
        <v>45126</v>
      </c>
      <c r="G232" s="84" t="s">
        <v>2529</v>
      </c>
      <c r="H232" s="84" t="s">
        <v>992</v>
      </c>
      <c r="I232" s="84" t="s">
        <v>2726</v>
      </c>
      <c r="J232" s="84" t="s">
        <v>1729</v>
      </c>
      <c r="K232" s="87">
        <v>100</v>
      </c>
    </row>
    <row r="233" spans="1:11" ht="14.6" x14ac:dyDescent="0.4">
      <c r="A233" s="84"/>
      <c r="B233" s="84"/>
      <c r="C233" s="84"/>
      <c r="D233" s="84"/>
      <c r="E233" s="84" t="s">
        <v>704</v>
      </c>
      <c r="F233" s="85">
        <v>45129</v>
      </c>
      <c r="G233" s="84" t="s">
        <v>1496</v>
      </c>
      <c r="H233" s="84" t="s">
        <v>991</v>
      </c>
      <c r="I233" s="84" t="s">
        <v>1006</v>
      </c>
      <c r="J233" s="84" t="s">
        <v>771</v>
      </c>
      <c r="K233" s="87">
        <v>100</v>
      </c>
    </row>
    <row r="234" spans="1:11" ht="14.6" x14ac:dyDescent="0.4">
      <c r="A234" s="84"/>
      <c r="B234" s="84"/>
      <c r="C234" s="84"/>
      <c r="D234" s="84"/>
      <c r="E234" s="84" t="s">
        <v>634</v>
      </c>
      <c r="F234" s="85">
        <v>45131</v>
      </c>
      <c r="G234" s="84" t="s">
        <v>1541</v>
      </c>
      <c r="H234" s="84" t="s">
        <v>717</v>
      </c>
      <c r="I234" s="84" t="s">
        <v>1724</v>
      </c>
      <c r="J234" s="84" t="s">
        <v>659</v>
      </c>
      <c r="K234" s="87">
        <v>160</v>
      </c>
    </row>
    <row r="235" spans="1:11" ht="14.6" x14ac:dyDescent="0.4">
      <c r="A235" s="84"/>
      <c r="B235" s="84"/>
      <c r="C235" s="84"/>
      <c r="D235" s="84"/>
      <c r="E235" s="84" t="s">
        <v>634</v>
      </c>
      <c r="F235" s="85">
        <v>45131</v>
      </c>
      <c r="G235" s="84" t="s">
        <v>1541</v>
      </c>
      <c r="H235" s="84" t="s">
        <v>717</v>
      </c>
      <c r="I235" s="84" t="s">
        <v>1725</v>
      </c>
      <c r="J235" s="84" t="s">
        <v>659</v>
      </c>
      <c r="K235" s="87">
        <v>160</v>
      </c>
    </row>
    <row r="236" spans="1:11" ht="14.6" x14ac:dyDescent="0.4">
      <c r="A236" s="84"/>
      <c r="B236" s="84"/>
      <c r="C236" s="84"/>
      <c r="D236" s="84"/>
      <c r="E236" s="84" t="s">
        <v>634</v>
      </c>
      <c r="F236" s="85">
        <v>45131</v>
      </c>
      <c r="G236" s="84" t="s">
        <v>1541</v>
      </c>
      <c r="H236" s="84" t="s">
        <v>717</v>
      </c>
      <c r="I236" s="84" t="s">
        <v>1726</v>
      </c>
      <c r="J236" s="84" t="s">
        <v>659</v>
      </c>
      <c r="K236" s="87">
        <v>160</v>
      </c>
    </row>
    <row r="237" spans="1:11" ht="14.6" x14ac:dyDescent="0.4">
      <c r="A237" s="84"/>
      <c r="B237" s="84"/>
      <c r="C237" s="84"/>
      <c r="D237" s="84"/>
      <c r="E237" s="84" t="s">
        <v>634</v>
      </c>
      <c r="F237" s="85">
        <v>45131</v>
      </c>
      <c r="G237" s="84" t="s">
        <v>1541</v>
      </c>
      <c r="H237" s="84" t="s">
        <v>717</v>
      </c>
      <c r="I237" s="84" t="s">
        <v>1727</v>
      </c>
      <c r="J237" s="84" t="s">
        <v>659</v>
      </c>
      <c r="K237" s="87">
        <v>160</v>
      </c>
    </row>
    <row r="238" spans="1:11" ht="14.6" x14ac:dyDescent="0.4">
      <c r="A238" s="84"/>
      <c r="B238" s="84"/>
      <c r="C238" s="84"/>
      <c r="D238" s="84"/>
      <c r="E238" s="84" t="s">
        <v>634</v>
      </c>
      <c r="F238" s="85">
        <v>45131</v>
      </c>
      <c r="G238" s="84" t="s">
        <v>1541</v>
      </c>
      <c r="H238" s="84" t="s">
        <v>717</v>
      </c>
      <c r="I238" s="84" t="s">
        <v>1728</v>
      </c>
      <c r="J238" s="84" t="s">
        <v>659</v>
      </c>
      <c r="K238" s="87">
        <v>160</v>
      </c>
    </row>
    <row r="239" spans="1:11" ht="14.6" x14ac:dyDescent="0.4">
      <c r="A239" s="84"/>
      <c r="B239" s="84"/>
      <c r="C239" s="84"/>
      <c r="D239" s="84"/>
      <c r="E239" s="84" t="s">
        <v>704</v>
      </c>
      <c r="F239" s="85">
        <v>45135</v>
      </c>
      <c r="G239" s="84" t="s">
        <v>2530</v>
      </c>
      <c r="H239" s="84" t="s">
        <v>717</v>
      </c>
      <c r="I239" s="84" t="s">
        <v>2727</v>
      </c>
      <c r="J239" s="84" t="s">
        <v>771</v>
      </c>
      <c r="K239" s="87">
        <v>365</v>
      </c>
    </row>
    <row r="240" spans="1:11" ht="14.6" x14ac:dyDescent="0.4">
      <c r="A240" s="84"/>
      <c r="B240" s="84"/>
      <c r="C240" s="84"/>
      <c r="D240" s="84"/>
      <c r="E240" s="84" t="s">
        <v>704</v>
      </c>
      <c r="F240" s="85">
        <v>45135</v>
      </c>
      <c r="G240" s="84" t="s">
        <v>2531</v>
      </c>
      <c r="H240" s="84" t="s">
        <v>1574</v>
      </c>
      <c r="I240" s="84" t="s">
        <v>2728</v>
      </c>
      <c r="J240" s="84" t="s">
        <v>771</v>
      </c>
      <c r="K240" s="87">
        <v>375</v>
      </c>
    </row>
    <row r="241" spans="1:11" ht="14.6" x14ac:dyDescent="0.4">
      <c r="A241" s="84"/>
      <c r="B241" s="84"/>
      <c r="C241" s="84"/>
      <c r="D241" s="84"/>
      <c r="E241" s="84" t="s">
        <v>704</v>
      </c>
      <c r="F241" s="85">
        <v>45135</v>
      </c>
      <c r="G241" s="84" t="s">
        <v>2532</v>
      </c>
      <c r="H241" s="84" t="s">
        <v>1574</v>
      </c>
      <c r="I241" s="84" t="s">
        <v>2729</v>
      </c>
      <c r="J241" s="84" t="s">
        <v>771</v>
      </c>
      <c r="K241" s="87">
        <v>375</v>
      </c>
    </row>
    <row r="242" spans="1:11" ht="14.6" x14ac:dyDescent="0.4">
      <c r="A242" s="84"/>
      <c r="B242" s="84"/>
      <c r="C242" s="84"/>
      <c r="D242" s="84"/>
      <c r="E242" s="84" t="s">
        <v>704</v>
      </c>
      <c r="F242" s="85">
        <v>45135</v>
      </c>
      <c r="G242" s="84" t="s">
        <v>2532</v>
      </c>
      <c r="H242" s="84" t="s">
        <v>1574</v>
      </c>
      <c r="I242" s="84" t="s">
        <v>2730</v>
      </c>
      <c r="J242" s="84" t="s">
        <v>771</v>
      </c>
      <c r="K242" s="87">
        <v>375</v>
      </c>
    </row>
    <row r="243" spans="1:11" ht="14.6" x14ac:dyDescent="0.4">
      <c r="A243" s="84"/>
      <c r="B243" s="84"/>
      <c r="C243" s="84"/>
      <c r="D243" s="84"/>
      <c r="E243" s="84" t="s">
        <v>704</v>
      </c>
      <c r="F243" s="85">
        <v>45135</v>
      </c>
      <c r="G243" s="84" t="s">
        <v>2533</v>
      </c>
      <c r="H243" s="84" t="s">
        <v>717</v>
      </c>
      <c r="I243" s="84" t="s">
        <v>2731</v>
      </c>
      <c r="J243" s="84" t="s">
        <v>771</v>
      </c>
      <c r="K243" s="87">
        <v>365</v>
      </c>
    </row>
    <row r="244" spans="1:11" ht="14.6" x14ac:dyDescent="0.4">
      <c r="A244" s="84"/>
      <c r="B244" s="84"/>
      <c r="C244" s="84"/>
      <c r="D244" s="84"/>
      <c r="E244" s="84" t="s">
        <v>704</v>
      </c>
      <c r="F244" s="85">
        <v>45135</v>
      </c>
      <c r="G244" s="84" t="s">
        <v>2534</v>
      </c>
      <c r="H244" s="84" t="s">
        <v>717</v>
      </c>
      <c r="I244" s="84" t="s">
        <v>2732</v>
      </c>
      <c r="J244" s="84" t="s">
        <v>771</v>
      </c>
      <c r="K244" s="87">
        <v>465</v>
      </c>
    </row>
    <row r="245" spans="1:11" ht="14.6" x14ac:dyDescent="0.4">
      <c r="A245" s="84"/>
      <c r="B245" s="84"/>
      <c r="C245" s="84"/>
      <c r="D245" s="84"/>
      <c r="E245" s="84" t="s">
        <v>704</v>
      </c>
      <c r="F245" s="85">
        <v>45135</v>
      </c>
      <c r="G245" s="84" t="s">
        <v>2535</v>
      </c>
      <c r="H245" s="84" t="s">
        <v>717</v>
      </c>
      <c r="I245" s="84" t="s">
        <v>2733</v>
      </c>
      <c r="J245" s="84" t="s">
        <v>771</v>
      </c>
      <c r="K245" s="87">
        <v>365</v>
      </c>
    </row>
    <row r="246" spans="1:11" ht="14.6" x14ac:dyDescent="0.4">
      <c r="A246" s="84"/>
      <c r="B246" s="84"/>
      <c r="C246" s="84"/>
      <c r="D246" s="84"/>
      <c r="E246" s="84" t="s">
        <v>704</v>
      </c>
      <c r="F246" s="85">
        <v>45135</v>
      </c>
      <c r="G246" s="84" t="s">
        <v>2536</v>
      </c>
      <c r="H246" s="84" t="s">
        <v>717</v>
      </c>
      <c r="I246" s="84" t="s">
        <v>2734</v>
      </c>
      <c r="J246" s="84" t="s">
        <v>771</v>
      </c>
      <c r="K246" s="87">
        <v>290</v>
      </c>
    </row>
    <row r="247" spans="1:11" ht="14.6" x14ac:dyDescent="0.4">
      <c r="A247" s="84"/>
      <c r="B247" s="84"/>
      <c r="C247" s="84"/>
      <c r="D247" s="84"/>
      <c r="E247" s="84" t="s">
        <v>704</v>
      </c>
      <c r="F247" s="85">
        <v>45135</v>
      </c>
      <c r="G247" s="84" t="s">
        <v>2537</v>
      </c>
      <c r="H247" s="84" t="s">
        <v>717</v>
      </c>
      <c r="I247" s="84" t="s">
        <v>2735</v>
      </c>
      <c r="J247" s="84" t="s">
        <v>771</v>
      </c>
      <c r="K247" s="87">
        <v>365</v>
      </c>
    </row>
    <row r="248" spans="1:11" ht="14.6" x14ac:dyDescent="0.4">
      <c r="A248" s="84"/>
      <c r="B248" s="84"/>
      <c r="C248" s="84"/>
      <c r="D248" s="84"/>
      <c r="E248" s="84" t="s">
        <v>704</v>
      </c>
      <c r="F248" s="85">
        <v>45135</v>
      </c>
      <c r="G248" s="84" t="s">
        <v>2538</v>
      </c>
      <c r="H248" s="84" t="s">
        <v>717</v>
      </c>
      <c r="I248" s="84" t="s">
        <v>2736</v>
      </c>
      <c r="J248" s="84" t="s">
        <v>771</v>
      </c>
      <c r="K248" s="87">
        <v>465</v>
      </c>
    </row>
    <row r="249" spans="1:11" ht="14.6" x14ac:dyDescent="0.4">
      <c r="A249" s="84"/>
      <c r="B249" s="84"/>
      <c r="C249" s="84"/>
      <c r="D249" s="84"/>
      <c r="E249" s="84" t="s">
        <v>2210</v>
      </c>
      <c r="F249" s="85">
        <v>45135</v>
      </c>
      <c r="G249" s="84" t="s">
        <v>2539</v>
      </c>
      <c r="H249" s="84" t="s">
        <v>1576</v>
      </c>
      <c r="I249" s="84" t="s">
        <v>2737</v>
      </c>
      <c r="J249" s="84" t="s">
        <v>771</v>
      </c>
      <c r="K249" s="87">
        <v>-515</v>
      </c>
    </row>
    <row r="250" spans="1:11" ht="14.6" x14ac:dyDescent="0.4">
      <c r="A250" s="84"/>
      <c r="B250" s="84"/>
      <c r="C250" s="84"/>
      <c r="D250" s="84"/>
      <c r="E250" s="84" t="s">
        <v>704</v>
      </c>
      <c r="F250" s="85">
        <v>45135</v>
      </c>
      <c r="G250" s="84" t="s">
        <v>2540</v>
      </c>
      <c r="H250" s="84" t="s">
        <v>717</v>
      </c>
      <c r="I250" s="84" t="s">
        <v>2738</v>
      </c>
      <c r="J250" s="84" t="s">
        <v>1729</v>
      </c>
      <c r="K250" s="87">
        <v>75</v>
      </c>
    </row>
    <row r="251" spans="1:11" ht="14.6" x14ac:dyDescent="0.4">
      <c r="A251" s="84"/>
      <c r="B251" s="84"/>
      <c r="C251" s="84"/>
      <c r="D251" s="84"/>
      <c r="E251" s="84" t="s">
        <v>704</v>
      </c>
      <c r="F251" s="85">
        <v>45135</v>
      </c>
      <c r="G251" s="84" t="s">
        <v>2540</v>
      </c>
      <c r="H251" s="84" t="s">
        <v>717</v>
      </c>
      <c r="I251" s="84" t="s">
        <v>2739</v>
      </c>
      <c r="J251" s="84" t="s">
        <v>1729</v>
      </c>
      <c r="K251" s="87">
        <v>75</v>
      </c>
    </row>
    <row r="252" spans="1:11" ht="14.6" x14ac:dyDescent="0.4">
      <c r="A252" s="84"/>
      <c r="B252" s="84"/>
      <c r="C252" s="84"/>
      <c r="D252" s="84"/>
      <c r="E252" s="84" t="s">
        <v>704</v>
      </c>
      <c r="F252" s="85">
        <v>45145</v>
      </c>
      <c r="G252" s="84" t="s">
        <v>2541</v>
      </c>
      <c r="H252" s="84" t="s">
        <v>1580</v>
      </c>
      <c r="I252" s="84" t="s">
        <v>2740</v>
      </c>
      <c r="J252" s="84" t="s">
        <v>1729</v>
      </c>
      <c r="K252" s="87">
        <v>50</v>
      </c>
    </row>
    <row r="253" spans="1:11" ht="14.6" x14ac:dyDescent="0.4">
      <c r="A253" s="84"/>
      <c r="B253" s="84"/>
      <c r="C253" s="84"/>
      <c r="D253" s="84"/>
      <c r="E253" s="84" t="s">
        <v>704</v>
      </c>
      <c r="F253" s="85">
        <v>45147</v>
      </c>
      <c r="G253" s="84" t="s">
        <v>2542</v>
      </c>
      <c r="H253" s="84" t="s">
        <v>717</v>
      </c>
      <c r="I253" s="84" t="s">
        <v>2741</v>
      </c>
      <c r="J253" s="84" t="s">
        <v>1729</v>
      </c>
      <c r="K253" s="87">
        <v>50</v>
      </c>
    </row>
    <row r="254" spans="1:11" ht="14.6" x14ac:dyDescent="0.4">
      <c r="A254" s="84"/>
      <c r="B254" s="84"/>
      <c r="C254" s="84"/>
      <c r="D254" s="84"/>
      <c r="E254" s="84" t="s">
        <v>704</v>
      </c>
      <c r="F254" s="85">
        <v>45147</v>
      </c>
      <c r="G254" s="84" t="s">
        <v>2543</v>
      </c>
      <c r="H254" s="84" t="s">
        <v>717</v>
      </c>
      <c r="I254" s="84" t="s">
        <v>2742</v>
      </c>
      <c r="J254" s="84" t="s">
        <v>1729</v>
      </c>
      <c r="K254" s="87">
        <v>75</v>
      </c>
    </row>
    <row r="255" spans="1:11" ht="14.6" x14ac:dyDescent="0.4">
      <c r="A255" s="84"/>
      <c r="B255" s="84"/>
      <c r="C255" s="84"/>
      <c r="D255" s="84"/>
      <c r="E255" s="84" t="s">
        <v>704</v>
      </c>
      <c r="F255" s="85">
        <v>45148</v>
      </c>
      <c r="G255" s="84" t="s">
        <v>2544</v>
      </c>
      <c r="H255" s="84" t="s">
        <v>717</v>
      </c>
      <c r="I255" s="84" t="s">
        <v>2743</v>
      </c>
      <c r="J255" s="84" t="s">
        <v>1729</v>
      </c>
      <c r="K255" s="87">
        <v>300</v>
      </c>
    </row>
    <row r="256" spans="1:11" ht="14.6" x14ac:dyDescent="0.4">
      <c r="A256" s="84"/>
      <c r="B256" s="84"/>
      <c r="C256" s="84"/>
      <c r="D256" s="84"/>
      <c r="E256" s="84" t="s">
        <v>704</v>
      </c>
      <c r="F256" s="85">
        <v>45149</v>
      </c>
      <c r="G256" s="84" t="s">
        <v>2545</v>
      </c>
      <c r="H256" s="84" t="s">
        <v>1571</v>
      </c>
      <c r="I256" s="84" t="s">
        <v>2744</v>
      </c>
      <c r="J256" s="84" t="s">
        <v>771</v>
      </c>
      <c r="K256" s="87">
        <v>419.94</v>
      </c>
    </row>
    <row r="257" spans="1:11" ht="14.6" x14ac:dyDescent="0.4">
      <c r="A257" s="84"/>
      <c r="B257" s="84"/>
      <c r="C257" s="84"/>
      <c r="D257" s="84"/>
      <c r="E257" s="84" t="s">
        <v>634</v>
      </c>
      <c r="F257" s="85">
        <v>45149</v>
      </c>
      <c r="G257" s="84" t="s">
        <v>1489</v>
      </c>
      <c r="H257" s="84" t="s">
        <v>2682</v>
      </c>
      <c r="I257" s="84" t="s">
        <v>2745</v>
      </c>
      <c r="J257" s="84" t="s">
        <v>659</v>
      </c>
      <c r="K257" s="87">
        <v>28.88</v>
      </c>
    </row>
    <row r="258" spans="1:11" ht="14.6" x14ac:dyDescent="0.4">
      <c r="A258" s="84"/>
      <c r="B258" s="84"/>
      <c r="C258" s="84"/>
      <c r="D258" s="84"/>
      <c r="E258" s="84" t="s">
        <v>704</v>
      </c>
      <c r="F258" s="85">
        <v>45151</v>
      </c>
      <c r="G258" s="84" t="s">
        <v>2546</v>
      </c>
      <c r="H258" s="84" t="s">
        <v>717</v>
      </c>
      <c r="I258" s="84" t="s">
        <v>2746</v>
      </c>
      <c r="J258" s="84" t="s">
        <v>1729</v>
      </c>
      <c r="K258" s="87">
        <v>75</v>
      </c>
    </row>
    <row r="259" spans="1:11" ht="14.6" x14ac:dyDescent="0.4">
      <c r="A259" s="84"/>
      <c r="B259" s="84"/>
      <c r="C259" s="84"/>
      <c r="D259" s="84"/>
      <c r="E259" s="84" t="s">
        <v>704</v>
      </c>
      <c r="F259" s="85">
        <v>45151</v>
      </c>
      <c r="G259" s="84" t="s">
        <v>2547</v>
      </c>
      <c r="H259" s="84" t="s">
        <v>717</v>
      </c>
      <c r="I259" s="84" t="s">
        <v>2747</v>
      </c>
      <c r="J259" s="84" t="s">
        <v>1729</v>
      </c>
      <c r="K259" s="87">
        <v>250</v>
      </c>
    </row>
    <row r="260" spans="1:11" ht="14.6" x14ac:dyDescent="0.4">
      <c r="A260" s="84"/>
      <c r="B260" s="84"/>
      <c r="C260" s="84"/>
      <c r="D260" s="84"/>
      <c r="E260" s="84" t="s">
        <v>704</v>
      </c>
      <c r="F260" s="85">
        <v>45151</v>
      </c>
      <c r="G260" s="84" t="s">
        <v>2548</v>
      </c>
      <c r="H260" s="84" t="s">
        <v>717</v>
      </c>
      <c r="I260" s="84" t="s">
        <v>2748</v>
      </c>
      <c r="J260" s="84" t="s">
        <v>1729</v>
      </c>
      <c r="K260" s="87">
        <v>160</v>
      </c>
    </row>
    <row r="261" spans="1:11" ht="14.6" x14ac:dyDescent="0.4">
      <c r="A261" s="84"/>
      <c r="B261" s="84"/>
      <c r="C261" s="84"/>
      <c r="D261" s="84"/>
      <c r="E261" s="84" t="s">
        <v>704</v>
      </c>
      <c r="F261" s="85">
        <v>45151</v>
      </c>
      <c r="G261" s="84" t="s">
        <v>2549</v>
      </c>
      <c r="H261" s="84" t="s">
        <v>717</v>
      </c>
      <c r="I261" s="84" t="s">
        <v>2749</v>
      </c>
      <c r="J261" s="84" t="s">
        <v>1729</v>
      </c>
      <c r="K261" s="87">
        <v>50</v>
      </c>
    </row>
    <row r="262" spans="1:11" ht="14.6" x14ac:dyDescent="0.4">
      <c r="A262" s="84"/>
      <c r="B262" s="84"/>
      <c r="C262" s="84"/>
      <c r="D262" s="84"/>
      <c r="E262" s="84" t="s">
        <v>704</v>
      </c>
      <c r="F262" s="85">
        <v>45151</v>
      </c>
      <c r="G262" s="84" t="s">
        <v>2550</v>
      </c>
      <c r="H262" s="84" t="s">
        <v>717</v>
      </c>
      <c r="I262" s="84" t="s">
        <v>2750</v>
      </c>
      <c r="J262" s="84" t="s">
        <v>1729</v>
      </c>
      <c r="K262" s="87">
        <v>75</v>
      </c>
    </row>
    <row r="263" spans="1:11" ht="14.6" x14ac:dyDescent="0.4">
      <c r="A263" s="84"/>
      <c r="B263" s="84"/>
      <c r="C263" s="84"/>
      <c r="D263" s="84"/>
      <c r="E263" s="84" t="s">
        <v>704</v>
      </c>
      <c r="F263" s="85">
        <v>45151</v>
      </c>
      <c r="G263" s="84" t="s">
        <v>2551</v>
      </c>
      <c r="H263" s="84" t="s">
        <v>717</v>
      </c>
      <c r="I263" s="84" t="s">
        <v>2751</v>
      </c>
      <c r="J263" s="84" t="s">
        <v>1729</v>
      </c>
      <c r="K263" s="87">
        <v>50</v>
      </c>
    </row>
    <row r="264" spans="1:11" ht="14.6" x14ac:dyDescent="0.4">
      <c r="A264" s="84"/>
      <c r="B264" s="84"/>
      <c r="C264" s="84"/>
      <c r="D264" s="84"/>
      <c r="E264" s="84" t="s">
        <v>704</v>
      </c>
      <c r="F264" s="85">
        <v>45151</v>
      </c>
      <c r="G264" s="84" t="s">
        <v>2552</v>
      </c>
      <c r="H264" s="84" t="s">
        <v>717</v>
      </c>
      <c r="I264" s="84" t="s">
        <v>2752</v>
      </c>
      <c r="J264" s="84" t="s">
        <v>1729</v>
      </c>
      <c r="K264" s="87">
        <v>50</v>
      </c>
    </row>
    <row r="265" spans="1:11" ht="14.6" x14ac:dyDescent="0.4">
      <c r="A265" s="84"/>
      <c r="B265" s="84"/>
      <c r="C265" s="84"/>
      <c r="D265" s="84"/>
      <c r="E265" s="84" t="s">
        <v>704</v>
      </c>
      <c r="F265" s="85">
        <v>45151</v>
      </c>
      <c r="G265" s="84" t="s">
        <v>2552</v>
      </c>
      <c r="H265" s="84" t="s">
        <v>717</v>
      </c>
      <c r="I265" s="84" t="s">
        <v>2753</v>
      </c>
      <c r="J265" s="84" t="s">
        <v>1729</v>
      </c>
      <c r="K265" s="87">
        <v>50</v>
      </c>
    </row>
    <row r="266" spans="1:11" ht="14.6" x14ac:dyDescent="0.4">
      <c r="A266" s="84"/>
      <c r="B266" s="84"/>
      <c r="C266" s="84"/>
      <c r="D266" s="84"/>
      <c r="E266" s="84" t="s">
        <v>704</v>
      </c>
      <c r="F266" s="85">
        <v>45151</v>
      </c>
      <c r="G266" s="84" t="s">
        <v>2553</v>
      </c>
      <c r="H266" s="84" t="s">
        <v>717</v>
      </c>
      <c r="I266" s="84" t="s">
        <v>2754</v>
      </c>
      <c r="J266" s="84" t="s">
        <v>1729</v>
      </c>
      <c r="K266" s="87">
        <v>75</v>
      </c>
    </row>
    <row r="267" spans="1:11" ht="14.6" x14ac:dyDescent="0.4">
      <c r="A267" s="84"/>
      <c r="B267" s="84"/>
      <c r="C267" s="84"/>
      <c r="D267" s="84"/>
      <c r="E267" s="84" t="s">
        <v>704</v>
      </c>
      <c r="F267" s="85">
        <v>45151</v>
      </c>
      <c r="G267" s="84" t="s">
        <v>2554</v>
      </c>
      <c r="H267" s="84" t="s">
        <v>2683</v>
      </c>
      <c r="I267" s="84" t="s">
        <v>2755</v>
      </c>
      <c r="J267" s="84" t="s">
        <v>772</v>
      </c>
      <c r="K267" s="87">
        <v>208.61</v>
      </c>
    </row>
    <row r="268" spans="1:11" ht="14.6" x14ac:dyDescent="0.4">
      <c r="A268" s="84"/>
      <c r="B268" s="84"/>
      <c r="C268" s="84"/>
      <c r="D268" s="84"/>
      <c r="E268" s="84" t="s">
        <v>634</v>
      </c>
      <c r="F268" s="85">
        <v>45152</v>
      </c>
      <c r="G268" s="84" t="s">
        <v>2555</v>
      </c>
      <c r="H268" s="84" t="s">
        <v>1562</v>
      </c>
      <c r="I268" s="84" t="s">
        <v>2756</v>
      </c>
      <c r="J268" s="84" t="s">
        <v>659</v>
      </c>
      <c r="K268" s="87">
        <v>55</v>
      </c>
    </row>
    <row r="269" spans="1:11" ht="14.6" x14ac:dyDescent="0.4">
      <c r="A269" s="84"/>
      <c r="B269" s="84"/>
      <c r="C269" s="84"/>
      <c r="D269" s="84"/>
      <c r="E269" s="84" t="s">
        <v>634</v>
      </c>
      <c r="F269" s="85">
        <v>45152</v>
      </c>
      <c r="G269" s="84" t="s">
        <v>1489</v>
      </c>
      <c r="H269" s="84" t="s">
        <v>2684</v>
      </c>
      <c r="I269" s="84" t="s">
        <v>2757</v>
      </c>
      <c r="J269" s="84" t="s">
        <v>659</v>
      </c>
      <c r="K269" s="87">
        <v>43.67</v>
      </c>
    </row>
    <row r="270" spans="1:11" ht="14.6" x14ac:dyDescent="0.4">
      <c r="A270" s="84"/>
      <c r="B270" s="84"/>
      <c r="C270" s="84"/>
      <c r="D270" s="84"/>
      <c r="E270" s="84" t="s">
        <v>634</v>
      </c>
      <c r="F270" s="85">
        <v>45152</v>
      </c>
      <c r="G270" s="84" t="s">
        <v>1489</v>
      </c>
      <c r="H270" s="84" t="s">
        <v>2685</v>
      </c>
      <c r="I270" s="84" t="s">
        <v>2758</v>
      </c>
      <c r="J270" s="84" t="s">
        <v>659</v>
      </c>
      <c r="K270" s="87">
        <v>52.13</v>
      </c>
    </row>
    <row r="271" spans="1:11" ht="14.6" x14ac:dyDescent="0.4">
      <c r="A271" s="84"/>
      <c r="B271" s="84"/>
      <c r="C271" s="84"/>
      <c r="D271" s="84"/>
      <c r="E271" s="84" t="s">
        <v>634</v>
      </c>
      <c r="F271" s="85">
        <v>45152</v>
      </c>
      <c r="G271" s="84" t="s">
        <v>1489</v>
      </c>
      <c r="H271" s="84" t="s">
        <v>2686</v>
      </c>
      <c r="I271" s="84" t="s">
        <v>2759</v>
      </c>
      <c r="J271" s="84" t="s">
        <v>659</v>
      </c>
      <c r="K271" s="87">
        <v>30.95</v>
      </c>
    </row>
    <row r="272" spans="1:11" ht="14.6" x14ac:dyDescent="0.4">
      <c r="A272" s="84"/>
      <c r="B272" s="84"/>
      <c r="C272" s="84"/>
      <c r="D272" s="84"/>
      <c r="E272" s="84" t="s">
        <v>704</v>
      </c>
      <c r="F272" s="85">
        <v>45153</v>
      </c>
      <c r="G272" s="84" t="s">
        <v>2556</v>
      </c>
      <c r="H272" s="84" t="s">
        <v>1543</v>
      </c>
      <c r="I272" s="84" t="s">
        <v>2760</v>
      </c>
      <c r="J272" s="84" t="s">
        <v>772</v>
      </c>
      <c r="K272" s="87">
        <v>470.06</v>
      </c>
    </row>
    <row r="273" spans="1:11" ht="14.6" x14ac:dyDescent="0.4">
      <c r="A273" s="84"/>
      <c r="B273" s="84"/>
      <c r="C273" s="84"/>
      <c r="D273" s="84"/>
      <c r="E273" s="84" t="s">
        <v>704</v>
      </c>
      <c r="F273" s="85">
        <v>45153</v>
      </c>
      <c r="G273" s="84" t="s">
        <v>2557</v>
      </c>
      <c r="H273" s="84" t="s">
        <v>1543</v>
      </c>
      <c r="I273" s="84" t="s">
        <v>2761</v>
      </c>
      <c r="J273" s="84" t="s">
        <v>772</v>
      </c>
      <c r="K273" s="87">
        <v>474.06</v>
      </c>
    </row>
    <row r="274" spans="1:11" ht="14.6" x14ac:dyDescent="0.4">
      <c r="A274" s="84"/>
      <c r="B274" s="84"/>
      <c r="C274" s="84"/>
      <c r="D274" s="84"/>
      <c r="E274" s="84" t="s">
        <v>704</v>
      </c>
      <c r="F274" s="85">
        <v>45153</v>
      </c>
      <c r="G274" s="84" t="s">
        <v>2558</v>
      </c>
      <c r="H274" s="84" t="s">
        <v>1543</v>
      </c>
      <c r="I274" s="84" t="s">
        <v>2762</v>
      </c>
      <c r="J274" s="84" t="s">
        <v>772</v>
      </c>
      <c r="K274" s="87">
        <v>470.06</v>
      </c>
    </row>
    <row r="275" spans="1:11" ht="14.6" x14ac:dyDescent="0.4">
      <c r="A275" s="84"/>
      <c r="B275" s="84"/>
      <c r="C275" s="84"/>
      <c r="D275" s="84"/>
      <c r="E275" s="84" t="s">
        <v>704</v>
      </c>
      <c r="F275" s="85">
        <v>45153</v>
      </c>
      <c r="G275" s="84" t="s">
        <v>2559</v>
      </c>
      <c r="H275" s="84" t="s">
        <v>2687</v>
      </c>
      <c r="I275" s="84" t="s">
        <v>2763</v>
      </c>
      <c r="J275" s="84" t="s">
        <v>771</v>
      </c>
      <c r="K275" s="87">
        <v>200</v>
      </c>
    </row>
    <row r="276" spans="1:11" ht="14.6" x14ac:dyDescent="0.4">
      <c r="A276" s="84"/>
      <c r="B276" s="84"/>
      <c r="C276" s="84"/>
      <c r="D276" s="84"/>
      <c r="E276" s="84" t="s">
        <v>704</v>
      </c>
      <c r="F276" s="85">
        <v>45154</v>
      </c>
      <c r="G276" s="84" t="s">
        <v>2560</v>
      </c>
      <c r="H276" s="84" t="s">
        <v>1542</v>
      </c>
      <c r="I276" s="84" t="s">
        <v>2764</v>
      </c>
      <c r="J276" s="84" t="s">
        <v>771</v>
      </c>
      <c r="K276" s="87">
        <v>357.96</v>
      </c>
    </row>
    <row r="277" spans="1:11" ht="14.6" x14ac:dyDescent="0.4">
      <c r="A277" s="84"/>
      <c r="B277" s="84"/>
      <c r="C277" s="84"/>
      <c r="D277" s="84"/>
      <c r="E277" s="84" t="s">
        <v>634</v>
      </c>
      <c r="F277" s="85">
        <v>45154</v>
      </c>
      <c r="G277" s="84" t="s">
        <v>1489</v>
      </c>
      <c r="H277" s="84" t="s">
        <v>1551</v>
      </c>
      <c r="I277" s="84" t="s">
        <v>2765</v>
      </c>
      <c r="J277" s="84" t="s">
        <v>659</v>
      </c>
      <c r="K277" s="87">
        <v>257.2</v>
      </c>
    </row>
    <row r="278" spans="1:11" ht="14.6" x14ac:dyDescent="0.4">
      <c r="A278" s="84"/>
      <c r="B278" s="84"/>
      <c r="C278" s="84"/>
      <c r="D278" s="84"/>
      <c r="E278" s="84" t="s">
        <v>634</v>
      </c>
      <c r="F278" s="85">
        <v>45154</v>
      </c>
      <c r="G278" s="84" t="s">
        <v>1489</v>
      </c>
      <c r="H278" s="84" t="s">
        <v>1552</v>
      </c>
      <c r="I278" s="84" t="s">
        <v>2766</v>
      </c>
      <c r="J278" s="84" t="s">
        <v>659</v>
      </c>
      <c r="K278" s="87">
        <v>203.05</v>
      </c>
    </row>
    <row r="279" spans="1:11" ht="14.6" x14ac:dyDescent="0.4">
      <c r="A279" s="84"/>
      <c r="B279" s="84"/>
      <c r="C279" s="84"/>
      <c r="D279" s="84"/>
      <c r="E279" s="84" t="s">
        <v>634</v>
      </c>
      <c r="F279" s="85">
        <v>45154</v>
      </c>
      <c r="G279" s="84" t="s">
        <v>1489</v>
      </c>
      <c r="H279" s="84" t="s">
        <v>2688</v>
      </c>
      <c r="I279" s="84" t="s">
        <v>2765</v>
      </c>
      <c r="J279" s="84" t="s">
        <v>659</v>
      </c>
      <c r="K279" s="87">
        <v>278.26</v>
      </c>
    </row>
    <row r="280" spans="1:11" ht="14.6" x14ac:dyDescent="0.4">
      <c r="A280" s="84"/>
      <c r="B280" s="84"/>
      <c r="C280" s="84"/>
      <c r="D280" s="84"/>
      <c r="E280" s="84" t="s">
        <v>634</v>
      </c>
      <c r="F280" s="85">
        <v>45154</v>
      </c>
      <c r="G280" s="84" t="s">
        <v>1489</v>
      </c>
      <c r="H280" s="84" t="s">
        <v>2689</v>
      </c>
      <c r="I280" s="84" t="s">
        <v>2767</v>
      </c>
      <c r="J280" s="84" t="s">
        <v>659</v>
      </c>
      <c r="K280" s="87">
        <v>52.4</v>
      </c>
    </row>
    <row r="281" spans="1:11" ht="14.6" x14ac:dyDescent="0.4">
      <c r="A281" s="84"/>
      <c r="B281" s="84"/>
      <c r="C281" s="84"/>
      <c r="D281" s="84"/>
      <c r="E281" s="84" t="s">
        <v>634</v>
      </c>
      <c r="F281" s="85">
        <v>45154</v>
      </c>
      <c r="G281" s="84" t="s">
        <v>1489</v>
      </c>
      <c r="H281" s="84" t="s">
        <v>2690</v>
      </c>
      <c r="I281" s="84" t="s">
        <v>2767</v>
      </c>
      <c r="J281" s="84" t="s">
        <v>659</v>
      </c>
      <c r="K281" s="87">
        <v>75.86</v>
      </c>
    </row>
    <row r="282" spans="1:11" ht="14.6" x14ac:dyDescent="0.4">
      <c r="A282" s="84"/>
      <c r="B282" s="84"/>
      <c r="C282" s="84"/>
      <c r="D282" s="84"/>
      <c r="E282" s="84" t="s">
        <v>634</v>
      </c>
      <c r="F282" s="85">
        <v>45155</v>
      </c>
      <c r="G282" s="84" t="s">
        <v>1489</v>
      </c>
      <c r="H282" s="84" t="s">
        <v>1548</v>
      </c>
      <c r="I282" s="84" t="s">
        <v>2768</v>
      </c>
      <c r="J282" s="84" t="s">
        <v>659</v>
      </c>
      <c r="K282" s="87">
        <v>214.84</v>
      </c>
    </row>
    <row r="283" spans="1:11" ht="14.6" x14ac:dyDescent="0.4">
      <c r="A283" s="84"/>
      <c r="B283" s="84"/>
      <c r="C283" s="84"/>
      <c r="D283" s="84"/>
      <c r="E283" s="84" t="s">
        <v>634</v>
      </c>
      <c r="F283" s="85">
        <v>45155</v>
      </c>
      <c r="G283" s="84" t="s">
        <v>2561</v>
      </c>
      <c r="H283" s="84" t="s">
        <v>2691</v>
      </c>
      <c r="I283" s="84" t="s">
        <v>2769</v>
      </c>
      <c r="J283" s="84" t="s">
        <v>659</v>
      </c>
      <c r="K283" s="87">
        <v>2750.74</v>
      </c>
    </row>
    <row r="284" spans="1:11" ht="14.6" x14ac:dyDescent="0.4">
      <c r="A284" s="84"/>
      <c r="B284" s="84"/>
      <c r="C284" s="84"/>
      <c r="D284" s="84"/>
      <c r="E284" s="84" t="s">
        <v>704</v>
      </c>
      <c r="F284" s="85">
        <v>45155</v>
      </c>
      <c r="G284" s="84" t="s">
        <v>2562</v>
      </c>
      <c r="H284" s="84" t="s">
        <v>717</v>
      </c>
      <c r="I284" s="84" t="s">
        <v>2770</v>
      </c>
      <c r="J284" s="84" t="s">
        <v>1729</v>
      </c>
      <c r="K284" s="87">
        <v>280</v>
      </c>
    </row>
    <row r="285" spans="1:11" ht="14.6" x14ac:dyDescent="0.4">
      <c r="A285" s="84"/>
      <c r="B285" s="84"/>
      <c r="C285" s="84"/>
      <c r="D285" s="84"/>
      <c r="E285" s="84" t="s">
        <v>634</v>
      </c>
      <c r="F285" s="85">
        <v>45155</v>
      </c>
      <c r="G285" s="84" t="s">
        <v>1489</v>
      </c>
      <c r="H285" s="84" t="s">
        <v>2692</v>
      </c>
      <c r="I285" s="84" t="s">
        <v>2771</v>
      </c>
      <c r="J285" s="84" t="s">
        <v>659</v>
      </c>
      <c r="K285" s="87">
        <v>470.06</v>
      </c>
    </row>
    <row r="286" spans="1:11" ht="14.6" x14ac:dyDescent="0.4">
      <c r="A286" s="84"/>
      <c r="B286" s="84"/>
      <c r="C286" s="84"/>
      <c r="D286" s="84"/>
      <c r="E286" s="84" t="s">
        <v>2210</v>
      </c>
      <c r="F286" s="85">
        <v>45155</v>
      </c>
      <c r="G286" s="84" t="s">
        <v>2563</v>
      </c>
      <c r="H286" s="84" t="s">
        <v>1571</v>
      </c>
      <c r="I286" s="84" t="s">
        <v>2772</v>
      </c>
      <c r="J286" s="84" t="s">
        <v>771</v>
      </c>
      <c r="K286" s="87">
        <v>-419.94</v>
      </c>
    </row>
    <row r="287" spans="1:11" ht="14.6" x14ac:dyDescent="0.4">
      <c r="A287" s="84"/>
      <c r="B287" s="84"/>
      <c r="C287" s="84"/>
      <c r="D287" s="84"/>
      <c r="E287" s="84" t="s">
        <v>704</v>
      </c>
      <c r="F287" s="85">
        <v>45159</v>
      </c>
      <c r="G287" s="84" t="s">
        <v>2564</v>
      </c>
      <c r="H287" s="84" t="s">
        <v>1159</v>
      </c>
      <c r="I287" s="84" t="s">
        <v>2773</v>
      </c>
      <c r="J287" s="84" t="s">
        <v>771</v>
      </c>
      <c r="K287" s="87">
        <v>298.12</v>
      </c>
    </row>
    <row r="288" spans="1:11" ht="14.6" x14ac:dyDescent="0.4">
      <c r="A288" s="84"/>
      <c r="B288" s="84"/>
      <c r="C288" s="84"/>
      <c r="D288" s="84"/>
      <c r="E288" s="84" t="s">
        <v>2210</v>
      </c>
      <c r="F288" s="85">
        <v>45159</v>
      </c>
      <c r="G288" s="84" t="s">
        <v>2564</v>
      </c>
      <c r="H288" s="84" t="s">
        <v>1159</v>
      </c>
      <c r="I288" s="84" t="s">
        <v>2773</v>
      </c>
      <c r="J288" s="84" t="s">
        <v>771</v>
      </c>
      <c r="K288" s="87">
        <v>-19.010000000000002</v>
      </c>
    </row>
    <row r="289" spans="1:11" ht="14.6" x14ac:dyDescent="0.4">
      <c r="A289" s="84"/>
      <c r="B289" s="84"/>
      <c r="C289" s="84"/>
      <c r="D289" s="84"/>
      <c r="E289" s="84" t="s">
        <v>704</v>
      </c>
      <c r="F289" s="85">
        <v>45160</v>
      </c>
      <c r="G289" s="84" t="s">
        <v>2565</v>
      </c>
      <c r="H289" s="84" t="s">
        <v>719</v>
      </c>
      <c r="I289" s="84" t="s">
        <v>2774</v>
      </c>
      <c r="J289" s="84" t="s">
        <v>1729</v>
      </c>
      <c r="K289" s="87">
        <v>125</v>
      </c>
    </row>
    <row r="290" spans="1:11" ht="14.6" x14ac:dyDescent="0.4">
      <c r="A290" s="84"/>
      <c r="B290" s="84"/>
      <c r="C290" s="84"/>
      <c r="D290" s="84"/>
      <c r="E290" s="84" t="s">
        <v>704</v>
      </c>
      <c r="F290" s="85">
        <v>45160</v>
      </c>
      <c r="G290" s="84" t="s">
        <v>2566</v>
      </c>
      <c r="H290" s="84" t="s">
        <v>717</v>
      </c>
      <c r="I290" s="84" t="s">
        <v>2775</v>
      </c>
      <c r="J290" s="84" t="s">
        <v>1729</v>
      </c>
      <c r="K290" s="87">
        <v>400</v>
      </c>
    </row>
    <row r="291" spans="1:11" ht="14.6" x14ac:dyDescent="0.4">
      <c r="A291" s="84"/>
      <c r="B291" s="84"/>
      <c r="C291" s="84"/>
      <c r="D291" s="84"/>
      <c r="E291" s="84" t="s">
        <v>704</v>
      </c>
      <c r="F291" s="85">
        <v>45160</v>
      </c>
      <c r="G291" s="84" t="s">
        <v>2567</v>
      </c>
      <c r="H291" s="84" t="s">
        <v>2693</v>
      </c>
      <c r="I291" s="84" t="s">
        <v>2776</v>
      </c>
      <c r="J291" s="84" t="s">
        <v>772</v>
      </c>
      <c r="K291" s="87">
        <v>49.25</v>
      </c>
    </row>
    <row r="292" spans="1:11" ht="14.6" x14ac:dyDescent="0.4">
      <c r="A292" s="84"/>
      <c r="B292" s="84"/>
      <c r="C292" s="84"/>
      <c r="D292" s="84"/>
      <c r="E292" s="84" t="s">
        <v>704</v>
      </c>
      <c r="F292" s="85">
        <v>45160</v>
      </c>
      <c r="G292" s="84" t="s">
        <v>1489</v>
      </c>
      <c r="H292" s="84" t="s">
        <v>991</v>
      </c>
      <c r="I292" s="84" t="s">
        <v>1006</v>
      </c>
      <c r="J292" s="84" t="s">
        <v>771</v>
      </c>
      <c r="K292" s="87">
        <v>100</v>
      </c>
    </row>
    <row r="293" spans="1:11" ht="14.6" x14ac:dyDescent="0.4">
      <c r="A293" s="84"/>
      <c r="B293" s="84"/>
      <c r="C293" s="84"/>
      <c r="D293" s="84"/>
      <c r="E293" s="84" t="s">
        <v>2210</v>
      </c>
      <c r="F293" s="85">
        <v>45160</v>
      </c>
      <c r="G293" s="84" t="s">
        <v>2568</v>
      </c>
      <c r="H293" s="84" t="s">
        <v>1575</v>
      </c>
      <c r="I293" s="84" t="s">
        <v>2777</v>
      </c>
      <c r="J293" s="84" t="s">
        <v>771</v>
      </c>
      <c r="K293" s="87">
        <v>-54.45</v>
      </c>
    </row>
    <row r="294" spans="1:11" ht="14.6" x14ac:dyDescent="0.4">
      <c r="A294" s="84"/>
      <c r="B294" s="84"/>
      <c r="C294" s="84"/>
      <c r="D294" s="84"/>
      <c r="E294" s="84" t="s">
        <v>704</v>
      </c>
      <c r="F294" s="85">
        <v>45160</v>
      </c>
      <c r="G294" s="84" t="s">
        <v>2569</v>
      </c>
      <c r="H294" s="84" t="s">
        <v>722</v>
      </c>
      <c r="I294" s="84" t="s">
        <v>2778</v>
      </c>
      <c r="J294" s="84" t="s">
        <v>771</v>
      </c>
      <c r="K294" s="87">
        <v>9.94</v>
      </c>
    </row>
    <row r="295" spans="1:11" ht="14.6" x14ac:dyDescent="0.4">
      <c r="A295" s="84"/>
      <c r="B295" s="84"/>
      <c r="C295" s="84"/>
      <c r="D295" s="84"/>
      <c r="E295" s="84" t="s">
        <v>704</v>
      </c>
      <c r="F295" s="85">
        <v>45160</v>
      </c>
      <c r="G295" s="84" t="s">
        <v>2570</v>
      </c>
      <c r="H295" s="84" t="s">
        <v>2694</v>
      </c>
      <c r="I295" s="84" t="s">
        <v>2779</v>
      </c>
      <c r="J295" s="84" t="s">
        <v>771</v>
      </c>
      <c r="K295" s="87">
        <v>262.7</v>
      </c>
    </row>
    <row r="296" spans="1:11" ht="14.6" x14ac:dyDescent="0.4">
      <c r="A296" s="84"/>
      <c r="B296" s="84"/>
      <c r="C296" s="84"/>
      <c r="D296" s="84"/>
      <c r="E296" s="84" t="s">
        <v>704</v>
      </c>
      <c r="F296" s="85">
        <v>45161</v>
      </c>
      <c r="G296" s="84" t="s">
        <v>2571</v>
      </c>
      <c r="H296" s="84" t="s">
        <v>717</v>
      </c>
      <c r="I296" s="84" t="s">
        <v>2780</v>
      </c>
      <c r="J296" s="84" t="s">
        <v>1729</v>
      </c>
      <c r="K296" s="87">
        <v>50</v>
      </c>
    </row>
    <row r="297" spans="1:11" ht="14.6" x14ac:dyDescent="0.4">
      <c r="A297" s="84"/>
      <c r="B297" s="84"/>
      <c r="C297" s="84"/>
      <c r="D297" s="84"/>
      <c r="E297" s="84" t="s">
        <v>704</v>
      </c>
      <c r="F297" s="85">
        <v>45161</v>
      </c>
      <c r="G297" s="84" t="s">
        <v>2572</v>
      </c>
      <c r="H297" s="84" t="s">
        <v>717</v>
      </c>
      <c r="I297" s="84" t="s">
        <v>2781</v>
      </c>
      <c r="J297" s="84" t="s">
        <v>1729</v>
      </c>
      <c r="K297" s="87">
        <v>75</v>
      </c>
    </row>
    <row r="298" spans="1:11" ht="14.6" x14ac:dyDescent="0.4">
      <c r="A298" s="84"/>
      <c r="B298" s="84"/>
      <c r="C298" s="84"/>
      <c r="D298" s="84"/>
      <c r="E298" s="84" t="s">
        <v>704</v>
      </c>
      <c r="F298" s="85">
        <v>45161</v>
      </c>
      <c r="G298" s="84" t="s">
        <v>2573</v>
      </c>
      <c r="H298" s="84" t="s">
        <v>717</v>
      </c>
      <c r="I298" s="84" t="s">
        <v>2782</v>
      </c>
      <c r="J298" s="84" t="s">
        <v>1729</v>
      </c>
      <c r="K298" s="87">
        <v>50</v>
      </c>
    </row>
    <row r="299" spans="1:11" ht="14.6" x14ac:dyDescent="0.4">
      <c r="A299" s="84"/>
      <c r="B299" s="84"/>
      <c r="C299" s="84"/>
      <c r="D299" s="84"/>
      <c r="E299" s="84" t="s">
        <v>704</v>
      </c>
      <c r="F299" s="85">
        <v>45161</v>
      </c>
      <c r="G299" s="84" t="s">
        <v>2574</v>
      </c>
      <c r="H299" s="84" t="s">
        <v>2693</v>
      </c>
      <c r="I299" s="84" t="s">
        <v>2776</v>
      </c>
      <c r="J299" s="84" t="s">
        <v>772</v>
      </c>
      <c r="K299" s="87">
        <v>23.65</v>
      </c>
    </row>
    <row r="300" spans="1:11" ht="14.6" x14ac:dyDescent="0.4">
      <c r="A300" s="84"/>
      <c r="B300" s="84"/>
      <c r="C300" s="84"/>
      <c r="D300" s="84"/>
      <c r="E300" s="84" t="s">
        <v>704</v>
      </c>
      <c r="F300" s="85">
        <v>45161</v>
      </c>
      <c r="G300" s="84" t="s">
        <v>2575</v>
      </c>
      <c r="H300" s="84" t="s">
        <v>2695</v>
      </c>
      <c r="I300" s="84" t="s">
        <v>2779</v>
      </c>
      <c r="J300" s="84" t="s">
        <v>771</v>
      </c>
      <c r="K300" s="87">
        <v>247.72</v>
      </c>
    </row>
    <row r="301" spans="1:11" ht="14.6" x14ac:dyDescent="0.4">
      <c r="A301" s="84"/>
      <c r="B301" s="84"/>
      <c r="C301" s="84"/>
      <c r="D301" s="84"/>
      <c r="E301" s="84" t="s">
        <v>704</v>
      </c>
      <c r="F301" s="85">
        <v>45161</v>
      </c>
      <c r="G301" s="84" t="s">
        <v>2576</v>
      </c>
      <c r="H301" s="84" t="s">
        <v>1576</v>
      </c>
      <c r="I301" s="84" t="s">
        <v>2783</v>
      </c>
      <c r="J301" s="84" t="s">
        <v>771</v>
      </c>
      <c r="K301" s="87">
        <v>535</v>
      </c>
    </row>
    <row r="302" spans="1:11" ht="14.6" x14ac:dyDescent="0.4">
      <c r="A302" s="84"/>
      <c r="B302" s="84"/>
      <c r="C302" s="84"/>
      <c r="D302" s="84"/>
      <c r="E302" s="84" t="s">
        <v>704</v>
      </c>
      <c r="F302" s="85">
        <v>45161</v>
      </c>
      <c r="G302" s="84" t="s">
        <v>2577</v>
      </c>
      <c r="H302" s="84" t="s">
        <v>1571</v>
      </c>
      <c r="I302" s="84" t="s">
        <v>2784</v>
      </c>
      <c r="J302" s="84" t="s">
        <v>771</v>
      </c>
      <c r="K302" s="87">
        <v>218.1</v>
      </c>
    </row>
    <row r="303" spans="1:11" ht="14.6" x14ac:dyDescent="0.4">
      <c r="A303" s="84"/>
      <c r="B303" s="84"/>
      <c r="C303" s="84"/>
      <c r="D303" s="84"/>
      <c r="E303" s="84" t="s">
        <v>704</v>
      </c>
      <c r="F303" s="85">
        <v>45161</v>
      </c>
      <c r="G303" s="84" t="s">
        <v>2577</v>
      </c>
      <c r="H303" s="84" t="s">
        <v>1582</v>
      </c>
      <c r="I303" s="84" t="s">
        <v>2776</v>
      </c>
      <c r="J303" s="84" t="s">
        <v>771</v>
      </c>
      <c r="K303" s="87">
        <v>42</v>
      </c>
    </row>
    <row r="304" spans="1:11" ht="14.6" x14ac:dyDescent="0.4">
      <c r="A304" s="84"/>
      <c r="B304" s="84"/>
      <c r="C304" s="84"/>
      <c r="D304" s="84"/>
      <c r="E304" s="84" t="s">
        <v>634</v>
      </c>
      <c r="F304" s="85">
        <v>45162</v>
      </c>
      <c r="G304" s="84" t="s">
        <v>1496</v>
      </c>
      <c r="H304" s="84" t="s">
        <v>1547</v>
      </c>
      <c r="I304" s="84" t="s">
        <v>2785</v>
      </c>
      <c r="J304" s="84" t="s">
        <v>659</v>
      </c>
      <c r="K304" s="87">
        <v>100.85</v>
      </c>
    </row>
    <row r="305" spans="1:11" ht="14.6" x14ac:dyDescent="0.4">
      <c r="A305" s="84"/>
      <c r="B305" s="84"/>
      <c r="C305" s="84"/>
      <c r="D305" s="84"/>
      <c r="E305" s="84" t="s">
        <v>704</v>
      </c>
      <c r="F305" s="85">
        <v>45162</v>
      </c>
      <c r="G305" s="84" t="s">
        <v>2578</v>
      </c>
      <c r="H305" s="84" t="s">
        <v>717</v>
      </c>
      <c r="I305" s="84" t="s">
        <v>2786</v>
      </c>
      <c r="J305" s="84" t="s">
        <v>1729</v>
      </c>
      <c r="K305" s="87">
        <v>160</v>
      </c>
    </row>
    <row r="306" spans="1:11" ht="14.6" x14ac:dyDescent="0.4">
      <c r="A306" s="84"/>
      <c r="B306" s="84"/>
      <c r="C306" s="84"/>
      <c r="D306" s="84"/>
      <c r="E306" s="84" t="s">
        <v>704</v>
      </c>
      <c r="F306" s="85">
        <v>45162</v>
      </c>
      <c r="G306" s="84" t="s">
        <v>2579</v>
      </c>
      <c r="H306" s="84" t="s">
        <v>717</v>
      </c>
      <c r="I306" s="84" t="s">
        <v>3022</v>
      </c>
      <c r="J306" s="84" t="s">
        <v>1729</v>
      </c>
      <c r="K306" s="87">
        <v>160</v>
      </c>
    </row>
    <row r="307" spans="1:11" ht="14.6" x14ac:dyDescent="0.4">
      <c r="A307" s="84"/>
      <c r="B307" s="84"/>
      <c r="C307" s="84"/>
      <c r="D307" s="84"/>
      <c r="E307" s="84" t="s">
        <v>704</v>
      </c>
      <c r="F307" s="85">
        <v>45162</v>
      </c>
      <c r="G307" s="84" t="s">
        <v>2580</v>
      </c>
      <c r="H307" s="84" t="s">
        <v>717</v>
      </c>
      <c r="I307" s="84" t="s">
        <v>2787</v>
      </c>
      <c r="J307" s="84" t="s">
        <v>1729</v>
      </c>
      <c r="K307" s="87">
        <v>50</v>
      </c>
    </row>
    <row r="308" spans="1:11" ht="14.6" x14ac:dyDescent="0.4">
      <c r="A308" s="84"/>
      <c r="B308" s="84"/>
      <c r="C308" s="84"/>
      <c r="D308" s="84"/>
      <c r="E308" s="84" t="s">
        <v>634</v>
      </c>
      <c r="F308" s="85">
        <v>45162</v>
      </c>
      <c r="G308" s="84" t="s">
        <v>2577</v>
      </c>
      <c r="H308" s="84" t="s">
        <v>2696</v>
      </c>
      <c r="I308" s="84" t="s">
        <v>2788</v>
      </c>
      <c r="J308" s="84" t="s">
        <v>659</v>
      </c>
      <c r="K308" s="87">
        <v>51.22</v>
      </c>
    </row>
    <row r="309" spans="1:11" ht="14.6" x14ac:dyDescent="0.4">
      <c r="A309" s="84"/>
      <c r="B309" s="84"/>
      <c r="C309" s="84"/>
      <c r="D309" s="84"/>
      <c r="E309" s="84" t="s">
        <v>704</v>
      </c>
      <c r="F309" s="85">
        <v>45162</v>
      </c>
      <c r="G309" s="84" t="s">
        <v>2581</v>
      </c>
      <c r="H309" s="84" t="s">
        <v>2697</v>
      </c>
      <c r="I309" s="84" t="s">
        <v>2789</v>
      </c>
      <c r="J309" s="84" t="s">
        <v>772</v>
      </c>
      <c r="K309" s="87">
        <v>427.86</v>
      </c>
    </row>
    <row r="310" spans="1:11" ht="14.6" x14ac:dyDescent="0.4">
      <c r="A310" s="84"/>
      <c r="B310" s="84"/>
      <c r="C310" s="84"/>
      <c r="D310" s="84"/>
      <c r="E310" s="84" t="s">
        <v>704</v>
      </c>
      <c r="F310" s="85">
        <v>45163</v>
      </c>
      <c r="G310" s="84" t="s">
        <v>2582</v>
      </c>
      <c r="H310" s="84" t="s">
        <v>717</v>
      </c>
      <c r="I310" s="84" t="s">
        <v>2790</v>
      </c>
      <c r="J310" s="84" t="s">
        <v>1729</v>
      </c>
      <c r="K310" s="87">
        <v>50</v>
      </c>
    </row>
    <row r="311" spans="1:11" ht="14.6" x14ac:dyDescent="0.4">
      <c r="A311" s="84"/>
      <c r="B311" s="84"/>
      <c r="C311" s="84"/>
      <c r="D311" s="84"/>
      <c r="E311" s="84" t="s">
        <v>704</v>
      </c>
      <c r="F311" s="85">
        <v>45163</v>
      </c>
      <c r="G311" s="84" t="s">
        <v>2583</v>
      </c>
      <c r="H311" s="84" t="s">
        <v>717</v>
      </c>
      <c r="I311" s="84" t="s">
        <v>2791</v>
      </c>
      <c r="J311" s="84" t="s">
        <v>771</v>
      </c>
      <c r="K311" s="87">
        <v>365</v>
      </c>
    </row>
    <row r="312" spans="1:11" ht="14.6" x14ac:dyDescent="0.4">
      <c r="A312" s="84"/>
      <c r="B312" s="84"/>
      <c r="C312" s="84"/>
      <c r="D312" s="84"/>
      <c r="E312" s="84" t="s">
        <v>704</v>
      </c>
      <c r="F312" s="85">
        <v>45163</v>
      </c>
      <c r="G312" s="84" t="s">
        <v>2584</v>
      </c>
      <c r="H312" s="84" t="s">
        <v>717</v>
      </c>
      <c r="I312" s="84" t="s">
        <v>2792</v>
      </c>
      <c r="J312" s="84" t="s">
        <v>771</v>
      </c>
      <c r="K312" s="87">
        <v>365</v>
      </c>
    </row>
    <row r="313" spans="1:11" ht="14.6" x14ac:dyDescent="0.4">
      <c r="A313" s="84"/>
      <c r="B313" s="84"/>
      <c r="C313" s="84"/>
      <c r="D313" s="84"/>
      <c r="E313" s="84" t="s">
        <v>704</v>
      </c>
      <c r="F313" s="85">
        <v>45163</v>
      </c>
      <c r="G313" s="84" t="s">
        <v>2585</v>
      </c>
      <c r="H313" s="84" t="s">
        <v>717</v>
      </c>
      <c r="I313" s="84" t="s">
        <v>2793</v>
      </c>
      <c r="J313" s="84" t="s">
        <v>1729</v>
      </c>
      <c r="K313" s="87">
        <v>160</v>
      </c>
    </row>
    <row r="314" spans="1:11" ht="14.6" x14ac:dyDescent="0.4">
      <c r="A314" s="84"/>
      <c r="B314" s="84"/>
      <c r="C314" s="84"/>
      <c r="D314" s="84"/>
      <c r="E314" s="84" t="s">
        <v>704</v>
      </c>
      <c r="F314" s="85">
        <v>45163</v>
      </c>
      <c r="G314" s="84" t="s">
        <v>2585</v>
      </c>
      <c r="H314" s="84" t="s">
        <v>717</v>
      </c>
      <c r="I314" s="84" t="s">
        <v>2794</v>
      </c>
      <c r="J314" s="84" t="s">
        <v>1729</v>
      </c>
      <c r="K314" s="87">
        <v>160</v>
      </c>
    </row>
    <row r="315" spans="1:11" ht="14.6" x14ac:dyDescent="0.4">
      <c r="A315" s="84"/>
      <c r="B315" s="84"/>
      <c r="C315" s="84"/>
      <c r="D315" s="84"/>
      <c r="E315" s="84" t="s">
        <v>704</v>
      </c>
      <c r="F315" s="85">
        <v>45163</v>
      </c>
      <c r="G315" s="84" t="s">
        <v>2586</v>
      </c>
      <c r="H315" s="84" t="s">
        <v>717</v>
      </c>
      <c r="I315" s="84" t="s">
        <v>2795</v>
      </c>
      <c r="J315" s="84" t="s">
        <v>771</v>
      </c>
      <c r="K315" s="87">
        <v>75</v>
      </c>
    </row>
    <row r="316" spans="1:11" ht="14.6" x14ac:dyDescent="0.4">
      <c r="A316" s="84"/>
      <c r="B316" s="84"/>
      <c r="C316" s="84"/>
      <c r="D316" s="84"/>
      <c r="E316" s="84" t="s">
        <v>704</v>
      </c>
      <c r="F316" s="85">
        <v>45163</v>
      </c>
      <c r="G316" s="84" t="s">
        <v>2587</v>
      </c>
      <c r="H316" s="84" t="s">
        <v>717</v>
      </c>
      <c r="I316" s="84" t="s">
        <v>2796</v>
      </c>
      <c r="J316" s="84" t="s">
        <v>771</v>
      </c>
      <c r="K316" s="87">
        <v>365</v>
      </c>
    </row>
    <row r="317" spans="1:11" ht="14.6" x14ac:dyDescent="0.4">
      <c r="A317" s="84"/>
      <c r="B317" s="84"/>
      <c r="C317" s="84"/>
      <c r="D317" s="84"/>
      <c r="E317" s="84" t="s">
        <v>704</v>
      </c>
      <c r="F317" s="85">
        <v>45163</v>
      </c>
      <c r="G317" s="84" t="s">
        <v>2588</v>
      </c>
      <c r="H317" s="84" t="s">
        <v>717</v>
      </c>
      <c r="I317" s="84" t="s">
        <v>2797</v>
      </c>
      <c r="J317" s="84" t="s">
        <v>771</v>
      </c>
      <c r="K317" s="87">
        <v>50</v>
      </c>
    </row>
    <row r="318" spans="1:11" ht="14.6" x14ac:dyDescent="0.4">
      <c r="A318" s="84"/>
      <c r="B318" s="84"/>
      <c r="C318" s="84"/>
      <c r="D318" s="84"/>
      <c r="E318" s="84" t="s">
        <v>704</v>
      </c>
      <c r="F318" s="85">
        <v>45163</v>
      </c>
      <c r="G318" s="84" t="s">
        <v>2589</v>
      </c>
      <c r="H318" s="84" t="s">
        <v>717</v>
      </c>
      <c r="I318" s="84" t="s">
        <v>2798</v>
      </c>
      <c r="J318" s="84" t="s">
        <v>771</v>
      </c>
      <c r="K318" s="87">
        <v>365</v>
      </c>
    </row>
    <row r="319" spans="1:11" ht="14.6" x14ac:dyDescent="0.4">
      <c r="A319" s="84"/>
      <c r="B319" s="84"/>
      <c r="C319" s="84"/>
      <c r="D319" s="84"/>
      <c r="E319" s="84" t="s">
        <v>704</v>
      </c>
      <c r="F319" s="85">
        <v>45163</v>
      </c>
      <c r="G319" s="84" t="s">
        <v>2590</v>
      </c>
      <c r="H319" s="84" t="s">
        <v>990</v>
      </c>
      <c r="I319" s="84" t="s">
        <v>2799</v>
      </c>
      <c r="J319" s="84" t="s">
        <v>771</v>
      </c>
      <c r="K319" s="87">
        <v>45</v>
      </c>
    </row>
    <row r="320" spans="1:11" ht="14.6" x14ac:dyDescent="0.4">
      <c r="A320" s="84"/>
      <c r="B320" s="84"/>
      <c r="C320" s="84"/>
      <c r="D320" s="84"/>
      <c r="E320" s="84" t="s">
        <v>634</v>
      </c>
      <c r="F320" s="85">
        <v>45163</v>
      </c>
      <c r="G320" s="84" t="s">
        <v>1489</v>
      </c>
      <c r="H320" s="84" t="s">
        <v>1549</v>
      </c>
      <c r="I320" s="84" t="s">
        <v>2800</v>
      </c>
      <c r="J320" s="84" t="s">
        <v>659</v>
      </c>
      <c r="K320" s="87">
        <v>704.55</v>
      </c>
    </row>
    <row r="321" spans="1:11" ht="14.6" x14ac:dyDescent="0.4">
      <c r="A321" s="84"/>
      <c r="B321" s="84"/>
      <c r="C321" s="84"/>
      <c r="D321" s="84"/>
      <c r="E321" s="84" t="s">
        <v>704</v>
      </c>
      <c r="F321" s="85">
        <v>45163</v>
      </c>
      <c r="G321" s="84" t="s">
        <v>2591</v>
      </c>
      <c r="H321" s="84" t="s">
        <v>990</v>
      </c>
      <c r="I321" s="84" t="s">
        <v>2801</v>
      </c>
      <c r="J321" s="84" t="s">
        <v>771</v>
      </c>
      <c r="K321" s="87">
        <v>45</v>
      </c>
    </row>
    <row r="322" spans="1:11" ht="14.6" x14ac:dyDescent="0.4">
      <c r="A322" s="84"/>
      <c r="B322" s="84"/>
      <c r="C322" s="84"/>
      <c r="D322" s="84"/>
      <c r="E322" s="84" t="s">
        <v>704</v>
      </c>
      <c r="F322" s="85">
        <v>45163</v>
      </c>
      <c r="G322" s="84" t="s">
        <v>2592</v>
      </c>
      <c r="H322" s="84" t="s">
        <v>990</v>
      </c>
      <c r="I322" s="84" t="s">
        <v>2802</v>
      </c>
      <c r="J322" s="84" t="s">
        <v>771</v>
      </c>
      <c r="K322" s="87">
        <v>45</v>
      </c>
    </row>
    <row r="323" spans="1:11" ht="14.6" x14ac:dyDescent="0.4">
      <c r="A323" s="84"/>
      <c r="B323" s="84"/>
      <c r="C323" s="84"/>
      <c r="D323" s="84"/>
      <c r="E323" s="84" t="s">
        <v>704</v>
      </c>
      <c r="F323" s="85">
        <v>45163</v>
      </c>
      <c r="G323" s="84" t="s">
        <v>2593</v>
      </c>
      <c r="H323" s="84" t="s">
        <v>990</v>
      </c>
      <c r="I323" s="84" t="s">
        <v>2803</v>
      </c>
      <c r="J323" s="84" t="s">
        <v>771</v>
      </c>
      <c r="K323" s="87">
        <v>45</v>
      </c>
    </row>
    <row r="324" spans="1:11" ht="14.6" x14ac:dyDescent="0.4">
      <c r="A324" s="84"/>
      <c r="B324" s="84"/>
      <c r="C324" s="84"/>
      <c r="D324" s="84"/>
      <c r="E324" s="84" t="s">
        <v>704</v>
      </c>
      <c r="F324" s="85">
        <v>45163</v>
      </c>
      <c r="G324" s="84" t="s">
        <v>2594</v>
      </c>
      <c r="H324" s="84" t="s">
        <v>990</v>
      </c>
      <c r="I324" s="84" t="s">
        <v>2804</v>
      </c>
      <c r="J324" s="84" t="s">
        <v>771</v>
      </c>
      <c r="K324" s="87">
        <v>45</v>
      </c>
    </row>
    <row r="325" spans="1:11" ht="14.6" x14ac:dyDescent="0.4">
      <c r="A325" s="84"/>
      <c r="B325" s="84"/>
      <c r="C325" s="84"/>
      <c r="D325" s="84"/>
      <c r="E325" s="84" t="s">
        <v>704</v>
      </c>
      <c r="F325" s="85">
        <v>45163</v>
      </c>
      <c r="G325" s="84" t="s">
        <v>2595</v>
      </c>
      <c r="H325" s="84" t="s">
        <v>990</v>
      </c>
      <c r="I325" s="84" t="s">
        <v>2805</v>
      </c>
      <c r="J325" s="84" t="s">
        <v>771</v>
      </c>
      <c r="K325" s="87">
        <v>45</v>
      </c>
    </row>
    <row r="326" spans="1:11" ht="14.6" x14ac:dyDescent="0.4">
      <c r="A326" s="84"/>
      <c r="B326" s="84"/>
      <c r="C326" s="84"/>
      <c r="D326" s="84"/>
      <c r="E326" s="84" t="s">
        <v>704</v>
      </c>
      <c r="F326" s="85">
        <v>45163</v>
      </c>
      <c r="G326" s="84" t="s">
        <v>2596</v>
      </c>
      <c r="H326" s="84" t="s">
        <v>990</v>
      </c>
      <c r="I326" s="84" t="s">
        <v>2806</v>
      </c>
      <c r="J326" s="84" t="s">
        <v>771</v>
      </c>
      <c r="K326" s="87">
        <v>45</v>
      </c>
    </row>
    <row r="327" spans="1:11" ht="14.6" x14ac:dyDescent="0.4">
      <c r="A327" s="84"/>
      <c r="B327" s="84"/>
      <c r="C327" s="84"/>
      <c r="D327" s="84"/>
      <c r="E327" s="84" t="s">
        <v>704</v>
      </c>
      <c r="F327" s="85">
        <v>45163</v>
      </c>
      <c r="G327" s="84" t="s">
        <v>2597</v>
      </c>
      <c r="H327" s="84" t="s">
        <v>990</v>
      </c>
      <c r="I327" s="84" t="s">
        <v>2807</v>
      </c>
      <c r="J327" s="84" t="s">
        <v>771</v>
      </c>
      <c r="K327" s="87">
        <v>45</v>
      </c>
    </row>
    <row r="328" spans="1:11" ht="14.6" x14ac:dyDescent="0.4">
      <c r="A328" s="84"/>
      <c r="B328" s="84"/>
      <c r="C328" s="84"/>
      <c r="D328" s="84"/>
      <c r="E328" s="84" t="s">
        <v>704</v>
      </c>
      <c r="F328" s="85">
        <v>45163</v>
      </c>
      <c r="G328" s="84" t="s">
        <v>2598</v>
      </c>
      <c r="H328" s="84" t="s">
        <v>990</v>
      </c>
      <c r="I328" s="84" t="s">
        <v>2808</v>
      </c>
      <c r="J328" s="84" t="s">
        <v>771</v>
      </c>
      <c r="K328" s="87">
        <v>45</v>
      </c>
    </row>
    <row r="329" spans="1:11" ht="14.6" x14ac:dyDescent="0.4">
      <c r="A329" s="84"/>
      <c r="B329" s="84"/>
      <c r="C329" s="84"/>
      <c r="D329" s="84"/>
      <c r="E329" s="84" t="s">
        <v>704</v>
      </c>
      <c r="F329" s="85">
        <v>45163</v>
      </c>
      <c r="G329" s="84" t="s">
        <v>2599</v>
      </c>
      <c r="H329" s="84" t="s">
        <v>2698</v>
      </c>
      <c r="I329" s="84" t="s">
        <v>2809</v>
      </c>
      <c r="J329" s="84" t="s">
        <v>772</v>
      </c>
      <c r="K329" s="87">
        <v>34.799999999999997</v>
      </c>
    </row>
    <row r="330" spans="1:11" ht="14.6" x14ac:dyDescent="0.4">
      <c r="A330" s="84"/>
      <c r="B330" s="84"/>
      <c r="C330" s="84"/>
      <c r="D330" s="84"/>
      <c r="E330" s="84" t="s">
        <v>704</v>
      </c>
      <c r="F330" s="85">
        <v>45165</v>
      </c>
      <c r="G330" s="84" t="s">
        <v>2600</v>
      </c>
      <c r="H330" s="84" t="s">
        <v>2699</v>
      </c>
      <c r="I330" s="84" t="s">
        <v>2810</v>
      </c>
      <c r="J330" s="84" t="s">
        <v>772</v>
      </c>
      <c r="K330" s="87">
        <v>28.37</v>
      </c>
    </row>
    <row r="331" spans="1:11" ht="14.6" x14ac:dyDescent="0.4">
      <c r="A331" s="84"/>
      <c r="B331" s="84"/>
      <c r="C331" s="84"/>
      <c r="D331" s="84"/>
      <c r="E331" s="84" t="s">
        <v>704</v>
      </c>
      <c r="F331" s="85">
        <v>45165</v>
      </c>
      <c r="G331" s="84" t="s">
        <v>2601</v>
      </c>
      <c r="H331" s="84" t="s">
        <v>1571</v>
      </c>
      <c r="I331" s="84" t="s">
        <v>2811</v>
      </c>
      <c r="J331" s="84" t="s">
        <v>772</v>
      </c>
      <c r="K331" s="87">
        <v>401.21</v>
      </c>
    </row>
    <row r="332" spans="1:11" ht="14.6" x14ac:dyDescent="0.4">
      <c r="A332" s="84"/>
      <c r="B332" s="84"/>
      <c r="C332" s="84"/>
      <c r="D332" s="84"/>
      <c r="E332" s="84" t="s">
        <v>634</v>
      </c>
      <c r="F332" s="85">
        <v>45166</v>
      </c>
      <c r="G332" s="84" t="s">
        <v>2602</v>
      </c>
      <c r="H332" s="84" t="s">
        <v>717</v>
      </c>
      <c r="I332" s="84" t="s">
        <v>2812</v>
      </c>
      <c r="J332" s="84" t="s">
        <v>659</v>
      </c>
      <c r="K332" s="87">
        <v>365</v>
      </c>
    </row>
    <row r="333" spans="1:11" ht="14.6" x14ac:dyDescent="0.4">
      <c r="A333" s="84"/>
      <c r="B333" s="84"/>
      <c r="C333" s="84"/>
      <c r="D333" s="84"/>
      <c r="E333" s="84" t="s">
        <v>634</v>
      </c>
      <c r="F333" s="85">
        <v>45166</v>
      </c>
      <c r="G333" s="84" t="s">
        <v>2602</v>
      </c>
      <c r="H333" s="84" t="s">
        <v>717</v>
      </c>
      <c r="I333" s="84" t="s">
        <v>2813</v>
      </c>
      <c r="J333" s="84" t="s">
        <v>659</v>
      </c>
      <c r="K333" s="87">
        <v>365</v>
      </c>
    </row>
    <row r="334" spans="1:11" ht="14.6" x14ac:dyDescent="0.4">
      <c r="A334" s="84"/>
      <c r="B334" s="84"/>
      <c r="C334" s="84"/>
      <c r="D334" s="84"/>
      <c r="E334" s="84" t="s">
        <v>704</v>
      </c>
      <c r="F334" s="85">
        <v>45166</v>
      </c>
      <c r="G334" s="84" t="s">
        <v>2603</v>
      </c>
      <c r="H334" s="84" t="s">
        <v>717</v>
      </c>
      <c r="I334" s="84" t="s">
        <v>2814</v>
      </c>
      <c r="J334" s="84" t="s">
        <v>771</v>
      </c>
      <c r="K334" s="87">
        <v>30</v>
      </c>
    </row>
    <row r="335" spans="1:11" ht="14.6" x14ac:dyDescent="0.4">
      <c r="A335" s="84"/>
      <c r="B335" s="84"/>
      <c r="C335" s="84"/>
      <c r="D335" s="84"/>
      <c r="E335" s="84" t="s">
        <v>704</v>
      </c>
      <c r="F335" s="85">
        <v>45166</v>
      </c>
      <c r="G335" s="84" t="s">
        <v>2603</v>
      </c>
      <c r="H335" s="84" t="s">
        <v>717</v>
      </c>
      <c r="I335" s="84" t="s">
        <v>2815</v>
      </c>
      <c r="J335" s="84" t="s">
        <v>771</v>
      </c>
      <c r="K335" s="87">
        <v>30</v>
      </c>
    </row>
    <row r="336" spans="1:11" ht="14.6" x14ac:dyDescent="0.4">
      <c r="A336" s="84"/>
      <c r="B336" s="84"/>
      <c r="C336" s="84"/>
      <c r="D336" s="84"/>
      <c r="E336" s="84" t="s">
        <v>704</v>
      </c>
      <c r="F336" s="85">
        <v>45166</v>
      </c>
      <c r="G336" s="84" t="s">
        <v>2603</v>
      </c>
      <c r="H336" s="84" t="s">
        <v>717</v>
      </c>
      <c r="I336" s="84" t="s">
        <v>2816</v>
      </c>
      <c r="J336" s="84" t="s">
        <v>771</v>
      </c>
      <c r="K336" s="87">
        <v>30</v>
      </c>
    </row>
    <row r="337" spans="1:11" ht="14.6" x14ac:dyDescent="0.4">
      <c r="A337" s="84"/>
      <c r="B337" s="84"/>
      <c r="C337" s="84"/>
      <c r="D337" s="84"/>
      <c r="E337" s="84" t="s">
        <v>704</v>
      </c>
      <c r="F337" s="85">
        <v>45166</v>
      </c>
      <c r="G337" s="84" t="s">
        <v>2603</v>
      </c>
      <c r="H337" s="84" t="s">
        <v>717</v>
      </c>
      <c r="I337" s="84" t="s">
        <v>2817</v>
      </c>
      <c r="J337" s="84" t="s">
        <v>771</v>
      </c>
      <c r="K337" s="87">
        <v>30</v>
      </c>
    </row>
    <row r="338" spans="1:11" ht="14.6" x14ac:dyDescent="0.4">
      <c r="A338" s="84"/>
      <c r="B338" s="84"/>
      <c r="C338" s="84"/>
      <c r="D338" s="84"/>
      <c r="E338" s="84" t="s">
        <v>704</v>
      </c>
      <c r="F338" s="85">
        <v>45166</v>
      </c>
      <c r="G338" s="84" t="s">
        <v>2604</v>
      </c>
      <c r="H338" s="84" t="s">
        <v>717</v>
      </c>
      <c r="I338" s="84" t="s">
        <v>2818</v>
      </c>
      <c r="J338" s="84" t="s">
        <v>771</v>
      </c>
      <c r="K338" s="87">
        <v>30</v>
      </c>
    </row>
    <row r="339" spans="1:11" ht="14.6" x14ac:dyDescent="0.4">
      <c r="A339" s="84"/>
      <c r="B339" s="84"/>
      <c r="C339" s="84"/>
      <c r="D339" s="84"/>
      <c r="E339" s="84" t="s">
        <v>704</v>
      </c>
      <c r="F339" s="85">
        <v>45166</v>
      </c>
      <c r="G339" s="84" t="s">
        <v>2604</v>
      </c>
      <c r="H339" s="84" t="s">
        <v>717</v>
      </c>
      <c r="I339" s="84" t="s">
        <v>2819</v>
      </c>
      <c r="J339" s="84" t="s">
        <v>771</v>
      </c>
      <c r="K339" s="87">
        <v>30</v>
      </c>
    </row>
    <row r="340" spans="1:11" ht="14.6" x14ac:dyDescent="0.4">
      <c r="A340" s="84"/>
      <c r="B340" s="84"/>
      <c r="C340" s="84"/>
      <c r="D340" s="84"/>
      <c r="E340" s="84" t="s">
        <v>704</v>
      </c>
      <c r="F340" s="85">
        <v>45166</v>
      </c>
      <c r="G340" s="84" t="s">
        <v>2605</v>
      </c>
      <c r="H340" s="84" t="s">
        <v>717</v>
      </c>
      <c r="I340" s="84" t="s">
        <v>2820</v>
      </c>
      <c r="J340" s="84" t="s">
        <v>771</v>
      </c>
      <c r="K340" s="87">
        <v>160</v>
      </c>
    </row>
    <row r="341" spans="1:11" ht="14.6" x14ac:dyDescent="0.4">
      <c r="A341" s="84"/>
      <c r="B341" s="84"/>
      <c r="C341" s="84"/>
      <c r="D341" s="84"/>
      <c r="E341" s="84" t="s">
        <v>704</v>
      </c>
      <c r="F341" s="85">
        <v>45166</v>
      </c>
      <c r="G341" s="84" t="s">
        <v>2606</v>
      </c>
      <c r="H341" s="84" t="s">
        <v>990</v>
      </c>
      <c r="I341" s="84" t="s">
        <v>2821</v>
      </c>
      <c r="J341" s="84" t="s">
        <v>771</v>
      </c>
      <c r="K341" s="87">
        <v>67.5</v>
      </c>
    </row>
    <row r="342" spans="1:11" ht="14.6" x14ac:dyDescent="0.4">
      <c r="A342" s="84"/>
      <c r="B342" s="84"/>
      <c r="C342" s="84"/>
      <c r="D342" s="84"/>
      <c r="E342" s="84" t="s">
        <v>2210</v>
      </c>
      <c r="F342" s="85">
        <v>45166</v>
      </c>
      <c r="G342" s="84" t="s">
        <v>2607</v>
      </c>
      <c r="H342" s="84" t="s">
        <v>1571</v>
      </c>
      <c r="I342" s="84" t="s">
        <v>2822</v>
      </c>
      <c r="J342" s="84" t="s">
        <v>772</v>
      </c>
      <c r="K342" s="87">
        <v>-341.03</v>
      </c>
    </row>
    <row r="343" spans="1:11" ht="14.6" x14ac:dyDescent="0.4">
      <c r="A343" s="84"/>
      <c r="B343" s="84"/>
      <c r="C343" s="84"/>
      <c r="D343" s="84"/>
      <c r="E343" s="84" t="s">
        <v>634</v>
      </c>
      <c r="F343" s="85">
        <v>45167</v>
      </c>
      <c r="G343" s="84" t="s">
        <v>2608</v>
      </c>
      <c r="H343" s="84" t="s">
        <v>717</v>
      </c>
      <c r="I343" s="84" t="s">
        <v>2823</v>
      </c>
      <c r="J343" s="84" t="s">
        <v>659</v>
      </c>
      <c r="K343" s="87">
        <v>250</v>
      </c>
    </row>
    <row r="344" spans="1:11" ht="14.6" x14ac:dyDescent="0.4">
      <c r="A344" s="84"/>
      <c r="B344" s="84"/>
      <c r="C344" s="84"/>
      <c r="D344" s="84"/>
      <c r="E344" s="84" t="s">
        <v>634</v>
      </c>
      <c r="F344" s="85">
        <v>45167</v>
      </c>
      <c r="G344" s="84" t="s">
        <v>2608</v>
      </c>
      <c r="H344" s="84" t="s">
        <v>717</v>
      </c>
      <c r="I344" s="84" t="s">
        <v>2824</v>
      </c>
      <c r="J344" s="84" t="s">
        <v>659</v>
      </c>
      <c r="K344" s="87">
        <v>250</v>
      </c>
    </row>
    <row r="345" spans="1:11" ht="14.6" x14ac:dyDescent="0.4">
      <c r="A345" s="84"/>
      <c r="B345" s="84"/>
      <c r="C345" s="84"/>
      <c r="D345" s="84"/>
      <c r="E345" s="84" t="s">
        <v>634</v>
      </c>
      <c r="F345" s="85">
        <v>45167</v>
      </c>
      <c r="G345" s="84" t="s">
        <v>2608</v>
      </c>
      <c r="H345" s="84" t="s">
        <v>717</v>
      </c>
      <c r="I345" s="84" t="s">
        <v>2825</v>
      </c>
      <c r="J345" s="84" t="s">
        <v>659</v>
      </c>
      <c r="K345" s="87">
        <v>250</v>
      </c>
    </row>
    <row r="346" spans="1:11" ht="14.6" x14ac:dyDescent="0.4">
      <c r="A346" s="84"/>
      <c r="B346" s="84"/>
      <c r="C346" s="84"/>
      <c r="D346" s="84"/>
      <c r="E346" s="84" t="s">
        <v>634</v>
      </c>
      <c r="F346" s="85">
        <v>45167</v>
      </c>
      <c r="G346" s="84" t="s">
        <v>2608</v>
      </c>
      <c r="H346" s="84" t="s">
        <v>717</v>
      </c>
      <c r="I346" s="84" t="s">
        <v>2826</v>
      </c>
      <c r="J346" s="84" t="s">
        <v>659</v>
      </c>
      <c r="K346" s="87">
        <v>250</v>
      </c>
    </row>
    <row r="347" spans="1:11" ht="14.6" x14ac:dyDescent="0.4">
      <c r="A347" s="84"/>
      <c r="B347" s="84"/>
      <c r="C347" s="84"/>
      <c r="D347" s="84"/>
      <c r="E347" s="84" t="s">
        <v>634</v>
      </c>
      <c r="F347" s="85">
        <v>45167</v>
      </c>
      <c r="G347" s="84" t="s">
        <v>2608</v>
      </c>
      <c r="H347" s="84" t="s">
        <v>717</v>
      </c>
      <c r="I347" s="84" t="s">
        <v>2827</v>
      </c>
      <c r="J347" s="84" t="s">
        <v>659</v>
      </c>
      <c r="K347" s="87">
        <v>250</v>
      </c>
    </row>
    <row r="348" spans="1:11" ht="14.6" x14ac:dyDescent="0.4">
      <c r="A348" s="84"/>
      <c r="B348" s="84"/>
      <c r="C348" s="84"/>
      <c r="D348" s="84"/>
      <c r="E348" s="84" t="s">
        <v>704</v>
      </c>
      <c r="F348" s="85">
        <v>45167</v>
      </c>
      <c r="G348" s="84" t="s">
        <v>2609</v>
      </c>
      <c r="H348" s="84" t="s">
        <v>1571</v>
      </c>
      <c r="I348" s="84" t="s">
        <v>2811</v>
      </c>
      <c r="J348" s="84" t="s">
        <v>772</v>
      </c>
      <c r="K348" s="87">
        <v>526.5</v>
      </c>
    </row>
    <row r="349" spans="1:11" ht="14.6" x14ac:dyDescent="0.4">
      <c r="A349" s="84"/>
      <c r="B349" s="84"/>
      <c r="C349" s="84"/>
      <c r="D349" s="84"/>
      <c r="E349" s="84" t="s">
        <v>2210</v>
      </c>
      <c r="F349" s="85">
        <v>45168</v>
      </c>
      <c r="G349" s="84" t="s">
        <v>2576</v>
      </c>
      <c r="H349" s="84" t="s">
        <v>1576</v>
      </c>
      <c r="I349" s="84" t="s">
        <v>2828</v>
      </c>
      <c r="J349" s="84" t="s">
        <v>771</v>
      </c>
      <c r="K349" s="87">
        <v>-535</v>
      </c>
    </row>
    <row r="350" spans="1:11" ht="14.6" x14ac:dyDescent="0.4">
      <c r="A350" s="84"/>
      <c r="B350" s="84"/>
      <c r="C350" s="84"/>
      <c r="D350" s="84"/>
      <c r="E350" s="84" t="s">
        <v>704</v>
      </c>
      <c r="F350" s="85">
        <v>45169</v>
      </c>
      <c r="G350" s="84" t="s">
        <v>2610</v>
      </c>
      <c r="H350" s="84" t="s">
        <v>1571</v>
      </c>
      <c r="I350" s="84" t="s">
        <v>2829</v>
      </c>
      <c r="J350" s="84" t="s">
        <v>772</v>
      </c>
      <c r="K350" s="87">
        <v>1582.8</v>
      </c>
    </row>
    <row r="351" spans="1:11" ht="14.6" x14ac:dyDescent="0.4">
      <c r="A351" s="84"/>
      <c r="B351" s="84"/>
      <c r="C351" s="84"/>
      <c r="D351" s="84"/>
      <c r="E351" s="84" t="s">
        <v>634</v>
      </c>
      <c r="F351" s="85">
        <v>45175</v>
      </c>
      <c r="G351" s="84" t="s">
        <v>1489</v>
      </c>
      <c r="H351" s="84" t="s">
        <v>1548</v>
      </c>
      <c r="I351" s="84" t="s">
        <v>2830</v>
      </c>
      <c r="J351" s="84" t="s">
        <v>659</v>
      </c>
      <c r="K351" s="87">
        <v>148.12</v>
      </c>
    </row>
    <row r="352" spans="1:11" ht="14.6" x14ac:dyDescent="0.4">
      <c r="A352" s="84"/>
      <c r="B352" s="84"/>
      <c r="C352" s="84"/>
      <c r="D352" s="84"/>
      <c r="E352" s="84" t="s">
        <v>634</v>
      </c>
      <c r="F352" s="85">
        <v>45175</v>
      </c>
      <c r="G352" s="84" t="s">
        <v>1489</v>
      </c>
      <c r="H352" s="84" t="s">
        <v>1551</v>
      </c>
      <c r="I352" s="84" t="s">
        <v>2831</v>
      </c>
      <c r="J352" s="84" t="s">
        <v>659</v>
      </c>
      <c r="K352" s="87">
        <v>264.42</v>
      </c>
    </row>
    <row r="353" spans="1:11" ht="14.6" x14ac:dyDescent="0.4">
      <c r="A353" s="84"/>
      <c r="B353" s="84"/>
      <c r="C353" s="84"/>
      <c r="D353" s="84"/>
      <c r="E353" s="84" t="s">
        <v>634</v>
      </c>
      <c r="F353" s="85">
        <v>45175</v>
      </c>
      <c r="G353" s="84" t="s">
        <v>2611</v>
      </c>
      <c r="H353" s="84" t="s">
        <v>2688</v>
      </c>
      <c r="I353" s="84" t="s">
        <v>2832</v>
      </c>
      <c r="J353" s="84" t="s">
        <v>659</v>
      </c>
      <c r="K353" s="87">
        <v>332.1</v>
      </c>
    </row>
    <row r="354" spans="1:11" ht="14.6" x14ac:dyDescent="0.4">
      <c r="A354" s="84"/>
      <c r="B354" s="84"/>
      <c r="C354" s="84"/>
      <c r="D354" s="84"/>
      <c r="E354" s="84" t="s">
        <v>634</v>
      </c>
      <c r="F354" s="85">
        <v>45176</v>
      </c>
      <c r="G354" s="84" t="s">
        <v>2612</v>
      </c>
      <c r="H354" s="84" t="s">
        <v>1552</v>
      </c>
      <c r="I354" s="84" t="s">
        <v>2833</v>
      </c>
      <c r="J354" s="84" t="s">
        <v>659</v>
      </c>
      <c r="K354" s="87">
        <v>663.45</v>
      </c>
    </row>
    <row r="355" spans="1:11" ht="14.6" x14ac:dyDescent="0.4">
      <c r="A355" s="84"/>
      <c r="B355" s="84"/>
      <c r="C355" s="84"/>
      <c r="D355" s="84"/>
      <c r="E355" s="84" t="s">
        <v>704</v>
      </c>
      <c r="F355" s="85">
        <v>45176</v>
      </c>
      <c r="G355" s="84" t="s">
        <v>2613</v>
      </c>
      <c r="H355" s="84" t="s">
        <v>2698</v>
      </c>
      <c r="I355" s="84" t="s">
        <v>2834</v>
      </c>
      <c r="J355" s="84" t="s">
        <v>772</v>
      </c>
      <c r="K355" s="87">
        <v>22.43</v>
      </c>
    </row>
    <row r="356" spans="1:11" ht="14.6" x14ac:dyDescent="0.4">
      <c r="A356" s="84"/>
      <c r="B356" s="84"/>
      <c r="C356" s="84"/>
      <c r="D356" s="84"/>
      <c r="E356" s="84" t="s">
        <v>704</v>
      </c>
      <c r="F356" s="85">
        <v>45177</v>
      </c>
      <c r="G356" s="84" t="s">
        <v>2614</v>
      </c>
      <c r="H356" s="84" t="s">
        <v>717</v>
      </c>
      <c r="I356" s="84" t="s">
        <v>2835</v>
      </c>
      <c r="J356" s="84" t="s">
        <v>771</v>
      </c>
      <c r="K356" s="87">
        <v>125</v>
      </c>
    </row>
    <row r="357" spans="1:11" ht="14.6" x14ac:dyDescent="0.4">
      <c r="A357" s="84"/>
      <c r="B357" s="84"/>
      <c r="C357" s="84"/>
      <c r="D357" s="84"/>
      <c r="E357" s="84" t="s">
        <v>704</v>
      </c>
      <c r="F357" s="85">
        <v>45177</v>
      </c>
      <c r="G357" s="84" t="s">
        <v>2615</v>
      </c>
      <c r="H357" s="84" t="s">
        <v>717</v>
      </c>
      <c r="I357" s="84" t="s">
        <v>2836</v>
      </c>
      <c r="J357" s="84" t="s">
        <v>771</v>
      </c>
      <c r="K357" s="87">
        <v>250</v>
      </c>
    </row>
    <row r="358" spans="1:11" ht="14.6" x14ac:dyDescent="0.4">
      <c r="A358" s="84"/>
      <c r="B358" s="84"/>
      <c r="C358" s="84"/>
      <c r="D358" s="84"/>
      <c r="E358" s="84" t="s">
        <v>704</v>
      </c>
      <c r="F358" s="85">
        <v>45177</v>
      </c>
      <c r="G358" s="84" t="s">
        <v>2616</v>
      </c>
      <c r="H358" s="84" t="s">
        <v>717</v>
      </c>
      <c r="I358" s="84" t="s">
        <v>2837</v>
      </c>
      <c r="J358" s="84" t="s">
        <v>771</v>
      </c>
      <c r="K358" s="87">
        <v>290</v>
      </c>
    </row>
    <row r="359" spans="1:11" ht="14.6" x14ac:dyDescent="0.4">
      <c r="A359" s="84"/>
      <c r="B359" s="84"/>
      <c r="C359" s="84"/>
      <c r="D359" s="84"/>
      <c r="E359" s="84" t="s">
        <v>704</v>
      </c>
      <c r="F359" s="85">
        <v>45177</v>
      </c>
      <c r="G359" s="84" t="s">
        <v>2617</v>
      </c>
      <c r="H359" s="84" t="s">
        <v>719</v>
      </c>
      <c r="I359" s="84" t="s">
        <v>2838</v>
      </c>
      <c r="J359" s="84" t="s">
        <v>771</v>
      </c>
      <c r="K359" s="87">
        <v>125</v>
      </c>
    </row>
    <row r="360" spans="1:11" ht="14.6" x14ac:dyDescent="0.4">
      <c r="A360" s="84"/>
      <c r="B360" s="84"/>
      <c r="C360" s="84"/>
      <c r="D360" s="84"/>
      <c r="E360" s="84" t="s">
        <v>704</v>
      </c>
      <c r="F360" s="85">
        <v>45177</v>
      </c>
      <c r="G360" s="84" t="s">
        <v>2617</v>
      </c>
      <c r="H360" s="84" t="s">
        <v>719</v>
      </c>
      <c r="I360" s="84" t="s">
        <v>2839</v>
      </c>
      <c r="J360" s="84" t="s">
        <v>771</v>
      </c>
      <c r="K360" s="87">
        <v>125</v>
      </c>
    </row>
    <row r="361" spans="1:11" ht="14.6" x14ac:dyDescent="0.4">
      <c r="A361" s="84"/>
      <c r="B361" s="84"/>
      <c r="C361" s="84"/>
      <c r="D361" s="84"/>
      <c r="E361" s="84" t="s">
        <v>704</v>
      </c>
      <c r="F361" s="85">
        <v>45177</v>
      </c>
      <c r="G361" s="84" t="s">
        <v>2617</v>
      </c>
      <c r="H361" s="84" t="s">
        <v>719</v>
      </c>
      <c r="I361" s="84" t="s">
        <v>2840</v>
      </c>
      <c r="J361" s="84" t="s">
        <v>771</v>
      </c>
      <c r="K361" s="87">
        <v>125</v>
      </c>
    </row>
    <row r="362" spans="1:11" ht="14.6" x14ac:dyDescent="0.4">
      <c r="A362" s="84"/>
      <c r="B362" s="84"/>
      <c r="C362" s="84"/>
      <c r="D362" s="84"/>
      <c r="E362" s="84" t="s">
        <v>704</v>
      </c>
      <c r="F362" s="85">
        <v>45177</v>
      </c>
      <c r="G362" s="84" t="s">
        <v>2618</v>
      </c>
      <c r="H362" s="84" t="s">
        <v>990</v>
      </c>
      <c r="I362" s="84" t="s">
        <v>2841</v>
      </c>
      <c r="J362" s="84" t="s">
        <v>1729</v>
      </c>
      <c r="K362" s="87">
        <v>45</v>
      </c>
    </row>
    <row r="363" spans="1:11" ht="14.6" x14ac:dyDescent="0.4">
      <c r="A363" s="84"/>
      <c r="B363" s="84"/>
      <c r="C363" s="84"/>
      <c r="D363" s="84"/>
      <c r="E363" s="84" t="s">
        <v>634</v>
      </c>
      <c r="F363" s="85">
        <v>45177</v>
      </c>
      <c r="G363" s="84" t="s">
        <v>2619</v>
      </c>
      <c r="H363" s="84" t="s">
        <v>719</v>
      </c>
      <c r="I363" s="84" t="s">
        <v>2842</v>
      </c>
      <c r="J363" s="84" t="s">
        <v>659</v>
      </c>
      <c r="K363" s="87">
        <v>25</v>
      </c>
    </row>
    <row r="364" spans="1:11" ht="14.6" x14ac:dyDescent="0.4">
      <c r="A364" s="84"/>
      <c r="B364" s="84"/>
      <c r="C364" s="84"/>
      <c r="D364" s="84"/>
      <c r="E364" s="84" t="s">
        <v>634</v>
      </c>
      <c r="F364" s="85">
        <v>45181</v>
      </c>
      <c r="G364" s="84" t="s">
        <v>1489</v>
      </c>
      <c r="H364" s="84" t="s">
        <v>2700</v>
      </c>
      <c r="I364" s="84" t="s">
        <v>2843</v>
      </c>
      <c r="J364" s="84" t="s">
        <v>659</v>
      </c>
      <c r="K364" s="87">
        <v>48.83</v>
      </c>
    </row>
    <row r="365" spans="1:11" ht="14.6" x14ac:dyDescent="0.4">
      <c r="A365" s="84"/>
      <c r="B365" s="84"/>
      <c r="C365" s="84"/>
      <c r="D365" s="84"/>
      <c r="E365" s="84" t="s">
        <v>634</v>
      </c>
      <c r="F365" s="85">
        <v>45182</v>
      </c>
      <c r="G365" s="84" t="s">
        <v>2620</v>
      </c>
      <c r="H365" s="84" t="s">
        <v>2701</v>
      </c>
      <c r="I365" s="84" t="s">
        <v>2767</v>
      </c>
      <c r="J365" s="84" t="s">
        <v>659</v>
      </c>
      <c r="K365" s="87">
        <v>20</v>
      </c>
    </row>
    <row r="366" spans="1:11" ht="14.6" x14ac:dyDescent="0.4">
      <c r="A366" s="84"/>
      <c r="B366" s="84"/>
      <c r="C366" s="84"/>
      <c r="D366" s="84"/>
      <c r="E366" s="84" t="s">
        <v>704</v>
      </c>
      <c r="F366" s="85">
        <v>45183</v>
      </c>
      <c r="G366" s="84" t="s">
        <v>2621</v>
      </c>
      <c r="H366" s="84" t="s">
        <v>717</v>
      </c>
      <c r="I366" s="84" t="s">
        <v>2844</v>
      </c>
      <c r="J366" s="84" t="s">
        <v>771</v>
      </c>
      <c r="K366" s="87">
        <v>465</v>
      </c>
    </row>
    <row r="367" spans="1:11" ht="14.6" x14ac:dyDescent="0.4">
      <c r="A367" s="84"/>
      <c r="B367" s="84"/>
      <c r="C367" s="84"/>
      <c r="D367" s="84"/>
      <c r="E367" s="84" t="s">
        <v>704</v>
      </c>
      <c r="F367" s="85">
        <v>45183</v>
      </c>
      <c r="G367" s="84" t="s">
        <v>2622</v>
      </c>
      <c r="H367" s="84" t="s">
        <v>717</v>
      </c>
      <c r="I367" s="84" t="s">
        <v>2845</v>
      </c>
      <c r="J367" s="84" t="s">
        <v>771</v>
      </c>
      <c r="K367" s="87">
        <v>365</v>
      </c>
    </row>
    <row r="368" spans="1:11" ht="14.6" x14ac:dyDescent="0.4">
      <c r="A368" s="84"/>
      <c r="B368" s="84"/>
      <c r="C368" s="84"/>
      <c r="D368" s="84"/>
      <c r="E368" s="84" t="s">
        <v>704</v>
      </c>
      <c r="F368" s="85">
        <v>45183</v>
      </c>
      <c r="G368" s="84" t="s">
        <v>2623</v>
      </c>
      <c r="H368" s="84" t="s">
        <v>717</v>
      </c>
      <c r="I368" s="84" t="s">
        <v>2846</v>
      </c>
      <c r="J368" s="84" t="s">
        <v>771</v>
      </c>
      <c r="K368" s="87">
        <v>160</v>
      </c>
    </row>
    <row r="369" spans="1:11" ht="14.6" x14ac:dyDescent="0.4">
      <c r="A369" s="84"/>
      <c r="B369" s="84"/>
      <c r="C369" s="84"/>
      <c r="D369" s="84"/>
      <c r="E369" s="84" t="s">
        <v>704</v>
      </c>
      <c r="F369" s="85">
        <v>45183</v>
      </c>
      <c r="G369" s="84" t="s">
        <v>2624</v>
      </c>
      <c r="H369" s="84" t="s">
        <v>717</v>
      </c>
      <c r="I369" s="84" t="s">
        <v>2847</v>
      </c>
      <c r="J369" s="84" t="s">
        <v>771</v>
      </c>
      <c r="K369" s="87">
        <v>160</v>
      </c>
    </row>
    <row r="370" spans="1:11" ht="14.6" x14ac:dyDescent="0.4">
      <c r="A370" s="84"/>
      <c r="B370" s="84"/>
      <c r="C370" s="84"/>
      <c r="D370" s="84"/>
      <c r="E370" s="84" t="s">
        <v>704</v>
      </c>
      <c r="F370" s="85">
        <v>45183</v>
      </c>
      <c r="G370" s="84" t="s">
        <v>2625</v>
      </c>
      <c r="H370" s="84" t="s">
        <v>1045</v>
      </c>
      <c r="I370" s="84" t="s">
        <v>2848</v>
      </c>
      <c r="J370" s="84" t="s">
        <v>772</v>
      </c>
      <c r="K370" s="87">
        <v>46</v>
      </c>
    </row>
    <row r="371" spans="1:11" ht="14.6" x14ac:dyDescent="0.4">
      <c r="A371" s="84"/>
      <c r="B371" s="84"/>
      <c r="C371" s="84"/>
      <c r="D371" s="84"/>
      <c r="E371" s="84" t="s">
        <v>634</v>
      </c>
      <c r="F371" s="85">
        <v>45184</v>
      </c>
      <c r="G371" s="84" t="s">
        <v>2626</v>
      </c>
      <c r="H371" s="84" t="s">
        <v>1579</v>
      </c>
      <c r="I371" s="84" t="s">
        <v>2757</v>
      </c>
      <c r="J371" s="84" t="s">
        <v>659</v>
      </c>
      <c r="K371" s="87">
        <v>73.77</v>
      </c>
    </row>
    <row r="372" spans="1:11" ht="14.6" x14ac:dyDescent="0.4">
      <c r="A372" s="84"/>
      <c r="B372" s="84"/>
      <c r="C372" s="84"/>
      <c r="D372" s="84"/>
      <c r="E372" s="84" t="s">
        <v>634</v>
      </c>
      <c r="F372" s="85">
        <v>45187</v>
      </c>
      <c r="G372" s="84" t="s">
        <v>2620</v>
      </c>
      <c r="H372" s="84" t="s">
        <v>2702</v>
      </c>
      <c r="I372" s="84" t="s">
        <v>2849</v>
      </c>
      <c r="J372" s="84" t="s">
        <v>659</v>
      </c>
      <c r="K372" s="87">
        <v>69.06</v>
      </c>
    </row>
    <row r="373" spans="1:11" ht="14.6" x14ac:dyDescent="0.4">
      <c r="A373" s="84"/>
      <c r="B373" s="84"/>
      <c r="C373" s="84"/>
      <c r="D373" s="84"/>
      <c r="E373" s="84" t="s">
        <v>704</v>
      </c>
      <c r="F373" s="85">
        <v>45187</v>
      </c>
      <c r="G373" s="84" t="s">
        <v>2627</v>
      </c>
      <c r="H373" s="84" t="s">
        <v>2703</v>
      </c>
      <c r="I373" s="84" t="s">
        <v>2850</v>
      </c>
      <c r="J373" s="84" t="s">
        <v>772</v>
      </c>
      <c r="K373" s="87">
        <v>68.77</v>
      </c>
    </row>
    <row r="374" spans="1:11" ht="14.6" x14ac:dyDescent="0.4">
      <c r="A374" s="84"/>
      <c r="B374" s="84"/>
      <c r="C374" s="84"/>
      <c r="D374" s="84"/>
      <c r="E374" s="84" t="s">
        <v>634</v>
      </c>
      <c r="F374" s="85">
        <v>45188</v>
      </c>
      <c r="G374" s="84" t="s">
        <v>2620</v>
      </c>
      <c r="H374" s="84" t="s">
        <v>2685</v>
      </c>
      <c r="I374" s="84" t="s">
        <v>2758</v>
      </c>
      <c r="J374" s="84" t="s">
        <v>659</v>
      </c>
      <c r="K374" s="87">
        <v>36.78</v>
      </c>
    </row>
    <row r="375" spans="1:11" ht="14.6" x14ac:dyDescent="0.4">
      <c r="A375" s="84"/>
      <c r="B375" s="84"/>
      <c r="C375" s="84"/>
      <c r="D375" s="84"/>
      <c r="E375" s="84" t="s">
        <v>704</v>
      </c>
      <c r="F375" s="85">
        <v>45188</v>
      </c>
      <c r="G375" s="84" t="s">
        <v>2628</v>
      </c>
      <c r="H375" s="84" t="s">
        <v>2698</v>
      </c>
      <c r="I375" s="84" t="s">
        <v>2834</v>
      </c>
      <c r="J375" s="84" t="s">
        <v>772</v>
      </c>
      <c r="K375" s="87">
        <v>3.36</v>
      </c>
    </row>
    <row r="376" spans="1:11" ht="14.6" x14ac:dyDescent="0.4">
      <c r="A376" s="84"/>
      <c r="B376" s="84"/>
      <c r="C376" s="84"/>
      <c r="D376" s="84"/>
      <c r="E376" s="84" t="s">
        <v>704</v>
      </c>
      <c r="F376" s="85">
        <v>45188</v>
      </c>
      <c r="G376" s="84" t="s">
        <v>2629</v>
      </c>
      <c r="H376" s="84" t="s">
        <v>2698</v>
      </c>
      <c r="I376" s="84" t="s">
        <v>2834</v>
      </c>
      <c r="J376" s="84" t="s">
        <v>772</v>
      </c>
      <c r="K376" s="87">
        <v>38.93</v>
      </c>
    </row>
    <row r="377" spans="1:11" ht="14.6" x14ac:dyDescent="0.4">
      <c r="A377" s="84"/>
      <c r="B377" s="84"/>
      <c r="C377" s="84"/>
      <c r="D377" s="84"/>
      <c r="E377" s="84" t="s">
        <v>704</v>
      </c>
      <c r="F377" s="85">
        <v>45189</v>
      </c>
      <c r="G377" s="84" t="s">
        <v>2630</v>
      </c>
      <c r="H377" s="84" t="s">
        <v>990</v>
      </c>
      <c r="I377" s="84" t="s">
        <v>2851</v>
      </c>
      <c r="J377" s="84" t="s">
        <v>771</v>
      </c>
      <c r="K377" s="87">
        <v>45</v>
      </c>
    </row>
    <row r="378" spans="1:11" ht="14.6" x14ac:dyDescent="0.4">
      <c r="A378" s="84"/>
      <c r="B378" s="84"/>
      <c r="C378" s="84"/>
      <c r="D378" s="84"/>
      <c r="E378" s="84" t="s">
        <v>704</v>
      </c>
      <c r="F378" s="85">
        <v>45189</v>
      </c>
      <c r="G378" s="84" t="s">
        <v>2631</v>
      </c>
      <c r="H378" s="84" t="s">
        <v>990</v>
      </c>
      <c r="I378" s="84" t="s">
        <v>2852</v>
      </c>
      <c r="J378" s="84" t="s">
        <v>771</v>
      </c>
      <c r="K378" s="87">
        <v>45</v>
      </c>
    </row>
    <row r="379" spans="1:11" ht="14.6" x14ac:dyDescent="0.4">
      <c r="A379" s="84"/>
      <c r="B379" s="84"/>
      <c r="C379" s="84"/>
      <c r="D379" s="84"/>
      <c r="E379" s="84" t="s">
        <v>704</v>
      </c>
      <c r="F379" s="85">
        <v>45189</v>
      </c>
      <c r="G379" s="84" t="s">
        <v>2632</v>
      </c>
      <c r="H379" s="84" t="s">
        <v>990</v>
      </c>
      <c r="I379" s="84" t="s">
        <v>2853</v>
      </c>
      <c r="J379" s="84" t="s">
        <v>771</v>
      </c>
      <c r="K379" s="87">
        <v>45</v>
      </c>
    </row>
    <row r="380" spans="1:11" ht="14.6" x14ac:dyDescent="0.4">
      <c r="A380" s="84"/>
      <c r="B380" s="84"/>
      <c r="C380" s="84"/>
      <c r="D380" s="84"/>
      <c r="E380" s="84" t="s">
        <v>704</v>
      </c>
      <c r="F380" s="85">
        <v>45189</v>
      </c>
      <c r="G380" s="84" t="s">
        <v>2633</v>
      </c>
      <c r="H380" s="84" t="s">
        <v>717</v>
      </c>
      <c r="I380" s="84" t="s">
        <v>2854</v>
      </c>
      <c r="J380" s="84" t="s">
        <v>771</v>
      </c>
      <c r="K380" s="87">
        <v>50</v>
      </c>
    </row>
    <row r="381" spans="1:11" ht="14.6" x14ac:dyDescent="0.4">
      <c r="A381" s="84"/>
      <c r="B381" s="84"/>
      <c r="C381" s="84"/>
      <c r="D381" s="84"/>
      <c r="E381" s="84" t="s">
        <v>704</v>
      </c>
      <c r="F381" s="85">
        <v>45189</v>
      </c>
      <c r="G381" s="84" t="s">
        <v>2634</v>
      </c>
      <c r="H381" s="84" t="s">
        <v>717</v>
      </c>
      <c r="I381" s="84" t="s">
        <v>2855</v>
      </c>
      <c r="J381" s="84" t="s">
        <v>771</v>
      </c>
      <c r="K381" s="87">
        <v>30</v>
      </c>
    </row>
    <row r="382" spans="1:11" ht="14.6" x14ac:dyDescent="0.4">
      <c r="A382" s="84"/>
      <c r="B382" s="84"/>
      <c r="C382" s="84"/>
      <c r="D382" s="84"/>
      <c r="E382" s="84" t="s">
        <v>704</v>
      </c>
      <c r="F382" s="85">
        <v>45189</v>
      </c>
      <c r="G382" s="84" t="s">
        <v>2635</v>
      </c>
      <c r="H382" s="84" t="s">
        <v>717</v>
      </c>
      <c r="I382" s="84" t="s">
        <v>2856</v>
      </c>
      <c r="J382" s="84" t="s">
        <v>771</v>
      </c>
      <c r="K382" s="87">
        <v>75</v>
      </c>
    </row>
    <row r="383" spans="1:11" ht="14.6" x14ac:dyDescent="0.4">
      <c r="A383" s="84"/>
      <c r="B383" s="84"/>
      <c r="C383" s="84"/>
      <c r="D383" s="84"/>
      <c r="E383" s="84" t="s">
        <v>634</v>
      </c>
      <c r="F383" s="85">
        <v>45189</v>
      </c>
      <c r="G383" s="84" t="s">
        <v>2620</v>
      </c>
      <c r="H383" s="84" t="s">
        <v>2684</v>
      </c>
      <c r="I383" s="84" t="s">
        <v>2757</v>
      </c>
      <c r="J383" s="84" t="s">
        <v>659</v>
      </c>
      <c r="K383" s="87">
        <v>40</v>
      </c>
    </row>
    <row r="384" spans="1:11" ht="14.6" x14ac:dyDescent="0.4">
      <c r="A384" s="84"/>
      <c r="B384" s="84"/>
      <c r="C384" s="84"/>
      <c r="D384" s="84"/>
      <c r="E384" s="84" t="s">
        <v>704</v>
      </c>
      <c r="F384" s="85">
        <v>45189</v>
      </c>
      <c r="G384" s="84" t="s">
        <v>2636</v>
      </c>
      <c r="H384" s="84" t="s">
        <v>717</v>
      </c>
      <c r="I384" s="84" t="s">
        <v>2857</v>
      </c>
      <c r="J384" s="84" t="s">
        <v>771</v>
      </c>
      <c r="K384" s="87">
        <v>30</v>
      </c>
    </row>
    <row r="385" spans="1:11" ht="14.6" x14ac:dyDescent="0.4">
      <c r="A385" s="84"/>
      <c r="B385" s="84"/>
      <c r="C385" s="84"/>
      <c r="D385" s="84"/>
      <c r="E385" s="84" t="s">
        <v>704</v>
      </c>
      <c r="F385" s="85">
        <v>45189</v>
      </c>
      <c r="G385" s="84" t="s">
        <v>2637</v>
      </c>
      <c r="H385" s="84" t="s">
        <v>717</v>
      </c>
      <c r="I385" s="84" t="s">
        <v>2858</v>
      </c>
      <c r="J385" s="84" t="s">
        <v>771</v>
      </c>
      <c r="K385" s="87">
        <v>30</v>
      </c>
    </row>
    <row r="386" spans="1:11" ht="14.6" x14ac:dyDescent="0.4">
      <c r="A386" s="84"/>
      <c r="B386" s="84"/>
      <c r="C386" s="84"/>
      <c r="D386" s="84"/>
      <c r="E386" s="84" t="s">
        <v>704</v>
      </c>
      <c r="F386" s="85">
        <v>45189</v>
      </c>
      <c r="G386" s="84" t="s">
        <v>2638</v>
      </c>
      <c r="H386" s="84" t="s">
        <v>2698</v>
      </c>
      <c r="I386" s="84" t="s">
        <v>2834</v>
      </c>
      <c r="J386" s="84" t="s">
        <v>772</v>
      </c>
      <c r="K386" s="87">
        <v>42.95</v>
      </c>
    </row>
    <row r="387" spans="1:11" ht="14.6" x14ac:dyDescent="0.4">
      <c r="A387" s="84"/>
      <c r="B387" s="84"/>
      <c r="C387" s="84"/>
      <c r="D387" s="84"/>
      <c r="E387" s="84" t="s">
        <v>704</v>
      </c>
      <c r="F387" s="85">
        <v>45191</v>
      </c>
      <c r="G387" s="84" t="s">
        <v>2639</v>
      </c>
      <c r="H387" s="84" t="s">
        <v>2704</v>
      </c>
      <c r="I387" s="84" t="s">
        <v>2859</v>
      </c>
      <c r="J387" s="84" t="s">
        <v>771</v>
      </c>
      <c r="K387" s="87">
        <v>600</v>
      </c>
    </row>
    <row r="388" spans="1:11" ht="14.6" x14ac:dyDescent="0.4">
      <c r="A388" s="84"/>
      <c r="B388" s="84"/>
      <c r="C388" s="84"/>
      <c r="D388" s="84"/>
      <c r="E388" s="84" t="s">
        <v>704</v>
      </c>
      <c r="F388" s="85">
        <v>45191</v>
      </c>
      <c r="G388" s="84" t="s">
        <v>2620</v>
      </c>
      <c r="H388" s="84" t="s">
        <v>991</v>
      </c>
      <c r="I388" s="84" t="s">
        <v>1006</v>
      </c>
      <c r="J388" s="84" t="s">
        <v>771</v>
      </c>
      <c r="K388" s="87">
        <v>100</v>
      </c>
    </row>
    <row r="389" spans="1:11" ht="14.6" x14ac:dyDescent="0.4">
      <c r="A389" s="84"/>
      <c r="B389" s="84"/>
      <c r="C389" s="84"/>
      <c r="D389" s="84"/>
      <c r="E389" s="84" t="s">
        <v>634</v>
      </c>
      <c r="F389" s="85">
        <v>45194</v>
      </c>
      <c r="G389" s="84" t="s">
        <v>2620</v>
      </c>
      <c r="H389" s="84" t="s">
        <v>2686</v>
      </c>
      <c r="I389" s="84" t="s">
        <v>2759</v>
      </c>
      <c r="J389" s="84" t="s">
        <v>659</v>
      </c>
      <c r="K389" s="87">
        <v>60</v>
      </c>
    </row>
    <row r="390" spans="1:11" ht="14.6" x14ac:dyDescent="0.4">
      <c r="A390" s="84"/>
      <c r="B390" s="84"/>
      <c r="C390" s="84"/>
      <c r="D390" s="84"/>
      <c r="E390" s="84" t="s">
        <v>634</v>
      </c>
      <c r="F390" s="85">
        <v>45195</v>
      </c>
      <c r="G390" s="84" t="s">
        <v>1489</v>
      </c>
      <c r="H390" s="84" t="s">
        <v>2705</v>
      </c>
      <c r="I390" s="84" t="s">
        <v>2860</v>
      </c>
      <c r="J390" s="84" t="s">
        <v>659</v>
      </c>
      <c r="K390" s="87">
        <v>659.4</v>
      </c>
    </row>
    <row r="391" spans="1:11" ht="14.6" x14ac:dyDescent="0.4">
      <c r="A391" s="84"/>
      <c r="B391" s="84"/>
      <c r="C391" s="84"/>
      <c r="D391" s="84"/>
      <c r="E391" s="84" t="s">
        <v>634</v>
      </c>
      <c r="F391" s="85">
        <v>45195</v>
      </c>
      <c r="G391" s="84" t="s">
        <v>2640</v>
      </c>
      <c r="H391" s="84" t="s">
        <v>2706</v>
      </c>
      <c r="I391" s="84" t="s">
        <v>2861</v>
      </c>
      <c r="J391" s="84" t="s">
        <v>659</v>
      </c>
      <c r="K391" s="87">
        <v>5490</v>
      </c>
    </row>
    <row r="392" spans="1:11" ht="14.6" x14ac:dyDescent="0.4">
      <c r="A392" s="84"/>
      <c r="B392" s="84"/>
      <c r="C392" s="84"/>
      <c r="D392" s="84"/>
      <c r="E392" s="84" t="s">
        <v>704</v>
      </c>
      <c r="F392" s="85">
        <v>45197</v>
      </c>
      <c r="G392" s="84" t="s">
        <v>2641</v>
      </c>
      <c r="H392" s="84" t="s">
        <v>1580</v>
      </c>
      <c r="I392" s="84" t="s">
        <v>2862</v>
      </c>
      <c r="J392" s="84" t="s">
        <v>771</v>
      </c>
      <c r="K392" s="87">
        <v>229</v>
      </c>
    </row>
    <row r="393" spans="1:11" ht="14.6" x14ac:dyDescent="0.4">
      <c r="A393" s="84"/>
      <c r="B393" s="84"/>
      <c r="C393" s="84"/>
      <c r="D393" s="84"/>
      <c r="E393" s="84" t="s">
        <v>704</v>
      </c>
      <c r="F393" s="85">
        <v>45197</v>
      </c>
      <c r="G393" s="84" t="s">
        <v>2642</v>
      </c>
      <c r="H393" s="84" t="s">
        <v>719</v>
      </c>
      <c r="I393" s="84" t="s">
        <v>2863</v>
      </c>
      <c r="J393" s="84" t="s">
        <v>771</v>
      </c>
      <c r="K393" s="87">
        <v>150</v>
      </c>
    </row>
    <row r="394" spans="1:11" ht="14.6" x14ac:dyDescent="0.4">
      <c r="A394" s="84"/>
      <c r="B394" s="84"/>
      <c r="C394" s="84"/>
      <c r="D394" s="84"/>
      <c r="E394" s="84" t="s">
        <v>704</v>
      </c>
      <c r="F394" s="85">
        <v>45197</v>
      </c>
      <c r="G394" s="84" t="s">
        <v>2642</v>
      </c>
      <c r="H394" s="84" t="s">
        <v>719</v>
      </c>
      <c r="I394" s="84" t="s">
        <v>2864</v>
      </c>
      <c r="J394" s="84" t="s">
        <v>771</v>
      </c>
      <c r="K394" s="87">
        <v>150</v>
      </c>
    </row>
    <row r="395" spans="1:11" ht="14.6" x14ac:dyDescent="0.4">
      <c r="A395" s="84"/>
      <c r="B395" s="84"/>
      <c r="C395" s="84"/>
      <c r="D395" s="84"/>
      <c r="E395" s="84" t="s">
        <v>704</v>
      </c>
      <c r="F395" s="85">
        <v>45197</v>
      </c>
      <c r="G395" s="84" t="s">
        <v>2642</v>
      </c>
      <c r="H395" s="84" t="s">
        <v>719</v>
      </c>
      <c r="I395" s="84" t="s">
        <v>2865</v>
      </c>
      <c r="J395" s="84" t="s">
        <v>771</v>
      </c>
      <c r="K395" s="87">
        <v>150</v>
      </c>
    </row>
    <row r="396" spans="1:11" ht="14.6" x14ac:dyDescent="0.4">
      <c r="A396" s="84"/>
      <c r="B396" s="84"/>
      <c r="C396" s="84"/>
      <c r="D396" s="84"/>
      <c r="E396" s="84" t="s">
        <v>704</v>
      </c>
      <c r="F396" s="85">
        <v>45197</v>
      </c>
      <c r="G396" s="84" t="s">
        <v>2642</v>
      </c>
      <c r="H396" s="84" t="s">
        <v>719</v>
      </c>
      <c r="I396" s="84" t="s">
        <v>2866</v>
      </c>
      <c r="J396" s="84" t="s">
        <v>771</v>
      </c>
      <c r="K396" s="87">
        <v>150</v>
      </c>
    </row>
    <row r="397" spans="1:11" ht="14.6" x14ac:dyDescent="0.4">
      <c r="A397" s="84"/>
      <c r="B397" s="84"/>
      <c r="C397" s="84"/>
      <c r="D397" s="84"/>
      <c r="E397" s="84" t="s">
        <v>704</v>
      </c>
      <c r="F397" s="85">
        <v>45197</v>
      </c>
      <c r="G397" s="84" t="s">
        <v>2642</v>
      </c>
      <c r="H397" s="84" t="s">
        <v>719</v>
      </c>
      <c r="I397" s="84" t="s">
        <v>2867</v>
      </c>
      <c r="J397" s="84" t="s">
        <v>771</v>
      </c>
      <c r="K397" s="87">
        <v>150</v>
      </c>
    </row>
    <row r="398" spans="1:11" ht="14.6" x14ac:dyDescent="0.4">
      <c r="A398" s="84"/>
      <c r="B398" s="84"/>
      <c r="C398" s="84"/>
      <c r="D398" s="84"/>
      <c r="E398" s="84" t="s">
        <v>704</v>
      </c>
      <c r="F398" s="85">
        <v>45197</v>
      </c>
      <c r="G398" s="84" t="s">
        <v>2642</v>
      </c>
      <c r="H398" s="84" t="s">
        <v>719</v>
      </c>
      <c r="I398" s="84" t="s">
        <v>2868</v>
      </c>
      <c r="J398" s="84" t="s">
        <v>771</v>
      </c>
      <c r="K398" s="87">
        <v>150</v>
      </c>
    </row>
    <row r="399" spans="1:11" ht="14.6" x14ac:dyDescent="0.4">
      <c r="A399" s="84"/>
      <c r="B399" s="84"/>
      <c r="C399" s="84"/>
      <c r="D399" s="84"/>
      <c r="E399" s="84" t="s">
        <v>704</v>
      </c>
      <c r="F399" s="85">
        <v>45197</v>
      </c>
      <c r="G399" s="84" t="s">
        <v>2642</v>
      </c>
      <c r="H399" s="84" t="s">
        <v>719</v>
      </c>
      <c r="I399" s="84" t="s">
        <v>2869</v>
      </c>
      <c r="J399" s="84" t="s">
        <v>771</v>
      </c>
      <c r="K399" s="87">
        <v>150</v>
      </c>
    </row>
    <row r="400" spans="1:11" ht="14.6" x14ac:dyDescent="0.4">
      <c r="A400" s="84"/>
      <c r="B400" s="84"/>
      <c r="C400" s="84"/>
      <c r="D400" s="84"/>
      <c r="E400" s="84" t="s">
        <v>704</v>
      </c>
      <c r="F400" s="85">
        <v>45197</v>
      </c>
      <c r="G400" s="84" t="s">
        <v>2642</v>
      </c>
      <c r="H400" s="84" t="s">
        <v>719</v>
      </c>
      <c r="I400" s="84" t="s">
        <v>2870</v>
      </c>
      <c r="J400" s="84" t="s">
        <v>771</v>
      </c>
      <c r="K400" s="87">
        <v>150</v>
      </c>
    </row>
    <row r="401" spans="1:11" ht="14.6" x14ac:dyDescent="0.4">
      <c r="A401" s="84"/>
      <c r="B401" s="84"/>
      <c r="C401" s="84"/>
      <c r="D401" s="84"/>
      <c r="E401" s="84" t="s">
        <v>704</v>
      </c>
      <c r="F401" s="85">
        <v>45201</v>
      </c>
      <c r="G401" s="84" t="s">
        <v>2643</v>
      </c>
      <c r="H401" s="84" t="s">
        <v>719</v>
      </c>
      <c r="I401" s="84" t="s">
        <v>2871</v>
      </c>
      <c r="J401" s="84" t="s">
        <v>771</v>
      </c>
      <c r="K401" s="87">
        <v>150</v>
      </c>
    </row>
    <row r="402" spans="1:11" ht="14.6" x14ac:dyDescent="0.4">
      <c r="A402" s="84"/>
      <c r="B402" s="84"/>
      <c r="C402" s="84"/>
      <c r="D402" s="84"/>
      <c r="E402" s="84" t="s">
        <v>704</v>
      </c>
      <c r="F402" s="85">
        <v>45201</v>
      </c>
      <c r="G402" s="84" t="s">
        <v>2643</v>
      </c>
      <c r="H402" s="84" t="s">
        <v>719</v>
      </c>
      <c r="I402" s="84" t="s">
        <v>2872</v>
      </c>
      <c r="J402" s="84" t="s">
        <v>771</v>
      </c>
      <c r="K402" s="87">
        <v>150</v>
      </c>
    </row>
    <row r="403" spans="1:11" ht="14.6" x14ac:dyDescent="0.4">
      <c r="A403" s="84"/>
      <c r="B403" s="84"/>
      <c r="C403" s="84"/>
      <c r="D403" s="84"/>
      <c r="E403" s="84" t="s">
        <v>704</v>
      </c>
      <c r="F403" s="85">
        <v>45201</v>
      </c>
      <c r="G403" s="84" t="s">
        <v>2644</v>
      </c>
      <c r="H403" s="84" t="s">
        <v>717</v>
      </c>
      <c r="I403" s="84" t="s">
        <v>2873</v>
      </c>
      <c r="J403" s="84" t="s">
        <v>771</v>
      </c>
      <c r="K403" s="87">
        <v>50</v>
      </c>
    </row>
    <row r="404" spans="1:11" ht="14.6" x14ac:dyDescent="0.4">
      <c r="A404" s="84"/>
      <c r="B404" s="84"/>
      <c r="C404" s="84"/>
      <c r="D404" s="84"/>
      <c r="E404" s="84" t="s">
        <v>704</v>
      </c>
      <c r="F404" s="85">
        <v>45201</v>
      </c>
      <c r="G404" s="84" t="s">
        <v>2645</v>
      </c>
      <c r="H404" s="84" t="s">
        <v>717</v>
      </c>
      <c r="I404" s="84" t="s">
        <v>2874</v>
      </c>
      <c r="J404" s="84" t="s">
        <v>771</v>
      </c>
      <c r="K404" s="87">
        <v>160</v>
      </c>
    </row>
    <row r="405" spans="1:11" ht="14.6" x14ac:dyDescent="0.4">
      <c r="A405" s="84"/>
      <c r="B405" s="84"/>
      <c r="C405" s="84"/>
      <c r="D405" s="84"/>
      <c r="E405" s="84" t="s">
        <v>704</v>
      </c>
      <c r="F405" s="85">
        <v>45201</v>
      </c>
      <c r="G405" s="84" t="s">
        <v>2646</v>
      </c>
      <c r="H405" s="84" t="s">
        <v>717</v>
      </c>
      <c r="I405" s="84" t="s">
        <v>2875</v>
      </c>
      <c r="J405" s="84" t="s">
        <v>771</v>
      </c>
      <c r="K405" s="87">
        <v>75</v>
      </c>
    </row>
    <row r="406" spans="1:11" ht="14.6" x14ac:dyDescent="0.4">
      <c r="A406" s="84"/>
      <c r="B406" s="84"/>
      <c r="C406" s="84"/>
      <c r="D406" s="84"/>
      <c r="E406" s="84" t="s">
        <v>704</v>
      </c>
      <c r="F406" s="85">
        <v>45202</v>
      </c>
      <c r="G406" s="84" t="s">
        <v>2647</v>
      </c>
      <c r="H406" s="84" t="s">
        <v>2707</v>
      </c>
      <c r="I406" s="84" t="s">
        <v>2876</v>
      </c>
      <c r="J406" s="84" t="s">
        <v>771</v>
      </c>
      <c r="K406" s="87">
        <v>123.12</v>
      </c>
    </row>
    <row r="407" spans="1:11" ht="14.6" x14ac:dyDescent="0.4">
      <c r="A407" s="84"/>
      <c r="B407" s="84"/>
      <c r="C407" s="84"/>
      <c r="D407" s="84"/>
      <c r="E407" s="84" t="s">
        <v>704</v>
      </c>
      <c r="F407" s="85">
        <v>45205</v>
      </c>
      <c r="G407" s="84" t="s">
        <v>2648</v>
      </c>
      <c r="H407" s="84" t="s">
        <v>717</v>
      </c>
      <c r="I407" s="84" t="s">
        <v>2877</v>
      </c>
      <c r="J407" s="84" t="s">
        <v>1729</v>
      </c>
      <c r="K407" s="87">
        <v>710</v>
      </c>
    </row>
    <row r="408" spans="1:11" ht="14.6" x14ac:dyDescent="0.4">
      <c r="A408" s="84"/>
      <c r="B408" s="84"/>
      <c r="C408" s="84"/>
      <c r="D408" s="84"/>
      <c r="E408" s="84" t="s">
        <v>704</v>
      </c>
      <c r="F408" s="85">
        <v>45205</v>
      </c>
      <c r="G408" s="84" t="s">
        <v>2648</v>
      </c>
      <c r="H408" s="84" t="s">
        <v>717</v>
      </c>
      <c r="I408" s="84" t="s">
        <v>2878</v>
      </c>
      <c r="J408" s="84" t="s">
        <v>1729</v>
      </c>
      <c r="K408" s="87">
        <v>710</v>
      </c>
    </row>
    <row r="409" spans="1:11" ht="14.6" x14ac:dyDescent="0.4">
      <c r="A409" s="84"/>
      <c r="B409" s="84"/>
      <c r="C409" s="84"/>
      <c r="D409" s="84"/>
      <c r="E409" s="84" t="s">
        <v>634</v>
      </c>
      <c r="F409" s="85">
        <v>45207</v>
      </c>
      <c r="G409" s="84" t="s">
        <v>2649</v>
      </c>
      <c r="H409" s="84" t="s">
        <v>2708</v>
      </c>
      <c r="I409" s="84" t="s">
        <v>2879</v>
      </c>
      <c r="J409" s="84" t="s">
        <v>659</v>
      </c>
      <c r="K409" s="87">
        <v>275</v>
      </c>
    </row>
    <row r="410" spans="1:11" ht="14.6" x14ac:dyDescent="0.4">
      <c r="A410" s="84"/>
      <c r="B410" s="84"/>
      <c r="C410" s="84"/>
      <c r="D410" s="84"/>
      <c r="E410" s="84" t="s">
        <v>634</v>
      </c>
      <c r="F410" s="85">
        <v>45207</v>
      </c>
      <c r="G410" s="84" t="s">
        <v>2649</v>
      </c>
      <c r="H410" s="84" t="s">
        <v>2708</v>
      </c>
      <c r="I410" s="84" t="s">
        <v>2880</v>
      </c>
      <c r="J410" s="84" t="s">
        <v>659</v>
      </c>
      <c r="K410" s="87">
        <v>275</v>
      </c>
    </row>
    <row r="411" spans="1:11" ht="14.6" x14ac:dyDescent="0.4">
      <c r="A411" s="84"/>
      <c r="B411" s="84"/>
      <c r="C411" s="84"/>
      <c r="D411" s="84"/>
      <c r="E411" s="84" t="s">
        <v>634</v>
      </c>
      <c r="F411" s="85">
        <v>45207</v>
      </c>
      <c r="G411" s="84" t="s">
        <v>2649</v>
      </c>
      <c r="H411" s="84" t="s">
        <v>2708</v>
      </c>
      <c r="I411" s="84" t="s">
        <v>2881</v>
      </c>
      <c r="J411" s="84" t="s">
        <v>659</v>
      </c>
      <c r="K411" s="87">
        <v>275</v>
      </c>
    </row>
    <row r="412" spans="1:11" ht="14.6" x14ac:dyDescent="0.4">
      <c r="A412" s="84"/>
      <c r="B412" s="84"/>
      <c r="C412" s="84"/>
      <c r="D412" s="84"/>
      <c r="E412" s="84" t="s">
        <v>634</v>
      </c>
      <c r="F412" s="85">
        <v>45207</v>
      </c>
      <c r="G412" s="84" t="s">
        <v>2649</v>
      </c>
      <c r="H412" s="84" t="s">
        <v>2708</v>
      </c>
      <c r="I412" s="84" t="s">
        <v>2882</v>
      </c>
      <c r="J412" s="84" t="s">
        <v>659</v>
      </c>
      <c r="K412" s="87">
        <v>275</v>
      </c>
    </row>
    <row r="413" spans="1:11" ht="14.6" x14ac:dyDescent="0.4">
      <c r="A413" s="84"/>
      <c r="B413" s="84"/>
      <c r="C413" s="84"/>
      <c r="D413" s="84"/>
      <c r="E413" s="84" t="s">
        <v>634</v>
      </c>
      <c r="F413" s="85">
        <v>45207</v>
      </c>
      <c r="G413" s="84" t="s">
        <v>2649</v>
      </c>
      <c r="H413" s="84" t="s">
        <v>2708</v>
      </c>
      <c r="I413" s="84" t="s">
        <v>2883</v>
      </c>
      <c r="J413" s="84" t="s">
        <v>659</v>
      </c>
      <c r="K413" s="87">
        <v>275</v>
      </c>
    </row>
    <row r="414" spans="1:11" ht="14.6" x14ac:dyDescent="0.4">
      <c r="A414" s="84"/>
      <c r="B414" s="84"/>
      <c r="C414" s="84"/>
      <c r="D414" s="84"/>
      <c r="E414" s="84" t="s">
        <v>634</v>
      </c>
      <c r="F414" s="85">
        <v>45207</v>
      </c>
      <c r="G414" s="84" t="s">
        <v>2649</v>
      </c>
      <c r="H414" s="84" t="s">
        <v>2708</v>
      </c>
      <c r="I414" s="84" t="s">
        <v>2884</v>
      </c>
      <c r="J414" s="84" t="s">
        <v>659</v>
      </c>
      <c r="K414" s="87">
        <v>275</v>
      </c>
    </row>
    <row r="415" spans="1:11" ht="14.6" x14ac:dyDescent="0.4">
      <c r="A415" s="84"/>
      <c r="B415" s="84"/>
      <c r="C415" s="84"/>
      <c r="D415" s="84"/>
      <c r="E415" s="84" t="s">
        <v>634</v>
      </c>
      <c r="F415" s="85">
        <v>45207</v>
      </c>
      <c r="G415" s="84" t="s">
        <v>2649</v>
      </c>
      <c r="H415" s="84" t="s">
        <v>2708</v>
      </c>
      <c r="I415" s="84" t="s">
        <v>2885</v>
      </c>
      <c r="J415" s="84" t="s">
        <v>659</v>
      </c>
      <c r="K415" s="87">
        <v>275</v>
      </c>
    </row>
    <row r="416" spans="1:11" ht="14.6" x14ac:dyDescent="0.4">
      <c r="A416" s="84"/>
      <c r="B416" s="84"/>
      <c r="C416" s="84"/>
      <c r="D416" s="84"/>
      <c r="E416" s="84" t="s">
        <v>634</v>
      </c>
      <c r="F416" s="85">
        <v>45208</v>
      </c>
      <c r="G416" s="84" t="s">
        <v>2372</v>
      </c>
      <c r="H416" s="84" t="s">
        <v>2709</v>
      </c>
      <c r="I416" s="84" t="s">
        <v>2767</v>
      </c>
      <c r="J416" s="84" t="s">
        <v>659</v>
      </c>
      <c r="K416" s="87">
        <v>92.24</v>
      </c>
    </row>
    <row r="417" spans="1:11" ht="14.6" x14ac:dyDescent="0.4">
      <c r="A417" s="84"/>
      <c r="B417" s="84"/>
      <c r="C417" s="84"/>
      <c r="D417" s="84"/>
      <c r="E417" s="84" t="s">
        <v>634</v>
      </c>
      <c r="F417" s="85">
        <v>45208</v>
      </c>
      <c r="G417" s="84" t="s">
        <v>1489</v>
      </c>
      <c r="H417" s="84" t="s">
        <v>2710</v>
      </c>
      <c r="I417" s="84" t="s">
        <v>2886</v>
      </c>
      <c r="J417" s="84" t="s">
        <v>659</v>
      </c>
      <c r="K417" s="87">
        <v>33.950000000000003</v>
      </c>
    </row>
    <row r="418" spans="1:11" ht="14.6" x14ac:dyDescent="0.4">
      <c r="A418" s="84"/>
      <c r="B418" s="84"/>
      <c r="C418" s="84"/>
      <c r="D418" s="84"/>
      <c r="E418" s="84" t="s">
        <v>634</v>
      </c>
      <c r="F418" s="85">
        <v>45208</v>
      </c>
      <c r="G418" s="84" t="s">
        <v>2372</v>
      </c>
      <c r="H418" s="84" t="s">
        <v>2710</v>
      </c>
      <c r="I418" s="84" t="s">
        <v>2886</v>
      </c>
      <c r="J418" s="84" t="s">
        <v>659</v>
      </c>
      <c r="K418" s="87">
        <v>76.8</v>
      </c>
    </row>
    <row r="419" spans="1:11" ht="14.6" x14ac:dyDescent="0.4">
      <c r="A419" s="84"/>
      <c r="B419" s="84"/>
      <c r="C419" s="84"/>
      <c r="D419" s="84"/>
      <c r="E419" s="84" t="s">
        <v>634</v>
      </c>
      <c r="F419" s="85">
        <v>45209</v>
      </c>
      <c r="G419" s="84" t="s">
        <v>2650</v>
      </c>
      <c r="H419" s="84" t="s">
        <v>990</v>
      </c>
      <c r="I419" s="84" t="s">
        <v>2887</v>
      </c>
      <c r="J419" s="84" t="s">
        <v>659</v>
      </c>
      <c r="K419" s="87">
        <v>100</v>
      </c>
    </row>
    <row r="420" spans="1:11" ht="14.6" x14ac:dyDescent="0.4">
      <c r="A420" s="84"/>
      <c r="B420" s="84"/>
      <c r="C420" s="84"/>
      <c r="D420" s="84"/>
      <c r="E420" s="84" t="s">
        <v>704</v>
      </c>
      <c r="F420" s="85">
        <v>45209</v>
      </c>
      <c r="G420" s="84" t="s">
        <v>2651</v>
      </c>
      <c r="H420" s="84" t="s">
        <v>717</v>
      </c>
      <c r="I420" s="84" t="s">
        <v>2888</v>
      </c>
      <c r="J420" s="84" t="s">
        <v>1729</v>
      </c>
      <c r="K420" s="87">
        <v>50</v>
      </c>
    </row>
    <row r="421" spans="1:11" ht="14.6" x14ac:dyDescent="0.4">
      <c r="A421" s="84"/>
      <c r="B421" s="84"/>
      <c r="C421" s="84"/>
      <c r="D421" s="84"/>
      <c r="E421" s="84" t="s">
        <v>704</v>
      </c>
      <c r="F421" s="85">
        <v>45209</v>
      </c>
      <c r="G421" s="84" t="s">
        <v>2652</v>
      </c>
      <c r="H421" s="84" t="s">
        <v>717</v>
      </c>
      <c r="I421" s="84" t="s">
        <v>2889</v>
      </c>
      <c r="J421" s="84" t="s">
        <v>1729</v>
      </c>
      <c r="K421" s="87">
        <v>50</v>
      </c>
    </row>
    <row r="422" spans="1:11" ht="14.6" x14ac:dyDescent="0.4">
      <c r="A422" s="84"/>
      <c r="B422" s="84"/>
      <c r="C422" s="84"/>
      <c r="D422" s="84"/>
      <c r="E422" s="84" t="s">
        <v>704</v>
      </c>
      <c r="F422" s="85">
        <v>45209</v>
      </c>
      <c r="G422" s="84" t="s">
        <v>2653</v>
      </c>
      <c r="H422" s="84" t="s">
        <v>717</v>
      </c>
      <c r="I422" s="84" t="s">
        <v>2890</v>
      </c>
      <c r="J422" s="84" t="s">
        <v>1729</v>
      </c>
      <c r="K422" s="87">
        <v>50</v>
      </c>
    </row>
    <row r="423" spans="1:11" ht="14.6" x14ac:dyDescent="0.4">
      <c r="A423" s="84"/>
      <c r="B423" s="84"/>
      <c r="C423" s="84"/>
      <c r="D423" s="84"/>
      <c r="E423" s="84" t="s">
        <v>704</v>
      </c>
      <c r="F423" s="85">
        <v>45209</v>
      </c>
      <c r="G423" s="84" t="s">
        <v>2654</v>
      </c>
      <c r="H423" s="84" t="s">
        <v>717</v>
      </c>
      <c r="I423" s="84" t="s">
        <v>2891</v>
      </c>
      <c r="J423" s="84" t="s">
        <v>1729</v>
      </c>
      <c r="K423" s="87">
        <v>50</v>
      </c>
    </row>
    <row r="424" spans="1:11" ht="14.6" x14ac:dyDescent="0.4">
      <c r="A424" s="84"/>
      <c r="B424" s="84"/>
      <c r="C424" s="84"/>
      <c r="D424" s="84"/>
      <c r="E424" s="84" t="s">
        <v>704</v>
      </c>
      <c r="F424" s="85">
        <v>45211</v>
      </c>
      <c r="G424" s="84" t="s">
        <v>2655</v>
      </c>
      <c r="H424" s="84" t="s">
        <v>1580</v>
      </c>
      <c r="I424" s="84" t="s">
        <v>2892</v>
      </c>
      <c r="J424" s="84" t="s">
        <v>771</v>
      </c>
      <c r="K424" s="87">
        <v>349</v>
      </c>
    </row>
    <row r="425" spans="1:11" ht="14.6" x14ac:dyDescent="0.4">
      <c r="A425" s="84"/>
      <c r="B425" s="84"/>
      <c r="C425" s="84"/>
      <c r="D425" s="84"/>
      <c r="E425" s="84" t="s">
        <v>704</v>
      </c>
      <c r="F425" s="85">
        <v>45217</v>
      </c>
      <c r="G425" s="84" t="s">
        <v>2372</v>
      </c>
      <c r="H425" s="84" t="s">
        <v>2711</v>
      </c>
      <c r="I425" s="84" t="s">
        <v>2893</v>
      </c>
      <c r="J425" s="84" t="s">
        <v>771</v>
      </c>
      <c r="K425" s="87">
        <v>502.06</v>
      </c>
    </row>
    <row r="426" spans="1:11" ht="14.6" x14ac:dyDescent="0.4">
      <c r="A426" s="84"/>
      <c r="B426" s="84"/>
      <c r="C426" s="84"/>
      <c r="D426" s="84"/>
      <c r="E426" s="84" t="s">
        <v>634</v>
      </c>
      <c r="F426" s="85">
        <v>45217</v>
      </c>
      <c r="G426" s="84" t="s">
        <v>2372</v>
      </c>
      <c r="H426" s="84" t="s">
        <v>2712</v>
      </c>
      <c r="I426" s="84" t="s">
        <v>2894</v>
      </c>
      <c r="J426" s="84" t="s">
        <v>659</v>
      </c>
      <c r="K426" s="87">
        <v>79.92</v>
      </c>
    </row>
    <row r="427" spans="1:11" ht="14.6" x14ac:dyDescent="0.4">
      <c r="A427" s="84"/>
      <c r="B427" s="84"/>
      <c r="C427" s="84"/>
      <c r="D427" s="84"/>
      <c r="E427" s="84" t="s">
        <v>704</v>
      </c>
      <c r="F427" s="85">
        <v>45219</v>
      </c>
      <c r="G427" s="84" t="s">
        <v>2656</v>
      </c>
      <c r="H427" s="84" t="s">
        <v>1580</v>
      </c>
      <c r="I427" s="84" t="s">
        <v>2895</v>
      </c>
      <c r="J427" s="84" t="s">
        <v>1729</v>
      </c>
      <c r="K427" s="87">
        <v>77</v>
      </c>
    </row>
    <row r="428" spans="1:11" ht="14.6" x14ac:dyDescent="0.4">
      <c r="A428" s="84"/>
      <c r="B428" s="84"/>
      <c r="C428" s="84"/>
      <c r="D428" s="84"/>
      <c r="E428" s="84" t="s">
        <v>704</v>
      </c>
      <c r="F428" s="85">
        <v>45221</v>
      </c>
      <c r="G428" s="84" t="s">
        <v>2372</v>
      </c>
      <c r="H428" s="84" t="s">
        <v>991</v>
      </c>
      <c r="I428" s="84" t="s">
        <v>1006</v>
      </c>
      <c r="J428" s="84" t="s">
        <v>771</v>
      </c>
      <c r="K428" s="87">
        <v>100</v>
      </c>
    </row>
    <row r="429" spans="1:11" ht="14.6" x14ac:dyDescent="0.4">
      <c r="A429" s="84"/>
      <c r="B429" s="84"/>
      <c r="C429" s="84"/>
      <c r="D429" s="84"/>
      <c r="E429" s="84" t="s">
        <v>634</v>
      </c>
      <c r="F429" s="85">
        <v>45222</v>
      </c>
      <c r="G429" s="84" t="s">
        <v>2372</v>
      </c>
      <c r="H429" s="84" t="s">
        <v>724</v>
      </c>
      <c r="I429" s="84" t="s">
        <v>2896</v>
      </c>
      <c r="J429" s="84" t="s">
        <v>659</v>
      </c>
      <c r="K429" s="87">
        <v>993.62</v>
      </c>
    </row>
    <row r="430" spans="1:11" ht="14.6" x14ac:dyDescent="0.4">
      <c r="A430" s="84"/>
      <c r="B430" s="84"/>
      <c r="C430" s="84"/>
      <c r="D430" s="84"/>
      <c r="E430" s="84" t="s">
        <v>634</v>
      </c>
      <c r="F430" s="85">
        <v>45222</v>
      </c>
      <c r="G430" s="84" t="s">
        <v>2657</v>
      </c>
      <c r="H430" s="84" t="s">
        <v>716</v>
      </c>
      <c r="I430" s="84" t="s">
        <v>2897</v>
      </c>
      <c r="J430" s="84" t="s">
        <v>659</v>
      </c>
      <c r="K430" s="87">
        <v>240</v>
      </c>
    </row>
    <row r="431" spans="1:11" ht="14.6" x14ac:dyDescent="0.4">
      <c r="A431" s="84"/>
      <c r="B431" s="84"/>
      <c r="C431" s="84"/>
      <c r="D431" s="84"/>
      <c r="E431" s="84" t="s">
        <v>634</v>
      </c>
      <c r="F431" s="85">
        <v>45222</v>
      </c>
      <c r="G431" s="84" t="s">
        <v>2657</v>
      </c>
      <c r="H431" s="84" t="s">
        <v>716</v>
      </c>
      <c r="I431" s="84" t="s">
        <v>2898</v>
      </c>
      <c r="J431" s="84" t="s">
        <v>659</v>
      </c>
      <c r="K431" s="87">
        <v>170</v>
      </c>
    </row>
    <row r="432" spans="1:11" ht="14.6" x14ac:dyDescent="0.4">
      <c r="A432" s="84"/>
      <c r="B432" s="84"/>
      <c r="C432" s="84"/>
      <c r="D432" s="84"/>
      <c r="E432" s="84" t="s">
        <v>634</v>
      </c>
      <c r="F432" s="85">
        <v>45222</v>
      </c>
      <c r="G432" s="84" t="s">
        <v>2657</v>
      </c>
      <c r="H432" s="84" t="s">
        <v>716</v>
      </c>
      <c r="I432" s="84" t="s">
        <v>2899</v>
      </c>
      <c r="J432" s="84" t="s">
        <v>659</v>
      </c>
      <c r="K432" s="87">
        <v>85</v>
      </c>
    </row>
    <row r="433" spans="1:11" ht="14.6" x14ac:dyDescent="0.4">
      <c r="A433" s="84"/>
      <c r="B433" s="84"/>
      <c r="C433" s="84"/>
      <c r="D433" s="84"/>
      <c r="E433" s="84" t="s">
        <v>634</v>
      </c>
      <c r="F433" s="85">
        <v>45222</v>
      </c>
      <c r="G433" s="84" t="s">
        <v>2657</v>
      </c>
      <c r="H433" s="84" t="s">
        <v>716</v>
      </c>
      <c r="I433" s="84" t="s">
        <v>2900</v>
      </c>
      <c r="J433" s="84" t="s">
        <v>659</v>
      </c>
      <c r="K433" s="87">
        <v>240</v>
      </c>
    </row>
    <row r="434" spans="1:11" ht="14.6" x14ac:dyDescent="0.4">
      <c r="A434" s="84"/>
      <c r="B434" s="84"/>
      <c r="C434" s="84"/>
      <c r="D434" s="84"/>
      <c r="E434" s="84" t="s">
        <v>634</v>
      </c>
      <c r="F434" s="85">
        <v>45222</v>
      </c>
      <c r="G434" s="84" t="s">
        <v>2657</v>
      </c>
      <c r="H434" s="84" t="s">
        <v>716</v>
      </c>
      <c r="I434" s="84" t="s">
        <v>2898</v>
      </c>
      <c r="J434" s="84" t="s">
        <v>659</v>
      </c>
      <c r="K434" s="87">
        <v>170</v>
      </c>
    </row>
    <row r="435" spans="1:11" ht="14.6" x14ac:dyDescent="0.4">
      <c r="A435" s="84"/>
      <c r="B435" s="84"/>
      <c r="C435" s="84"/>
      <c r="D435" s="84"/>
      <c r="E435" s="84" t="s">
        <v>634</v>
      </c>
      <c r="F435" s="85">
        <v>45222</v>
      </c>
      <c r="G435" s="84" t="s">
        <v>2657</v>
      </c>
      <c r="H435" s="84" t="s">
        <v>716</v>
      </c>
      <c r="I435" s="84" t="s">
        <v>2899</v>
      </c>
      <c r="J435" s="84" t="s">
        <v>659</v>
      </c>
      <c r="K435" s="87">
        <v>85</v>
      </c>
    </row>
    <row r="436" spans="1:11" ht="14.6" x14ac:dyDescent="0.4">
      <c r="A436" s="84"/>
      <c r="B436" s="84"/>
      <c r="C436" s="84"/>
      <c r="D436" s="84"/>
      <c r="E436" s="84" t="s">
        <v>634</v>
      </c>
      <c r="F436" s="85">
        <v>45222</v>
      </c>
      <c r="G436" s="84" t="s">
        <v>2657</v>
      </c>
      <c r="H436" s="84" t="s">
        <v>716</v>
      </c>
      <c r="I436" s="84" t="s">
        <v>2901</v>
      </c>
      <c r="J436" s="84" t="s">
        <v>659</v>
      </c>
      <c r="K436" s="87">
        <v>240</v>
      </c>
    </row>
    <row r="437" spans="1:11" ht="14.6" x14ac:dyDescent="0.4">
      <c r="A437" s="84"/>
      <c r="B437" s="84"/>
      <c r="C437" s="84"/>
      <c r="D437" s="84"/>
      <c r="E437" s="84" t="s">
        <v>634</v>
      </c>
      <c r="F437" s="85">
        <v>45222</v>
      </c>
      <c r="G437" s="84" t="s">
        <v>2657</v>
      </c>
      <c r="H437" s="84" t="s">
        <v>716</v>
      </c>
      <c r="I437" s="84" t="s">
        <v>2902</v>
      </c>
      <c r="J437" s="84" t="s">
        <v>659</v>
      </c>
      <c r="K437" s="87">
        <v>0</v>
      </c>
    </row>
    <row r="438" spans="1:11" ht="14.6" x14ac:dyDescent="0.4">
      <c r="A438" s="84"/>
      <c r="B438" s="84"/>
      <c r="C438" s="84"/>
      <c r="D438" s="84"/>
      <c r="E438" s="84" t="s">
        <v>634</v>
      </c>
      <c r="F438" s="85">
        <v>45222</v>
      </c>
      <c r="G438" s="84" t="s">
        <v>2657</v>
      </c>
      <c r="H438" s="84" t="s">
        <v>716</v>
      </c>
      <c r="I438" s="84" t="s">
        <v>3422</v>
      </c>
      <c r="J438" s="84" t="s">
        <v>659</v>
      </c>
      <c r="K438" s="87">
        <v>240</v>
      </c>
    </row>
    <row r="439" spans="1:11" ht="14.6" x14ac:dyDescent="0.4">
      <c r="A439" s="84"/>
      <c r="B439" s="84"/>
      <c r="C439" s="84"/>
      <c r="D439" s="84"/>
      <c r="E439" s="84" t="s">
        <v>634</v>
      </c>
      <c r="F439" s="85">
        <v>45222</v>
      </c>
      <c r="G439" s="84" t="s">
        <v>2657</v>
      </c>
      <c r="H439" s="84" t="s">
        <v>716</v>
      </c>
      <c r="I439" s="84" t="s">
        <v>2899</v>
      </c>
      <c r="J439" s="84" t="s">
        <v>659</v>
      </c>
      <c r="K439" s="87">
        <v>170</v>
      </c>
    </row>
    <row r="440" spans="1:11" ht="14.6" x14ac:dyDescent="0.4">
      <c r="A440" s="84"/>
      <c r="B440" s="84"/>
      <c r="C440" s="84"/>
      <c r="D440" s="84"/>
      <c r="E440" s="84" t="s">
        <v>634</v>
      </c>
      <c r="F440" s="85">
        <v>45222</v>
      </c>
      <c r="G440" s="84" t="s">
        <v>2657</v>
      </c>
      <c r="H440" s="84" t="s">
        <v>716</v>
      </c>
      <c r="I440" s="84" t="s">
        <v>2903</v>
      </c>
      <c r="J440" s="84" t="s">
        <v>659</v>
      </c>
      <c r="K440" s="87">
        <v>0</v>
      </c>
    </row>
    <row r="441" spans="1:11" ht="14.6" x14ac:dyDescent="0.4">
      <c r="A441" s="84"/>
      <c r="B441" s="84"/>
      <c r="C441" s="84"/>
      <c r="D441" s="84"/>
      <c r="E441" s="84" t="s">
        <v>634</v>
      </c>
      <c r="F441" s="85">
        <v>45222</v>
      </c>
      <c r="G441" s="84" t="s">
        <v>2657</v>
      </c>
      <c r="H441" s="84" t="s">
        <v>716</v>
      </c>
      <c r="I441" s="84" t="s">
        <v>2904</v>
      </c>
      <c r="J441" s="84" t="s">
        <v>659</v>
      </c>
      <c r="K441" s="87">
        <v>240</v>
      </c>
    </row>
    <row r="442" spans="1:11" ht="14.6" x14ac:dyDescent="0.4">
      <c r="A442" s="84"/>
      <c r="B442" s="84"/>
      <c r="C442" s="84"/>
      <c r="D442" s="84"/>
      <c r="E442" s="84" t="s">
        <v>634</v>
      </c>
      <c r="F442" s="85">
        <v>45222</v>
      </c>
      <c r="G442" s="84" t="s">
        <v>2657</v>
      </c>
      <c r="H442" s="84" t="s">
        <v>716</v>
      </c>
      <c r="I442" s="84" t="s">
        <v>2905</v>
      </c>
      <c r="J442" s="84" t="s">
        <v>659</v>
      </c>
      <c r="K442" s="87">
        <v>240</v>
      </c>
    </row>
    <row r="443" spans="1:11" ht="14.6" x14ac:dyDescent="0.4">
      <c r="A443" s="84"/>
      <c r="B443" s="84"/>
      <c r="C443" s="84"/>
      <c r="D443" s="84"/>
      <c r="E443" s="84" t="s">
        <v>634</v>
      </c>
      <c r="F443" s="85">
        <v>45222</v>
      </c>
      <c r="G443" s="84" t="s">
        <v>2657</v>
      </c>
      <c r="H443" s="84" t="s">
        <v>716</v>
      </c>
      <c r="I443" s="84" t="s">
        <v>2906</v>
      </c>
      <c r="J443" s="84" t="s">
        <v>659</v>
      </c>
      <c r="K443" s="87">
        <v>170</v>
      </c>
    </row>
    <row r="444" spans="1:11" ht="14.6" x14ac:dyDescent="0.4">
      <c r="A444" s="84"/>
      <c r="B444" s="84"/>
      <c r="C444" s="84"/>
      <c r="D444" s="84"/>
      <c r="E444" s="84" t="s">
        <v>634</v>
      </c>
      <c r="F444" s="85">
        <v>45222</v>
      </c>
      <c r="G444" s="84" t="s">
        <v>2657</v>
      </c>
      <c r="H444" s="84" t="s">
        <v>716</v>
      </c>
      <c r="I444" s="84" t="s">
        <v>2907</v>
      </c>
      <c r="J444" s="84" t="s">
        <v>659</v>
      </c>
      <c r="K444" s="87">
        <v>240</v>
      </c>
    </row>
    <row r="445" spans="1:11" ht="14.6" x14ac:dyDescent="0.4">
      <c r="A445" s="84"/>
      <c r="B445" s="84"/>
      <c r="C445" s="84"/>
      <c r="D445" s="84"/>
      <c r="E445" s="84" t="s">
        <v>634</v>
      </c>
      <c r="F445" s="85">
        <v>45222</v>
      </c>
      <c r="G445" s="84" t="s">
        <v>2657</v>
      </c>
      <c r="H445" s="84" t="s">
        <v>716</v>
      </c>
      <c r="I445" s="84" t="s">
        <v>2908</v>
      </c>
      <c r="J445" s="84" t="s">
        <v>659</v>
      </c>
      <c r="K445" s="87">
        <v>240</v>
      </c>
    </row>
    <row r="446" spans="1:11" ht="14.6" x14ac:dyDescent="0.4">
      <c r="A446" s="84"/>
      <c r="B446" s="84"/>
      <c r="C446" s="84"/>
      <c r="D446" s="84"/>
      <c r="E446" s="84" t="s">
        <v>634</v>
      </c>
      <c r="F446" s="85">
        <v>45222</v>
      </c>
      <c r="G446" s="84" t="s">
        <v>2657</v>
      </c>
      <c r="H446" s="84" t="s">
        <v>716</v>
      </c>
      <c r="I446" s="84" t="s">
        <v>2909</v>
      </c>
      <c r="J446" s="84" t="s">
        <v>659</v>
      </c>
      <c r="K446" s="87">
        <v>240</v>
      </c>
    </row>
    <row r="447" spans="1:11" ht="14.6" x14ac:dyDescent="0.4">
      <c r="A447" s="84"/>
      <c r="B447" s="84"/>
      <c r="C447" s="84"/>
      <c r="D447" s="84"/>
      <c r="E447" s="84" t="s">
        <v>634</v>
      </c>
      <c r="F447" s="85">
        <v>45222</v>
      </c>
      <c r="G447" s="84" t="s">
        <v>2657</v>
      </c>
      <c r="H447" s="84" t="s">
        <v>716</v>
      </c>
      <c r="I447" s="84" t="s">
        <v>2910</v>
      </c>
      <c r="J447" s="84" t="s">
        <v>659</v>
      </c>
      <c r="K447" s="87">
        <v>0</v>
      </c>
    </row>
    <row r="448" spans="1:11" ht="14.6" x14ac:dyDescent="0.4">
      <c r="A448" s="84"/>
      <c r="B448" s="84"/>
      <c r="C448" s="84"/>
      <c r="D448" s="84"/>
      <c r="E448" s="84" t="s">
        <v>634</v>
      </c>
      <c r="F448" s="85">
        <v>45222</v>
      </c>
      <c r="G448" s="84" t="s">
        <v>2657</v>
      </c>
      <c r="H448" s="84" t="s">
        <v>716</v>
      </c>
      <c r="I448" s="84" t="s">
        <v>2911</v>
      </c>
      <c r="J448" s="84" t="s">
        <v>659</v>
      </c>
      <c r="K448" s="87">
        <v>240</v>
      </c>
    </row>
    <row r="449" spans="1:11" ht="14.6" x14ac:dyDescent="0.4">
      <c r="A449" s="84"/>
      <c r="B449" s="84"/>
      <c r="C449" s="84"/>
      <c r="D449" s="84"/>
      <c r="E449" s="84" t="s">
        <v>634</v>
      </c>
      <c r="F449" s="85">
        <v>45222</v>
      </c>
      <c r="G449" s="84" t="s">
        <v>2657</v>
      </c>
      <c r="H449" s="84" t="s">
        <v>716</v>
      </c>
      <c r="I449" s="84" t="s">
        <v>2912</v>
      </c>
      <c r="J449" s="84" t="s">
        <v>659</v>
      </c>
      <c r="K449" s="87">
        <v>240</v>
      </c>
    </row>
    <row r="450" spans="1:11" ht="14.6" x14ac:dyDescent="0.4">
      <c r="A450" s="84"/>
      <c r="B450" s="84"/>
      <c r="C450" s="84"/>
      <c r="D450" s="84"/>
      <c r="E450" s="84" t="s">
        <v>634</v>
      </c>
      <c r="F450" s="85">
        <v>45222</v>
      </c>
      <c r="G450" s="84" t="s">
        <v>2657</v>
      </c>
      <c r="H450" s="84" t="s">
        <v>716</v>
      </c>
      <c r="I450" s="84" t="s">
        <v>2913</v>
      </c>
      <c r="J450" s="84" t="s">
        <v>659</v>
      </c>
      <c r="K450" s="87">
        <v>240</v>
      </c>
    </row>
    <row r="451" spans="1:11" ht="14.6" x14ac:dyDescent="0.4">
      <c r="A451" s="84"/>
      <c r="B451" s="84"/>
      <c r="C451" s="84"/>
      <c r="D451" s="84"/>
      <c r="E451" s="84" t="s">
        <v>634</v>
      </c>
      <c r="F451" s="85">
        <v>45222</v>
      </c>
      <c r="G451" s="84" t="s">
        <v>2657</v>
      </c>
      <c r="H451" s="84" t="s">
        <v>716</v>
      </c>
      <c r="I451" s="84" t="s">
        <v>2914</v>
      </c>
      <c r="J451" s="84" t="s">
        <v>659</v>
      </c>
      <c r="K451" s="87">
        <v>240</v>
      </c>
    </row>
    <row r="452" spans="1:11" ht="14.6" x14ac:dyDescent="0.4">
      <c r="A452" s="84"/>
      <c r="B452" s="84"/>
      <c r="C452" s="84"/>
      <c r="D452" s="84"/>
      <c r="E452" s="84" t="s">
        <v>634</v>
      </c>
      <c r="F452" s="85">
        <v>45222</v>
      </c>
      <c r="G452" s="84" t="s">
        <v>2657</v>
      </c>
      <c r="H452" s="84" t="s">
        <v>716</v>
      </c>
      <c r="I452" s="84" t="s">
        <v>2915</v>
      </c>
      <c r="J452" s="84" t="s">
        <v>659</v>
      </c>
      <c r="K452" s="87">
        <v>0</v>
      </c>
    </row>
    <row r="453" spans="1:11" ht="14.6" x14ac:dyDescent="0.4">
      <c r="A453" s="84"/>
      <c r="B453" s="84"/>
      <c r="C453" s="84"/>
      <c r="D453" s="84"/>
      <c r="E453" s="84" t="s">
        <v>634</v>
      </c>
      <c r="F453" s="85">
        <v>45222</v>
      </c>
      <c r="G453" s="84" t="s">
        <v>2657</v>
      </c>
      <c r="H453" s="84" t="s">
        <v>716</v>
      </c>
      <c r="I453" s="84" t="s">
        <v>2916</v>
      </c>
      <c r="J453" s="84" t="s">
        <v>659</v>
      </c>
      <c r="K453" s="87">
        <v>240</v>
      </c>
    </row>
    <row r="454" spans="1:11" ht="14.6" x14ac:dyDescent="0.4">
      <c r="A454" s="84"/>
      <c r="B454" s="84"/>
      <c r="C454" s="84"/>
      <c r="D454" s="84"/>
      <c r="E454" s="84" t="s">
        <v>634</v>
      </c>
      <c r="F454" s="85">
        <v>45222</v>
      </c>
      <c r="G454" s="84" t="s">
        <v>2657</v>
      </c>
      <c r="H454" s="84" t="s">
        <v>716</v>
      </c>
      <c r="I454" s="84" t="s">
        <v>2917</v>
      </c>
      <c r="J454" s="84" t="s">
        <v>659</v>
      </c>
      <c r="K454" s="87">
        <v>0</v>
      </c>
    </row>
    <row r="455" spans="1:11" ht="14.6" x14ac:dyDescent="0.4">
      <c r="A455" s="84"/>
      <c r="B455" s="84"/>
      <c r="C455" s="84"/>
      <c r="D455" s="84"/>
      <c r="E455" s="84" t="s">
        <v>634</v>
      </c>
      <c r="F455" s="85">
        <v>45222</v>
      </c>
      <c r="G455" s="84" t="s">
        <v>2657</v>
      </c>
      <c r="H455" s="84" t="s">
        <v>716</v>
      </c>
      <c r="I455" s="84" t="s">
        <v>2918</v>
      </c>
      <c r="J455" s="84" t="s">
        <v>659</v>
      </c>
      <c r="K455" s="87">
        <v>240</v>
      </c>
    </row>
    <row r="456" spans="1:11" ht="14.6" x14ac:dyDescent="0.4">
      <c r="A456" s="84"/>
      <c r="B456" s="84"/>
      <c r="C456" s="84"/>
      <c r="D456" s="84"/>
      <c r="E456" s="84" t="s">
        <v>634</v>
      </c>
      <c r="F456" s="85">
        <v>45222</v>
      </c>
      <c r="G456" s="84" t="s">
        <v>2657</v>
      </c>
      <c r="H456" s="84" t="s">
        <v>716</v>
      </c>
      <c r="I456" s="84" t="s">
        <v>2919</v>
      </c>
      <c r="J456" s="84" t="s">
        <v>659</v>
      </c>
      <c r="K456" s="87">
        <v>240</v>
      </c>
    </row>
    <row r="457" spans="1:11" ht="14.6" x14ac:dyDescent="0.4">
      <c r="A457" s="84"/>
      <c r="B457" s="84"/>
      <c r="C457" s="84"/>
      <c r="D457" s="84"/>
      <c r="E457" s="84" t="s">
        <v>634</v>
      </c>
      <c r="F457" s="85">
        <v>45222</v>
      </c>
      <c r="G457" s="84" t="s">
        <v>2657</v>
      </c>
      <c r="H457" s="84" t="s">
        <v>716</v>
      </c>
      <c r="I457" s="84" t="s">
        <v>2920</v>
      </c>
      <c r="J457" s="84" t="s">
        <v>659</v>
      </c>
      <c r="K457" s="87">
        <v>240</v>
      </c>
    </row>
    <row r="458" spans="1:11" ht="14.6" x14ac:dyDescent="0.4">
      <c r="A458" s="84"/>
      <c r="B458" s="84"/>
      <c r="C458" s="84"/>
      <c r="D458" s="84"/>
      <c r="E458" s="84" t="s">
        <v>634</v>
      </c>
      <c r="F458" s="85">
        <v>45222</v>
      </c>
      <c r="G458" s="84" t="s">
        <v>2657</v>
      </c>
      <c r="H458" s="84" t="s">
        <v>716</v>
      </c>
      <c r="I458" s="84" t="s">
        <v>2921</v>
      </c>
      <c r="J458" s="84" t="s">
        <v>659</v>
      </c>
      <c r="K458" s="87">
        <v>240</v>
      </c>
    </row>
    <row r="459" spans="1:11" ht="14.6" x14ac:dyDescent="0.4">
      <c r="A459" s="84"/>
      <c r="B459" s="84"/>
      <c r="C459" s="84"/>
      <c r="D459" s="84"/>
      <c r="E459" s="84" t="s">
        <v>634</v>
      </c>
      <c r="F459" s="85">
        <v>45222</v>
      </c>
      <c r="G459" s="84" t="s">
        <v>2657</v>
      </c>
      <c r="H459" s="84" t="s">
        <v>716</v>
      </c>
      <c r="I459" s="84" t="s">
        <v>2922</v>
      </c>
      <c r="J459" s="84" t="s">
        <v>659</v>
      </c>
      <c r="K459" s="87">
        <v>240</v>
      </c>
    </row>
    <row r="460" spans="1:11" ht="14.6" x14ac:dyDescent="0.4">
      <c r="A460" s="84"/>
      <c r="B460" s="84"/>
      <c r="C460" s="84"/>
      <c r="D460" s="84"/>
      <c r="E460" s="84" t="s">
        <v>634</v>
      </c>
      <c r="F460" s="85">
        <v>45222</v>
      </c>
      <c r="G460" s="84" t="s">
        <v>2657</v>
      </c>
      <c r="H460" s="84" t="s">
        <v>716</v>
      </c>
      <c r="I460" s="84" t="s">
        <v>2923</v>
      </c>
      <c r="J460" s="84" t="s">
        <v>659</v>
      </c>
      <c r="K460" s="87">
        <v>240</v>
      </c>
    </row>
    <row r="461" spans="1:11" ht="14.6" x14ac:dyDescent="0.4">
      <c r="A461" s="84"/>
      <c r="B461" s="84"/>
      <c r="C461" s="84"/>
      <c r="D461" s="84"/>
      <c r="E461" s="84" t="s">
        <v>634</v>
      </c>
      <c r="F461" s="85">
        <v>45222</v>
      </c>
      <c r="G461" s="84" t="s">
        <v>2657</v>
      </c>
      <c r="H461" s="84" t="s">
        <v>716</v>
      </c>
      <c r="I461" s="84" t="s">
        <v>2924</v>
      </c>
      <c r="J461" s="84" t="s">
        <v>659</v>
      </c>
      <c r="K461" s="87">
        <v>240</v>
      </c>
    </row>
    <row r="462" spans="1:11" ht="14.6" x14ac:dyDescent="0.4">
      <c r="A462" s="84"/>
      <c r="B462" s="84"/>
      <c r="C462" s="84"/>
      <c r="D462" s="84"/>
      <c r="E462" s="84" t="s">
        <v>634</v>
      </c>
      <c r="F462" s="85">
        <v>45222</v>
      </c>
      <c r="G462" s="84" t="s">
        <v>2657</v>
      </c>
      <c r="H462" s="84" t="s">
        <v>716</v>
      </c>
      <c r="I462" s="84" t="s">
        <v>2925</v>
      </c>
      <c r="J462" s="84" t="s">
        <v>659</v>
      </c>
      <c r="K462" s="87">
        <v>240</v>
      </c>
    </row>
    <row r="463" spans="1:11" ht="14.6" x14ac:dyDescent="0.4">
      <c r="A463" s="84"/>
      <c r="B463" s="84"/>
      <c r="C463" s="84"/>
      <c r="D463" s="84"/>
      <c r="E463" s="84" t="s">
        <v>634</v>
      </c>
      <c r="F463" s="85">
        <v>45222</v>
      </c>
      <c r="G463" s="84" t="s">
        <v>2657</v>
      </c>
      <c r="H463" s="84" t="s">
        <v>716</v>
      </c>
      <c r="I463" s="84" t="s">
        <v>2926</v>
      </c>
      <c r="J463" s="84" t="s">
        <v>659</v>
      </c>
      <c r="K463" s="87">
        <v>0</v>
      </c>
    </row>
    <row r="464" spans="1:11" ht="14.6" x14ac:dyDescent="0.4">
      <c r="A464" s="84"/>
      <c r="B464" s="84"/>
      <c r="C464" s="84"/>
      <c r="D464" s="84"/>
      <c r="E464" s="84" t="s">
        <v>634</v>
      </c>
      <c r="F464" s="85">
        <v>45222</v>
      </c>
      <c r="G464" s="84" t="s">
        <v>2657</v>
      </c>
      <c r="H464" s="84" t="s">
        <v>716</v>
      </c>
      <c r="I464" s="84" t="s">
        <v>2927</v>
      </c>
      <c r="J464" s="84" t="s">
        <v>659</v>
      </c>
      <c r="K464" s="87">
        <v>0</v>
      </c>
    </row>
    <row r="465" spans="1:11" ht="14.6" x14ac:dyDescent="0.4">
      <c r="A465" s="84"/>
      <c r="B465" s="84"/>
      <c r="C465" s="84"/>
      <c r="D465" s="84"/>
      <c r="E465" s="84" t="s">
        <v>634</v>
      </c>
      <c r="F465" s="85">
        <v>45222</v>
      </c>
      <c r="G465" s="84" t="s">
        <v>2657</v>
      </c>
      <c r="H465" s="84" t="s">
        <v>716</v>
      </c>
      <c r="I465" s="84" t="s">
        <v>2928</v>
      </c>
      <c r="J465" s="84" t="s">
        <v>659</v>
      </c>
      <c r="K465" s="87">
        <v>240</v>
      </c>
    </row>
    <row r="466" spans="1:11" ht="14.6" x14ac:dyDescent="0.4">
      <c r="A466" s="84"/>
      <c r="B466" s="84"/>
      <c r="C466" s="84"/>
      <c r="D466" s="84"/>
      <c r="E466" s="84" t="s">
        <v>634</v>
      </c>
      <c r="F466" s="85">
        <v>45223</v>
      </c>
      <c r="G466" s="84" t="s">
        <v>1539</v>
      </c>
      <c r="H466" s="84" t="s">
        <v>2713</v>
      </c>
      <c r="I466" s="84" t="s">
        <v>2929</v>
      </c>
      <c r="J466" s="84" t="s">
        <v>659</v>
      </c>
      <c r="K466" s="87">
        <v>826.72</v>
      </c>
    </row>
    <row r="467" spans="1:11" ht="14.6" x14ac:dyDescent="0.4">
      <c r="A467" s="84"/>
      <c r="B467" s="84"/>
      <c r="C467" s="84"/>
      <c r="D467" s="84"/>
      <c r="E467" s="84" t="s">
        <v>634</v>
      </c>
      <c r="F467" s="85">
        <v>45224</v>
      </c>
      <c r="G467" s="84" t="s">
        <v>2620</v>
      </c>
      <c r="H467" s="84" t="s">
        <v>2689</v>
      </c>
      <c r="I467" s="84" t="s">
        <v>2767</v>
      </c>
      <c r="J467" s="84" t="s">
        <v>659</v>
      </c>
      <c r="K467" s="87">
        <v>44.65</v>
      </c>
    </row>
    <row r="468" spans="1:11" ht="14.6" x14ac:dyDescent="0.4">
      <c r="A468" s="84"/>
      <c r="B468" s="84"/>
      <c r="C468" s="84"/>
      <c r="D468" s="84"/>
      <c r="E468" s="84" t="s">
        <v>634</v>
      </c>
      <c r="F468" s="85">
        <v>45225</v>
      </c>
      <c r="G468" s="84" t="s">
        <v>2658</v>
      </c>
      <c r="H468" s="84" t="s">
        <v>2714</v>
      </c>
      <c r="I468" s="84" t="s">
        <v>2930</v>
      </c>
      <c r="J468" s="84" t="s">
        <v>659</v>
      </c>
      <c r="K468" s="87">
        <v>4099</v>
      </c>
    </row>
    <row r="469" spans="1:11" ht="14.6" x14ac:dyDescent="0.4">
      <c r="A469" s="84"/>
      <c r="B469" s="84"/>
      <c r="C469" s="84"/>
      <c r="D469" s="84"/>
      <c r="E469" s="84" t="s">
        <v>704</v>
      </c>
      <c r="F469" s="85">
        <v>45225</v>
      </c>
      <c r="G469" s="84" t="s">
        <v>2659</v>
      </c>
      <c r="H469" s="84" t="s">
        <v>1580</v>
      </c>
      <c r="I469" s="84" t="s">
        <v>2895</v>
      </c>
      <c r="J469" s="84" t="s">
        <v>771</v>
      </c>
      <c r="K469" s="87">
        <v>110</v>
      </c>
    </row>
    <row r="470" spans="1:11" ht="14.6" x14ac:dyDescent="0.4">
      <c r="A470" s="84"/>
      <c r="B470" s="84"/>
      <c r="C470" s="84"/>
      <c r="D470" s="84"/>
      <c r="E470" s="84" t="s">
        <v>634</v>
      </c>
      <c r="F470" s="85">
        <v>45225</v>
      </c>
      <c r="G470" s="84" t="s">
        <v>2372</v>
      </c>
      <c r="H470" s="84" t="s">
        <v>2715</v>
      </c>
      <c r="I470" s="84" t="s">
        <v>2931</v>
      </c>
      <c r="J470" s="84" t="s">
        <v>659</v>
      </c>
      <c r="K470" s="87">
        <v>28.52</v>
      </c>
    </row>
    <row r="471" spans="1:11" ht="14.6" x14ac:dyDescent="0.4">
      <c r="A471" s="84"/>
      <c r="B471" s="84"/>
      <c r="C471" s="84"/>
      <c r="D471" s="84"/>
      <c r="E471" s="84" t="s">
        <v>634</v>
      </c>
      <c r="F471" s="85">
        <v>45226</v>
      </c>
      <c r="G471" s="84" t="s">
        <v>2372</v>
      </c>
      <c r="H471" s="84" t="s">
        <v>2716</v>
      </c>
      <c r="I471" s="84" t="s">
        <v>2745</v>
      </c>
      <c r="J471" s="84" t="s">
        <v>659</v>
      </c>
      <c r="K471" s="87">
        <v>36.090000000000003</v>
      </c>
    </row>
    <row r="472" spans="1:11" ht="14.6" x14ac:dyDescent="0.4">
      <c r="A472" s="84"/>
      <c r="B472" s="84"/>
      <c r="C472" s="84"/>
      <c r="D472" s="84"/>
      <c r="E472" s="84" t="s">
        <v>704</v>
      </c>
      <c r="F472" s="85">
        <v>45226</v>
      </c>
      <c r="G472" s="84" t="s">
        <v>2660</v>
      </c>
      <c r="H472" s="84" t="s">
        <v>2698</v>
      </c>
      <c r="I472" s="84" t="s">
        <v>2932</v>
      </c>
      <c r="J472" s="84" t="s">
        <v>772</v>
      </c>
      <c r="K472" s="87">
        <v>15.53</v>
      </c>
    </row>
    <row r="473" spans="1:11" ht="14.6" x14ac:dyDescent="0.4">
      <c r="A473" s="84"/>
      <c r="B473" s="84"/>
      <c r="C473" s="84"/>
      <c r="D473" s="84"/>
      <c r="E473" s="84" t="s">
        <v>634</v>
      </c>
      <c r="F473" s="85">
        <v>45229</v>
      </c>
      <c r="G473" s="84" t="s">
        <v>2372</v>
      </c>
      <c r="H473" s="84" t="s">
        <v>2717</v>
      </c>
      <c r="I473" s="84" t="s">
        <v>2886</v>
      </c>
      <c r="J473" s="84" t="s">
        <v>659</v>
      </c>
      <c r="K473" s="87">
        <v>30.96</v>
      </c>
    </row>
    <row r="474" spans="1:11" ht="14.6" x14ac:dyDescent="0.4">
      <c r="A474" s="84"/>
      <c r="B474" s="84"/>
      <c r="C474" s="84"/>
      <c r="D474" s="84"/>
      <c r="E474" s="84" t="s">
        <v>2210</v>
      </c>
      <c r="F474" s="85">
        <v>45229</v>
      </c>
      <c r="G474" s="84" t="s">
        <v>2661</v>
      </c>
      <c r="H474" s="84" t="s">
        <v>719</v>
      </c>
      <c r="I474" s="84" t="s">
        <v>2933</v>
      </c>
      <c r="J474" s="84" t="s">
        <v>771</v>
      </c>
      <c r="K474" s="87">
        <v>-50</v>
      </c>
    </row>
    <row r="475" spans="1:11" ht="14.6" x14ac:dyDescent="0.4">
      <c r="A475" s="84"/>
      <c r="B475" s="84"/>
      <c r="C475" s="84"/>
      <c r="D475" s="84"/>
      <c r="E475" s="84" t="s">
        <v>634</v>
      </c>
      <c r="F475" s="85">
        <v>45231</v>
      </c>
      <c r="G475" s="84" t="s">
        <v>1539</v>
      </c>
      <c r="H475" s="84" t="s">
        <v>1581</v>
      </c>
      <c r="I475" s="84" t="s">
        <v>3023</v>
      </c>
      <c r="J475" s="84" t="s">
        <v>659</v>
      </c>
      <c r="K475" s="87">
        <v>19.5</v>
      </c>
    </row>
    <row r="476" spans="1:11" ht="14.6" x14ac:dyDescent="0.4">
      <c r="A476" s="84"/>
      <c r="B476" s="84"/>
      <c r="C476" s="84"/>
      <c r="D476" s="84"/>
      <c r="E476" s="84" t="s">
        <v>634</v>
      </c>
      <c r="F476" s="85">
        <v>45231</v>
      </c>
      <c r="G476" s="84" t="s">
        <v>1539</v>
      </c>
      <c r="H476" s="84" t="s">
        <v>1581</v>
      </c>
      <c r="I476" s="84" t="s">
        <v>3023</v>
      </c>
      <c r="J476" s="84" t="s">
        <v>659</v>
      </c>
      <c r="K476" s="87">
        <v>23.97</v>
      </c>
    </row>
    <row r="477" spans="1:11" ht="14.6" x14ac:dyDescent="0.4">
      <c r="A477" s="84"/>
      <c r="B477" s="84"/>
      <c r="C477" s="84"/>
      <c r="D477" s="84"/>
      <c r="E477" s="84" t="s">
        <v>634</v>
      </c>
      <c r="F477" s="85">
        <v>45231</v>
      </c>
      <c r="G477" s="84" t="s">
        <v>1539</v>
      </c>
      <c r="H477" s="84" t="s">
        <v>1581</v>
      </c>
      <c r="I477" s="84" t="s">
        <v>3023</v>
      </c>
      <c r="J477" s="84" t="s">
        <v>659</v>
      </c>
      <c r="K477" s="87">
        <v>43.77</v>
      </c>
    </row>
    <row r="478" spans="1:11" ht="14.6" x14ac:dyDescent="0.4">
      <c r="A478" s="84"/>
      <c r="B478" s="84"/>
      <c r="C478" s="84"/>
      <c r="D478" s="84"/>
      <c r="E478" s="84" t="s">
        <v>704</v>
      </c>
      <c r="F478" s="85">
        <v>45231</v>
      </c>
      <c r="G478" s="84" t="s">
        <v>2662</v>
      </c>
      <c r="H478" s="84" t="s">
        <v>717</v>
      </c>
      <c r="I478" s="84" t="s">
        <v>2934</v>
      </c>
      <c r="J478" s="84" t="s">
        <v>1729</v>
      </c>
      <c r="K478" s="87">
        <v>365</v>
      </c>
    </row>
    <row r="479" spans="1:11" ht="14.6" x14ac:dyDescent="0.4">
      <c r="A479" s="84"/>
      <c r="B479" s="84"/>
      <c r="C479" s="84"/>
      <c r="D479" s="84"/>
      <c r="E479" s="84" t="s">
        <v>704</v>
      </c>
      <c r="F479" s="85">
        <v>45231</v>
      </c>
      <c r="G479" s="84" t="s">
        <v>2663</v>
      </c>
      <c r="H479" s="84" t="s">
        <v>717</v>
      </c>
      <c r="I479" s="84" t="s">
        <v>2935</v>
      </c>
      <c r="J479" s="84" t="s">
        <v>771</v>
      </c>
      <c r="K479" s="87">
        <v>365</v>
      </c>
    </row>
    <row r="480" spans="1:11" ht="14.6" x14ac:dyDescent="0.4">
      <c r="A480" s="84"/>
      <c r="B480" s="84"/>
      <c r="C480" s="84"/>
      <c r="D480" s="84"/>
      <c r="E480" s="84" t="s">
        <v>704</v>
      </c>
      <c r="F480" s="85">
        <v>45231</v>
      </c>
      <c r="G480" s="84" t="s">
        <v>2664</v>
      </c>
      <c r="H480" s="84" t="s">
        <v>717</v>
      </c>
      <c r="I480" s="84" t="s">
        <v>2936</v>
      </c>
      <c r="J480" s="84" t="s">
        <v>1729</v>
      </c>
      <c r="K480" s="87">
        <v>365</v>
      </c>
    </row>
    <row r="481" spans="1:11" ht="14.6" x14ac:dyDescent="0.4">
      <c r="A481" s="84"/>
      <c r="B481" s="84"/>
      <c r="C481" s="84"/>
      <c r="D481" s="84"/>
      <c r="E481" s="84" t="s">
        <v>704</v>
      </c>
      <c r="F481" s="85">
        <v>45237</v>
      </c>
      <c r="G481" s="84" t="s">
        <v>2665</v>
      </c>
      <c r="H481" s="84" t="s">
        <v>1580</v>
      </c>
      <c r="I481" s="84" t="s">
        <v>2937</v>
      </c>
      <c r="J481" s="84" t="s">
        <v>1729</v>
      </c>
      <c r="K481" s="87">
        <v>150</v>
      </c>
    </row>
    <row r="482" spans="1:11" ht="14.6" x14ac:dyDescent="0.4">
      <c r="A482" s="84"/>
      <c r="B482" s="84"/>
      <c r="C482" s="84"/>
      <c r="D482" s="84"/>
      <c r="E482" s="84" t="s">
        <v>704</v>
      </c>
      <c r="F482" s="85">
        <v>45237</v>
      </c>
      <c r="G482" s="84" t="s">
        <v>2666</v>
      </c>
      <c r="H482" s="84" t="s">
        <v>2718</v>
      </c>
      <c r="I482" s="84" t="s">
        <v>2938</v>
      </c>
      <c r="J482" s="84" t="s">
        <v>771</v>
      </c>
      <c r="K482" s="87">
        <v>210.38</v>
      </c>
    </row>
    <row r="483" spans="1:11" ht="14.6" x14ac:dyDescent="0.4">
      <c r="A483" s="84"/>
      <c r="B483" s="84"/>
      <c r="C483" s="84"/>
      <c r="D483" s="84"/>
      <c r="E483" s="84" t="s">
        <v>704</v>
      </c>
      <c r="F483" s="85">
        <v>45239</v>
      </c>
      <c r="G483" s="84" t="s">
        <v>940</v>
      </c>
      <c r="H483" s="84" t="s">
        <v>2719</v>
      </c>
      <c r="I483" s="84" t="s">
        <v>2939</v>
      </c>
      <c r="J483" s="84" t="s">
        <v>771</v>
      </c>
      <c r="K483" s="87">
        <v>324.60000000000002</v>
      </c>
    </row>
    <row r="484" spans="1:11" ht="14.6" x14ac:dyDescent="0.4">
      <c r="A484" s="84"/>
      <c r="B484" s="84"/>
      <c r="C484" s="84"/>
      <c r="D484" s="84"/>
      <c r="E484" s="84" t="s">
        <v>704</v>
      </c>
      <c r="F484" s="85">
        <v>45240</v>
      </c>
      <c r="G484" s="84" t="s">
        <v>2667</v>
      </c>
      <c r="H484" s="84" t="s">
        <v>1572</v>
      </c>
      <c r="I484" s="84" t="s">
        <v>2940</v>
      </c>
      <c r="J484" s="84" t="s">
        <v>771</v>
      </c>
      <c r="K484" s="87">
        <v>467.14</v>
      </c>
    </row>
    <row r="485" spans="1:11" ht="14.6" x14ac:dyDescent="0.4">
      <c r="A485" s="84"/>
      <c r="B485" s="84"/>
      <c r="C485" s="84"/>
      <c r="D485" s="84"/>
      <c r="E485" s="84" t="s">
        <v>704</v>
      </c>
      <c r="F485" s="85">
        <v>45240</v>
      </c>
      <c r="G485" s="84" t="s">
        <v>2668</v>
      </c>
      <c r="H485" s="84" t="s">
        <v>1572</v>
      </c>
      <c r="I485" s="84" t="s">
        <v>2941</v>
      </c>
      <c r="J485" s="84" t="s">
        <v>771</v>
      </c>
      <c r="K485" s="87">
        <v>495.59</v>
      </c>
    </row>
    <row r="486" spans="1:11" ht="14.6" x14ac:dyDescent="0.4">
      <c r="A486" s="84"/>
      <c r="B486" s="84"/>
      <c r="C486" s="84"/>
      <c r="D486" s="84"/>
      <c r="E486" s="84" t="s">
        <v>704</v>
      </c>
      <c r="F486" s="85">
        <v>45240</v>
      </c>
      <c r="G486" s="84" t="s">
        <v>2669</v>
      </c>
      <c r="H486" s="84" t="s">
        <v>2720</v>
      </c>
      <c r="I486" s="84" t="s">
        <v>2942</v>
      </c>
      <c r="J486" s="84" t="s">
        <v>1729</v>
      </c>
      <c r="K486" s="87">
        <v>545</v>
      </c>
    </row>
    <row r="487" spans="1:11" ht="14.6" x14ac:dyDescent="0.4">
      <c r="A487" s="84"/>
      <c r="B487" s="84"/>
      <c r="C487" s="84"/>
      <c r="D487" s="84"/>
      <c r="E487" s="84" t="s">
        <v>704</v>
      </c>
      <c r="F487" s="85">
        <v>45243</v>
      </c>
      <c r="G487" s="84" t="s">
        <v>2670</v>
      </c>
      <c r="H487" s="84" t="s">
        <v>2719</v>
      </c>
      <c r="I487" s="84" t="s">
        <v>2943</v>
      </c>
      <c r="J487" s="84" t="s">
        <v>771</v>
      </c>
      <c r="K487" s="87">
        <v>84.92</v>
      </c>
    </row>
    <row r="488" spans="1:11" ht="14.6" x14ac:dyDescent="0.4">
      <c r="A488" s="84"/>
      <c r="B488" s="84"/>
      <c r="C488" s="84"/>
      <c r="D488" s="84"/>
      <c r="E488" s="84" t="s">
        <v>2210</v>
      </c>
      <c r="F488" s="85">
        <v>45243</v>
      </c>
      <c r="G488" s="84" t="s">
        <v>2671</v>
      </c>
      <c r="H488" s="84" t="s">
        <v>2719</v>
      </c>
      <c r="I488" s="84" t="s">
        <v>2944</v>
      </c>
      <c r="J488" s="84" t="s">
        <v>771</v>
      </c>
      <c r="K488" s="87">
        <v>-84.92</v>
      </c>
    </row>
    <row r="489" spans="1:11" ht="14.6" x14ac:dyDescent="0.4">
      <c r="A489" s="84"/>
      <c r="B489" s="84"/>
      <c r="C489" s="84"/>
      <c r="D489" s="84"/>
      <c r="E489" s="84" t="s">
        <v>634</v>
      </c>
      <c r="F489" s="85">
        <v>45244</v>
      </c>
      <c r="G489" s="84" t="s">
        <v>2672</v>
      </c>
      <c r="H489" s="84" t="s">
        <v>717</v>
      </c>
      <c r="I489" s="84" t="s">
        <v>2945</v>
      </c>
      <c r="J489" s="84" t="s">
        <v>659</v>
      </c>
      <c r="K489" s="87">
        <v>160</v>
      </c>
    </row>
    <row r="490" spans="1:11" ht="14.6" x14ac:dyDescent="0.4">
      <c r="A490" s="84"/>
      <c r="B490" s="84"/>
      <c r="C490" s="84"/>
      <c r="D490" s="84"/>
      <c r="E490" s="84" t="s">
        <v>634</v>
      </c>
      <c r="F490" s="85">
        <v>45244</v>
      </c>
      <c r="G490" s="84" t="s">
        <v>2672</v>
      </c>
      <c r="H490" s="84" t="s">
        <v>717</v>
      </c>
      <c r="I490" s="84" t="s">
        <v>2946</v>
      </c>
      <c r="J490" s="84" t="s">
        <v>659</v>
      </c>
      <c r="K490" s="87">
        <v>160</v>
      </c>
    </row>
    <row r="491" spans="1:11" ht="14.6" x14ac:dyDescent="0.4">
      <c r="A491" s="84"/>
      <c r="B491" s="84"/>
      <c r="C491" s="84"/>
      <c r="D491" s="84"/>
      <c r="E491" s="84" t="s">
        <v>634</v>
      </c>
      <c r="F491" s="85">
        <v>45244</v>
      </c>
      <c r="G491" s="84" t="s">
        <v>2672</v>
      </c>
      <c r="H491" s="84" t="s">
        <v>717</v>
      </c>
      <c r="I491" s="84" t="s">
        <v>2947</v>
      </c>
      <c r="J491" s="84" t="s">
        <v>659</v>
      </c>
      <c r="K491" s="87">
        <v>160</v>
      </c>
    </row>
    <row r="492" spans="1:11" ht="14.6" x14ac:dyDescent="0.4">
      <c r="A492" s="84"/>
      <c r="B492" s="84"/>
      <c r="C492" s="84"/>
      <c r="D492" s="84"/>
      <c r="E492" s="84" t="s">
        <v>704</v>
      </c>
      <c r="F492" s="85">
        <v>45245</v>
      </c>
      <c r="G492" s="84" t="s">
        <v>2673</v>
      </c>
      <c r="H492" s="84" t="s">
        <v>2721</v>
      </c>
      <c r="I492" s="84" t="s">
        <v>2948</v>
      </c>
      <c r="J492" s="84" t="s">
        <v>771</v>
      </c>
      <c r="K492" s="87">
        <v>210.17</v>
      </c>
    </row>
    <row r="493" spans="1:11" ht="14.6" x14ac:dyDescent="0.4">
      <c r="A493" s="84"/>
      <c r="B493" s="84"/>
      <c r="C493" s="84"/>
      <c r="D493" s="84"/>
      <c r="E493" s="84" t="s">
        <v>704</v>
      </c>
      <c r="F493" s="85">
        <v>45245</v>
      </c>
      <c r="G493" s="84" t="s">
        <v>2674</v>
      </c>
      <c r="H493" s="84" t="s">
        <v>2719</v>
      </c>
      <c r="I493" s="84" t="s">
        <v>2949</v>
      </c>
      <c r="J493" s="84" t="s">
        <v>771</v>
      </c>
      <c r="K493" s="87">
        <v>34.840000000000003</v>
      </c>
    </row>
    <row r="494" spans="1:11" ht="14.6" x14ac:dyDescent="0.4">
      <c r="A494" s="84"/>
      <c r="B494" s="84"/>
      <c r="C494" s="84"/>
      <c r="D494" s="84"/>
      <c r="E494" s="84" t="s">
        <v>705</v>
      </c>
      <c r="F494" s="85">
        <v>45246</v>
      </c>
      <c r="G494" s="84" t="s">
        <v>2675</v>
      </c>
      <c r="H494" s="84" t="s">
        <v>719</v>
      </c>
      <c r="I494" s="84" t="s">
        <v>2950</v>
      </c>
      <c r="J494" s="84" t="s">
        <v>773</v>
      </c>
      <c r="K494" s="87">
        <v>-175</v>
      </c>
    </row>
    <row r="495" spans="1:11" ht="14.6" x14ac:dyDescent="0.4">
      <c r="A495" s="84"/>
      <c r="B495" s="84"/>
      <c r="C495" s="84"/>
      <c r="D495" s="84"/>
      <c r="E495" s="84" t="s">
        <v>634</v>
      </c>
      <c r="F495" s="85">
        <v>45250</v>
      </c>
      <c r="G495" s="84" t="s">
        <v>1539</v>
      </c>
      <c r="H495" s="84" t="s">
        <v>2722</v>
      </c>
      <c r="I495" s="84" t="s">
        <v>2951</v>
      </c>
      <c r="J495" s="84" t="s">
        <v>659</v>
      </c>
      <c r="K495" s="87">
        <v>399</v>
      </c>
    </row>
    <row r="496" spans="1:11" ht="14.6" x14ac:dyDescent="0.4">
      <c r="A496" s="84"/>
      <c r="B496" s="84"/>
      <c r="C496" s="84"/>
      <c r="D496" s="84"/>
      <c r="E496" s="84" t="s">
        <v>704</v>
      </c>
      <c r="F496" s="85">
        <v>45252</v>
      </c>
      <c r="G496" s="84" t="s">
        <v>1539</v>
      </c>
      <c r="H496" s="84" t="s">
        <v>991</v>
      </c>
      <c r="I496" s="84" t="s">
        <v>1006</v>
      </c>
      <c r="J496" s="84" t="s">
        <v>771</v>
      </c>
      <c r="K496" s="87">
        <v>100</v>
      </c>
    </row>
    <row r="497" spans="1:11" ht="14.6" x14ac:dyDescent="0.4">
      <c r="A497" s="84"/>
      <c r="B497" s="84"/>
      <c r="C497" s="84"/>
      <c r="D497" s="84"/>
      <c r="E497" s="84" t="s">
        <v>634</v>
      </c>
      <c r="F497" s="85">
        <v>45257</v>
      </c>
      <c r="G497" s="84" t="s">
        <v>1539</v>
      </c>
      <c r="H497" s="84" t="s">
        <v>2700</v>
      </c>
      <c r="I497" s="84" t="s">
        <v>2843</v>
      </c>
      <c r="J497" s="84" t="s">
        <v>659</v>
      </c>
      <c r="K497" s="87">
        <v>298.38</v>
      </c>
    </row>
    <row r="498" spans="1:11" ht="14.6" x14ac:dyDescent="0.4">
      <c r="A498" s="84"/>
      <c r="B498" s="84"/>
      <c r="C498" s="84"/>
      <c r="D498" s="84"/>
      <c r="E498" s="84" t="s">
        <v>634</v>
      </c>
      <c r="F498" s="85">
        <v>45259</v>
      </c>
      <c r="G498" s="84" t="s">
        <v>2676</v>
      </c>
      <c r="H498" s="84" t="s">
        <v>990</v>
      </c>
      <c r="I498" s="84" t="s">
        <v>2952</v>
      </c>
      <c r="J498" s="84" t="s">
        <v>659</v>
      </c>
      <c r="K498" s="87">
        <v>100</v>
      </c>
    </row>
    <row r="499" spans="1:11" ht="14.6" x14ac:dyDescent="0.4">
      <c r="A499" s="84"/>
      <c r="B499" s="84"/>
      <c r="C499" s="84"/>
      <c r="D499" s="84"/>
      <c r="E499" s="84" t="s">
        <v>634</v>
      </c>
      <c r="F499" s="85">
        <v>45259</v>
      </c>
      <c r="G499" s="84" t="s">
        <v>2676</v>
      </c>
      <c r="H499" s="84" t="s">
        <v>990</v>
      </c>
      <c r="I499" s="84" t="s">
        <v>2953</v>
      </c>
      <c r="J499" s="84" t="s">
        <v>659</v>
      </c>
      <c r="K499" s="87">
        <v>100</v>
      </c>
    </row>
    <row r="500" spans="1:11" ht="14.6" x14ac:dyDescent="0.4">
      <c r="A500" s="84"/>
      <c r="B500" s="84"/>
      <c r="C500" s="84"/>
      <c r="D500" s="84"/>
      <c r="E500" s="84" t="s">
        <v>704</v>
      </c>
      <c r="F500" s="85">
        <v>45259</v>
      </c>
      <c r="G500" s="84" t="s">
        <v>2677</v>
      </c>
      <c r="H500" s="84" t="s">
        <v>2723</v>
      </c>
      <c r="I500" s="84" t="s">
        <v>2954</v>
      </c>
      <c r="J500" s="84" t="s">
        <v>771</v>
      </c>
      <c r="K500" s="87">
        <v>173.85</v>
      </c>
    </row>
    <row r="501" spans="1:11" ht="14.6" x14ac:dyDescent="0.4">
      <c r="A501" s="84"/>
      <c r="B501" s="84"/>
      <c r="C501" s="84"/>
      <c r="D501" s="84"/>
      <c r="E501" s="84" t="s">
        <v>704</v>
      </c>
      <c r="F501" s="85">
        <v>45262</v>
      </c>
      <c r="G501" s="84" t="s">
        <v>2678</v>
      </c>
      <c r="H501" s="84" t="s">
        <v>2707</v>
      </c>
      <c r="I501" s="84" t="s">
        <v>2955</v>
      </c>
      <c r="J501" s="84" t="s">
        <v>771</v>
      </c>
      <c r="K501" s="87">
        <v>1693.03</v>
      </c>
    </row>
    <row r="502" spans="1:11" ht="14.6" x14ac:dyDescent="0.4">
      <c r="A502" s="84"/>
      <c r="B502" s="84"/>
      <c r="C502" s="84"/>
      <c r="D502" s="84"/>
      <c r="E502" s="84" t="s">
        <v>704</v>
      </c>
      <c r="F502" s="85">
        <v>45262</v>
      </c>
      <c r="G502" s="84" t="s">
        <v>2679</v>
      </c>
      <c r="H502" s="84" t="s">
        <v>647</v>
      </c>
      <c r="I502" s="84" t="s">
        <v>2956</v>
      </c>
      <c r="J502" s="84" t="s">
        <v>771</v>
      </c>
      <c r="K502" s="87">
        <v>186.15</v>
      </c>
    </row>
    <row r="503" spans="1:11" ht="14.6" x14ac:dyDescent="0.4">
      <c r="A503" s="84"/>
      <c r="B503" s="84"/>
      <c r="C503" s="84"/>
      <c r="D503" s="84"/>
      <c r="E503" s="84" t="s">
        <v>704</v>
      </c>
      <c r="F503" s="85">
        <v>45262</v>
      </c>
      <c r="G503" s="84" t="s">
        <v>2680</v>
      </c>
      <c r="H503" s="84" t="s">
        <v>717</v>
      </c>
      <c r="I503" s="84" t="s">
        <v>2957</v>
      </c>
      <c r="J503" s="84" t="s">
        <v>1729</v>
      </c>
      <c r="K503" s="87">
        <v>125</v>
      </c>
    </row>
    <row r="504" spans="1:11" ht="14.6" x14ac:dyDescent="0.4">
      <c r="A504" s="84"/>
      <c r="B504" s="84"/>
      <c r="C504" s="84"/>
      <c r="D504" s="84"/>
      <c r="E504" s="84" t="s">
        <v>704</v>
      </c>
      <c r="F504" s="85">
        <v>45262</v>
      </c>
      <c r="G504" s="84" t="s">
        <v>2680</v>
      </c>
      <c r="H504" s="84" t="s">
        <v>717</v>
      </c>
      <c r="I504" s="84" t="s">
        <v>2993</v>
      </c>
      <c r="J504" s="84" t="s">
        <v>1729</v>
      </c>
      <c r="K504" s="87">
        <v>125</v>
      </c>
    </row>
    <row r="505" spans="1:11" ht="14.6" x14ac:dyDescent="0.4">
      <c r="A505" s="84"/>
      <c r="B505" s="84"/>
      <c r="C505" s="84"/>
      <c r="D505" s="84"/>
      <c r="E505" s="84" t="s">
        <v>704</v>
      </c>
      <c r="F505" s="85">
        <v>45262</v>
      </c>
      <c r="G505" s="84" t="s">
        <v>2680</v>
      </c>
      <c r="H505" s="84" t="s">
        <v>717</v>
      </c>
      <c r="I505" s="84" t="s">
        <v>2994</v>
      </c>
      <c r="J505" s="84" t="s">
        <v>1729</v>
      </c>
      <c r="K505" s="87">
        <v>125</v>
      </c>
    </row>
    <row r="506" spans="1:11" ht="14.6" x14ac:dyDescent="0.4">
      <c r="A506" s="84"/>
      <c r="B506" s="84"/>
      <c r="C506" s="84"/>
      <c r="D506" s="84"/>
      <c r="E506" s="84" t="s">
        <v>704</v>
      </c>
      <c r="F506" s="85">
        <v>45262</v>
      </c>
      <c r="G506" s="84" t="s">
        <v>2680</v>
      </c>
      <c r="H506" s="84" t="s">
        <v>717</v>
      </c>
      <c r="I506" s="84" t="s">
        <v>2995</v>
      </c>
      <c r="J506" s="84" t="s">
        <v>1729</v>
      </c>
      <c r="K506" s="87">
        <v>125</v>
      </c>
    </row>
    <row r="507" spans="1:11" ht="14.6" x14ac:dyDescent="0.4">
      <c r="A507" s="84"/>
      <c r="B507" s="84"/>
      <c r="C507" s="84"/>
      <c r="D507" s="84"/>
      <c r="E507" s="84" t="s">
        <v>704</v>
      </c>
      <c r="F507" s="85">
        <v>45262</v>
      </c>
      <c r="G507" s="84" t="s">
        <v>2958</v>
      </c>
      <c r="H507" s="84" t="s">
        <v>717</v>
      </c>
      <c r="I507" s="84" t="s">
        <v>2996</v>
      </c>
      <c r="J507" s="84" t="s">
        <v>1729</v>
      </c>
      <c r="K507" s="87">
        <v>75</v>
      </c>
    </row>
    <row r="508" spans="1:11" ht="14.6" x14ac:dyDescent="0.4">
      <c r="A508" s="84"/>
      <c r="B508" s="84"/>
      <c r="C508" s="84"/>
      <c r="D508" s="84"/>
      <c r="E508" s="84" t="s">
        <v>704</v>
      </c>
      <c r="F508" s="85">
        <v>45263</v>
      </c>
      <c r="G508" s="84" t="s">
        <v>2959</v>
      </c>
      <c r="H508" s="84" t="s">
        <v>1572</v>
      </c>
      <c r="I508" s="84" t="s">
        <v>2997</v>
      </c>
      <c r="J508" s="84" t="s">
        <v>772</v>
      </c>
      <c r="K508" s="87">
        <v>200.25</v>
      </c>
    </row>
    <row r="509" spans="1:11" ht="14.6" x14ac:dyDescent="0.4">
      <c r="A509" s="84"/>
      <c r="B509" s="84"/>
      <c r="C509" s="84"/>
      <c r="D509" s="84"/>
      <c r="E509" s="84" t="s">
        <v>704</v>
      </c>
      <c r="F509" s="85">
        <v>45263</v>
      </c>
      <c r="G509" s="84" t="s">
        <v>2960</v>
      </c>
      <c r="H509" s="84" t="s">
        <v>2982</v>
      </c>
      <c r="I509" s="84" t="s">
        <v>2998</v>
      </c>
      <c r="J509" s="84" t="s">
        <v>772</v>
      </c>
      <c r="K509" s="87">
        <v>142.26</v>
      </c>
    </row>
    <row r="510" spans="1:11" ht="14.6" x14ac:dyDescent="0.4">
      <c r="A510" s="84"/>
      <c r="B510" s="84"/>
      <c r="C510" s="84"/>
      <c r="D510" s="84"/>
      <c r="E510" s="84" t="s">
        <v>704</v>
      </c>
      <c r="F510" s="85">
        <v>45264</v>
      </c>
      <c r="G510" s="84" t="s">
        <v>2961</v>
      </c>
      <c r="H510" s="84" t="s">
        <v>1572</v>
      </c>
      <c r="I510" s="84" t="s">
        <v>2999</v>
      </c>
      <c r="J510" s="84" t="s">
        <v>772</v>
      </c>
      <c r="K510" s="87">
        <v>279.91000000000003</v>
      </c>
    </row>
    <row r="511" spans="1:11" ht="14.6" x14ac:dyDescent="0.4">
      <c r="A511" s="84"/>
      <c r="B511" s="84"/>
      <c r="C511" s="84"/>
      <c r="D511" s="84"/>
      <c r="E511" s="84" t="s">
        <v>704</v>
      </c>
      <c r="F511" s="85">
        <v>45264</v>
      </c>
      <c r="G511" s="84" t="s">
        <v>2962</v>
      </c>
      <c r="H511" s="84" t="s">
        <v>2983</v>
      </c>
      <c r="I511" s="84" t="s">
        <v>3000</v>
      </c>
      <c r="J511" s="84" t="s">
        <v>771</v>
      </c>
      <c r="K511" s="87">
        <v>6.48</v>
      </c>
    </row>
    <row r="512" spans="1:11" ht="14.6" x14ac:dyDescent="0.4">
      <c r="A512" s="84"/>
      <c r="B512" s="84"/>
      <c r="C512" s="84"/>
      <c r="D512" s="84"/>
      <c r="E512" s="84" t="s">
        <v>704</v>
      </c>
      <c r="F512" s="85">
        <v>45264</v>
      </c>
      <c r="G512" s="84" t="s">
        <v>2963</v>
      </c>
      <c r="H512" s="84" t="s">
        <v>2984</v>
      </c>
      <c r="I512" s="84" t="s">
        <v>3001</v>
      </c>
      <c r="J512" s="84" t="s">
        <v>772</v>
      </c>
      <c r="K512" s="87">
        <v>70.45</v>
      </c>
    </row>
    <row r="513" spans="1:11" ht="14.6" x14ac:dyDescent="0.4">
      <c r="A513" s="84"/>
      <c r="B513" s="84"/>
      <c r="C513" s="84"/>
      <c r="D513" s="84"/>
      <c r="E513" s="84" t="s">
        <v>704</v>
      </c>
      <c r="F513" s="85">
        <v>45264</v>
      </c>
      <c r="G513" s="84" t="s">
        <v>2964</v>
      </c>
      <c r="H513" s="84" t="s">
        <v>2985</v>
      </c>
      <c r="I513" s="84" t="s">
        <v>3002</v>
      </c>
      <c r="J513" s="84" t="s">
        <v>771</v>
      </c>
      <c r="K513" s="87">
        <v>908</v>
      </c>
    </row>
    <row r="514" spans="1:11" ht="14.6" x14ac:dyDescent="0.4">
      <c r="A514" s="84"/>
      <c r="B514" s="84"/>
      <c r="C514" s="84"/>
      <c r="D514" s="84"/>
      <c r="E514" s="84" t="s">
        <v>634</v>
      </c>
      <c r="F514" s="85">
        <v>45266</v>
      </c>
      <c r="G514" s="84" t="s">
        <v>2965</v>
      </c>
      <c r="H514" s="84" t="s">
        <v>2681</v>
      </c>
      <c r="I514" s="84"/>
      <c r="J514" s="84" t="s">
        <v>659</v>
      </c>
      <c r="K514" s="87">
        <v>0</v>
      </c>
    </row>
    <row r="515" spans="1:11" ht="14.6" x14ac:dyDescent="0.4">
      <c r="A515" s="84"/>
      <c r="B515" s="84"/>
      <c r="C515" s="84"/>
      <c r="D515" s="84"/>
      <c r="E515" s="84" t="s">
        <v>634</v>
      </c>
      <c r="F515" s="85">
        <v>45266</v>
      </c>
      <c r="G515" s="84" t="s">
        <v>2965</v>
      </c>
      <c r="H515" s="84" t="s">
        <v>2681</v>
      </c>
      <c r="I515" s="84" t="s">
        <v>3003</v>
      </c>
      <c r="J515" s="84" t="s">
        <v>659</v>
      </c>
      <c r="K515" s="87">
        <v>250</v>
      </c>
    </row>
    <row r="516" spans="1:11" ht="14.6" x14ac:dyDescent="0.4">
      <c r="A516" s="84"/>
      <c r="B516" s="84"/>
      <c r="C516" s="84"/>
      <c r="D516" s="84"/>
      <c r="E516" s="84" t="s">
        <v>634</v>
      </c>
      <c r="F516" s="85">
        <v>45266</v>
      </c>
      <c r="G516" s="84" t="s">
        <v>2405</v>
      </c>
      <c r="H516" s="84" t="s">
        <v>2986</v>
      </c>
      <c r="I516" s="84" t="s">
        <v>3004</v>
      </c>
      <c r="J516" s="84" t="s">
        <v>659</v>
      </c>
      <c r="K516" s="87">
        <v>446.17</v>
      </c>
    </row>
    <row r="517" spans="1:11" ht="14.6" x14ac:dyDescent="0.4">
      <c r="A517" s="84"/>
      <c r="B517" s="84"/>
      <c r="C517" s="84"/>
      <c r="D517" s="84"/>
      <c r="E517" s="84" t="s">
        <v>704</v>
      </c>
      <c r="F517" s="85">
        <v>45266</v>
      </c>
      <c r="G517" s="84" t="s">
        <v>2966</v>
      </c>
      <c r="H517" s="84" t="s">
        <v>2987</v>
      </c>
      <c r="I517" s="84" t="s">
        <v>3005</v>
      </c>
      <c r="J517" s="84" t="s">
        <v>772</v>
      </c>
      <c r="K517" s="87">
        <v>318.35000000000002</v>
      </c>
    </row>
    <row r="518" spans="1:11" ht="14.6" x14ac:dyDescent="0.4">
      <c r="A518" s="84"/>
      <c r="B518" s="84"/>
      <c r="C518" s="84"/>
      <c r="D518" s="84"/>
      <c r="E518" s="84" t="s">
        <v>704</v>
      </c>
      <c r="F518" s="85">
        <v>45266</v>
      </c>
      <c r="G518" s="84" t="s">
        <v>2967</v>
      </c>
      <c r="H518" s="84" t="s">
        <v>2987</v>
      </c>
      <c r="I518" s="84" t="s">
        <v>3005</v>
      </c>
      <c r="J518" s="84" t="s">
        <v>772</v>
      </c>
      <c r="K518" s="87">
        <v>318.35000000000002</v>
      </c>
    </row>
    <row r="519" spans="1:11" ht="14.6" x14ac:dyDescent="0.4">
      <c r="A519" s="84"/>
      <c r="B519" s="84"/>
      <c r="C519" s="84"/>
      <c r="D519" s="84"/>
      <c r="E519" s="84" t="s">
        <v>704</v>
      </c>
      <c r="F519" s="85">
        <v>45266</v>
      </c>
      <c r="G519" s="84" t="s">
        <v>2968</v>
      </c>
      <c r="H519" s="84" t="s">
        <v>2987</v>
      </c>
      <c r="I519" s="84" t="s">
        <v>3005</v>
      </c>
      <c r="J519" s="84" t="s">
        <v>771</v>
      </c>
      <c r="K519" s="87">
        <v>318.35000000000002</v>
      </c>
    </row>
    <row r="520" spans="1:11" ht="14.6" x14ac:dyDescent="0.4">
      <c r="A520" s="84"/>
      <c r="B520" s="84"/>
      <c r="C520" s="84"/>
      <c r="D520" s="84"/>
      <c r="E520" s="84" t="s">
        <v>704</v>
      </c>
      <c r="F520" s="85">
        <v>45266</v>
      </c>
      <c r="G520" s="84" t="s">
        <v>2969</v>
      </c>
      <c r="H520" s="84" t="s">
        <v>2987</v>
      </c>
      <c r="I520" s="84" t="s">
        <v>3005</v>
      </c>
      <c r="J520" s="84" t="s">
        <v>771</v>
      </c>
      <c r="K520" s="87">
        <v>318.35000000000002</v>
      </c>
    </row>
    <row r="521" spans="1:11" ht="14.6" x14ac:dyDescent="0.4">
      <c r="A521" s="84"/>
      <c r="B521" s="84"/>
      <c r="C521" s="84"/>
      <c r="D521" s="84"/>
      <c r="E521" s="84" t="s">
        <v>704</v>
      </c>
      <c r="F521" s="85">
        <v>45266</v>
      </c>
      <c r="G521" s="84" t="s">
        <v>2970</v>
      </c>
      <c r="H521" s="84" t="s">
        <v>2987</v>
      </c>
      <c r="I521" s="84" t="s">
        <v>3005</v>
      </c>
      <c r="J521" s="84" t="s">
        <v>771</v>
      </c>
      <c r="K521" s="87">
        <v>318.35000000000002</v>
      </c>
    </row>
    <row r="522" spans="1:11" ht="14.6" x14ac:dyDescent="0.4">
      <c r="A522" s="84"/>
      <c r="B522" s="84"/>
      <c r="C522" s="84"/>
      <c r="D522" s="84"/>
      <c r="E522" s="84" t="s">
        <v>704</v>
      </c>
      <c r="F522" s="85">
        <v>45266</v>
      </c>
      <c r="G522" s="84" t="s">
        <v>2971</v>
      </c>
      <c r="H522" s="84" t="s">
        <v>2987</v>
      </c>
      <c r="I522" s="84" t="s">
        <v>3005</v>
      </c>
      <c r="J522" s="84" t="s">
        <v>771</v>
      </c>
      <c r="K522" s="87">
        <v>318.35000000000002</v>
      </c>
    </row>
    <row r="523" spans="1:11" ht="14.6" x14ac:dyDescent="0.4">
      <c r="A523" s="84"/>
      <c r="B523" s="84"/>
      <c r="C523" s="84"/>
      <c r="D523" s="84"/>
      <c r="E523" s="84" t="s">
        <v>704</v>
      </c>
      <c r="F523" s="85">
        <v>45266</v>
      </c>
      <c r="G523" s="84" t="s">
        <v>2972</v>
      </c>
      <c r="H523" s="84" t="s">
        <v>2987</v>
      </c>
      <c r="I523" s="84" t="s">
        <v>3005</v>
      </c>
      <c r="J523" s="84" t="s">
        <v>771</v>
      </c>
      <c r="K523" s="87">
        <v>318.35000000000002</v>
      </c>
    </row>
    <row r="524" spans="1:11" ht="14.6" x14ac:dyDescent="0.4">
      <c r="A524" s="84"/>
      <c r="B524" s="84"/>
      <c r="C524" s="84"/>
      <c r="D524" s="84"/>
      <c r="E524" s="84" t="s">
        <v>704</v>
      </c>
      <c r="F524" s="85">
        <v>45266</v>
      </c>
      <c r="G524" s="84" t="s">
        <v>2973</v>
      </c>
      <c r="H524" s="84" t="s">
        <v>2987</v>
      </c>
      <c r="I524" s="84" t="s">
        <v>3005</v>
      </c>
      <c r="J524" s="84" t="s">
        <v>771</v>
      </c>
      <c r="K524" s="87">
        <v>318.35000000000002</v>
      </c>
    </row>
    <row r="525" spans="1:11" ht="14.6" x14ac:dyDescent="0.4">
      <c r="A525" s="84"/>
      <c r="B525" s="84"/>
      <c r="C525" s="84"/>
      <c r="D525" s="84"/>
      <c r="E525" s="84" t="s">
        <v>634</v>
      </c>
      <c r="F525" s="85">
        <v>45267</v>
      </c>
      <c r="G525" s="84" t="s">
        <v>2405</v>
      </c>
      <c r="H525" s="84" t="s">
        <v>1551</v>
      </c>
      <c r="I525" s="84" t="s">
        <v>3006</v>
      </c>
      <c r="J525" s="84" t="s">
        <v>659</v>
      </c>
      <c r="K525" s="87">
        <v>899.36</v>
      </c>
    </row>
    <row r="526" spans="1:11" ht="14.6" x14ac:dyDescent="0.4">
      <c r="A526" s="84"/>
      <c r="B526" s="84"/>
      <c r="C526" s="84"/>
      <c r="D526" s="84"/>
      <c r="E526" s="84" t="s">
        <v>634</v>
      </c>
      <c r="F526" s="85">
        <v>45267</v>
      </c>
      <c r="G526" s="84" t="s">
        <v>2405</v>
      </c>
      <c r="H526" s="84" t="s">
        <v>2686</v>
      </c>
      <c r="I526" s="84" t="s">
        <v>2759</v>
      </c>
      <c r="J526" s="84" t="s">
        <v>659</v>
      </c>
      <c r="K526" s="87">
        <v>60</v>
      </c>
    </row>
    <row r="527" spans="1:11" ht="14.6" x14ac:dyDescent="0.4">
      <c r="A527" s="84"/>
      <c r="B527" s="84"/>
      <c r="C527" s="84"/>
      <c r="D527" s="84"/>
      <c r="E527" s="84" t="s">
        <v>634</v>
      </c>
      <c r="F527" s="85">
        <v>45268</v>
      </c>
      <c r="G527" s="84" t="s">
        <v>2405</v>
      </c>
      <c r="H527" s="84" t="s">
        <v>1552</v>
      </c>
      <c r="I527" s="84" t="s">
        <v>3007</v>
      </c>
      <c r="J527" s="84" t="s">
        <v>659</v>
      </c>
      <c r="K527" s="87">
        <v>312.95</v>
      </c>
    </row>
    <row r="528" spans="1:11" ht="14.6" x14ac:dyDescent="0.4">
      <c r="A528" s="84"/>
      <c r="B528" s="84"/>
      <c r="C528" s="84"/>
      <c r="D528" s="84"/>
      <c r="E528" s="84" t="s">
        <v>634</v>
      </c>
      <c r="F528" s="85">
        <v>45271</v>
      </c>
      <c r="G528" s="84" t="s">
        <v>2405</v>
      </c>
      <c r="H528" s="84" t="s">
        <v>2988</v>
      </c>
      <c r="I528" s="84" t="s">
        <v>2757</v>
      </c>
      <c r="J528" s="84" t="s">
        <v>659</v>
      </c>
      <c r="K528" s="87">
        <v>53.64</v>
      </c>
    </row>
    <row r="529" spans="1:11" ht="14.6" x14ac:dyDescent="0.4">
      <c r="A529" s="84"/>
      <c r="B529" s="84"/>
      <c r="C529" s="84"/>
      <c r="D529" s="84"/>
      <c r="E529" s="84" t="s">
        <v>634</v>
      </c>
      <c r="F529" s="85">
        <v>45272</v>
      </c>
      <c r="G529" s="84" t="s">
        <v>2974</v>
      </c>
      <c r="H529" s="84" t="s">
        <v>2692</v>
      </c>
      <c r="I529" s="84" t="s">
        <v>3008</v>
      </c>
      <c r="J529" s="84" t="s">
        <v>659</v>
      </c>
      <c r="K529" s="87">
        <v>787.35</v>
      </c>
    </row>
    <row r="530" spans="1:11" ht="14.6" x14ac:dyDescent="0.4">
      <c r="A530" s="84"/>
      <c r="B530" s="84"/>
      <c r="C530" s="84"/>
      <c r="D530" s="84"/>
      <c r="E530" s="84" t="s">
        <v>704</v>
      </c>
      <c r="F530" s="85">
        <v>45272</v>
      </c>
      <c r="G530" s="84" t="s">
        <v>2975</v>
      </c>
      <c r="H530" s="84" t="s">
        <v>717</v>
      </c>
      <c r="I530" s="84" t="s">
        <v>3009</v>
      </c>
      <c r="J530" s="84" t="s">
        <v>1729</v>
      </c>
      <c r="K530" s="87">
        <v>75</v>
      </c>
    </row>
    <row r="531" spans="1:11" ht="14.6" x14ac:dyDescent="0.4">
      <c r="A531" s="84"/>
      <c r="B531" s="84"/>
      <c r="C531" s="84"/>
      <c r="D531" s="84"/>
      <c r="E531" s="84" t="s">
        <v>634</v>
      </c>
      <c r="F531" s="85">
        <v>45273</v>
      </c>
      <c r="G531" s="84" t="s">
        <v>2405</v>
      </c>
      <c r="H531" s="84" t="s">
        <v>2692</v>
      </c>
      <c r="I531" s="84" t="s">
        <v>3010</v>
      </c>
      <c r="J531" s="84" t="s">
        <v>659</v>
      </c>
      <c r="K531" s="87">
        <v>150</v>
      </c>
    </row>
    <row r="532" spans="1:11" ht="14.6" x14ac:dyDescent="0.4">
      <c r="A532" s="84"/>
      <c r="B532" s="84"/>
      <c r="C532" s="84"/>
      <c r="D532" s="84"/>
      <c r="E532" s="84" t="s">
        <v>634</v>
      </c>
      <c r="F532" s="85">
        <v>45274</v>
      </c>
      <c r="G532" s="84" t="s">
        <v>2405</v>
      </c>
      <c r="H532" s="84" t="s">
        <v>2989</v>
      </c>
      <c r="I532" s="84" t="s">
        <v>3011</v>
      </c>
      <c r="J532" s="84" t="s">
        <v>659</v>
      </c>
      <c r="K532" s="87">
        <v>46.47</v>
      </c>
    </row>
    <row r="533" spans="1:11" ht="14.6" x14ac:dyDescent="0.4">
      <c r="A533" s="84"/>
      <c r="B533" s="84"/>
      <c r="C533" s="84"/>
      <c r="D533" s="84"/>
      <c r="E533" s="84" t="s">
        <v>634</v>
      </c>
      <c r="F533" s="85">
        <v>45277</v>
      </c>
      <c r="G533" s="84" t="s">
        <v>2405</v>
      </c>
      <c r="H533" s="84" t="s">
        <v>2688</v>
      </c>
      <c r="I533" s="84" t="s">
        <v>3012</v>
      </c>
      <c r="J533" s="84" t="s">
        <v>659</v>
      </c>
      <c r="K533" s="87">
        <v>182.98</v>
      </c>
    </row>
    <row r="534" spans="1:11" ht="14.6" x14ac:dyDescent="0.4">
      <c r="A534" s="84"/>
      <c r="B534" s="84"/>
      <c r="C534" s="84"/>
      <c r="D534" s="84"/>
      <c r="E534" s="84" t="s">
        <v>634</v>
      </c>
      <c r="F534" s="85">
        <v>45278</v>
      </c>
      <c r="G534" s="84" t="s">
        <v>2405</v>
      </c>
      <c r="H534" s="84" t="s">
        <v>2990</v>
      </c>
      <c r="I534" s="84" t="s">
        <v>2757</v>
      </c>
      <c r="J534" s="84" t="s">
        <v>659</v>
      </c>
      <c r="K534" s="87">
        <v>47.68</v>
      </c>
    </row>
    <row r="535" spans="1:11" ht="14.6" x14ac:dyDescent="0.4">
      <c r="A535" s="84"/>
      <c r="B535" s="84"/>
      <c r="C535" s="84"/>
      <c r="D535" s="84"/>
      <c r="E535" s="84" t="s">
        <v>704</v>
      </c>
      <c r="F535" s="85">
        <v>45278</v>
      </c>
      <c r="G535" s="84" t="s">
        <v>2976</v>
      </c>
      <c r="H535" s="84" t="s">
        <v>2991</v>
      </c>
      <c r="I535" s="84" t="s">
        <v>3013</v>
      </c>
      <c r="J535" s="84" t="s">
        <v>771</v>
      </c>
      <c r="K535" s="87">
        <v>114.95</v>
      </c>
    </row>
    <row r="536" spans="1:11" ht="14.6" x14ac:dyDescent="0.4">
      <c r="A536" s="84"/>
      <c r="B536" s="84"/>
      <c r="C536" s="84"/>
      <c r="D536" s="84"/>
      <c r="E536" s="84" t="s">
        <v>705</v>
      </c>
      <c r="F536" s="85">
        <v>45278</v>
      </c>
      <c r="G536" s="84" t="s">
        <v>2977</v>
      </c>
      <c r="H536" s="84" t="s">
        <v>725</v>
      </c>
      <c r="I536" s="84" t="s">
        <v>3014</v>
      </c>
      <c r="J536" s="84" t="s">
        <v>773</v>
      </c>
      <c r="K536" s="87">
        <v>-1009.48</v>
      </c>
    </row>
    <row r="537" spans="1:11" ht="14.6" x14ac:dyDescent="0.4">
      <c r="A537" s="84"/>
      <c r="B537" s="84"/>
      <c r="C537" s="84"/>
      <c r="D537" s="84"/>
      <c r="E537" s="84" t="s">
        <v>634</v>
      </c>
      <c r="F537" s="85">
        <v>45279</v>
      </c>
      <c r="G537" s="84" t="s">
        <v>2620</v>
      </c>
      <c r="H537" s="84" t="s">
        <v>2722</v>
      </c>
      <c r="I537" s="84" t="s">
        <v>3015</v>
      </c>
      <c r="J537" s="84" t="s">
        <v>659</v>
      </c>
      <c r="K537" s="87">
        <v>120</v>
      </c>
    </row>
    <row r="538" spans="1:11" ht="14.6" x14ac:dyDescent="0.4">
      <c r="A538" s="84"/>
      <c r="B538" s="84"/>
      <c r="C538" s="84"/>
      <c r="D538" s="84"/>
      <c r="E538" s="84" t="s">
        <v>634</v>
      </c>
      <c r="F538" s="85">
        <v>45279</v>
      </c>
      <c r="G538" s="84" t="s">
        <v>2978</v>
      </c>
      <c r="H538" s="84" t="s">
        <v>990</v>
      </c>
      <c r="I538" s="84" t="s">
        <v>3519</v>
      </c>
      <c r="J538" s="84" t="s">
        <v>659</v>
      </c>
      <c r="K538" s="87">
        <v>100</v>
      </c>
    </row>
    <row r="539" spans="1:11" ht="14.6" x14ac:dyDescent="0.4">
      <c r="A539" s="84"/>
      <c r="B539" s="84"/>
      <c r="C539" s="84"/>
      <c r="D539" s="84"/>
      <c r="E539" s="84" t="s">
        <v>634</v>
      </c>
      <c r="F539" s="85">
        <v>45280</v>
      </c>
      <c r="G539" s="84" t="s">
        <v>2405</v>
      </c>
      <c r="H539" s="84" t="s">
        <v>2992</v>
      </c>
      <c r="I539" s="84" t="s">
        <v>3016</v>
      </c>
      <c r="J539" s="84" t="s">
        <v>659</v>
      </c>
      <c r="K539" s="87">
        <v>40</v>
      </c>
    </row>
    <row r="540" spans="1:11" ht="14.6" x14ac:dyDescent="0.4">
      <c r="A540" s="84"/>
      <c r="B540" s="84"/>
      <c r="C540" s="84"/>
      <c r="D540" s="84"/>
      <c r="E540" s="84" t="s">
        <v>705</v>
      </c>
      <c r="F540" s="85">
        <v>45281</v>
      </c>
      <c r="G540" s="84"/>
      <c r="H540" s="84" t="s">
        <v>725</v>
      </c>
      <c r="I540" s="84" t="s">
        <v>3017</v>
      </c>
      <c r="J540" s="84" t="s">
        <v>773</v>
      </c>
      <c r="K540" s="87">
        <v>-430</v>
      </c>
    </row>
    <row r="541" spans="1:11" ht="14.6" x14ac:dyDescent="0.4">
      <c r="A541" s="84"/>
      <c r="B541" s="84"/>
      <c r="C541" s="84"/>
      <c r="D541" s="84"/>
      <c r="E541" s="84" t="s">
        <v>705</v>
      </c>
      <c r="F541" s="85">
        <v>45281</v>
      </c>
      <c r="G541" s="84" t="s">
        <v>2979</v>
      </c>
      <c r="H541" s="84" t="s">
        <v>725</v>
      </c>
      <c r="I541" s="84" t="s">
        <v>3018</v>
      </c>
      <c r="J541" s="84" t="s">
        <v>773</v>
      </c>
      <c r="K541" s="87">
        <v>-50</v>
      </c>
    </row>
    <row r="542" spans="1:11" ht="14.6" x14ac:dyDescent="0.4">
      <c r="A542" s="84"/>
      <c r="B542" s="84"/>
      <c r="C542" s="84"/>
      <c r="D542" s="84"/>
      <c r="E542" s="84" t="s">
        <v>705</v>
      </c>
      <c r="F542" s="85">
        <v>45281</v>
      </c>
      <c r="G542" s="84" t="s">
        <v>2980</v>
      </c>
      <c r="H542" s="84" t="s">
        <v>725</v>
      </c>
      <c r="I542" s="84" t="s">
        <v>3019</v>
      </c>
      <c r="J542" s="84" t="s">
        <v>773</v>
      </c>
      <c r="K542" s="87">
        <v>-20</v>
      </c>
    </row>
    <row r="543" spans="1:11" ht="14.6" x14ac:dyDescent="0.4">
      <c r="A543" s="84"/>
      <c r="B543" s="84"/>
      <c r="C543" s="84"/>
      <c r="D543" s="84"/>
      <c r="E543" s="84" t="s">
        <v>705</v>
      </c>
      <c r="F543" s="85">
        <v>45281</v>
      </c>
      <c r="G543" s="84" t="s">
        <v>2981</v>
      </c>
      <c r="H543" s="84" t="s">
        <v>725</v>
      </c>
      <c r="I543" s="84" t="s">
        <v>3020</v>
      </c>
      <c r="J543" s="84" t="s">
        <v>773</v>
      </c>
      <c r="K543" s="87">
        <v>-20</v>
      </c>
    </row>
    <row r="544" spans="1:11" ht="14.6" x14ac:dyDescent="0.4">
      <c r="A544" s="84"/>
      <c r="B544" s="84"/>
      <c r="C544" s="84"/>
      <c r="D544" s="84"/>
      <c r="E544" s="84" t="s">
        <v>705</v>
      </c>
      <c r="F544" s="85">
        <v>45281</v>
      </c>
      <c r="G544" s="84"/>
      <c r="H544" s="84" t="s">
        <v>1548</v>
      </c>
      <c r="I544" s="84" t="s">
        <v>3021</v>
      </c>
      <c r="J544" s="84" t="s">
        <v>773</v>
      </c>
      <c r="K544" s="87">
        <v>-29.22</v>
      </c>
    </row>
    <row r="545" spans="1:11" ht="14.6" x14ac:dyDescent="0.4">
      <c r="A545" s="84"/>
      <c r="B545" s="84"/>
      <c r="C545" s="84"/>
      <c r="D545" s="84"/>
      <c r="E545" s="84" t="s">
        <v>704</v>
      </c>
      <c r="F545" s="85">
        <v>45282</v>
      </c>
      <c r="G545" s="84" t="s">
        <v>2405</v>
      </c>
      <c r="H545" s="84" t="s">
        <v>991</v>
      </c>
      <c r="I545" s="84" t="s">
        <v>1006</v>
      </c>
      <c r="J545" s="84" t="s">
        <v>771</v>
      </c>
      <c r="K545" s="87">
        <v>100</v>
      </c>
    </row>
    <row r="546" spans="1:11" ht="14.6" x14ac:dyDescent="0.4">
      <c r="A546" s="84"/>
      <c r="B546" s="84"/>
      <c r="C546" s="84"/>
      <c r="D546" s="84"/>
      <c r="E546" s="84" t="s">
        <v>704</v>
      </c>
      <c r="F546" s="85">
        <v>45288</v>
      </c>
      <c r="G546" s="84" t="s">
        <v>3513</v>
      </c>
      <c r="H546" s="84" t="s">
        <v>717</v>
      </c>
      <c r="I546" s="84" t="s">
        <v>3520</v>
      </c>
      <c r="J546" s="84" t="s">
        <v>1729</v>
      </c>
      <c r="K546" s="87">
        <v>75</v>
      </c>
    </row>
    <row r="547" spans="1:11" ht="14.6" x14ac:dyDescent="0.4">
      <c r="A547" s="84"/>
      <c r="B547" s="84"/>
      <c r="C547" s="84"/>
      <c r="D547" s="84"/>
      <c r="E547" s="84" t="s">
        <v>704</v>
      </c>
      <c r="F547" s="85">
        <v>45288</v>
      </c>
      <c r="G547" s="84" t="s">
        <v>3514</v>
      </c>
      <c r="H547" s="84" t="s">
        <v>717</v>
      </c>
      <c r="I547" s="84" t="s">
        <v>3521</v>
      </c>
      <c r="J547" s="84" t="s">
        <v>1729</v>
      </c>
      <c r="K547" s="87">
        <v>295</v>
      </c>
    </row>
    <row r="548" spans="1:11" ht="14.6" x14ac:dyDescent="0.4">
      <c r="A548" s="84"/>
      <c r="B548" s="84"/>
      <c r="C548" s="84"/>
      <c r="D548" s="84"/>
      <c r="E548" s="84" t="s">
        <v>704</v>
      </c>
      <c r="F548" s="85">
        <v>45288</v>
      </c>
      <c r="G548" s="84" t="s">
        <v>3515</v>
      </c>
      <c r="H548" s="84" t="s">
        <v>717</v>
      </c>
      <c r="I548" s="84" t="s">
        <v>3522</v>
      </c>
      <c r="J548" s="84" t="s">
        <v>1729</v>
      </c>
      <c r="K548" s="87">
        <v>370</v>
      </c>
    </row>
    <row r="549" spans="1:11" ht="15" customHeight="1" x14ac:dyDescent="0.4">
      <c r="A549" s="84"/>
      <c r="B549" s="84"/>
      <c r="C549" s="84"/>
      <c r="D549" s="84"/>
      <c r="E549" s="84" t="s">
        <v>704</v>
      </c>
      <c r="F549" s="85">
        <v>45288</v>
      </c>
      <c r="G549" s="84" t="s">
        <v>3516</v>
      </c>
      <c r="H549" s="84" t="s">
        <v>717</v>
      </c>
      <c r="I549" s="84" t="s">
        <v>3523</v>
      </c>
      <c r="J549" s="84" t="s">
        <v>1729</v>
      </c>
      <c r="K549" s="87">
        <v>30</v>
      </c>
    </row>
    <row r="550" spans="1:11" ht="15" customHeight="1" x14ac:dyDescent="0.4">
      <c r="A550" s="84"/>
      <c r="B550" s="84"/>
      <c r="C550" s="84"/>
      <c r="D550" s="84"/>
      <c r="E550" s="84" t="s">
        <v>704</v>
      </c>
      <c r="F550" s="85">
        <v>45288</v>
      </c>
      <c r="G550" s="84" t="s">
        <v>3517</v>
      </c>
      <c r="H550" s="84" t="s">
        <v>717</v>
      </c>
      <c r="I550" s="84" t="s">
        <v>3524</v>
      </c>
      <c r="J550" s="84" t="s">
        <v>1729</v>
      </c>
      <c r="K550" s="87">
        <v>295</v>
      </c>
    </row>
    <row r="551" spans="1:11" ht="15" customHeight="1" x14ac:dyDescent="0.4">
      <c r="A551" s="84"/>
      <c r="B551" s="84"/>
      <c r="C551" s="84"/>
      <c r="D551" s="84"/>
      <c r="E551" s="84" t="s">
        <v>704</v>
      </c>
      <c r="F551" s="85">
        <v>45288</v>
      </c>
      <c r="G551" s="84" t="s">
        <v>3518</v>
      </c>
      <c r="H551" s="84" t="s">
        <v>717</v>
      </c>
      <c r="I551" s="84" t="s">
        <v>3525</v>
      </c>
      <c r="J551" s="84" t="s">
        <v>771</v>
      </c>
      <c r="K551" s="87">
        <v>30</v>
      </c>
    </row>
    <row r="552" spans="1:11" ht="15" customHeight="1" x14ac:dyDescent="0.4">
      <c r="A552" s="84"/>
      <c r="B552" s="84"/>
      <c r="C552" s="84"/>
      <c r="D552" s="84"/>
      <c r="E552" s="84" t="s">
        <v>2210</v>
      </c>
      <c r="F552" s="85">
        <v>45291</v>
      </c>
      <c r="G552" s="84" t="s">
        <v>2673</v>
      </c>
      <c r="H552" s="84" t="s">
        <v>2721</v>
      </c>
      <c r="I552" s="84" t="s">
        <v>3526</v>
      </c>
      <c r="J552" s="84" t="s">
        <v>771</v>
      </c>
      <c r="K552" s="87">
        <v>-210.17</v>
      </c>
    </row>
    <row r="553" spans="1:11" ht="15" customHeight="1" thickBot="1" x14ac:dyDescent="0.45"/>
    <row r="554" spans="1:11" ht="15" customHeight="1" thickBot="1" x14ac:dyDescent="0.45">
      <c r="A554" s="84"/>
      <c r="B554" s="84"/>
      <c r="C554" s="84" t="s">
        <v>702</v>
      </c>
      <c r="D554" s="84"/>
      <c r="E554" s="84"/>
      <c r="F554" s="85"/>
      <c r="G554" s="84"/>
      <c r="H554" s="84"/>
      <c r="I554" s="84"/>
      <c r="J554" s="84"/>
      <c r="K554" s="414">
        <f>ROUND(SUM(K3:K552),5)</f>
        <v>130801.87</v>
      </c>
    </row>
    <row r="555" spans="1:11" ht="15" customHeight="1" thickBot="1" x14ac:dyDescent="0.45">
      <c r="A555" s="84"/>
      <c r="B555" s="84" t="s">
        <v>703</v>
      </c>
      <c r="C555" s="84"/>
      <c r="D555" s="84"/>
      <c r="E555" s="84"/>
      <c r="F555" s="85"/>
      <c r="G555" s="84"/>
      <c r="H555" s="84"/>
      <c r="I555" s="84"/>
      <c r="J555" s="84"/>
      <c r="K555" s="414">
        <f>K554</f>
        <v>130801.87</v>
      </c>
    </row>
    <row r="556" spans="1:11" ht="15" customHeight="1" thickBot="1" x14ac:dyDescent="0.45">
      <c r="A556" s="84" t="s">
        <v>158</v>
      </c>
      <c r="B556" s="84"/>
      <c r="C556" s="84"/>
      <c r="D556" s="84"/>
      <c r="E556" s="84"/>
      <c r="F556" s="85"/>
      <c r="G556" s="84"/>
      <c r="H556" s="84"/>
      <c r="I556" s="84"/>
      <c r="J556" s="84"/>
      <c r="K556" s="415">
        <f>K555</f>
        <v>130801.87</v>
      </c>
    </row>
    <row r="557" spans="1:11" ht="15" customHeight="1" thickTop="1" x14ac:dyDescent="0.4"/>
  </sheetData>
  <pageMargins left="0.7" right="0.7" top="0.75" bottom="0.75" header="0.1" footer="0"/>
  <pageSetup orientation="portrait" r:id="rId1"/>
  <headerFooter>
    <oddHeader>&amp;L&amp;"Arial,Bold"&amp;8 9:28 AM
&amp;"Arial,Bold"&amp;8 03/08/24
&amp;"Arial,Bold"&amp;8 Accrual Basis&amp;C&amp;"Arial,Bold"&amp;12 Williamson Central Appraisal District
&amp;"Arial,Bold"&amp;14 Account QuickReport
&amp;"Arial,Bold"&amp;10 January through December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957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09576" r:id="rId4" name="HEADER"/>
      </mc:Fallback>
    </mc:AlternateContent>
    <mc:AlternateContent xmlns:mc="http://schemas.openxmlformats.org/markup-compatibility/2006">
      <mc:Choice Requires="x14">
        <control shapeId="10957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09575" r:id="rId6" name="FILTER"/>
      </mc:Fallback>
    </mc:AlternateContent>
  </control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51"/>
  <dimension ref="A1:K59"/>
  <sheetViews>
    <sheetView workbookViewId="0">
      <pane xSplit="3" ySplit="1" topLeftCell="D19" activePane="bottomRight" state="frozenSplit"/>
      <selection pane="topRight" activeCell="D1" sqref="D1"/>
      <selection pane="bottomLeft" activeCell="A2" sqref="A2"/>
      <selection pane="bottomRight" activeCell="I32" sqref="I32"/>
    </sheetView>
  </sheetViews>
  <sheetFormatPr defaultColWidth="14.3828125" defaultRowHeight="15" customHeight="1" x14ac:dyDescent="0.4"/>
  <cols>
    <col min="1" max="2" width="3" customWidth="1"/>
    <col min="3" max="3" width="33.84375" customWidth="1"/>
    <col min="4" max="4" width="2.3046875" customWidth="1"/>
    <col min="5" max="5" width="5.3046875" bestFit="1" customWidth="1"/>
    <col min="6" max="6" width="10.69140625" bestFit="1" customWidth="1"/>
    <col min="7" max="7" width="12.3828125" bestFit="1" customWidth="1"/>
    <col min="8" max="8" width="25.15234375" bestFit="1" customWidth="1"/>
    <col min="9" max="9" width="30.69140625" customWidth="1"/>
    <col min="10" max="10" width="22.3046875" bestFit="1" customWidth="1"/>
    <col min="11" max="11" width="9.15234375" bestFit="1" customWidth="1"/>
  </cols>
  <sheetData>
    <row r="1" spans="1:11" s="412" customFormat="1" thickBot="1" x14ac:dyDescent="0.45">
      <c r="A1" s="416"/>
      <c r="B1" s="416"/>
      <c r="C1" s="416"/>
      <c r="D1" s="416"/>
      <c r="E1" s="417" t="s">
        <v>623</v>
      </c>
      <c r="F1" s="417" t="s">
        <v>624</v>
      </c>
      <c r="G1" s="417" t="s">
        <v>625</v>
      </c>
      <c r="H1" s="417" t="s">
        <v>626</v>
      </c>
      <c r="I1" s="417" t="s">
        <v>627</v>
      </c>
      <c r="J1" s="417" t="s">
        <v>628</v>
      </c>
      <c r="K1" s="417" t="s">
        <v>629</v>
      </c>
    </row>
    <row r="2" spans="1:11" thickTop="1" x14ac:dyDescent="0.4">
      <c r="A2" s="84"/>
      <c r="B2" s="84" t="s">
        <v>700</v>
      </c>
      <c r="C2" s="84"/>
      <c r="D2" s="84"/>
      <c r="E2" s="84"/>
      <c r="F2" s="85"/>
      <c r="G2" s="84"/>
      <c r="H2" s="84"/>
      <c r="I2" s="84"/>
      <c r="J2" s="84"/>
      <c r="K2" s="87"/>
    </row>
    <row r="3" spans="1:11" ht="14.6" x14ac:dyDescent="0.4">
      <c r="A3" s="84"/>
      <c r="B3" s="84"/>
      <c r="C3" s="84" t="s">
        <v>774</v>
      </c>
      <c r="D3" s="84"/>
      <c r="E3" s="84"/>
      <c r="F3" s="85"/>
      <c r="G3" s="84"/>
      <c r="H3" s="84"/>
      <c r="I3" s="84"/>
      <c r="J3" s="84"/>
      <c r="K3" s="87"/>
    </row>
    <row r="4" spans="1:11" ht="14.6" x14ac:dyDescent="0.4">
      <c r="A4" s="84"/>
      <c r="B4" s="84"/>
      <c r="C4" s="84"/>
      <c r="D4" s="84"/>
      <c r="E4" s="84" t="s">
        <v>634</v>
      </c>
      <c r="F4" s="85">
        <v>44933</v>
      </c>
      <c r="G4" s="84" t="s">
        <v>776</v>
      </c>
      <c r="H4" s="84" t="s">
        <v>1752</v>
      </c>
      <c r="I4" s="84" t="s">
        <v>780</v>
      </c>
      <c r="J4" s="84" t="s">
        <v>659</v>
      </c>
      <c r="K4" s="87">
        <v>354.95</v>
      </c>
    </row>
    <row r="5" spans="1:11" ht="14.6" x14ac:dyDescent="0.4">
      <c r="A5" s="84"/>
      <c r="B5" s="84"/>
      <c r="C5" s="84"/>
      <c r="D5" s="84"/>
      <c r="E5" s="84" t="s">
        <v>634</v>
      </c>
      <c r="F5" s="85">
        <v>44935</v>
      </c>
      <c r="G5" s="84" t="s">
        <v>777</v>
      </c>
      <c r="H5" s="84" t="s">
        <v>779</v>
      </c>
      <c r="I5" s="84" t="s">
        <v>781</v>
      </c>
      <c r="J5" s="84" t="s">
        <v>659</v>
      </c>
      <c r="K5" s="87">
        <v>39</v>
      </c>
    </row>
    <row r="6" spans="1:11" ht="14.6" x14ac:dyDescent="0.4">
      <c r="A6" s="84"/>
      <c r="B6" s="84"/>
      <c r="C6" s="84"/>
      <c r="D6" s="84"/>
      <c r="E6" s="84" t="s">
        <v>634</v>
      </c>
      <c r="F6" s="85">
        <v>44939</v>
      </c>
      <c r="G6" s="84" t="s">
        <v>778</v>
      </c>
      <c r="H6" s="84" t="s">
        <v>779</v>
      </c>
      <c r="I6" s="84" t="s">
        <v>781</v>
      </c>
      <c r="J6" s="84" t="s">
        <v>659</v>
      </c>
      <c r="K6" s="87">
        <v>1292</v>
      </c>
    </row>
    <row r="7" spans="1:11" ht="14.6" x14ac:dyDescent="0.4">
      <c r="A7" s="84"/>
      <c r="B7" s="84"/>
      <c r="C7" s="84"/>
      <c r="D7" s="84"/>
      <c r="E7" s="84" t="s">
        <v>634</v>
      </c>
      <c r="F7" s="85">
        <v>44953</v>
      </c>
      <c r="G7" s="84" t="s">
        <v>1023</v>
      </c>
      <c r="H7" s="84" t="s">
        <v>1026</v>
      </c>
      <c r="I7" s="84" t="s">
        <v>1027</v>
      </c>
      <c r="J7" s="84" t="s">
        <v>659</v>
      </c>
      <c r="K7" s="87">
        <v>1209.81</v>
      </c>
    </row>
    <row r="8" spans="1:11" ht="14.6" x14ac:dyDescent="0.4">
      <c r="A8" s="84"/>
      <c r="B8" s="84"/>
      <c r="C8" s="84"/>
      <c r="D8" s="84"/>
      <c r="E8" s="84" t="s">
        <v>634</v>
      </c>
      <c r="F8" s="85">
        <v>44963</v>
      </c>
      <c r="G8" s="84" t="s">
        <v>1024</v>
      </c>
      <c r="H8" s="84" t="s">
        <v>779</v>
      </c>
      <c r="I8" s="84" t="s">
        <v>781</v>
      </c>
      <c r="J8" s="84" t="s">
        <v>659</v>
      </c>
      <c r="K8" s="87">
        <v>39</v>
      </c>
    </row>
    <row r="9" spans="1:11" ht="14.6" x14ac:dyDescent="0.4">
      <c r="A9" s="84"/>
      <c r="B9" s="84"/>
      <c r="C9" s="84"/>
      <c r="D9" s="84"/>
      <c r="E9" s="84" t="s">
        <v>634</v>
      </c>
      <c r="F9" s="85">
        <v>44963</v>
      </c>
      <c r="G9" s="84" t="s">
        <v>1024</v>
      </c>
      <c r="H9" s="84" t="s">
        <v>779</v>
      </c>
      <c r="I9" s="84" t="s">
        <v>1028</v>
      </c>
      <c r="J9" s="84" t="s">
        <v>659</v>
      </c>
      <c r="K9" s="87">
        <v>35.71</v>
      </c>
    </row>
    <row r="10" spans="1:11" ht="14.6" x14ac:dyDescent="0.4">
      <c r="A10" s="84"/>
      <c r="B10" s="84"/>
      <c r="C10" s="84"/>
      <c r="D10" s="84"/>
      <c r="E10" s="84" t="s">
        <v>634</v>
      </c>
      <c r="F10" s="85">
        <v>44964</v>
      </c>
      <c r="G10" s="84" t="s">
        <v>1025</v>
      </c>
      <c r="H10" s="84" t="s">
        <v>1752</v>
      </c>
      <c r="I10" s="84" t="s">
        <v>780</v>
      </c>
      <c r="J10" s="84" t="s">
        <v>659</v>
      </c>
      <c r="K10" s="87">
        <v>354.95</v>
      </c>
    </row>
    <row r="11" spans="1:11" ht="14.6" x14ac:dyDescent="0.4">
      <c r="A11" s="84"/>
      <c r="B11" s="84"/>
      <c r="C11" s="84"/>
      <c r="D11" s="84"/>
      <c r="E11" s="84" t="s">
        <v>634</v>
      </c>
      <c r="F11" s="85">
        <v>44967</v>
      </c>
      <c r="G11" s="84" t="s">
        <v>1733</v>
      </c>
      <c r="H11" s="84" t="s">
        <v>779</v>
      </c>
      <c r="I11" s="84" t="s">
        <v>781</v>
      </c>
      <c r="J11" s="84" t="s">
        <v>659</v>
      </c>
      <c r="K11" s="87">
        <v>1292</v>
      </c>
    </row>
    <row r="12" spans="1:11" ht="14.6" x14ac:dyDescent="0.4">
      <c r="A12" s="84"/>
      <c r="B12" s="84"/>
      <c r="C12" s="84"/>
      <c r="D12" s="84"/>
      <c r="E12" s="84" t="s">
        <v>634</v>
      </c>
      <c r="F12" s="85">
        <v>44967</v>
      </c>
      <c r="G12" s="84" t="s">
        <v>1733</v>
      </c>
      <c r="H12" s="84" t="s">
        <v>779</v>
      </c>
      <c r="I12" s="84" t="s">
        <v>1754</v>
      </c>
      <c r="J12" s="84" t="s">
        <v>659</v>
      </c>
      <c r="K12" s="87">
        <v>515.57000000000005</v>
      </c>
    </row>
    <row r="13" spans="1:11" ht="14.6" x14ac:dyDescent="0.4">
      <c r="A13" s="84"/>
      <c r="B13" s="84"/>
      <c r="C13" s="84"/>
      <c r="D13" s="84"/>
      <c r="E13" s="84" t="s">
        <v>634</v>
      </c>
      <c r="F13" s="85">
        <v>44992</v>
      </c>
      <c r="G13" s="84" t="s">
        <v>1734</v>
      </c>
      <c r="H13" s="84" t="s">
        <v>779</v>
      </c>
      <c r="I13" s="84" t="s">
        <v>781</v>
      </c>
      <c r="J13" s="84" t="s">
        <v>659</v>
      </c>
      <c r="K13" s="87">
        <v>39</v>
      </c>
    </row>
    <row r="14" spans="1:11" ht="14.6" x14ac:dyDescent="0.4">
      <c r="A14" s="84"/>
      <c r="B14" s="84"/>
      <c r="C14" s="84"/>
      <c r="D14" s="84"/>
      <c r="E14" s="84" t="s">
        <v>634</v>
      </c>
      <c r="F14" s="85">
        <v>44996</v>
      </c>
      <c r="G14" s="84" t="s">
        <v>1735</v>
      </c>
      <c r="H14" s="84" t="s">
        <v>1026</v>
      </c>
      <c r="I14" s="84" t="s">
        <v>1755</v>
      </c>
      <c r="J14" s="84" t="s">
        <v>659</v>
      </c>
      <c r="K14" s="87">
        <v>1429.47</v>
      </c>
    </row>
    <row r="15" spans="1:11" ht="14.6" x14ac:dyDescent="0.4">
      <c r="A15" s="84"/>
      <c r="B15" s="84"/>
      <c r="C15" s="84"/>
      <c r="D15" s="84"/>
      <c r="E15" s="84" t="s">
        <v>634</v>
      </c>
      <c r="F15" s="85">
        <v>44998</v>
      </c>
      <c r="G15" s="84" t="s">
        <v>1736</v>
      </c>
      <c r="H15" s="84" t="s">
        <v>779</v>
      </c>
      <c r="I15" s="84" t="s">
        <v>781</v>
      </c>
      <c r="J15" s="84" t="s">
        <v>659</v>
      </c>
      <c r="K15" s="87">
        <v>3228.77</v>
      </c>
    </row>
    <row r="16" spans="1:11" ht="14.6" x14ac:dyDescent="0.4">
      <c r="A16" s="84"/>
      <c r="B16" s="84"/>
      <c r="C16" s="84"/>
      <c r="D16" s="84"/>
      <c r="E16" s="84" t="s">
        <v>634</v>
      </c>
      <c r="F16" s="85">
        <v>44999</v>
      </c>
      <c r="G16" s="84" t="s">
        <v>1737</v>
      </c>
      <c r="H16" s="84" t="s">
        <v>1752</v>
      </c>
      <c r="I16" s="84" t="s">
        <v>780</v>
      </c>
      <c r="J16" s="84" t="s">
        <v>659</v>
      </c>
      <c r="K16" s="87">
        <v>366.3</v>
      </c>
    </row>
    <row r="17" spans="1:11" ht="14.6" x14ac:dyDescent="0.4">
      <c r="A17" s="84"/>
      <c r="B17" s="84"/>
      <c r="C17" s="84"/>
      <c r="D17" s="84"/>
      <c r="E17" s="84" t="s">
        <v>634</v>
      </c>
      <c r="F17" s="85">
        <v>45022</v>
      </c>
      <c r="G17" s="84" t="s">
        <v>1738</v>
      </c>
      <c r="H17" s="84" t="s">
        <v>779</v>
      </c>
      <c r="I17" s="84" t="s">
        <v>781</v>
      </c>
      <c r="J17" s="84" t="s">
        <v>659</v>
      </c>
      <c r="K17" s="87">
        <v>39</v>
      </c>
    </row>
    <row r="18" spans="1:11" ht="14.6" x14ac:dyDescent="0.4">
      <c r="A18" s="84"/>
      <c r="B18" s="84"/>
      <c r="C18" s="84"/>
      <c r="D18" s="84"/>
      <c r="E18" s="84" t="s">
        <v>634</v>
      </c>
      <c r="F18" s="85">
        <v>45022</v>
      </c>
      <c r="G18" s="84" t="s">
        <v>1739</v>
      </c>
      <c r="H18" s="84" t="s">
        <v>1752</v>
      </c>
      <c r="I18" s="84" t="s">
        <v>780</v>
      </c>
      <c r="J18" s="84" t="s">
        <v>659</v>
      </c>
      <c r="K18" s="87">
        <v>354.95</v>
      </c>
    </row>
    <row r="19" spans="1:11" ht="14.6" x14ac:dyDescent="0.4">
      <c r="A19" s="84"/>
      <c r="B19" s="84"/>
      <c r="C19" s="84"/>
      <c r="D19" s="84"/>
      <c r="E19" s="84" t="s">
        <v>634</v>
      </c>
      <c r="F19" s="85">
        <v>45045</v>
      </c>
      <c r="G19" s="84" t="s">
        <v>1740</v>
      </c>
      <c r="H19" s="84" t="s">
        <v>1026</v>
      </c>
      <c r="I19" s="84" t="s">
        <v>1756</v>
      </c>
      <c r="J19" s="84" t="s">
        <v>659</v>
      </c>
      <c r="K19" s="87">
        <v>1506.81</v>
      </c>
    </row>
    <row r="20" spans="1:11" ht="14.6" x14ac:dyDescent="0.4">
      <c r="A20" s="84"/>
      <c r="B20" s="84"/>
      <c r="C20" s="84"/>
      <c r="D20" s="84"/>
      <c r="E20" s="84" t="s">
        <v>634</v>
      </c>
      <c r="F20" s="85">
        <v>45050</v>
      </c>
      <c r="G20" s="84" t="s">
        <v>1741</v>
      </c>
      <c r="H20" s="84" t="s">
        <v>779</v>
      </c>
      <c r="I20" s="84" t="s">
        <v>781</v>
      </c>
      <c r="J20" s="84" t="s">
        <v>659</v>
      </c>
      <c r="K20" s="87">
        <v>1292</v>
      </c>
    </row>
    <row r="21" spans="1:11" ht="14.6" x14ac:dyDescent="0.4">
      <c r="A21" s="84"/>
      <c r="B21" s="84"/>
      <c r="C21" s="84"/>
      <c r="D21" s="84"/>
      <c r="E21" s="84" t="s">
        <v>634</v>
      </c>
      <c r="F21" s="85">
        <v>45050</v>
      </c>
      <c r="G21" s="84" t="s">
        <v>1741</v>
      </c>
      <c r="H21" s="84" t="s">
        <v>779</v>
      </c>
      <c r="I21" s="84" t="s">
        <v>1757</v>
      </c>
      <c r="J21" s="84" t="s">
        <v>659</v>
      </c>
      <c r="K21" s="87">
        <v>150</v>
      </c>
    </row>
    <row r="22" spans="1:11" ht="14.6" x14ac:dyDescent="0.4">
      <c r="A22" s="84"/>
      <c r="B22" s="84"/>
      <c r="C22" s="84"/>
      <c r="D22" s="84"/>
      <c r="E22" s="84" t="s">
        <v>634</v>
      </c>
      <c r="F22" s="85">
        <v>45054</v>
      </c>
      <c r="G22" s="84" t="s">
        <v>1742</v>
      </c>
      <c r="H22" s="84" t="s">
        <v>779</v>
      </c>
      <c r="I22" s="84" t="s">
        <v>781</v>
      </c>
      <c r="J22" s="84" t="s">
        <v>659</v>
      </c>
      <c r="K22" s="87">
        <v>39</v>
      </c>
    </row>
    <row r="23" spans="1:11" ht="14.6" x14ac:dyDescent="0.4">
      <c r="A23" s="84"/>
      <c r="B23" s="84"/>
      <c r="C23" s="84"/>
      <c r="D23" s="84"/>
      <c r="E23" s="84" t="s">
        <v>634</v>
      </c>
      <c r="F23" s="85">
        <v>45054</v>
      </c>
      <c r="G23" s="84" t="s">
        <v>1743</v>
      </c>
      <c r="H23" s="84" t="s">
        <v>1752</v>
      </c>
      <c r="I23" s="84" t="s">
        <v>780</v>
      </c>
      <c r="J23" s="84" t="s">
        <v>659</v>
      </c>
      <c r="K23" s="87">
        <v>345</v>
      </c>
    </row>
    <row r="24" spans="1:11" ht="14.6" x14ac:dyDescent="0.4">
      <c r="A24" s="84"/>
      <c r="B24" s="84"/>
      <c r="C24" s="84"/>
      <c r="D24" s="84"/>
      <c r="E24" s="84" t="s">
        <v>634</v>
      </c>
      <c r="F24" s="85">
        <v>45054</v>
      </c>
      <c r="G24" s="84" t="s">
        <v>1743</v>
      </c>
      <c r="H24" s="84" t="s">
        <v>1752</v>
      </c>
      <c r="I24" s="84" t="s">
        <v>1758</v>
      </c>
      <c r="J24" s="84" t="s">
        <v>659</v>
      </c>
      <c r="K24" s="87">
        <v>334.81</v>
      </c>
    </row>
    <row r="25" spans="1:11" ht="14.6" x14ac:dyDescent="0.4">
      <c r="A25" s="84"/>
      <c r="B25" s="84"/>
      <c r="C25" s="84"/>
      <c r="D25" s="84"/>
      <c r="E25" s="84" t="s">
        <v>634</v>
      </c>
      <c r="F25" s="85">
        <v>45069</v>
      </c>
      <c r="G25" s="84" t="s">
        <v>1744</v>
      </c>
      <c r="H25" s="84" t="s">
        <v>1752</v>
      </c>
      <c r="I25" s="84" t="s">
        <v>780</v>
      </c>
      <c r="J25" s="84" t="s">
        <v>659</v>
      </c>
      <c r="K25" s="87">
        <v>345</v>
      </c>
    </row>
    <row r="26" spans="1:11" ht="14.6" x14ac:dyDescent="0.4">
      <c r="A26" s="84"/>
      <c r="B26" s="84"/>
      <c r="C26" s="84"/>
      <c r="D26" s="84"/>
      <c r="E26" s="84" t="s">
        <v>634</v>
      </c>
      <c r="F26" s="85">
        <v>45082</v>
      </c>
      <c r="G26" s="84" t="s">
        <v>1745</v>
      </c>
      <c r="H26" s="84" t="s">
        <v>779</v>
      </c>
      <c r="I26" s="84" t="s">
        <v>781</v>
      </c>
      <c r="J26" s="84" t="s">
        <v>659</v>
      </c>
      <c r="K26" s="87">
        <v>1292</v>
      </c>
    </row>
    <row r="27" spans="1:11" ht="14.6" x14ac:dyDescent="0.4">
      <c r="A27" s="84"/>
      <c r="B27" s="84"/>
      <c r="C27" s="84"/>
      <c r="D27" s="84"/>
      <c r="E27" s="84" t="s">
        <v>634</v>
      </c>
      <c r="F27" s="85">
        <v>45083</v>
      </c>
      <c r="G27" s="84" t="s">
        <v>1746</v>
      </c>
      <c r="H27" s="84" t="s">
        <v>779</v>
      </c>
      <c r="I27" s="84" t="s">
        <v>781</v>
      </c>
      <c r="J27" s="84" t="s">
        <v>659</v>
      </c>
      <c r="K27" s="87">
        <v>39</v>
      </c>
    </row>
    <row r="28" spans="1:11" ht="14.6" x14ac:dyDescent="0.4">
      <c r="A28" s="84"/>
      <c r="B28" s="84"/>
      <c r="C28" s="84"/>
      <c r="D28" s="84"/>
      <c r="E28" s="84" t="s">
        <v>634</v>
      </c>
      <c r="F28" s="85">
        <v>45087</v>
      </c>
      <c r="G28" s="84" t="s">
        <v>1747</v>
      </c>
      <c r="H28" s="84" t="s">
        <v>1026</v>
      </c>
      <c r="I28" s="84" t="s">
        <v>1755</v>
      </c>
      <c r="J28" s="84" t="s">
        <v>659</v>
      </c>
      <c r="K28" s="87">
        <v>1429.47</v>
      </c>
    </row>
    <row r="29" spans="1:11" ht="14.6" x14ac:dyDescent="0.4">
      <c r="A29" s="84"/>
      <c r="B29" s="84"/>
      <c r="C29" s="84"/>
      <c r="D29" s="84"/>
      <c r="E29" s="84" t="s">
        <v>634</v>
      </c>
      <c r="F29" s="85">
        <v>45100</v>
      </c>
      <c r="G29" s="84" t="s">
        <v>1748</v>
      </c>
      <c r="H29" s="84" t="s">
        <v>1752</v>
      </c>
      <c r="I29" s="84" t="s">
        <v>780</v>
      </c>
      <c r="J29" s="84" t="s">
        <v>659</v>
      </c>
      <c r="K29" s="87">
        <v>345</v>
      </c>
    </row>
    <row r="30" spans="1:11" ht="14.6" x14ac:dyDescent="0.4">
      <c r="A30" s="84"/>
      <c r="B30" s="84"/>
      <c r="C30" s="84"/>
      <c r="D30" s="84"/>
      <c r="E30" s="84" t="s">
        <v>634</v>
      </c>
      <c r="F30" s="85">
        <v>45110</v>
      </c>
      <c r="G30" s="84" t="s">
        <v>1749</v>
      </c>
      <c r="H30" s="84" t="s">
        <v>1753</v>
      </c>
      <c r="I30" s="84" t="s">
        <v>1759</v>
      </c>
      <c r="J30" s="84" t="s">
        <v>659</v>
      </c>
      <c r="K30" s="87">
        <v>1292</v>
      </c>
    </row>
    <row r="31" spans="1:11" ht="14.6" x14ac:dyDescent="0.4">
      <c r="A31" s="84"/>
      <c r="B31" s="84"/>
      <c r="C31" s="84"/>
      <c r="D31" s="84"/>
      <c r="E31" s="84" t="s">
        <v>634</v>
      </c>
      <c r="F31" s="85">
        <v>45114</v>
      </c>
      <c r="G31" s="84" t="s">
        <v>1750</v>
      </c>
      <c r="H31" s="84" t="s">
        <v>779</v>
      </c>
      <c r="I31" s="84" t="s">
        <v>781</v>
      </c>
      <c r="J31" s="84" t="s">
        <v>659</v>
      </c>
      <c r="K31" s="87">
        <v>39</v>
      </c>
    </row>
    <row r="32" spans="1:11" ht="14.6" x14ac:dyDescent="0.4">
      <c r="A32" s="84"/>
      <c r="B32" s="84"/>
      <c r="C32" s="84"/>
      <c r="D32" s="84"/>
      <c r="E32" s="84" t="s">
        <v>634</v>
      </c>
      <c r="F32" s="85">
        <v>45137</v>
      </c>
      <c r="G32" s="84" t="s">
        <v>3024</v>
      </c>
      <c r="H32" s="84" t="s">
        <v>1026</v>
      </c>
      <c r="I32" s="84" t="s">
        <v>1027</v>
      </c>
      <c r="J32" s="84" t="s">
        <v>659</v>
      </c>
      <c r="K32" s="87">
        <v>1506.81</v>
      </c>
    </row>
    <row r="33" spans="1:11" ht="14.6" x14ac:dyDescent="0.4">
      <c r="A33" s="84"/>
      <c r="B33" s="84"/>
      <c r="C33" s="84"/>
      <c r="D33" s="84"/>
      <c r="E33" s="84" t="s">
        <v>634</v>
      </c>
      <c r="F33" s="85">
        <v>45138</v>
      </c>
      <c r="G33" s="84" t="s">
        <v>1751</v>
      </c>
      <c r="H33" s="84" t="s">
        <v>1752</v>
      </c>
      <c r="I33" s="84" t="s">
        <v>780</v>
      </c>
      <c r="J33" s="84" t="s">
        <v>659</v>
      </c>
      <c r="K33" s="87">
        <v>345</v>
      </c>
    </row>
    <row r="34" spans="1:11" ht="14.6" x14ac:dyDescent="0.4">
      <c r="A34" s="84"/>
      <c r="B34" s="84"/>
      <c r="C34" s="84"/>
      <c r="D34" s="84"/>
      <c r="E34" s="84" t="s">
        <v>634</v>
      </c>
      <c r="F34" s="85">
        <v>45138</v>
      </c>
      <c r="G34" s="84" t="s">
        <v>1751</v>
      </c>
      <c r="H34" s="84" t="s">
        <v>1752</v>
      </c>
      <c r="I34" s="84" t="s">
        <v>1758</v>
      </c>
      <c r="J34" s="84" t="s">
        <v>659</v>
      </c>
      <c r="K34" s="87">
        <v>665.4</v>
      </c>
    </row>
    <row r="35" spans="1:11" ht="14.6" x14ac:dyDescent="0.4">
      <c r="A35" s="84"/>
      <c r="B35" s="84"/>
      <c r="C35" s="84"/>
      <c r="D35" s="84"/>
      <c r="E35" s="84" t="s">
        <v>634</v>
      </c>
      <c r="F35" s="85">
        <v>45141</v>
      </c>
      <c r="G35" s="84" t="s">
        <v>3025</v>
      </c>
      <c r="H35" s="84" t="s">
        <v>1753</v>
      </c>
      <c r="I35" s="84" t="s">
        <v>1759</v>
      </c>
      <c r="J35" s="84" t="s">
        <v>659</v>
      </c>
      <c r="K35" s="87">
        <v>1292</v>
      </c>
    </row>
    <row r="36" spans="1:11" ht="14.6" x14ac:dyDescent="0.4">
      <c r="A36" s="84"/>
      <c r="B36" s="84"/>
      <c r="C36" s="84"/>
      <c r="D36" s="84"/>
      <c r="E36" s="84" t="s">
        <v>634</v>
      </c>
      <c r="F36" s="85">
        <v>45145</v>
      </c>
      <c r="G36" s="84" t="s">
        <v>3026</v>
      </c>
      <c r="H36" s="84" t="s">
        <v>779</v>
      </c>
      <c r="I36" s="84" t="s">
        <v>781</v>
      </c>
      <c r="J36" s="84" t="s">
        <v>659</v>
      </c>
      <c r="K36" s="87">
        <v>39</v>
      </c>
    </row>
    <row r="37" spans="1:11" ht="14.6" x14ac:dyDescent="0.4">
      <c r="A37" s="84"/>
      <c r="B37" s="84"/>
      <c r="C37" s="84"/>
      <c r="D37" s="84"/>
      <c r="E37" s="84" t="s">
        <v>634</v>
      </c>
      <c r="F37" s="85">
        <v>45161</v>
      </c>
      <c r="G37" s="84" t="s">
        <v>3027</v>
      </c>
      <c r="H37" s="84" t="s">
        <v>1752</v>
      </c>
      <c r="I37" s="84" t="s">
        <v>780</v>
      </c>
      <c r="J37" s="84" t="s">
        <v>659</v>
      </c>
      <c r="K37" s="87">
        <v>345</v>
      </c>
    </row>
    <row r="38" spans="1:11" ht="14.6" x14ac:dyDescent="0.4">
      <c r="A38" s="84"/>
      <c r="B38" s="84"/>
      <c r="C38" s="84"/>
      <c r="D38" s="84"/>
      <c r="E38" s="84" t="s">
        <v>634</v>
      </c>
      <c r="F38" s="85">
        <v>45173</v>
      </c>
      <c r="G38" s="84" t="s">
        <v>3028</v>
      </c>
      <c r="H38" s="84" t="s">
        <v>1753</v>
      </c>
      <c r="I38" s="84" t="s">
        <v>1759</v>
      </c>
      <c r="J38" s="84" t="s">
        <v>659</v>
      </c>
      <c r="K38" s="87">
        <v>1292</v>
      </c>
    </row>
    <row r="39" spans="1:11" ht="14.6" x14ac:dyDescent="0.4">
      <c r="A39" s="84"/>
      <c r="B39" s="84"/>
      <c r="C39" s="84"/>
      <c r="D39" s="84"/>
      <c r="E39" s="84" t="s">
        <v>634</v>
      </c>
      <c r="F39" s="85">
        <v>45175</v>
      </c>
      <c r="G39" s="84" t="s">
        <v>3029</v>
      </c>
      <c r="H39" s="84" t="s">
        <v>779</v>
      </c>
      <c r="I39" s="84" t="s">
        <v>781</v>
      </c>
      <c r="J39" s="84" t="s">
        <v>659</v>
      </c>
      <c r="K39" s="87">
        <v>39</v>
      </c>
    </row>
    <row r="40" spans="1:11" ht="14.6" x14ac:dyDescent="0.4">
      <c r="A40" s="84"/>
      <c r="B40" s="84"/>
      <c r="C40" s="84"/>
      <c r="D40" s="84"/>
      <c r="E40" s="84" t="s">
        <v>634</v>
      </c>
      <c r="F40" s="85">
        <v>45179</v>
      </c>
      <c r="G40" s="84" t="s">
        <v>3030</v>
      </c>
      <c r="H40" s="84" t="s">
        <v>1026</v>
      </c>
      <c r="I40" s="84" t="s">
        <v>1755</v>
      </c>
      <c r="J40" s="84" t="s">
        <v>659</v>
      </c>
      <c r="K40" s="87">
        <v>1429.47</v>
      </c>
    </row>
    <row r="41" spans="1:11" ht="14.6" x14ac:dyDescent="0.4">
      <c r="A41" s="84"/>
      <c r="B41" s="84"/>
      <c r="C41" s="84"/>
      <c r="D41" s="84"/>
      <c r="E41" s="84" t="s">
        <v>634</v>
      </c>
      <c r="F41" s="85">
        <v>45194</v>
      </c>
      <c r="G41" s="84" t="s">
        <v>3031</v>
      </c>
      <c r="H41" s="84" t="s">
        <v>1752</v>
      </c>
      <c r="I41" s="84" t="s">
        <v>780</v>
      </c>
      <c r="J41" s="84" t="s">
        <v>659</v>
      </c>
      <c r="K41" s="87">
        <v>345</v>
      </c>
    </row>
    <row r="42" spans="1:11" ht="14.6" x14ac:dyDescent="0.4">
      <c r="A42" s="84"/>
      <c r="B42" s="84"/>
      <c r="C42" s="84"/>
      <c r="D42" s="84"/>
      <c r="E42" s="84" t="s">
        <v>634</v>
      </c>
      <c r="F42" s="85">
        <v>45202</v>
      </c>
      <c r="G42" s="84" t="s">
        <v>3032</v>
      </c>
      <c r="H42" s="84" t="s">
        <v>1753</v>
      </c>
      <c r="I42" s="84" t="s">
        <v>1759</v>
      </c>
      <c r="J42" s="84" t="s">
        <v>659</v>
      </c>
      <c r="K42" s="87">
        <v>1292</v>
      </c>
    </row>
    <row r="43" spans="1:11" ht="14.6" x14ac:dyDescent="0.4">
      <c r="A43" s="84"/>
      <c r="B43" s="84"/>
      <c r="C43" s="84"/>
      <c r="D43" s="84"/>
      <c r="E43" s="84" t="s">
        <v>634</v>
      </c>
      <c r="F43" s="85">
        <v>45203</v>
      </c>
      <c r="G43" s="84" t="s">
        <v>3033</v>
      </c>
      <c r="H43" s="84" t="s">
        <v>3045</v>
      </c>
      <c r="I43" s="84" t="s">
        <v>3046</v>
      </c>
      <c r="J43" s="84" t="s">
        <v>659</v>
      </c>
      <c r="K43" s="87">
        <v>49</v>
      </c>
    </row>
    <row r="44" spans="1:11" ht="14.6" x14ac:dyDescent="0.4">
      <c r="A44" s="84"/>
      <c r="B44" s="84"/>
      <c r="C44" s="84"/>
      <c r="D44" s="84"/>
      <c r="E44" s="84" t="s">
        <v>634</v>
      </c>
      <c r="F44" s="85">
        <v>45208</v>
      </c>
      <c r="G44" s="84" t="s">
        <v>3034</v>
      </c>
      <c r="H44" s="84" t="s">
        <v>779</v>
      </c>
      <c r="I44" s="84" t="s">
        <v>781</v>
      </c>
      <c r="J44" s="84" t="s">
        <v>659</v>
      </c>
      <c r="K44" s="87">
        <v>39</v>
      </c>
    </row>
    <row r="45" spans="1:11" ht="14.6" x14ac:dyDescent="0.4">
      <c r="A45" s="84"/>
      <c r="B45" s="84"/>
      <c r="C45" s="84"/>
      <c r="D45" s="84"/>
      <c r="E45" s="84" t="s">
        <v>634</v>
      </c>
      <c r="F45" s="85">
        <v>45226</v>
      </c>
      <c r="G45" s="84" t="s">
        <v>3035</v>
      </c>
      <c r="H45" s="84" t="s">
        <v>1752</v>
      </c>
      <c r="I45" s="84" t="s">
        <v>780</v>
      </c>
      <c r="J45" s="84" t="s">
        <v>659</v>
      </c>
      <c r="K45" s="87">
        <v>345</v>
      </c>
    </row>
    <row r="46" spans="1:11" ht="14.6" x14ac:dyDescent="0.4">
      <c r="A46" s="84"/>
      <c r="B46" s="84"/>
      <c r="C46" s="84"/>
      <c r="D46" s="84"/>
      <c r="E46" s="84" t="s">
        <v>634</v>
      </c>
      <c r="F46" s="85">
        <v>45226</v>
      </c>
      <c r="G46" s="84" t="s">
        <v>3035</v>
      </c>
      <c r="H46" s="84" t="s">
        <v>1752</v>
      </c>
      <c r="I46" s="84" t="s">
        <v>1758</v>
      </c>
      <c r="J46" s="84" t="s">
        <v>659</v>
      </c>
      <c r="K46" s="87">
        <v>454.82</v>
      </c>
    </row>
    <row r="47" spans="1:11" ht="14.6" x14ac:dyDescent="0.4">
      <c r="A47" s="84"/>
      <c r="B47" s="84"/>
      <c r="C47" s="84"/>
      <c r="D47" s="84"/>
      <c r="E47" s="84" t="s">
        <v>634</v>
      </c>
      <c r="F47" s="85">
        <v>45228</v>
      </c>
      <c r="G47" s="84" t="s">
        <v>3036</v>
      </c>
      <c r="H47" s="84" t="s">
        <v>1026</v>
      </c>
      <c r="I47" s="84" t="s">
        <v>1027</v>
      </c>
      <c r="J47" s="84" t="s">
        <v>659</v>
      </c>
      <c r="K47" s="87">
        <v>1506.81</v>
      </c>
    </row>
    <row r="48" spans="1:11" ht="14.6" x14ac:dyDescent="0.4">
      <c r="A48" s="84"/>
      <c r="B48" s="84"/>
      <c r="C48" s="84"/>
      <c r="D48" s="84"/>
      <c r="E48" s="84" t="s">
        <v>634</v>
      </c>
      <c r="F48" s="85">
        <v>45233</v>
      </c>
      <c r="G48" s="84" t="s">
        <v>3037</v>
      </c>
      <c r="H48" s="84" t="s">
        <v>1753</v>
      </c>
      <c r="I48" s="84" t="s">
        <v>1759</v>
      </c>
      <c r="J48" s="84" t="s">
        <v>659</v>
      </c>
      <c r="K48" s="87">
        <v>1292</v>
      </c>
    </row>
    <row r="49" spans="1:11" ht="14.6" x14ac:dyDescent="0.4">
      <c r="A49" s="84"/>
      <c r="B49" s="84"/>
      <c r="C49" s="84"/>
      <c r="D49" s="84"/>
      <c r="E49" s="84" t="s">
        <v>634</v>
      </c>
      <c r="F49" s="85">
        <v>45234</v>
      </c>
      <c r="G49" s="84" t="s">
        <v>3038</v>
      </c>
      <c r="H49" s="84" t="s">
        <v>3045</v>
      </c>
      <c r="I49" s="84" t="s">
        <v>3046</v>
      </c>
      <c r="J49" s="84" t="s">
        <v>659</v>
      </c>
      <c r="K49" s="87">
        <v>49</v>
      </c>
    </row>
    <row r="50" spans="1:11" ht="14.6" x14ac:dyDescent="0.4">
      <c r="A50" s="84"/>
      <c r="B50" s="84"/>
      <c r="C50" s="84"/>
      <c r="D50" s="84"/>
      <c r="E50" s="84" t="s">
        <v>634</v>
      </c>
      <c r="F50" s="85">
        <v>45236</v>
      </c>
      <c r="G50" s="84" t="s">
        <v>3039</v>
      </c>
      <c r="H50" s="84" t="s">
        <v>779</v>
      </c>
      <c r="I50" s="84" t="s">
        <v>781</v>
      </c>
      <c r="J50" s="84" t="s">
        <v>659</v>
      </c>
      <c r="K50" s="87">
        <v>39</v>
      </c>
    </row>
    <row r="51" spans="1:11" ht="14.6" x14ac:dyDescent="0.4">
      <c r="A51" s="84"/>
      <c r="B51" s="84"/>
      <c r="C51" s="84"/>
      <c r="D51" s="84"/>
      <c r="E51" s="84" t="s">
        <v>634</v>
      </c>
      <c r="F51" s="85">
        <v>45252</v>
      </c>
      <c r="G51" s="84" t="s">
        <v>3040</v>
      </c>
      <c r="H51" s="84" t="s">
        <v>1752</v>
      </c>
      <c r="I51" s="84" t="s">
        <v>780</v>
      </c>
      <c r="J51" s="84" t="s">
        <v>659</v>
      </c>
      <c r="K51" s="87">
        <v>345</v>
      </c>
    </row>
    <row r="52" spans="1:11" ht="14.6" x14ac:dyDescent="0.4">
      <c r="A52" s="84"/>
      <c r="B52" s="84"/>
      <c r="C52" s="84"/>
      <c r="D52" s="84"/>
      <c r="E52" s="84" t="s">
        <v>634</v>
      </c>
      <c r="F52" s="85">
        <v>45264</v>
      </c>
      <c r="G52" s="84" t="s">
        <v>3041</v>
      </c>
      <c r="H52" s="84" t="s">
        <v>1753</v>
      </c>
      <c r="I52" s="84" t="s">
        <v>1759</v>
      </c>
      <c r="J52" s="84" t="s">
        <v>659</v>
      </c>
      <c r="K52" s="87">
        <v>1292</v>
      </c>
    </row>
    <row r="53" spans="1:11" ht="14.6" x14ac:dyDescent="0.4">
      <c r="A53" s="84"/>
      <c r="B53" s="84"/>
      <c r="C53" s="84"/>
      <c r="D53" s="84"/>
      <c r="E53" s="84" t="s">
        <v>634</v>
      </c>
      <c r="F53" s="85">
        <v>45264</v>
      </c>
      <c r="G53" s="84" t="s">
        <v>3042</v>
      </c>
      <c r="H53" s="84" t="s">
        <v>3045</v>
      </c>
      <c r="I53" s="84" t="s">
        <v>3046</v>
      </c>
      <c r="J53" s="84" t="s">
        <v>659</v>
      </c>
      <c r="K53" s="87">
        <v>49</v>
      </c>
    </row>
    <row r="54" spans="1:11" ht="14.6" x14ac:dyDescent="0.4">
      <c r="A54" s="84"/>
      <c r="B54" s="84"/>
      <c r="C54" s="84"/>
      <c r="D54" s="84"/>
      <c r="E54" s="84" t="s">
        <v>634</v>
      </c>
      <c r="F54" s="85">
        <v>45267</v>
      </c>
      <c r="G54" s="84" t="s">
        <v>3043</v>
      </c>
      <c r="H54" s="84" t="s">
        <v>779</v>
      </c>
      <c r="I54" s="84" t="s">
        <v>781</v>
      </c>
      <c r="J54" s="84" t="s">
        <v>659</v>
      </c>
      <c r="K54" s="87">
        <v>39</v>
      </c>
    </row>
    <row r="55" spans="1:11" thickBot="1" x14ac:dyDescent="0.45">
      <c r="A55" s="84"/>
      <c r="B55" s="84"/>
      <c r="C55" s="84"/>
      <c r="D55" s="84"/>
      <c r="E55" s="84" t="s">
        <v>634</v>
      </c>
      <c r="F55" s="85">
        <v>45271</v>
      </c>
      <c r="G55" s="84" t="s">
        <v>3044</v>
      </c>
      <c r="H55" s="84" t="s">
        <v>1026</v>
      </c>
      <c r="I55" s="84" t="s">
        <v>1755</v>
      </c>
      <c r="J55" s="84" t="s">
        <v>659</v>
      </c>
      <c r="K55" s="413">
        <v>1429.47</v>
      </c>
    </row>
    <row r="56" spans="1:11" thickBot="1" x14ac:dyDescent="0.45">
      <c r="A56" s="84"/>
      <c r="B56" s="84"/>
      <c r="C56" s="84" t="s">
        <v>775</v>
      </c>
      <c r="D56" s="84"/>
      <c r="E56" s="84"/>
      <c r="F56" s="85"/>
      <c r="G56" s="84"/>
      <c r="H56" s="84"/>
      <c r="I56" s="84"/>
      <c r="J56" s="84"/>
      <c r="K56" s="414">
        <f>ROUND(SUM(K3:K55),5)</f>
        <v>34559.35</v>
      </c>
    </row>
    <row r="57" spans="1:11" thickBot="1" x14ac:dyDescent="0.45">
      <c r="A57" s="84"/>
      <c r="B57" s="84" t="s">
        <v>703</v>
      </c>
      <c r="C57" s="84"/>
      <c r="D57" s="84"/>
      <c r="E57" s="84"/>
      <c r="F57" s="85"/>
      <c r="G57" s="84"/>
      <c r="H57" s="84"/>
      <c r="I57" s="84"/>
      <c r="J57" s="84"/>
      <c r="K57" s="414">
        <f>K56</f>
        <v>34559.35</v>
      </c>
    </row>
    <row r="58" spans="1:11" thickBot="1" x14ac:dyDescent="0.45">
      <c r="A58" s="84" t="s">
        <v>158</v>
      </c>
      <c r="B58" s="84"/>
      <c r="C58" s="84"/>
      <c r="D58" s="84"/>
      <c r="E58" s="84"/>
      <c r="F58" s="85"/>
      <c r="G58" s="84"/>
      <c r="H58" s="84"/>
      <c r="I58" s="84"/>
      <c r="J58" s="84"/>
      <c r="K58" s="415">
        <f>K57</f>
        <v>34559.35</v>
      </c>
    </row>
    <row r="59" spans="1:11" thickTop="1" x14ac:dyDescent="0.4"/>
  </sheetData>
  <pageMargins left="0.7" right="0.7" top="0.75" bottom="0.75" header="0.1" footer="0"/>
  <pageSetup orientation="portrait" r:id="rId1"/>
  <headerFooter>
    <oddHeader>&amp;L&amp;"Arial,Bold"&amp;8 4:23 PM
&amp;"Arial,Bold"&amp;8 01/24/24
&amp;"Arial,Bold"&amp;8 Accrual Basis&amp;C&amp;"Arial,Bold"&amp;12 Williamson Central Appraisal District
&amp;"Arial,Bold"&amp;14 Account QuickReport
&amp;"Arial,Bold"&amp;10 January through December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10600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10600" r:id="rId4" name="HEADER"/>
      </mc:Fallback>
    </mc:AlternateContent>
    <mc:AlternateContent xmlns:mc="http://schemas.openxmlformats.org/markup-compatibility/2006">
      <mc:Choice Requires="x14">
        <control shapeId="110599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10599" r:id="rId6" name="FILT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BD95E-6C0F-4E35-960D-E2F957C450C0}">
  <sheetPr>
    <pageSetUpPr fitToPage="1"/>
  </sheetPr>
  <dimension ref="A1:T92"/>
  <sheetViews>
    <sheetView zoomScaleNormal="100" workbookViewId="0">
      <selection activeCell="B17" sqref="B17"/>
    </sheetView>
  </sheetViews>
  <sheetFormatPr defaultColWidth="14.3828125" defaultRowHeight="14.6" x14ac:dyDescent="0.4"/>
  <cols>
    <col min="1" max="1" width="48" bestFit="1" customWidth="1"/>
    <col min="2" max="2" width="12.15234375" bestFit="1" customWidth="1"/>
    <col min="3" max="3" width="11.53515625" bestFit="1" customWidth="1"/>
    <col min="4" max="4" width="12.15234375" bestFit="1" customWidth="1"/>
    <col min="5" max="5" width="12.15234375" customWidth="1"/>
    <col min="6" max="9" width="12.53515625" customWidth="1"/>
    <col min="10" max="10" width="12.3828125" customWidth="1"/>
    <col min="11" max="11" width="9.69140625" bestFit="1" customWidth="1"/>
    <col min="12" max="12" width="7" customWidth="1"/>
    <col min="13" max="13" width="12.53515625" bestFit="1" customWidth="1"/>
    <col min="14" max="14" width="15" bestFit="1" customWidth="1"/>
    <col min="15" max="17" width="13.3046875" customWidth="1"/>
    <col min="18" max="18" width="13.53515625" bestFit="1" customWidth="1"/>
    <col min="19" max="19" width="15" bestFit="1" customWidth="1"/>
    <col min="20" max="24" width="13.3046875" customWidth="1"/>
    <col min="25" max="27" width="15.15234375" customWidth="1"/>
  </cols>
  <sheetData>
    <row r="1" spans="1:20" ht="26.15" x14ac:dyDescent="0.7">
      <c r="A1" s="944" t="s">
        <v>53</v>
      </c>
      <c r="B1" s="944"/>
      <c r="C1" s="944"/>
      <c r="D1" s="944"/>
      <c r="E1" s="944"/>
      <c r="F1" s="944"/>
      <c r="G1" s="944"/>
      <c r="H1" s="944"/>
      <c r="I1" s="944"/>
      <c r="J1" s="944"/>
      <c r="K1" s="944"/>
    </row>
    <row r="2" spans="1:20" ht="45" customHeight="1" x14ac:dyDescent="0.4">
      <c r="A2" s="297" t="s">
        <v>1</v>
      </c>
      <c r="B2" s="298" t="s">
        <v>54</v>
      </c>
      <c r="C2" s="298" t="s">
        <v>55</v>
      </c>
      <c r="D2" s="298" t="s">
        <v>56</v>
      </c>
      <c r="E2" s="298" t="s">
        <v>57</v>
      </c>
      <c r="F2" s="298" t="s">
        <v>58</v>
      </c>
      <c r="G2" s="298" t="s">
        <v>59</v>
      </c>
      <c r="H2" s="298" t="s">
        <v>60</v>
      </c>
      <c r="I2" s="298" t="s">
        <v>2</v>
      </c>
      <c r="J2" s="298" t="s">
        <v>61</v>
      </c>
      <c r="K2" s="299" t="s">
        <v>62</v>
      </c>
      <c r="L2" s="1"/>
      <c r="M2" s="1"/>
      <c r="N2" t="s">
        <v>63</v>
      </c>
    </row>
    <row r="3" spans="1:20" x14ac:dyDescent="0.4">
      <c r="A3" s="149" t="s">
        <v>9</v>
      </c>
      <c r="B3" s="141">
        <v>3942800</v>
      </c>
      <c r="C3" s="141">
        <v>3852722</v>
      </c>
      <c r="D3" s="141">
        <v>4225900</v>
      </c>
      <c r="E3" s="141">
        <v>4114339</v>
      </c>
      <c r="F3" s="141">
        <v>4348900</v>
      </c>
      <c r="G3" s="141">
        <v>4237072</v>
      </c>
      <c r="H3" s="141">
        <v>4350500</v>
      </c>
      <c r="I3" s="141">
        <v>4650100</v>
      </c>
      <c r="J3" s="150">
        <f>SUM(ROUNDUP('1% Personnel'!E10,-2))</f>
        <v>4758900</v>
      </c>
      <c r="K3" s="151">
        <f>(J3-I3)/I3</f>
        <v>2.3397346293628093E-2</v>
      </c>
      <c r="L3" s="1"/>
      <c r="M3" s="3">
        <v>2020</v>
      </c>
      <c r="N3">
        <v>2021</v>
      </c>
    </row>
    <row r="4" spans="1:20" x14ac:dyDescent="0.4">
      <c r="A4" s="3" t="s">
        <v>10</v>
      </c>
      <c r="B4" s="5">
        <v>229700</v>
      </c>
      <c r="C4" s="5">
        <v>215369</v>
      </c>
      <c r="D4" s="4">
        <v>257800</v>
      </c>
      <c r="E4" s="4">
        <v>231208</v>
      </c>
      <c r="F4" s="4">
        <v>255600</v>
      </c>
      <c r="G4" s="4">
        <v>236554</v>
      </c>
      <c r="H4" s="4">
        <v>253000</v>
      </c>
      <c r="I4" s="4">
        <v>265800</v>
      </c>
      <c r="J4" s="4">
        <f>SUM(ROUNDUP('1% Personnel'!E34,-2))</f>
        <v>269300</v>
      </c>
      <c r="K4" s="152">
        <f t="shared" ref="K4:K31" si="0">(J4-I4)/I4</f>
        <v>1.3167795334838224E-2</v>
      </c>
      <c r="L4" s="1"/>
      <c r="M4" s="945" t="s">
        <v>64</v>
      </c>
      <c r="N4" s="943"/>
    </row>
    <row r="5" spans="1:20" x14ac:dyDescent="0.4">
      <c r="A5" s="149" t="s">
        <v>11</v>
      </c>
      <c r="B5" s="141">
        <v>551200</v>
      </c>
      <c r="C5" s="141">
        <v>523428</v>
      </c>
      <c r="D5" s="141">
        <v>568800</v>
      </c>
      <c r="E5" s="141">
        <v>541872</v>
      </c>
      <c r="F5" s="141">
        <v>603100</v>
      </c>
      <c r="G5" s="141">
        <v>557116</v>
      </c>
      <c r="H5" s="141">
        <v>626700</v>
      </c>
      <c r="I5" s="141">
        <v>675600</v>
      </c>
      <c r="J5" s="150">
        <f>SUM(ROUNDUP('1% Personnel'!E43,-2))</f>
        <v>656400</v>
      </c>
      <c r="K5" s="151">
        <f t="shared" si="0"/>
        <v>-2.8419182948490232E-2</v>
      </c>
      <c r="L5" s="1"/>
      <c r="M5" s="4">
        <f>SUM(I3:I8)</f>
        <v>6553600</v>
      </c>
      <c r="N5" s="5">
        <f>SUM(J3:J8)</f>
        <v>6669600</v>
      </c>
      <c r="O5" s="129">
        <f>N5/N35</f>
        <v>0.67538201371097584</v>
      </c>
    </row>
    <row r="6" spans="1:20" x14ac:dyDescent="0.4">
      <c r="A6" s="3" t="s">
        <v>12</v>
      </c>
      <c r="B6" s="5">
        <v>674900</v>
      </c>
      <c r="C6" s="5">
        <v>715849</v>
      </c>
      <c r="D6" s="5">
        <v>751300</v>
      </c>
      <c r="E6" s="5">
        <v>678833</v>
      </c>
      <c r="F6" s="5">
        <v>752100</v>
      </c>
      <c r="G6" s="5">
        <v>697225</v>
      </c>
      <c r="H6" s="5">
        <v>717700</v>
      </c>
      <c r="I6" s="5">
        <v>882200</v>
      </c>
      <c r="J6" s="4">
        <f>SUM(ROUNDUP('1% Personnel'!E57,-2))</f>
        <v>903500</v>
      </c>
      <c r="K6" s="152">
        <f t="shared" si="0"/>
        <v>2.414418499206529E-2</v>
      </c>
      <c r="L6" s="1"/>
      <c r="M6" s="1"/>
      <c r="O6" s="130"/>
      <c r="R6" s="282" t="s">
        <v>65</v>
      </c>
      <c r="S6" s="283" t="s">
        <v>66</v>
      </c>
      <c r="T6" s="284" t="s">
        <v>67</v>
      </c>
    </row>
    <row r="7" spans="1:20" x14ac:dyDescent="0.4">
      <c r="A7" s="153" t="s">
        <v>13</v>
      </c>
      <c r="B7" s="142">
        <v>8800</v>
      </c>
      <c r="C7" s="142">
        <v>8159</v>
      </c>
      <c r="D7" s="142">
        <v>8900</v>
      </c>
      <c r="E7" s="142">
        <v>8492</v>
      </c>
      <c r="F7" s="142">
        <v>8900</v>
      </c>
      <c r="G7" s="142">
        <v>8302</v>
      </c>
      <c r="H7" s="142">
        <v>8900</v>
      </c>
      <c r="I7" s="142">
        <v>8900</v>
      </c>
      <c r="J7" s="154">
        <f>SUM(ROUNDUP('1% Personnel'!E63,-2))</f>
        <v>8900</v>
      </c>
      <c r="K7" s="151">
        <f t="shared" si="0"/>
        <v>0</v>
      </c>
      <c r="L7" s="1"/>
      <c r="M7" s="1"/>
      <c r="O7" s="130"/>
      <c r="R7" s="270" t="s">
        <v>64</v>
      </c>
      <c r="S7" s="271">
        <f>SUM(N5)</f>
        <v>6669600</v>
      </c>
      <c r="T7" s="272">
        <f t="shared" ref="T7:T12" si="1">S7/$S$13</f>
        <v>0.67538201371097584</v>
      </c>
    </row>
    <row r="8" spans="1:20" x14ac:dyDescent="0.4">
      <c r="A8" s="3" t="s">
        <v>14</v>
      </c>
      <c r="B8" s="5">
        <v>62900</v>
      </c>
      <c r="C8" s="5">
        <v>54592</v>
      </c>
      <c r="D8" s="5">
        <v>67400</v>
      </c>
      <c r="E8" s="5">
        <v>58060</v>
      </c>
      <c r="F8" s="5">
        <v>67900</v>
      </c>
      <c r="G8" s="5">
        <v>60053</v>
      </c>
      <c r="H8" s="5">
        <v>67400</v>
      </c>
      <c r="I8" s="5">
        <v>71000</v>
      </c>
      <c r="J8" s="4">
        <f>SUM(ROUNDUP('1% Personnel'!E77,-2))</f>
        <v>72600</v>
      </c>
      <c r="K8" s="152">
        <f t="shared" si="0"/>
        <v>2.2535211267605635E-2</v>
      </c>
      <c r="L8" s="1"/>
      <c r="M8" s="1"/>
      <c r="O8" s="130"/>
      <c r="R8" s="273" t="s">
        <v>68</v>
      </c>
      <c r="S8" s="274">
        <f>SUM(N11)</f>
        <v>517200</v>
      </c>
      <c r="T8" s="275">
        <f t="shared" si="1"/>
        <v>5.2373092463013783E-2</v>
      </c>
    </row>
    <row r="9" spans="1:20" x14ac:dyDescent="0.4">
      <c r="A9" s="153" t="s">
        <v>16</v>
      </c>
      <c r="B9" s="142">
        <v>12600</v>
      </c>
      <c r="C9" s="142">
        <v>10891</v>
      </c>
      <c r="D9" s="142">
        <v>12070</v>
      </c>
      <c r="E9" s="142">
        <v>9363</v>
      </c>
      <c r="F9" s="142">
        <v>15100</v>
      </c>
      <c r="G9" s="142">
        <v>11279</v>
      </c>
      <c r="H9" s="142">
        <v>14100</v>
      </c>
      <c r="I9" s="142">
        <v>13600</v>
      </c>
      <c r="J9" s="154">
        <f>SUM(ROUNDUP('Budget-Services'!I15,-2))</f>
        <v>13500</v>
      </c>
      <c r="K9" s="151">
        <f t="shared" si="0"/>
        <v>-7.3529411764705881E-3</v>
      </c>
      <c r="L9" s="1"/>
      <c r="M9" s="1"/>
      <c r="O9" s="130"/>
      <c r="R9" s="270" t="s">
        <v>69</v>
      </c>
      <c r="S9" s="271">
        <f>SUM(N17)</f>
        <v>2336200</v>
      </c>
      <c r="T9" s="272">
        <f t="shared" si="1"/>
        <v>0.23657002825230625</v>
      </c>
    </row>
    <row r="10" spans="1:20" x14ac:dyDescent="0.4">
      <c r="A10" s="3" t="s">
        <v>18</v>
      </c>
      <c r="B10" s="5">
        <v>93900</v>
      </c>
      <c r="C10" s="5">
        <v>93900</v>
      </c>
      <c r="D10" s="5">
        <v>109400</v>
      </c>
      <c r="E10" s="5">
        <v>108514</v>
      </c>
      <c r="F10" s="5">
        <v>116900</v>
      </c>
      <c r="G10" s="5">
        <v>108342</v>
      </c>
      <c r="H10" s="5">
        <v>129900</v>
      </c>
      <c r="I10" s="5">
        <v>210900</v>
      </c>
      <c r="J10" s="4">
        <f>SUM(ROUNDUP('Budget-Services'!I38,-2))</f>
        <v>291500</v>
      </c>
      <c r="K10" s="152">
        <f t="shared" si="0"/>
        <v>0.38217164532954007</v>
      </c>
      <c r="L10" s="1"/>
      <c r="M10" s="945" t="s">
        <v>70</v>
      </c>
      <c r="N10" s="943"/>
      <c r="O10" s="130"/>
      <c r="R10" s="273" t="s">
        <v>71</v>
      </c>
      <c r="S10" s="274">
        <f>SUM(N28)</f>
        <v>0</v>
      </c>
      <c r="T10" s="275">
        <f t="shared" si="1"/>
        <v>0</v>
      </c>
    </row>
    <row r="11" spans="1:20" x14ac:dyDescent="0.4">
      <c r="A11" s="251" t="s">
        <v>20</v>
      </c>
      <c r="B11" s="252">
        <v>44200</v>
      </c>
      <c r="C11" s="252">
        <v>44200</v>
      </c>
      <c r="D11" s="252">
        <v>48400</v>
      </c>
      <c r="E11" s="252">
        <v>53093</v>
      </c>
      <c r="F11" s="252">
        <v>53400</v>
      </c>
      <c r="G11" s="252">
        <v>50379</v>
      </c>
      <c r="H11" s="252">
        <v>58800</v>
      </c>
      <c r="I11" s="252">
        <v>85000</v>
      </c>
      <c r="J11" s="253">
        <f>SUM(ROUNDUP('Budget-Services'!I62,-2))</f>
        <v>101700</v>
      </c>
      <c r="K11" s="151">
        <f t="shared" si="0"/>
        <v>0.19647058823529412</v>
      </c>
      <c r="L11" s="1"/>
      <c r="M11" s="4">
        <f>SUM(I9:I14)</f>
        <v>411000</v>
      </c>
      <c r="N11" s="5">
        <f>SUM(J9:J14)</f>
        <v>517200</v>
      </c>
      <c r="O11" s="129">
        <f>N11/N35</f>
        <v>5.2373092463013783E-2</v>
      </c>
      <c r="R11" s="270" t="s">
        <v>72</v>
      </c>
      <c r="S11" s="271">
        <f>SUM(N31)</f>
        <v>70000</v>
      </c>
      <c r="T11" s="272">
        <f t="shared" si="1"/>
        <v>7.0883922513746414E-3</v>
      </c>
    </row>
    <row r="12" spans="1:20" ht="15" thickBot="1" x14ac:dyDescent="0.45">
      <c r="A12" s="3" t="s">
        <v>22</v>
      </c>
      <c r="B12" s="5">
        <v>4800</v>
      </c>
      <c r="C12" s="5">
        <v>4800</v>
      </c>
      <c r="D12" s="5">
        <v>5830</v>
      </c>
      <c r="E12" s="5">
        <v>5827</v>
      </c>
      <c r="F12" s="5">
        <v>6000</v>
      </c>
      <c r="G12" s="5">
        <v>6243</v>
      </c>
      <c r="H12" s="5">
        <v>7200</v>
      </c>
      <c r="I12" s="5">
        <v>7200</v>
      </c>
      <c r="J12" s="4">
        <f>SUM(ROUNDUP('Budget-Services'!I66,-2))</f>
        <v>7200</v>
      </c>
      <c r="K12" s="152">
        <f t="shared" si="0"/>
        <v>0</v>
      </c>
      <c r="L12" s="1"/>
      <c r="M12" s="1"/>
      <c r="O12" s="130"/>
      <c r="R12" s="276" t="s">
        <v>73</v>
      </c>
      <c r="S12" s="277">
        <f>SUM(N34)</f>
        <v>282300</v>
      </c>
      <c r="T12" s="278">
        <f t="shared" si="1"/>
        <v>2.8586473322329449E-2</v>
      </c>
    </row>
    <row r="13" spans="1:20" ht="15" thickBot="1" x14ac:dyDescent="0.45">
      <c r="A13" s="149" t="s">
        <v>24</v>
      </c>
      <c r="B13" s="141">
        <v>61000</v>
      </c>
      <c r="C13" s="141">
        <v>109071</v>
      </c>
      <c r="D13" s="141">
        <v>72300</v>
      </c>
      <c r="E13" s="141">
        <v>68848</v>
      </c>
      <c r="F13" s="141">
        <v>72800</v>
      </c>
      <c r="G13" s="141">
        <v>76288</v>
      </c>
      <c r="H13" s="141">
        <v>78900</v>
      </c>
      <c r="I13" s="141">
        <v>80800</v>
      </c>
      <c r="J13" s="150">
        <f>SUM(ROUNDUP('Budget-Services'!I80,-2))</f>
        <v>91000</v>
      </c>
      <c r="K13" s="151">
        <f t="shared" si="0"/>
        <v>0.12623762376237624</v>
      </c>
      <c r="L13" s="1"/>
      <c r="M13" s="1"/>
      <c r="O13" s="130"/>
      <c r="R13" s="281" t="s">
        <v>74</v>
      </c>
      <c r="S13" s="279">
        <f>SUM(S7:S12)</f>
        <v>9875300</v>
      </c>
      <c r="T13" s="280">
        <f>SUM(T7:T12)</f>
        <v>0.99999999999999989</v>
      </c>
    </row>
    <row r="14" spans="1:20" x14ac:dyDescent="0.4">
      <c r="A14" s="3" t="s">
        <v>26</v>
      </c>
      <c r="B14" s="5">
        <v>30600</v>
      </c>
      <c r="C14" s="5">
        <v>17822</v>
      </c>
      <c r="D14" s="5">
        <v>15210</v>
      </c>
      <c r="E14" s="5">
        <v>12829</v>
      </c>
      <c r="F14" s="5">
        <v>18500</v>
      </c>
      <c r="G14" s="5">
        <v>6455</v>
      </c>
      <c r="H14" s="5">
        <v>14300</v>
      </c>
      <c r="I14" s="5">
        <v>13500</v>
      </c>
      <c r="J14" s="4">
        <f>SUM(ROUNDUP('Budget-Services'!I94,-2))</f>
        <v>12300</v>
      </c>
      <c r="K14" s="152">
        <f t="shared" si="0"/>
        <v>-8.8888888888888892E-2</v>
      </c>
      <c r="L14" s="1"/>
      <c r="M14" s="1"/>
      <c r="O14" s="130"/>
    </row>
    <row r="15" spans="1:20" x14ac:dyDescent="0.4">
      <c r="A15" s="251" t="s">
        <v>28</v>
      </c>
      <c r="B15" s="252">
        <v>89800</v>
      </c>
      <c r="C15" s="252">
        <v>72828</v>
      </c>
      <c r="D15" s="252">
        <v>102500</v>
      </c>
      <c r="E15" s="252">
        <v>99861</v>
      </c>
      <c r="F15" s="252">
        <v>90100</v>
      </c>
      <c r="G15" s="252">
        <v>97252</v>
      </c>
      <c r="H15" s="252">
        <v>106900</v>
      </c>
      <c r="I15" s="252">
        <v>111700</v>
      </c>
      <c r="J15" s="253">
        <f>SUM(ROUNDUP('Budget-Services'!I132,-2))</f>
        <v>134300</v>
      </c>
      <c r="K15" s="151">
        <f t="shared" si="0"/>
        <v>0.20232766338406447</v>
      </c>
      <c r="L15" s="1"/>
      <c r="M15" s="1"/>
      <c r="O15" s="130"/>
    </row>
    <row r="16" spans="1:20" x14ac:dyDescent="0.4">
      <c r="A16" s="155" t="s">
        <v>29</v>
      </c>
      <c r="B16" s="143">
        <v>53400</v>
      </c>
      <c r="C16" s="143">
        <v>42720</v>
      </c>
      <c r="D16" s="143">
        <v>47990</v>
      </c>
      <c r="E16" s="143">
        <v>47989</v>
      </c>
      <c r="F16" s="143">
        <v>41400</v>
      </c>
      <c r="G16" s="143">
        <v>25290</v>
      </c>
      <c r="H16" s="143">
        <v>40000</v>
      </c>
      <c r="I16" s="143">
        <v>40000</v>
      </c>
      <c r="J16" s="156">
        <f>SUM(ROUNDUP('Budget-Services'!I141,-2))</f>
        <v>41100</v>
      </c>
      <c r="K16" s="152">
        <f t="shared" si="0"/>
        <v>2.75E-2</v>
      </c>
      <c r="L16" s="1"/>
      <c r="M16" s="945" t="s">
        <v>69</v>
      </c>
      <c r="N16" s="943"/>
      <c r="O16" s="130"/>
    </row>
    <row r="17" spans="1:16" x14ac:dyDescent="0.4">
      <c r="A17" s="251" t="s">
        <v>30</v>
      </c>
      <c r="B17" s="252">
        <v>156400</v>
      </c>
      <c r="C17" s="252">
        <v>145935</v>
      </c>
      <c r="D17" s="252">
        <v>157990</v>
      </c>
      <c r="E17" s="252">
        <v>157984</v>
      </c>
      <c r="F17" s="252">
        <v>155000</v>
      </c>
      <c r="G17" s="252">
        <v>156639</v>
      </c>
      <c r="H17" s="252">
        <v>158400</v>
      </c>
      <c r="I17" s="252">
        <v>167300</v>
      </c>
      <c r="J17" s="253">
        <f>SUM(ROUNDUP('Budget-Services'!I151,-2))</f>
        <v>228200</v>
      </c>
      <c r="K17" s="151">
        <f t="shared" si="0"/>
        <v>0.36401673640167365</v>
      </c>
      <c r="L17" s="1"/>
      <c r="M17" s="4">
        <f>SUM(I15:I27)</f>
        <v>1827300</v>
      </c>
      <c r="N17" s="5">
        <f>SUM(J15:J27)</f>
        <v>2336200</v>
      </c>
      <c r="O17" s="129">
        <f>N17/N35</f>
        <v>0.23657002825230625</v>
      </c>
    </row>
    <row r="18" spans="1:16" x14ac:dyDescent="0.4">
      <c r="A18" s="155" t="s">
        <v>31</v>
      </c>
      <c r="B18" s="143">
        <v>84800</v>
      </c>
      <c r="C18" s="143">
        <v>114375</v>
      </c>
      <c r="D18" s="143">
        <v>98710</v>
      </c>
      <c r="E18" s="143">
        <v>158880</v>
      </c>
      <c r="F18" s="5">
        <v>106500</v>
      </c>
      <c r="G18" s="5">
        <v>111418</v>
      </c>
      <c r="H18" s="5">
        <v>128000</v>
      </c>
      <c r="I18" s="5">
        <v>129300</v>
      </c>
      <c r="J18" s="4">
        <f>SUM(ROUNDUP('Budget-Services'!I179,-2))</f>
        <v>179500</v>
      </c>
      <c r="K18" s="152">
        <f t="shared" si="0"/>
        <v>0.38824439288476409</v>
      </c>
      <c r="L18" s="1"/>
      <c r="M18" s="1"/>
      <c r="O18" s="130"/>
    </row>
    <row r="19" spans="1:16" x14ac:dyDescent="0.4">
      <c r="A19" s="251" t="s">
        <v>32</v>
      </c>
      <c r="B19" s="252">
        <v>7800</v>
      </c>
      <c r="C19" s="252">
        <v>7800</v>
      </c>
      <c r="D19" s="252">
        <v>8250</v>
      </c>
      <c r="E19" s="252">
        <v>8250</v>
      </c>
      <c r="F19" s="252">
        <v>8400</v>
      </c>
      <c r="G19" s="252">
        <v>9300</v>
      </c>
      <c r="H19" s="252">
        <v>10100</v>
      </c>
      <c r="I19" s="252">
        <v>10200</v>
      </c>
      <c r="J19" s="253">
        <f>SUM(ROUNDUP('Budget-Services'!I185,-2))</f>
        <v>14300</v>
      </c>
      <c r="K19" s="151">
        <f t="shared" si="0"/>
        <v>0.40196078431372551</v>
      </c>
      <c r="L19" s="1"/>
      <c r="M19" s="6"/>
      <c r="N19" s="5"/>
      <c r="O19" s="130"/>
    </row>
    <row r="20" spans="1:16" x14ac:dyDescent="0.4">
      <c r="A20" s="3" t="s">
        <v>33</v>
      </c>
      <c r="B20" s="5">
        <v>4500</v>
      </c>
      <c r="C20" s="5">
        <v>4500</v>
      </c>
      <c r="D20" s="5">
        <v>6000</v>
      </c>
      <c r="E20" s="5">
        <v>4703</v>
      </c>
      <c r="F20" s="5">
        <v>6000</v>
      </c>
      <c r="G20" s="5">
        <v>5833</v>
      </c>
      <c r="H20" s="5">
        <v>6000</v>
      </c>
      <c r="I20" s="5">
        <v>6000</v>
      </c>
      <c r="J20" s="4">
        <f>SUM(ROUNDUP('Budget-Services'!I189,-2))</f>
        <v>6000</v>
      </c>
      <c r="K20" s="152">
        <f t="shared" si="0"/>
        <v>0</v>
      </c>
      <c r="L20" s="1"/>
      <c r="M20" s="1"/>
      <c r="O20" s="130"/>
    </row>
    <row r="21" spans="1:16" x14ac:dyDescent="0.4">
      <c r="A21" s="153" t="s">
        <v>34</v>
      </c>
      <c r="B21" s="142">
        <v>44600</v>
      </c>
      <c r="C21" s="142">
        <v>40997</v>
      </c>
      <c r="D21" s="142">
        <v>47100</v>
      </c>
      <c r="E21" s="142">
        <v>43537</v>
      </c>
      <c r="F21" s="142">
        <v>45700</v>
      </c>
      <c r="G21" s="142">
        <v>75711</v>
      </c>
      <c r="H21" s="142">
        <v>47200</v>
      </c>
      <c r="I21" s="142">
        <v>85300</v>
      </c>
      <c r="J21" s="154">
        <f>SUM(ROUNDUP('Budget-Services'!I230,-2))</f>
        <v>132500</v>
      </c>
      <c r="K21" s="151">
        <f t="shared" si="0"/>
        <v>0.55334114888628372</v>
      </c>
      <c r="L21" s="1"/>
      <c r="M21" s="1"/>
      <c r="O21" s="130"/>
    </row>
    <row r="22" spans="1:16" x14ac:dyDescent="0.4">
      <c r="A22" s="155" t="s">
        <v>35</v>
      </c>
      <c r="B22" s="143">
        <v>500</v>
      </c>
      <c r="C22" s="143">
        <v>0</v>
      </c>
      <c r="D22" s="143">
        <v>500</v>
      </c>
      <c r="E22" s="143">
        <v>0</v>
      </c>
      <c r="F22" s="143">
        <v>500</v>
      </c>
      <c r="G22" s="143">
        <v>0</v>
      </c>
      <c r="H22" s="143">
        <v>500</v>
      </c>
      <c r="I22" s="143">
        <v>500</v>
      </c>
      <c r="J22" s="156">
        <f>SUM(ROUNDUP('Budget-Services'!I234,-2))</f>
        <v>500</v>
      </c>
      <c r="K22" s="152">
        <f t="shared" si="0"/>
        <v>0</v>
      </c>
      <c r="L22" s="1"/>
      <c r="M22" s="1"/>
      <c r="O22" s="130"/>
    </row>
    <row r="23" spans="1:16" x14ac:dyDescent="0.4">
      <c r="A23" s="149" t="s">
        <v>36</v>
      </c>
      <c r="B23" s="141">
        <v>446500</v>
      </c>
      <c r="C23" s="141">
        <v>399678</v>
      </c>
      <c r="D23" s="141">
        <v>783300</v>
      </c>
      <c r="E23" s="141">
        <v>630893</v>
      </c>
      <c r="F23" s="141">
        <v>822700</v>
      </c>
      <c r="G23" s="141">
        <v>802957</v>
      </c>
      <c r="H23" s="141">
        <v>840700</v>
      </c>
      <c r="I23" s="141">
        <v>857700</v>
      </c>
      <c r="J23" s="150">
        <f>SUM(ROUNDUP('Budget-Services'!I255,-2))</f>
        <v>1011000</v>
      </c>
      <c r="K23" s="151">
        <f t="shared" si="0"/>
        <v>0.17873382301504023</v>
      </c>
      <c r="L23" s="1"/>
      <c r="M23" s="1"/>
      <c r="O23" s="130"/>
    </row>
    <row r="24" spans="1:16" x14ac:dyDescent="0.4">
      <c r="A24" s="155" t="s">
        <v>37</v>
      </c>
      <c r="B24" s="143">
        <v>237900</v>
      </c>
      <c r="C24" s="143">
        <v>189905</v>
      </c>
      <c r="D24" s="143">
        <v>0</v>
      </c>
      <c r="E24" s="143">
        <v>0</v>
      </c>
      <c r="F24" s="143">
        <v>0</v>
      </c>
      <c r="G24" s="143">
        <v>0</v>
      </c>
      <c r="H24" s="143">
        <v>0</v>
      </c>
      <c r="I24" s="143">
        <v>0</v>
      </c>
      <c r="J24" s="156">
        <v>0</v>
      </c>
      <c r="K24" s="152">
        <v>0</v>
      </c>
      <c r="L24" s="1"/>
      <c r="M24" s="1"/>
      <c r="O24" s="130"/>
    </row>
    <row r="25" spans="1:16" x14ac:dyDescent="0.4">
      <c r="A25" s="326" t="s">
        <v>38</v>
      </c>
      <c r="B25" s="328">
        <v>310000</v>
      </c>
      <c r="C25" s="328">
        <v>319353</v>
      </c>
      <c r="D25" s="328">
        <v>262350</v>
      </c>
      <c r="E25" s="328">
        <v>241812</v>
      </c>
      <c r="F25" s="328">
        <v>274000</v>
      </c>
      <c r="G25" s="328">
        <v>223432</v>
      </c>
      <c r="H25" s="328">
        <v>270800</v>
      </c>
      <c r="I25" s="328">
        <v>277600</v>
      </c>
      <c r="J25" s="329">
        <f>SUM(ROUNDUP('Budget-Services'!I302,-2))</f>
        <v>421300</v>
      </c>
      <c r="K25" s="327">
        <f t="shared" si="0"/>
        <v>0.51765129682997113</v>
      </c>
      <c r="L25" s="1"/>
      <c r="M25" s="1"/>
      <c r="O25" s="130"/>
    </row>
    <row r="26" spans="1:16" x14ac:dyDescent="0.4">
      <c r="A26" s="3" t="s">
        <v>39</v>
      </c>
      <c r="B26" s="5">
        <v>31300</v>
      </c>
      <c r="C26" s="5">
        <v>4110</v>
      </c>
      <c r="D26" s="5">
        <v>65700</v>
      </c>
      <c r="E26" s="5">
        <v>24540</v>
      </c>
      <c r="F26" s="5">
        <f>63700-1900</f>
        <v>61800</v>
      </c>
      <c r="G26" s="5">
        <v>81161</v>
      </c>
      <c r="H26" s="5">
        <v>96400</v>
      </c>
      <c r="I26" s="5">
        <v>123900</v>
      </c>
      <c r="J26" s="4">
        <f>SUM(ROUNDUP('Budget-Services'!I324,-2))</f>
        <v>145800</v>
      </c>
      <c r="K26" s="152">
        <f t="shared" si="0"/>
        <v>0.17675544794188863</v>
      </c>
      <c r="L26" s="1"/>
      <c r="M26" s="1"/>
      <c r="O26" s="130"/>
    </row>
    <row r="27" spans="1:16" x14ac:dyDescent="0.4">
      <c r="A27" s="153" t="s">
        <v>40</v>
      </c>
      <c r="B27" s="142">
        <v>17400</v>
      </c>
      <c r="C27" s="142">
        <v>13820</v>
      </c>
      <c r="D27" s="142">
        <v>16300</v>
      </c>
      <c r="E27" s="142">
        <v>16298</v>
      </c>
      <c r="F27" s="142">
        <v>15200</v>
      </c>
      <c r="G27" s="142">
        <v>16586</v>
      </c>
      <c r="H27" s="142">
        <v>17500</v>
      </c>
      <c r="I27" s="142">
        <v>17800</v>
      </c>
      <c r="J27" s="154">
        <f>SUM(ROUNDUP('Budget-Services'!I332,-2))</f>
        <v>21700</v>
      </c>
      <c r="K27" s="151">
        <f t="shared" si="0"/>
        <v>0.21910112359550563</v>
      </c>
      <c r="L27" s="1"/>
      <c r="M27" s="945" t="s">
        <v>71</v>
      </c>
      <c r="N27" s="943"/>
      <c r="O27" s="130"/>
    </row>
    <row r="28" spans="1:16" x14ac:dyDescent="0.4">
      <c r="A28" s="3" t="s">
        <v>41</v>
      </c>
      <c r="B28" s="5">
        <v>425600</v>
      </c>
      <c r="C28" s="5">
        <v>425517</v>
      </c>
      <c r="D28" s="5">
        <v>425600</v>
      </c>
      <c r="E28" s="5">
        <f>356665+68852</f>
        <v>425517</v>
      </c>
      <c r="F28" s="5">
        <v>425600</v>
      </c>
      <c r="G28" s="5">
        <f>369169+56348</f>
        <v>425517</v>
      </c>
      <c r="H28" s="5">
        <v>425600</v>
      </c>
      <c r="I28" s="5">
        <v>425600</v>
      </c>
      <c r="J28" s="4">
        <f>SUM(ROUNDUP('Budget-Services'!I336,-2))</f>
        <v>0</v>
      </c>
      <c r="K28" s="152">
        <f t="shared" si="0"/>
        <v>-1</v>
      </c>
      <c r="L28" s="1"/>
      <c r="M28" s="4">
        <f>SUM(I28)</f>
        <v>425600</v>
      </c>
      <c r="N28" s="5">
        <f>SUM(J28)</f>
        <v>0</v>
      </c>
      <c r="O28" s="129">
        <f>N28/N35</f>
        <v>0</v>
      </c>
    </row>
    <row r="29" spans="1:16" x14ac:dyDescent="0.4">
      <c r="A29" s="153" t="s">
        <v>42</v>
      </c>
      <c r="B29" s="142">
        <v>50000</v>
      </c>
      <c r="C29" s="142">
        <v>110591</v>
      </c>
      <c r="D29" s="142">
        <v>66500</v>
      </c>
      <c r="E29" s="142">
        <v>41191</v>
      </c>
      <c r="F29" s="142">
        <v>55000</v>
      </c>
      <c r="G29" s="142">
        <v>105866</v>
      </c>
      <c r="H29" s="142">
        <v>80000</v>
      </c>
      <c r="I29" s="142">
        <v>61200</v>
      </c>
      <c r="J29" s="154">
        <f>SUM(ROUNDUP('Budget-Services'!I342,-2))</f>
        <v>65000</v>
      </c>
      <c r="K29" s="151">
        <f t="shared" si="0"/>
        <v>6.2091503267973858E-2</v>
      </c>
      <c r="L29" s="1"/>
      <c r="M29" s="1"/>
      <c r="O29" s="130"/>
    </row>
    <row r="30" spans="1:16" x14ac:dyDescent="0.4">
      <c r="A30" s="3" t="s">
        <v>43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4">
        <f>SUM(ROUNDUP('Budget-Services'!I346,-2))</f>
        <v>0</v>
      </c>
      <c r="K30" s="152">
        <v>0</v>
      </c>
      <c r="L30" s="1"/>
      <c r="M30" s="942" t="s">
        <v>72</v>
      </c>
      <c r="N30" s="943"/>
      <c r="O30" s="130"/>
    </row>
    <row r="31" spans="1:16" x14ac:dyDescent="0.4">
      <c r="A31" s="153" t="s">
        <v>44</v>
      </c>
      <c r="B31" s="144">
        <v>5000</v>
      </c>
      <c r="C31" s="144">
        <v>0</v>
      </c>
      <c r="D31" s="144">
        <v>5000</v>
      </c>
      <c r="E31" s="144">
        <v>0</v>
      </c>
      <c r="F31" s="144">
        <v>5000</v>
      </c>
      <c r="G31" s="144">
        <v>0</v>
      </c>
      <c r="H31" s="144">
        <v>5000</v>
      </c>
      <c r="I31" s="144">
        <v>5000</v>
      </c>
      <c r="J31" s="157">
        <v>5000</v>
      </c>
      <c r="K31" s="151">
        <f t="shared" si="0"/>
        <v>0</v>
      </c>
      <c r="L31" s="1"/>
      <c r="M31" s="4">
        <f>SUM(I29:I31)</f>
        <v>66200</v>
      </c>
      <c r="N31" s="5">
        <f>SUM(J29:J31)</f>
        <v>70000</v>
      </c>
      <c r="O31" s="129">
        <f>N31/N35</f>
        <v>7.0883922513746414E-3</v>
      </c>
    </row>
    <row r="32" spans="1:16" ht="15" thickBot="1" x14ac:dyDescent="0.45">
      <c r="A32" s="21" t="s">
        <v>45</v>
      </c>
      <c r="B32" s="23">
        <f t="shared" ref="B32:F32" si="2">SUM(B3:B31)</f>
        <v>7682900</v>
      </c>
      <c r="C32" s="23">
        <f t="shared" si="2"/>
        <v>7542932</v>
      </c>
      <c r="D32" s="23">
        <f t="shared" si="2"/>
        <v>8237100</v>
      </c>
      <c r="E32" s="23">
        <f>SUM(E3:E31)</f>
        <v>7792733</v>
      </c>
      <c r="F32" s="23">
        <f t="shared" si="2"/>
        <v>8432100</v>
      </c>
      <c r="G32" s="23">
        <f>SUM(G3:G31)</f>
        <v>8192270</v>
      </c>
      <c r="H32" s="23">
        <f>SUM(H3:H31)</f>
        <v>8560500</v>
      </c>
      <c r="I32" s="23">
        <f>SUM(I3:I31)</f>
        <v>9283700</v>
      </c>
      <c r="J32" s="22">
        <f>SUM(J3:J31)</f>
        <v>9593000</v>
      </c>
      <c r="K32" s="158">
        <f>(J32-I32)/I32</f>
        <v>3.3316457877785796E-2</v>
      </c>
      <c r="L32" s="1"/>
      <c r="M32" s="148">
        <f>SUM(M31+M28+M17+M11+M5)</f>
        <v>9283700</v>
      </c>
      <c r="N32" s="116">
        <f>SUM(N31+N28+N17+N11+N5)</f>
        <v>9593000</v>
      </c>
      <c r="P32" s="318">
        <f>N32-M32</f>
        <v>309300</v>
      </c>
    </row>
    <row r="33" spans="1:16" ht="15" thickTop="1" x14ac:dyDescent="0.4">
      <c r="A33" s="153"/>
      <c r="B33" s="145"/>
      <c r="C33" s="145"/>
      <c r="D33" s="145"/>
      <c r="E33" s="145"/>
      <c r="F33" s="145"/>
      <c r="G33" s="145"/>
      <c r="H33" s="145"/>
      <c r="I33" s="145"/>
      <c r="J33" s="145"/>
      <c r="K33" s="159"/>
      <c r="L33" s="1"/>
      <c r="M33" s="3"/>
      <c r="O33" s="130"/>
    </row>
    <row r="34" spans="1:16" x14ac:dyDescent="0.4">
      <c r="A34" s="3" t="s">
        <v>46</v>
      </c>
      <c r="B34" s="247">
        <v>166300</v>
      </c>
      <c r="C34" s="247">
        <v>172982</v>
      </c>
      <c r="D34" s="247">
        <v>185900</v>
      </c>
      <c r="E34" s="247">
        <v>152449</v>
      </c>
      <c r="F34" s="247">
        <v>187100</v>
      </c>
      <c r="G34" s="247">
        <v>127911</v>
      </c>
      <c r="H34" s="247">
        <v>195300</v>
      </c>
      <c r="I34" s="247">
        <v>227800</v>
      </c>
      <c r="J34" s="248">
        <f>SUM(ROUNDUP('ARB Budget'!F39,-2))</f>
        <v>282300</v>
      </c>
      <c r="K34" s="152">
        <f>(J34-I34)/I34</f>
        <v>0.23924495171202809</v>
      </c>
      <c r="L34" s="1"/>
      <c r="M34" s="4">
        <f>SUM(I34)</f>
        <v>227800</v>
      </c>
      <c r="N34" s="249">
        <f>SUM(J34)</f>
        <v>282300</v>
      </c>
      <c r="O34" s="250">
        <f>N34/N35</f>
        <v>2.8586473322329449E-2</v>
      </c>
    </row>
    <row r="35" spans="1:16" ht="15" thickBot="1" x14ac:dyDescent="0.45">
      <c r="A35" s="160" t="s">
        <v>47</v>
      </c>
      <c r="B35" s="146">
        <f t="shared" ref="B35:J35" si="3">SUM(B32:B34)</f>
        <v>7849200</v>
      </c>
      <c r="C35" s="146">
        <f t="shared" si="3"/>
        <v>7715914</v>
      </c>
      <c r="D35" s="146">
        <f t="shared" si="3"/>
        <v>8423000</v>
      </c>
      <c r="E35" s="146">
        <f>SUM(E32:E34)</f>
        <v>7945182</v>
      </c>
      <c r="F35" s="146">
        <f t="shared" si="3"/>
        <v>8619200</v>
      </c>
      <c r="G35" s="146">
        <f>SUM(G32:G34)</f>
        <v>8320181</v>
      </c>
      <c r="H35" s="146">
        <f>SUM(H32:H34)</f>
        <v>8755800</v>
      </c>
      <c r="I35" s="146">
        <f>SUM(I32:I34)</f>
        <v>9511500</v>
      </c>
      <c r="J35" s="161">
        <f t="shared" si="3"/>
        <v>9875300</v>
      </c>
      <c r="K35" s="162">
        <f>(J35-I35)/I35</f>
        <v>3.8248436103663984E-2</v>
      </c>
      <c r="L35" s="1"/>
      <c r="M35" s="116">
        <f>SUM(M32:M34)</f>
        <v>9511500</v>
      </c>
      <c r="N35" s="127">
        <f>SUM(N32:N34)</f>
        <v>9875300</v>
      </c>
      <c r="O35" s="130">
        <f>SUM(O5:O34)</f>
        <v>0.99999999999999989</v>
      </c>
      <c r="P35" s="318">
        <f>N35-M35</f>
        <v>363800</v>
      </c>
    </row>
    <row r="36" spans="1:16" ht="15" thickTop="1" x14ac:dyDescent="0.4">
      <c r="A36" s="163" t="s">
        <v>48</v>
      </c>
      <c r="B36" s="147"/>
      <c r="C36" s="147"/>
      <c r="D36" s="147"/>
      <c r="E36" s="147"/>
      <c r="F36" s="147"/>
      <c r="G36" s="147"/>
      <c r="H36" s="147"/>
      <c r="I36" s="147"/>
      <c r="J36" s="156"/>
      <c r="K36" s="152"/>
    </row>
    <row r="37" spans="1:16" ht="15" thickBot="1" x14ac:dyDescent="0.45">
      <c r="A37" s="251" t="s">
        <v>49</v>
      </c>
      <c r="B37" s="263"/>
      <c r="C37" s="263"/>
      <c r="D37" s="348">
        <v>-247604</v>
      </c>
      <c r="E37" s="348"/>
      <c r="F37" s="348">
        <v>-200000</v>
      </c>
      <c r="G37" s="348"/>
      <c r="H37" s="348"/>
      <c r="I37" s="348">
        <v>-158000</v>
      </c>
      <c r="J37" s="349">
        <f>-(322053+50000)</f>
        <v>-372053</v>
      </c>
      <c r="K37" s="350"/>
      <c r="L37" s="1"/>
      <c r="M37" s="1"/>
    </row>
    <row r="38" spans="1:16" ht="15.45" thickTop="1" thickBot="1" x14ac:dyDescent="0.45">
      <c r="A38" s="30" t="s">
        <v>50</v>
      </c>
      <c r="B38" s="31">
        <f>SUM(B35)</f>
        <v>7849200</v>
      </c>
      <c r="C38" s="31"/>
      <c r="D38" s="31">
        <f t="shared" ref="D38:J38" si="4">SUM(D35:D37)</f>
        <v>8175396</v>
      </c>
      <c r="E38" s="31"/>
      <c r="F38" s="31">
        <f t="shared" si="4"/>
        <v>8419200</v>
      </c>
      <c r="G38" s="31"/>
      <c r="H38" s="31">
        <f>SUM(H35:H37)</f>
        <v>8755800</v>
      </c>
      <c r="I38" s="31">
        <f>SUM(I35:I37)</f>
        <v>9353500</v>
      </c>
      <c r="J38" s="32">
        <f t="shared" si="4"/>
        <v>9503247</v>
      </c>
      <c r="K38" s="165">
        <f>(J38-I38)/I38</f>
        <v>1.6009728978457261E-2</v>
      </c>
      <c r="O38" s="5"/>
    </row>
    <row r="39" spans="1:16" ht="15" thickTop="1" x14ac:dyDescent="0.4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1"/>
      <c r="M39" s="1"/>
    </row>
    <row r="40" spans="1:16" x14ac:dyDescent="0.4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1"/>
      <c r="M40" s="1"/>
    </row>
    <row r="41" spans="1:16" x14ac:dyDescent="0.4">
      <c r="A41" s="26"/>
      <c r="B41" s="33"/>
      <c r="C41" s="33"/>
      <c r="D41" s="33"/>
      <c r="E41" s="33"/>
      <c r="F41" s="33"/>
      <c r="G41" s="33"/>
      <c r="H41" s="33"/>
      <c r="I41" s="33"/>
      <c r="J41" s="33"/>
      <c r="K41" s="26"/>
      <c r="L41" s="1"/>
      <c r="M41" s="1"/>
    </row>
    <row r="42" spans="1:16" x14ac:dyDescent="0.4">
      <c r="J42" s="3"/>
      <c r="K42" s="3"/>
      <c r="L42" s="1"/>
      <c r="M42" s="1"/>
    </row>
    <row r="43" spans="1:16" x14ac:dyDescent="0.4">
      <c r="J43" s="3"/>
      <c r="K43" s="3"/>
      <c r="L43" s="1"/>
      <c r="M43" s="1"/>
    </row>
    <row r="44" spans="1:16" x14ac:dyDescent="0.4">
      <c r="J44" s="3"/>
      <c r="K44" s="3"/>
      <c r="L44" s="1"/>
      <c r="M44" s="1"/>
    </row>
    <row r="45" spans="1:16" x14ac:dyDescent="0.4">
      <c r="L45" s="1"/>
      <c r="M45" s="1"/>
    </row>
    <row r="46" spans="1:16" x14ac:dyDescent="0.4">
      <c r="L46" s="1"/>
      <c r="M46" s="1"/>
    </row>
    <row r="47" spans="1:16" x14ac:dyDescent="0.4">
      <c r="L47" s="1"/>
      <c r="M47" s="1"/>
    </row>
    <row r="48" spans="1:16" x14ac:dyDescent="0.4">
      <c r="L48" s="1"/>
      <c r="M48" s="1"/>
    </row>
    <row r="49" spans="12:13" x14ac:dyDescent="0.4">
      <c r="L49" s="1"/>
      <c r="M49" s="1"/>
    </row>
    <row r="50" spans="12:13" x14ac:dyDescent="0.4">
      <c r="L50" s="1"/>
      <c r="M50" s="1"/>
    </row>
    <row r="51" spans="12:13" x14ac:dyDescent="0.4">
      <c r="L51" s="1"/>
      <c r="M51" s="1"/>
    </row>
    <row r="52" spans="12:13" x14ac:dyDescent="0.4">
      <c r="L52" s="1"/>
      <c r="M52" s="1"/>
    </row>
    <row r="53" spans="12:13" x14ac:dyDescent="0.4">
      <c r="L53" s="1"/>
      <c r="M53" s="1"/>
    </row>
    <row r="54" spans="12:13" x14ac:dyDescent="0.4">
      <c r="L54" s="1"/>
      <c r="M54" s="1"/>
    </row>
    <row r="55" spans="12:13" x14ac:dyDescent="0.4">
      <c r="L55" s="1"/>
      <c r="M55" s="1"/>
    </row>
    <row r="56" spans="12:13" x14ac:dyDescent="0.4">
      <c r="L56" s="1"/>
      <c r="M56" s="1"/>
    </row>
    <row r="57" spans="12:13" x14ac:dyDescent="0.4">
      <c r="L57" s="1"/>
      <c r="M57" s="1"/>
    </row>
    <row r="58" spans="12:13" x14ac:dyDescent="0.4">
      <c r="L58" s="1"/>
      <c r="M58" s="1"/>
    </row>
    <row r="59" spans="12:13" x14ac:dyDescent="0.4">
      <c r="L59" s="1"/>
      <c r="M59" s="1"/>
    </row>
    <row r="60" spans="12:13" x14ac:dyDescent="0.4">
      <c r="L60" s="1"/>
      <c r="M60" s="1"/>
    </row>
    <row r="61" spans="12:13" x14ac:dyDescent="0.4">
      <c r="L61" s="1"/>
      <c r="M61" s="1"/>
    </row>
    <row r="62" spans="12:13" x14ac:dyDescent="0.4">
      <c r="L62" s="1"/>
      <c r="M62" s="1"/>
    </row>
    <row r="63" spans="12:13" x14ac:dyDescent="0.4">
      <c r="L63" s="1"/>
      <c r="M63" s="1"/>
    </row>
    <row r="64" spans="12:13" x14ac:dyDescent="0.4">
      <c r="L64" s="1"/>
      <c r="M64" s="1"/>
    </row>
    <row r="65" spans="12:13" x14ac:dyDescent="0.4">
      <c r="L65" s="1"/>
      <c r="M65" s="1"/>
    </row>
    <row r="66" spans="12:13" x14ac:dyDescent="0.4">
      <c r="L66" s="1"/>
      <c r="M66" s="1"/>
    </row>
    <row r="67" spans="12:13" x14ac:dyDescent="0.4">
      <c r="L67" s="1"/>
      <c r="M67" s="1"/>
    </row>
    <row r="68" spans="12:13" x14ac:dyDescent="0.4">
      <c r="L68" s="1"/>
      <c r="M68" s="1"/>
    </row>
    <row r="69" spans="12:13" x14ac:dyDescent="0.4">
      <c r="L69" s="1"/>
      <c r="M69" s="1"/>
    </row>
    <row r="70" spans="12:13" x14ac:dyDescent="0.4">
      <c r="L70" s="1"/>
      <c r="M70" s="1"/>
    </row>
    <row r="71" spans="12:13" x14ac:dyDescent="0.4">
      <c r="L71" s="1"/>
      <c r="M71" s="1"/>
    </row>
    <row r="72" spans="12:13" x14ac:dyDescent="0.4">
      <c r="L72" s="1"/>
      <c r="M72" s="1"/>
    </row>
    <row r="73" spans="12:13" x14ac:dyDescent="0.4">
      <c r="L73" s="1"/>
      <c r="M73" s="1"/>
    </row>
    <row r="74" spans="12:13" x14ac:dyDescent="0.4">
      <c r="L74" s="1"/>
      <c r="M74" s="1"/>
    </row>
    <row r="75" spans="12:13" x14ac:dyDescent="0.4">
      <c r="L75" s="1"/>
      <c r="M75" s="1"/>
    </row>
    <row r="76" spans="12:13" x14ac:dyDescent="0.4">
      <c r="L76" s="1"/>
      <c r="M76" s="1"/>
    </row>
    <row r="77" spans="12:13" x14ac:dyDescent="0.4">
      <c r="L77" s="1"/>
      <c r="M77" s="1"/>
    </row>
    <row r="78" spans="12:13" x14ac:dyDescent="0.4">
      <c r="L78" s="1"/>
      <c r="M78" s="1"/>
    </row>
    <row r="79" spans="12:13" x14ac:dyDescent="0.4">
      <c r="L79" s="1"/>
      <c r="M79" s="1"/>
    </row>
    <row r="80" spans="12:13" x14ac:dyDescent="0.4">
      <c r="L80" s="1"/>
      <c r="M80" s="1"/>
    </row>
    <row r="81" spans="1:13" x14ac:dyDescent="0.4">
      <c r="L81" s="1"/>
      <c r="M81" s="1"/>
    </row>
    <row r="82" spans="1:13" x14ac:dyDescent="0.4">
      <c r="L82" s="1"/>
      <c r="M82" s="1"/>
    </row>
    <row r="83" spans="1:13" x14ac:dyDescent="0.4">
      <c r="L83" s="1"/>
      <c r="M83" s="1"/>
    </row>
    <row r="84" spans="1:13" x14ac:dyDescent="0.4">
      <c r="L84" s="1"/>
      <c r="M84" s="1"/>
    </row>
    <row r="85" spans="1:13" x14ac:dyDescent="0.4">
      <c r="L85" s="1"/>
      <c r="M85" s="1"/>
    </row>
    <row r="86" spans="1:13" x14ac:dyDescent="0.4">
      <c r="L86" s="1"/>
      <c r="M86" s="1"/>
    </row>
    <row r="87" spans="1:13" x14ac:dyDescent="0.4">
      <c r="L87" s="1"/>
      <c r="M87" s="1"/>
    </row>
    <row r="88" spans="1:13" x14ac:dyDescent="0.4">
      <c r="L88" s="1"/>
      <c r="M88" s="1"/>
    </row>
    <row r="89" spans="1:13" x14ac:dyDescent="0.4">
      <c r="L89" s="1"/>
      <c r="M89" s="1"/>
    </row>
    <row r="90" spans="1:13" x14ac:dyDescent="0.4">
      <c r="L90" s="1"/>
      <c r="M90" s="1"/>
    </row>
    <row r="91" spans="1:13" x14ac:dyDescent="0.4">
      <c r="L91" s="1"/>
      <c r="M91" s="1"/>
    </row>
    <row r="92" spans="1:13" x14ac:dyDescent="0.4">
      <c r="A92" s="26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1"/>
      <c r="M92" s="1"/>
    </row>
  </sheetData>
  <mergeCells count="6">
    <mergeCell ref="M30:N30"/>
    <mergeCell ref="A1:K1"/>
    <mergeCell ref="M4:N4"/>
    <mergeCell ref="M10:N10"/>
    <mergeCell ref="M16:N16"/>
    <mergeCell ref="M27:N27"/>
  </mergeCells>
  <conditionalFormatting sqref="K3:K38">
    <cfRule type="cellIs" dxfId="166" priority="1" stopIfTrue="1" operator="lessThan">
      <formula>0</formula>
    </cfRule>
    <cfRule type="cellIs" dxfId="165" priority="2" stopIfTrue="1" operator="greaterThan">
      <formula>0</formula>
    </cfRule>
    <cfRule type="cellIs" dxfId="164" priority="3" stopIfTrue="1" operator="equal">
      <formula>0</formula>
    </cfRule>
  </conditionalFormatting>
  <printOptions horizontalCentered="1"/>
  <pageMargins left="0.25" right="0.25" top="0.75" bottom="0.75" header="0.3" footer="0.3"/>
  <pageSetup scale="7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6"/>
  <dimension ref="A1:K105"/>
  <sheetViews>
    <sheetView workbookViewId="0">
      <pane xSplit="3" ySplit="1" topLeftCell="D67" activePane="bottomRight" state="frozenSplit"/>
      <selection pane="topRight" activeCell="D1" sqref="D1"/>
      <selection pane="bottomLeft" activeCell="A2" sqref="A2"/>
      <selection pane="bottomRight"/>
    </sheetView>
  </sheetViews>
  <sheetFormatPr defaultColWidth="14.3828125" defaultRowHeight="15" customHeight="1" x14ac:dyDescent="0.4"/>
  <cols>
    <col min="1" max="2" width="3" customWidth="1"/>
    <col min="3" max="3" width="25.3828125" customWidth="1"/>
    <col min="4" max="4" width="2.3046875" customWidth="1"/>
    <col min="5" max="5" width="17.69140625" bestFit="1" customWidth="1"/>
    <col min="6" max="6" width="10.69140625" bestFit="1" customWidth="1"/>
    <col min="7" max="7" width="21.15234375" bestFit="1" customWidth="1"/>
    <col min="8" max="8" width="19.3046875" bestFit="1" customWidth="1"/>
    <col min="9" max="9" width="30.69140625" customWidth="1"/>
    <col min="10" max="10" width="28.3828125" bestFit="1" customWidth="1"/>
    <col min="11" max="11" width="10.15234375" bestFit="1" customWidth="1"/>
  </cols>
  <sheetData>
    <row r="1" spans="1:11" s="412" customFormat="1" thickBot="1" x14ac:dyDescent="0.45">
      <c r="A1" s="416"/>
      <c r="B1" s="416"/>
      <c r="C1" s="416"/>
      <c r="D1" s="416"/>
      <c r="E1" s="417" t="s">
        <v>623</v>
      </c>
      <c r="F1" s="417" t="s">
        <v>624</v>
      </c>
      <c r="G1" s="417" t="s">
        <v>625</v>
      </c>
      <c r="H1" s="417" t="s">
        <v>626</v>
      </c>
      <c r="I1" s="417" t="s">
        <v>627</v>
      </c>
      <c r="J1" s="417" t="s">
        <v>628</v>
      </c>
      <c r="K1" s="417" t="s">
        <v>629</v>
      </c>
    </row>
    <row r="2" spans="1:11" thickTop="1" x14ac:dyDescent="0.4">
      <c r="A2" s="84"/>
      <c r="B2" s="84" t="s">
        <v>700</v>
      </c>
      <c r="C2" s="84"/>
      <c r="D2" s="84"/>
      <c r="E2" s="84"/>
      <c r="F2" s="85"/>
      <c r="G2" s="84"/>
      <c r="H2" s="84"/>
      <c r="I2" s="84"/>
      <c r="J2" s="84"/>
      <c r="K2" s="87"/>
    </row>
    <row r="3" spans="1:11" ht="14.6" x14ac:dyDescent="0.4">
      <c r="A3" s="84"/>
      <c r="B3" s="84"/>
      <c r="C3" s="84" t="s">
        <v>782</v>
      </c>
      <c r="D3" s="84"/>
      <c r="E3" s="84"/>
      <c r="F3" s="85"/>
      <c r="G3" s="84"/>
      <c r="H3" s="84"/>
      <c r="I3" s="84"/>
      <c r="J3" s="84"/>
      <c r="K3" s="87"/>
    </row>
    <row r="4" spans="1:11" ht="14.6" x14ac:dyDescent="0.4">
      <c r="A4" s="84"/>
      <c r="B4" s="84"/>
      <c r="C4" s="84"/>
      <c r="D4" s="84"/>
      <c r="E4" s="84" t="s">
        <v>634</v>
      </c>
      <c r="F4" s="85">
        <v>44933</v>
      </c>
      <c r="G4" s="84" t="s">
        <v>784</v>
      </c>
      <c r="H4" s="84" t="s">
        <v>792</v>
      </c>
      <c r="I4" s="84" t="s">
        <v>797</v>
      </c>
      <c r="J4" s="84" t="s">
        <v>659</v>
      </c>
      <c r="K4" s="87">
        <v>1410.19</v>
      </c>
    </row>
    <row r="5" spans="1:11" ht="14.6" x14ac:dyDescent="0.4">
      <c r="A5" s="84"/>
      <c r="B5" s="84"/>
      <c r="C5" s="84"/>
      <c r="D5" s="84"/>
      <c r="E5" s="84" t="s">
        <v>634</v>
      </c>
      <c r="F5" s="85">
        <v>44936</v>
      </c>
      <c r="G5" s="84" t="s">
        <v>646</v>
      </c>
      <c r="H5" s="84" t="s">
        <v>793</v>
      </c>
      <c r="I5" s="84" t="s">
        <v>798</v>
      </c>
      <c r="J5" s="84" t="s">
        <v>659</v>
      </c>
      <c r="K5" s="87">
        <v>434.39</v>
      </c>
    </row>
    <row r="6" spans="1:11" ht="14.6" x14ac:dyDescent="0.4">
      <c r="A6" s="84"/>
      <c r="B6" s="84"/>
      <c r="C6" s="84"/>
      <c r="D6" s="84"/>
      <c r="E6" s="84" t="s">
        <v>634</v>
      </c>
      <c r="F6" s="85">
        <v>44936</v>
      </c>
      <c r="G6" s="84" t="s">
        <v>785</v>
      </c>
      <c r="H6" s="84" t="s">
        <v>792</v>
      </c>
      <c r="I6" s="84" t="s">
        <v>797</v>
      </c>
      <c r="J6" s="84" t="s">
        <v>659</v>
      </c>
      <c r="K6" s="87">
        <v>3765.68</v>
      </c>
    </row>
    <row r="7" spans="1:11" ht="14.6" x14ac:dyDescent="0.4">
      <c r="A7" s="84"/>
      <c r="B7" s="84"/>
      <c r="C7" s="84"/>
      <c r="D7" s="84"/>
      <c r="E7" s="84" t="s">
        <v>634</v>
      </c>
      <c r="F7" s="85">
        <v>44942</v>
      </c>
      <c r="G7" s="84" t="s">
        <v>786</v>
      </c>
      <c r="H7" s="84" t="s">
        <v>1799</v>
      </c>
      <c r="I7" s="84" t="s">
        <v>799</v>
      </c>
      <c r="J7" s="84" t="s">
        <v>659</v>
      </c>
      <c r="K7" s="87">
        <v>1465</v>
      </c>
    </row>
    <row r="8" spans="1:11" ht="14.6" x14ac:dyDescent="0.4">
      <c r="A8" s="84"/>
      <c r="B8" s="84"/>
      <c r="C8" s="84"/>
      <c r="D8" s="84"/>
      <c r="E8" s="84" t="s">
        <v>634</v>
      </c>
      <c r="F8" s="85">
        <v>44944</v>
      </c>
      <c r="G8" s="84" t="s">
        <v>787</v>
      </c>
      <c r="H8" s="84" t="s">
        <v>794</v>
      </c>
      <c r="I8" s="84" t="s">
        <v>800</v>
      </c>
      <c r="J8" s="84" t="s">
        <v>659</v>
      </c>
      <c r="K8" s="87">
        <v>3187.93</v>
      </c>
    </row>
    <row r="9" spans="1:11" ht="14.6" x14ac:dyDescent="0.4">
      <c r="A9" s="84"/>
      <c r="B9" s="84"/>
      <c r="C9" s="84"/>
      <c r="D9" s="84"/>
      <c r="E9" s="84" t="s">
        <v>634</v>
      </c>
      <c r="F9" s="85">
        <v>44945</v>
      </c>
      <c r="G9" s="84" t="s">
        <v>788</v>
      </c>
      <c r="H9" s="84" t="s">
        <v>795</v>
      </c>
      <c r="I9" s="84" t="s">
        <v>801</v>
      </c>
      <c r="J9" s="84" t="s">
        <v>659</v>
      </c>
      <c r="K9" s="87">
        <v>3113.54</v>
      </c>
    </row>
    <row r="10" spans="1:11" ht="14.6" x14ac:dyDescent="0.4">
      <c r="A10" s="84"/>
      <c r="B10" s="84"/>
      <c r="C10" s="84"/>
      <c r="D10" s="84"/>
      <c r="E10" s="84" t="s">
        <v>634</v>
      </c>
      <c r="F10" s="85">
        <v>44952</v>
      </c>
      <c r="G10" s="84" t="s">
        <v>789</v>
      </c>
      <c r="H10" s="84" t="s">
        <v>793</v>
      </c>
      <c r="I10" s="84" t="s">
        <v>798</v>
      </c>
      <c r="J10" s="84" t="s">
        <v>659</v>
      </c>
      <c r="K10" s="87">
        <v>445.1</v>
      </c>
    </row>
    <row r="11" spans="1:11" ht="14.6" x14ac:dyDescent="0.4">
      <c r="A11" s="84"/>
      <c r="B11" s="84"/>
      <c r="C11" s="84"/>
      <c r="D11" s="84"/>
      <c r="E11" s="84" t="s">
        <v>634</v>
      </c>
      <c r="F11" s="85">
        <v>44959</v>
      </c>
      <c r="G11" s="84" t="s">
        <v>790</v>
      </c>
      <c r="H11" s="84" t="s">
        <v>796</v>
      </c>
      <c r="I11" s="84" t="s">
        <v>802</v>
      </c>
      <c r="J11" s="84" t="s">
        <v>659</v>
      </c>
      <c r="K11" s="87">
        <v>237.64</v>
      </c>
    </row>
    <row r="12" spans="1:11" ht="14.6" x14ac:dyDescent="0.4">
      <c r="A12" s="84"/>
      <c r="B12" s="84"/>
      <c r="C12" s="84"/>
      <c r="D12" s="84"/>
      <c r="E12" s="84" t="s">
        <v>634</v>
      </c>
      <c r="F12" s="85">
        <v>44959</v>
      </c>
      <c r="G12" s="84" t="s">
        <v>791</v>
      </c>
      <c r="H12" s="84" t="s">
        <v>796</v>
      </c>
      <c r="I12" s="84" t="s">
        <v>803</v>
      </c>
      <c r="J12" s="84" t="s">
        <v>659</v>
      </c>
      <c r="K12" s="87">
        <v>5888.04</v>
      </c>
    </row>
    <row r="13" spans="1:11" ht="14.6" x14ac:dyDescent="0.4">
      <c r="A13" s="84"/>
      <c r="B13" s="84"/>
      <c r="C13" s="84"/>
      <c r="D13" s="84"/>
      <c r="E13" s="84" t="s">
        <v>634</v>
      </c>
      <c r="F13" s="85">
        <v>44964</v>
      </c>
      <c r="G13" s="84" t="s">
        <v>1029</v>
      </c>
      <c r="H13" s="84" t="s">
        <v>792</v>
      </c>
      <c r="I13" s="84" t="s">
        <v>797</v>
      </c>
      <c r="J13" s="84" t="s">
        <v>659</v>
      </c>
      <c r="K13" s="87">
        <v>1404.31</v>
      </c>
    </row>
    <row r="14" spans="1:11" ht="14.6" x14ac:dyDescent="0.4">
      <c r="A14" s="84"/>
      <c r="B14" s="84"/>
      <c r="C14" s="84"/>
      <c r="D14" s="84"/>
      <c r="E14" s="84" t="s">
        <v>634</v>
      </c>
      <c r="F14" s="85">
        <v>44967</v>
      </c>
      <c r="G14" s="84" t="s">
        <v>1760</v>
      </c>
      <c r="H14" s="84" t="s">
        <v>792</v>
      </c>
      <c r="I14" s="84" t="s">
        <v>797</v>
      </c>
      <c r="J14" s="84" t="s">
        <v>659</v>
      </c>
      <c r="K14" s="87">
        <v>3765.68</v>
      </c>
    </row>
    <row r="15" spans="1:11" ht="14.6" x14ac:dyDescent="0.4">
      <c r="A15" s="84"/>
      <c r="B15" s="84"/>
      <c r="C15" s="84"/>
      <c r="D15" s="84"/>
      <c r="E15" s="84" t="s">
        <v>634</v>
      </c>
      <c r="F15" s="85">
        <v>44974</v>
      </c>
      <c r="G15" s="84" t="s">
        <v>1761</v>
      </c>
      <c r="H15" s="84" t="s">
        <v>1799</v>
      </c>
      <c r="I15" s="84" t="s">
        <v>799</v>
      </c>
      <c r="J15" s="84" t="s">
        <v>659</v>
      </c>
      <c r="K15" s="87">
        <v>1495</v>
      </c>
    </row>
    <row r="16" spans="1:11" ht="14.6" x14ac:dyDescent="0.4">
      <c r="A16" s="84"/>
      <c r="B16" s="84"/>
      <c r="C16" s="84"/>
      <c r="D16" s="84"/>
      <c r="E16" s="84" t="s">
        <v>634</v>
      </c>
      <c r="F16" s="85">
        <v>44975</v>
      </c>
      <c r="G16" s="84" t="s">
        <v>1762</v>
      </c>
      <c r="H16" s="84" t="s">
        <v>794</v>
      </c>
      <c r="I16" s="84" t="s">
        <v>800</v>
      </c>
      <c r="J16" s="84" t="s">
        <v>659</v>
      </c>
      <c r="K16" s="87">
        <v>3187.93</v>
      </c>
    </row>
    <row r="17" spans="1:11" ht="14.6" x14ac:dyDescent="0.4">
      <c r="A17" s="84"/>
      <c r="B17" s="84"/>
      <c r="C17" s="84"/>
      <c r="D17" s="84"/>
      <c r="E17" s="84" t="s">
        <v>634</v>
      </c>
      <c r="F17" s="85">
        <v>44976</v>
      </c>
      <c r="G17" s="84" t="s">
        <v>1763</v>
      </c>
      <c r="H17" s="84" t="s">
        <v>795</v>
      </c>
      <c r="I17" s="84" t="s">
        <v>801</v>
      </c>
      <c r="J17" s="84" t="s">
        <v>659</v>
      </c>
      <c r="K17" s="87">
        <v>3108.76</v>
      </c>
    </row>
    <row r="18" spans="1:11" ht="14.6" x14ac:dyDescent="0.4">
      <c r="A18" s="84"/>
      <c r="B18" s="84"/>
      <c r="C18" s="84"/>
      <c r="D18" s="84"/>
      <c r="E18" s="84" t="s">
        <v>634</v>
      </c>
      <c r="F18" s="85">
        <v>44983</v>
      </c>
      <c r="G18" s="84" t="s">
        <v>1122</v>
      </c>
      <c r="H18" s="84" t="s">
        <v>793</v>
      </c>
      <c r="I18" s="84" t="s">
        <v>798</v>
      </c>
      <c r="J18" s="84" t="s">
        <v>659</v>
      </c>
      <c r="K18" s="87">
        <v>423.68</v>
      </c>
    </row>
    <row r="19" spans="1:11" ht="14.6" x14ac:dyDescent="0.4">
      <c r="A19" s="84"/>
      <c r="B19" s="84"/>
      <c r="C19" s="84"/>
      <c r="D19" s="84"/>
      <c r="E19" s="84" t="s">
        <v>634</v>
      </c>
      <c r="F19" s="85">
        <v>44992</v>
      </c>
      <c r="G19" s="84" t="s">
        <v>1764</v>
      </c>
      <c r="H19" s="84" t="s">
        <v>796</v>
      </c>
      <c r="I19" s="84" t="s">
        <v>802</v>
      </c>
      <c r="J19" s="84" t="s">
        <v>659</v>
      </c>
      <c r="K19" s="87">
        <v>237.64</v>
      </c>
    </row>
    <row r="20" spans="1:11" ht="14.6" x14ac:dyDescent="0.4">
      <c r="A20" s="84"/>
      <c r="B20" s="84"/>
      <c r="C20" s="84"/>
      <c r="D20" s="84"/>
      <c r="E20" s="84" t="s">
        <v>634</v>
      </c>
      <c r="F20" s="85">
        <v>44992</v>
      </c>
      <c r="G20" s="84" t="s">
        <v>1765</v>
      </c>
      <c r="H20" s="84" t="s">
        <v>796</v>
      </c>
      <c r="I20" s="84" t="s">
        <v>803</v>
      </c>
      <c r="J20" s="84" t="s">
        <v>659</v>
      </c>
      <c r="K20" s="87">
        <v>5811.67</v>
      </c>
    </row>
    <row r="21" spans="1:11" ht="14.6" x14ac:dyDescent="0.4">
      <c r="A21" s="84"/>
      <c r="B21" s="84"/>
      <c r="C21" s="84"/>
      <c r="D21" s="84"/>
      <c r="E21" s="84" t="s">
        <v>634</v>
      </c>
      <c r="F21" s="85">
        <v>45002</v>
      </c>
      <c r="G21" s="84" t="s">
        <v>1766</v>
      </c>
      <c r="H21" s="84" t="s">
        <v>1799</v>
      </c>
      <c r="I21" s="84" t="s">
        <v>799</v>
      </c>
      <c r="J21" s="84" t="s">
        <v>659</v>
      </c>
      <c r="K21" s="87">
        <v>1495</v>
      </c>
    </row>
    <row r="22" spans="1:11" ht="14.6" x14ac:dyDescent="0.4">
      <c r="A22" s="84"/>
      <c r="B22" s="84"/>
      <c r="C22" s="84"/>
      <c r="D22" s="84"/>
      <c r="E22" s="84" t="s">
        <v>634</v>
      </c>
      <c r="F22" s="85">
        <v>45003</v>
      </c>
      <c r="G22" s="84" t="s">
        <v>1767</v>
      </c>
      <c r="H22" s="84" t="s">
        <v>794</v>
      </c>
      <c r="I22" s="84" t="s">
        <v>800</v>
      </c>
      <c r="J22" s="84" t="s">
        <v>659</v>
      </c>
      <c r="K22" s="87">
        <v>3267.5</v>
      </c>
    </row>
    <row r="23" spans="1:11" ht="14.6" x14ac:dyDescent="0.4">
      <c r="A23" s="84"/>
      <c r="B23" s="84"/>
      <c r="C23" s="84"/>
      <c r="D23" s="84"/>
      <c r="E23" s="84" t="s">
        <v>634</v>
      </c>
      <c r="F23" s="85">
        <v>45004</v>
      </c>
      <c r="G23" s="84" t="s">
        <v>1768</v>
      </c>
      <c r="H23" s="84" t="s">
        <v>795</v>
      </c>
      <c r="I23" s="84" t="s">
        <v>801</v>
      </c>
      <c r="J23" s="84" t="s">
        <v>659</v>
      </c>
      <c r="K23" s="87">
        <v>1652.94</v>
      </c>
    </row>
    <row r="24" spans="1:11" ht="14.6" x14ac:dyDescent="0.4">
      <c r="A24" s="84"/>
      <c r="B24" s="84"/>
      <c r="C24" s="84"/>
      <c r="D24" s="84"/>
      <c r="E24" s="84" t="s">
        <v>634</v>
      </c>
      <c r="F24" s="85">
        <v>45011</v>
      </c>
      <c r="G24" s="84" t="s">
        <v>1193</v>
      </c>
      <c r="H24" s="84" t="s">
        <v>793</v>
      </c>
      <c r="I24" s="84" t="s">
        <v>798</v>
      </c>
      <c r="J24" s="84" t="s">
        <v>659</v>
      </c>
      <c r="K24" s="87">
        <v>439.48</v>
      </c>
    </row>
    <row r="25" spans="1:11" ht="14.6" x14ac:dyDescent="0.4">
      <c r="A25" s="84"/>
      <c r="B25" s="84"/>
      <c r="C25" s="84"/>
      <c r="D25" s="84"/>
      <c r="E25" s="84" t="s">
        <v>688</v>
      </c>
      <c r="F25" s="85">
        <v>45012</v>
      </c>
      <c r="G25" s="84" t="s">
        <v>1769</v>
      </c>
      <c r="H25" s="84" t="s">
        <v>792</v>
      </c>
      <c r="I25" s="84" t="s">
        <v>797</v>
      </c>
      <c r="J25" s="84" t="s">
        <v>773</v>
      </c>
      <c r="K25" s="87">
        <v>1409.98</v>
      </c>
    </row>
    <row r="26" spans="1:11" ht="14.6" x14ac:dyDescent="0.4">
      <c r="A26" s="84"/>
      <c r="B26" s="84"/>
      <c r="C26" s="84"/>
      <c r="D26" s="84"/>
      <c r="E26" s="84" t="s">
        <v>688</v>
      </c>
      <c r="F26" s="85">
        <v>45012</v>
      </c>
      <c r="G26" s="84" t="s">
        <v>1769</v>
      </c>
      <c r="H26" s="84" t="s">
        <v>792</v>
      </c>
      <c r="I26" s="84" t="s">
        <v>797</v>
      </c>
      <c r="J26" s="84" t="s">
        <v>773</v>
      </c>
      <c r="K26" s="87">
        <v>3768.81</v>
      </c>
    </row>
    <row r="27" spans="1:11" ht="14.6" x14ac:dyDescent="0.4">
      <c r="A27" s="84"/>
      <c r="B27" s="84"/>
      <c r="C27" s="84"/>
      <c r="D27" s="84"/>
      <c r="E27" s="84" t="s">
        <v>704</v>
      </c>
      <c r="F27" s="85">
        <v>45014</v>
      </c>
      <c r="G27" s="84" t="s">
        <v>1770</v>
      </c>
      <c r="H27" s="84" t="s">
        <v>1800</v>
      </c>
      <c r="I27" s="84" t="s">
        <v>1801</v>
      </c>
      <c r="J27" s="84" t="s">
        <v>771</v>
      </c>
      <c r="K27" s="87">
        <v>30</v>
      </c>
    </row>
    <row r="28" spans="1:11" ht="14.6" x14ac:dyDescent="0.4">
      <c r="A28" s="84"/>
      <c r="B28" s="84"/>
      <c r="C28" s="84"/>
      <c r="D28" s="84"/>
      <c r="E28" s="84" t="s">
        <v>634</v>
      </c>
      <c r="F28" s="85">
        <v>45020</v>
      </c>
      <c r="G28" s="84" t="s">
        <v>1771</v>
      </c>
      <c r="H28" s="84" t="s">
        <v>796</v>
      </c>
      <c r="I28" s="84" t="s">
        <v>803</v>
      </c>
      <c r="J28" s="84" t="s">
        <v>659</v>
      </c>
      <c r="K28" s="87">
        <v>4622.57</v>
      </c>
    </row>
    <row r="29" spans="1:11" ht="14.6" x14ac:dyDescent="0.4">
      <c r="A29" s="84"/>
      <c r="B29" s="84"/>
      <c r="C29" s="84"/>
      <c r="D29" s="84"/>
      <c r="E29" s="84" t="s">
        <v>634</v>
      </c>
      <c r="F29" s="85">
        <v>45020</v>
      </c>
      <c r="G29" s="84" t="s">
        <v>1771</v>
      </c>
      <c r="H29" s="84" t="s">
        <v>796</v>
      </c>
      <c r="I29" s="84" t="s">
        <v>802</v>
      </c>
      <c r="J29" s="84" t="s">
        <v>659</v>
      </c>
      <c r="K29" s="87">
        <v>237.64</v>
      </c>
    </row>
    <row r="30" spans="1:11" ht="14.6" x14ac:dyDescent="0.4">
      <c r="A30" s="84"/>
      <c r="B30" s="84"/>
      <c r="C30" s="84"/>
      <c r="D30" s="84"/>
      <c r="E30" s="84" t="s">
        <v>634</v>
      </c>
      <c r="F30" s="85">
        <v>45023</v>
      </c>
      <c r="G30" s="84" t="s">
        <v>1772</v>
      </c>
      <c r="H30" s="84" t="s">
        <v>792</v>
      </c>
      <c r="I30" s="84" t="s">
        <v>797</v>
      </c>
      <c r="J30" s="84" t="s">
        <v>659</v>
      </c>
      <c r="K30" s="87">
        <v>1407.25</v>
      </c>
    </row>
    <row r="31" spans="1:11" ht="14.6" x14ac:dyDescent="0.4">
      <c r="A31" s="84"/>
      <c r="B31" s="84"/>
      <c r="C31" s="84"/>
      <c r="D31" s="84"/>
      <c r="E31" s="84" t="s">
        <v>634</v>
      </c>
      <c r="F31" s="85">
        <v>45026</v>
      </c>
      <c r="G31" s="84" t="s">
        <v>1773</v>
      </c>
      <c r="H31" s="84" t="s">
        <v>792</v>
      </c>
      <c r="I31" s="84" t="s">
        <v>797</v>
      </c>
      <c r="J31" s="84" t="s">
        <v>659</v>
      </c>
      <c r="K31" s="87">
        <v>3765.68</v>
      </c>
    </row>
    <row r="32" spans="1:11" ht="14.6" x14ac:dyDescent="0.4">
      <c r="A32" s="84"/>
      <c r="B32" s="84"/>
      <c r="C32" s="84"/>
      <c r="D32" s="84"/>
      <c r="E32" s="84" t="s">
        <v>634</v>
      </c>
      <c r="F32" s="85">
        <v>45033</v>
      </c>
      <c r="G32" s="84" t="s">
        <v>1774</v>
      </c>
      <c r="H32" s="84" t="s">
        <v>1799</v>
      </c>
      <c r="I32" s="84" t="s">
        <v>799</v>
      </c>
      <c r="J32" s="84" t="s">
        <v>659</v>
      </c>
      <c r="K32" s="87">
        <v>1495</v>
      </c>
    </row>
    <row r="33" spans="1:11" ht="14.6" x14ac:dyDescent="0.4">
      <c r="A33" s="84"/>
      <c r="B33" s="84"/>
      <c r="C33" s="84"/>
      <c r="D33" s="84"/>
      <c r="E33" s="84" t="s">
        <v>634</v>
      </c>
      <c r="F33" s="85">
        <v>45034</v>
      </c>
      <c r="G33" s="84" t="s">
        <v>1775</v>
      </c>
      <c r="H33" s="84" t="s">
        <v>794</v>
      </c>
      <c r="I33" s="84" t="s">
        <v>800</v>
      </c>
      <c r="J33" s="84" t="s">
        <v>659</v>
      </c>
      <c r="K33" s="87">
        <v>3288.78</v>
      </c>
    </row>
    <row r="34" spans="1:11" ht="14.6" x14ac:dyDescent="0.4">
      <c r="A34" s="84"/>
      <c r="B34" s="84"/>
      <c r="C34" s="84"/>
      <c r="D34" s="84"/>
      <c r="E34" s="84" t="s">
        <v>634</v>
      </c>
      <c r="F34" s="85">
        <v>45035</v>
      </c>
      <c r="G34" s="84" t="s">
        <v>1776</v>
      </c>
      <c r="H34" s="84" t="s">
        <v>795</v>
      </c>
      <c r="I34" s="84" t="s">
        <v>801</v>
      </c>
      <c r="J34" s="84" t="s">
        <v>659</v>
      </c>
      <c r="K34" s="87">
        <v>679.15</v>
      </c>
    </row>
    <row r="35" spans="1:11" ht="14.6" x14ac:dyDescent="0.4">
      <c r="A35" s="84"/>
      <c r="B35" s="84"/>
      <c r="C35" s="84"/>
      <c r="D35" s="84"/>
      <c r="E35" s="84" t="s">
        <v>634</v>
      </c>
      <c r="F35" s="85">
        <v>45049</v>
      </c>
      <c r="G35" s="84" t="s">
        <v>1777</v>
      </c>
      <c r="H35" s="84" t="s">
        <v>796</v>
      </c>
      <c r="I35" s="84" t="s">
        <v>803</v>
      </c>
      <c r="J35" s="84" t="s">
        <v>659</v>
      </c>
      <c r="K35" s="87">
        <v>4937.42</v>
      </c>
    </row>
    <row r="36" spans="1:11" ht="14.6" x14ac:dyDescent="0.4">
      <c r="A36" s="84"/>
      <c r="B36" s="84"/>
      <c r="C36" s="84"/>
      <c r="D36" s="84"/>
      <c r="E36" s="84" t="s">
        <v>634</v>
      </c>
      <c r="F36" s="85">
        <v>45049</v>
      </c>
      <c r="G36" s="84" t="s">
        <v>1778</v>
      </c>
      <c r="H36" s="84" t="s">
        <v>796</v>
      </c>
      <c r="I36" s="84" t="s">
        <v>802</v>
      </c>
      <c r="J36" s="84" t="s">
        <v>659</v>
      </c>
      <c r="K36" s="87">
        <v>237.64</v>
      </c>
    </row>
    <row r="37" spans="1:11" ht="14.6" x14ac:dyDescent="0.4">
      <c r="A37" s="84"/>
      <c r="B37" s="84"/>
      <c r="C37" s="84"/>
      <c r="D37" s="84"/>
      <c r="E37" s="84" t="s">
        <v>634</v>
      </c>
      <c r="F37" s="85">
        <v>45053</v>
      </c>
      <c r="G37" s="84" t="s">
        <v>1779</v>
      </c>
      <c r="H37" s="84" t="s">
        <v>792</v>
      </c>
      <c r="I37" s="84" t="s">
        <v>797</v>
      </c>
      <c r="J37" s="84" t="s">
        <v>659</v>
      </c>
      <c r="K37" s="87">
        <v>1407.25</v>
      </c>
    </row>
    <row r="38" spans="1:11" ht="14.6" x14ac:dyDescent="0.4">
      <c r="A38" s="84"/>
      <c r="B38" s="84"/>
      <c r="C38" s="84"/>
      <c r="D38" s="84"/>
      <c r="E38" s="84" t="s">
        <v>634</v>
      </c>
      <c r="F38" s="85">
        <v>45056</v>
      </c>
      <c r="G38" s="84" t="s">
        <v>1780</v>
      </c>
      <c r="H38" s="84" t="s">
        <v>792</v>
      </c>
      <c r="I38" s="84" t="s">
        <v>797</v>
      </c>
      <c r="J38" s="84" t="s">
        <v>659</v>
      </c>
      <c r="K38" s="87">
        <v>3765.68</v>
      </c>
    </row>
    <row r="39" spans="1:11" ht="14.6" x14ac:dyDescent="0.4">
      <c r="A39" s="84"/>
      <c r="B39" s="84"/>
      <c r="C39" s="84"/>
      <c r="D39" s="84"/>
      <c r="E39" s="84" t="s">
        <v>688</v>
      </c>
      <c r="F39" s="85">
        <v>45061</v>
      </c>
      <c r="G39" s="84" t="s">
        <v>1781</v>
      </c>
      <c r="H39" s="84" t="s">
        <v>793</v>
      </c>
      <c r="I39" s="84" t="s">
        <v>798</v>
      </c>
      <c r="J39" s="84" t="s">
        <v>773</v>
      </c>
      <c r="K39" s="87">
        <v>439.48</v>
      </c>
    </row>
    <row r="40" spans="1:11" ht="14.6" x14ac:dyDescent="0.4">
      <c r="A40" s="84"/>
      <c r="B40" s="84"/>
      <c r="C40" s="84"/>
      <c r="D40" s="84"/>
      <c r="E40" s="84" t="s">
        <v>634</v>
      </c>
      <c r="F40" s="85">
        <v>45061</v>
      </c>
      <c r="G40" s="84" t="s">
        <v>1782</v>
      </c>
      <c r="H40" s="84" t="s">
        <v>1799</v>
      </c>
      <c r="I40" s="84" t="s">
        <v>799</v>
      </c>
      <c r="J40" s="84" t="s">
        <v>659</v>
      </c>
      <c r="K40" s="87">
        <v>1495</v>
      </c>
    </row>
    <row r="41" spans="1:11" ht="14.6" x14ac:dyDescent="0.4">
      <c r="A41" s="84"/>
      <c r="B41" s="84"/>
      <c r="C41" s="84"/>
      <c r="D41" s="84"/>
      <c r="E41" s="84" t="s">
        <v>634</v>
      </c>
      <c r="F41" s="85">
        <v>45064</v>
      </c>
      <c r="G41" s="84" t="s">
        <v>1783</v>
      </c>
      <c r="H41" s="84" t="s">
        <v>794</v>
      </c>
      <c r="I41" s="84" t="s">
        <v>800</v>
      </c>
      <c r="J41" s="84" t="s">
        <v>659</v>
      </c>
      <c r="K41" s="87">
        <v>3266.42</v>
      </c>
    </row>
    <row r="42" spans="1:11" ht="14.6" x14ac:dyDescent="0.4">
      <c r="A42" s="84"/>
      <c r="B42" s="84"/>
      <c r="C42" s="84"/>
      <c r="D42" s="84"/>
      <c r="E42" s="84" t="s">
        <v>634</v>
      </c>
      <c r="F42" s="85">
        <v>45065</v>
      </c>
      <c r="G42" s="84" t="s">
        <v>1784</v>
      </c>
      <c r="H42" s="84" t="s">
        <v>795</v>
      </c>
      <c r="I42" s="84" t="s">
        <v>801</v>
      </c>
      <c r="J42" s="84" t="s">
        <v>659</v>
      </c>
      <c r="K42" s="87">
        <v>639.80999999999995</v>
      </c>
    </row>
    <row r="43" spans="1:11" ht="14.6" x14ac:dyDescent="0.4">
      <c r="A43" s="84"/>
      <c r="B43" s="84"/>
      <c r="C43" s="84"/>
      <c r="D43" s="84"/>
      <c r="E43" s="84" t="s">
        <v>634</v>
      </c>
      <c r="F43" s="85">
        <v>45072</v>
      </c>
      <c r="G43" s="84" t="s">
        <v>1516</v>
      </c>
      <c r="H43" s="84" t="s">
        <v>793</v>
      </c>
      <c r="I43" s="84" t="s">
        <v>798</v>
      </c>
      <c r="J43" s="84" t="s">
        <v>659</v>
      </c>
      <c r="K43" s="87">
        <v>450.19</v>
      </c>
    </row>
    <row r="44" spans="1:11" ht="14.6" x14ac:dyDescent="0.4">
      <c r="A44" s="84"/>
      <c r="B44" s="84"/>
      <c r="C44" s="84"/>
      <c r="D44" s="84"/>
      <c r="E44" s="84" t="s">
        <v>634</v>
      </c>
      <c r="F44" s="85">
        <v>45079</v>
      </c>
      <c r="G44" s="84" t="s">
        <v>1785</v>
      </c>
      <c r="H44" s="84" t="s">
        <v>796</v>
      </c>
      <c r="I44" s="84" t="s">
        <v>802</v>
      </c>
      <c r="J44" s="84" t="s">
        <v>659</v>
      </c>
      <c r="K44" s="87">
        <v>237.64</v>
      </c>
    </row>
    <row r="45" spans="1:11" ht="14.6" x14ac:dyDescent="0.4">
      <c r="A45" s="84"/>
      <c r="B45" s="84"/>
      <c r="C45" s="84"/>
      <c r="D45" s="84"/>
      <c r="E45" s="84" t="s">
        <v>634</v>
      </c>
      <c r="F45" s="85">
        <v>45079</v>
      </c>
      <c r="G45" s="84" t="s">
        <v>1786</v>
      </c>
      <c r="H45" s="84" t="s">
        <v>796</v>
      </c>
      <c r="I45" s="84" t="s">
        <v>803</v>
      </c>
      <c r="J45" s="84" t="s">
        <v>659</v>
      </c>
      <c r="K45" s="87">
        <v>5320.89</v>
      </c>
    </row>
    <row r="46" spans="1:11" ht="14.6" x14ac:dyDescent="0.4">
      <c r="A46" s="84"/>
      <c r="B46" s="84"/>
      <c r="C46" s="84"/>
      <c r="D46" s="84"/>
      <c r="E46" s="84" t="s">
        <v>634</v>
      </c>
      <c r="F46" s="85">
        <v>45084</v>
      </c>
      <c r="G46" s="84" t="s">
        <v>1787</v>
      </c>
      <c r="H46" s="84" t="s">
        <v>792</v>
      </c>
      <c r="I46" s="84" t="s">
        <v>797</v>
      </c>
      <c r="J46" s="84" t="s">
        <v>659</v>
      </c>
      <c r="K46" s="87">
        <v>1407.25</v>
      </c>
    </row>
    <row r="47" spans="1:11" ht="14.6" x14ac:dyDescent="0.4">
      <c r="A47" s="84"/>
      <c r="B47" s="84"/>
      <c r="C47" s="84"/>
      <c r="D47" s="84"/>
      <c r="E47" s="84" t="s">
        <v>634</v>
      </c>
      <c r="F47" s="85">
        <v>45087</v>
      </c>
      <c r="G47" s="84" t="s">
        <v>1788</v>
      </c>
      <c r="H47" s="84" t="s">
        <v>792</v>
      </c>
      <c r="I47" s="84" t="s">
        <v>797</v>
      </c>
      <c r="J47" s="84" t="s">
        <v>659</v>
      </c>
      <c r="K47" s="87">
        <v>3765.68</v>
      </c>
    </row>
    <row r="48" spans="1:11" ht="14.6" x14ac:dyDescent="0.4">
      <c r="A48" s="84"/>
      <c r="B48" s="84"/>
      <c r="C48" s="84"/>
      <c r="D48" s="84"/>
      <c r="E48" s="84" t="s">
        <v>634</v>
      </c>
      <c r="F48" s="85">
        <v>45088</v>
      </c>
      <c r="G48" s="84" t="s">
        <v>1531</v>
      </c>
      <c r="H48" s="84" t="s">
        <v>793</v>
      </c>
      <c r="I48" s="84" t="s">
        <v>798</v>
      </c>
      <c r="J48" s="84" t="s">
        <v>659</v>
      </c>
      <c r="K48" s="87">
        <v>450.18</v>
      </c>
    </row>
    <row r="49" spans="1:11" ht="14.6" x14ac:dyDescent="0.4">
      <c r="A49" s="84"/>
      <c r="B49" s="84"/>
      <c r="C49" s="84"/>
      <c r="D49" s="84"/>
      <c r="E49" s="84" t="s">
        <v>634</v>
      </c>
      <c r="F49" s="85">
        <v>45092</v>
      </c>
      <c r="G49" s="84" t="s">
        <v>1789</v>
      </c>
      <c r="H49" s="84" t="s">
        <v>1799</v>
      </c>
      <c r="I49" s="84" t="s">
        <v>799</v>
      </c>
      <c r="J49" s="84" t="s">
        <v>659</v>
      </c>
      <c r="K49" s="87">
        <v>1517.43</v>
      </c>
    </row>
    <row r="50" spans="1:11" ht="14.6" x14ac:dyDescent="0.4">
      <c r="A50" s="84"/>
      <c r="B50" s="84"/>
      <c r="C50" s="84"/>
      <c r="D50" s="84"/>
      <c r="E50" s="84" t="s">
        <v>634</v>
      </c>
      <c r="F50" s="85">
        <v>45095</v>
      </c>
      <c r="G50" s="84" t="s">
        <v>1790</v>
      </c>
      <c r="H50" s="84" t="s">
        <v>794</v>
      </c>
      <c r="I50" s="84" t="s">
        <v>800</v>
      </c>
      <c r="J50" s="84" t="s">
        <v>659</v>
      </c>
      <c r="K50" s="87">
        <v>3266.42</v>
      </c>
    </row>
    <row r="51" spans="1:11" ht="14.6" x14ac:dyDescent="0.4">
      <c r="A51" s="84"/>
      <c r="B51" s="84"/>
      <c r="C51" s="84"/>
      <c r="D51" s="84"/>
      <c r="E51" s="84" t="s">
        <v>634</v>
      </c>
      <c r="F51" s="85">
        <v>45096</v>
      </c>
      <c r="G51" s="84" t="s">
        <v>1791</v>
      </c>
      <c r="H51" s="84" t="s">
        <v>795</v>
      </c>
      <c r="I51" s="84" t="s">
        <v>801</v>
      </c>
      <c r="J51" s="84" t="s">
        <v>659</v>
      </c>
      <c r="K51" s="87">
        <v>522.49</v>
      </c>
    </row>
    <row r="52" spans="1:11" ht="14.6" x14ac:dyDescent="0.4">
      <c r="A52" s="84"/>
      <c r="B52" s="84"/>
      <c r="C52" s="84"/>
      <c r="D52" s="84"/>
      <c r="E52" s="84" t="s">
        <v>634</v>
      </c>
      <c r="F52" s="85">
        <v>45111</v>
      </c>
      <c r="G52" s="84" t="s">
        <v>1792</v>
      </c>
      <c r="H52" s="84" t="s">
        <v>796</v>
      </c>
      <c r="I52" s="84" t="s">
        <v>802</v>
      </c>
      <c r="J52" s="84" t="s">
        <v>659</v>
      </c>
      <c r="K52" s="87">
        <v>237.64</v>
      </c>
    </row>
    <row r="53" spans="1:11" ht="14.6" x14ac:dyDescent="0.4">
      <c r="A53" s="84"/>
      <c r="B53" s="84"/>
      <c r="C53" s="84"/>
      <c r="D53" s="84"/>
      <c r="E53" s="84" t="s">
        <v>634</v>
      </c>
      <c r="F53" s="85">
        <v>45111</v>
      </c>
      <c r="G53" s="84" t="s">
        <v>1793</v>
      </c>
      <c r="H53" s="84" t="s">
        <v>796</v>
      </c>
      <c r="I53" s="84" t="s">
        <v>803</v>
      </c>
      <c r="J53" s="84" t="s">
        <v>659</v>
      </c>
      <c r="K53" s="87">
        <v>5043.7700000000004</v>
      </c>
    </row>
    <row r="54" spans="1:11" ht="14.6" x14ac:dyDescent="0.4">
      <c r="A54" s="84"/>
      <c r="B54" s="84"/>
      <c r="C54" s="84"/>
      <c r="D54" s="84"/>
      <c r="E54" s="84" t="s">
        <v>634</v>
      </c>
      <c r="F54" s="85">
        <v>45114</v>
      </c>
      <c r="G54" s="84" t="s">
        <v>1794</v>
      </c>
      <c r="H54" s="84" t="s">
        <v>792</v>
      </c>
      <c r="I54" s="84" t="s">
        <v>797</v>
      </c>
      <c r="J54" s="84" t="s">
        <v>659</v>
      </c>
      <c r="K54" s="87">
        <v>1272.95</v>
      </c>
    </row>
    <row r="55" spans="1:11" ht="14.6" x14ac:dyDescent="0.4">
      <c r="A55" s="84"/>
      <c r="B55" s="84"/>
      <c r="C55" s="84"/>
      <c r="D55" s="84"/>
      <c r="E55" s="84" t="s">
        <v>634</v>
      </c>
      <c r="F55" s="85">
        <v>45117</v>
      </c>
      <c r="G55" s="84" t="s">
        <v>1795</v>
      </c>
      <c r="H55" s="84" t="s">
        <v>792</v>
      </c>
      <c r="I55" s="84" t="s">
        <v>797</v>
      </c>
      <c r="J55" s="84" t="s">
        <v>659</v>
      </c>
      <c r="K55" s="87">
        <v>3612.58</v>
      </c>
    </row>
    <row r="56" spans="1:11" ht="14.6" x14ac:dyDescent="0.4">
      <c r="A56" s="84"/>
      <c r="B56" s="84"/>
      <c r="C56" s="84"/>
      <c r="D56" s="84"/>
      <c r="E56" s="84" t="s">
        <v>634</v>
      </c>
      <c r="F56" s="85">
        <v>45124</v>
      </c>
      <c r="G56" s="84" t="s">
        <v>1796</v>
      </c>
      <c r="H56" s="84" t="s">
        <v>1799</v>
      </c>
      <c r="I56" s="84" t="s">
        <v>799</v>
      </c>
      <c r="J56" s="84" t="s">
        <v>659</v>
      </c>
      <c r="K56" s="87">
        <v>1495</v>
      </c>
    </row>
    <row r="57" spans="1:11" ht="14.6" x14ac:dyDescent="0.4">
      <c r="A57" s="84"/>
      <c r="B57" s="84"/>
      <c r="C57" s="84"/>
      <c r="D57" s="84"/>
      <c r="E57" s="84" t="s">
        <v>634</v>
      </c>
      <c r="F57" s="85">
        <v>45125</v>
      </c>
      <c r="G57" s="84" t="s">
        <v>1797</v>
      </c>
      <c r="H57" s="84" t="s">
        <v>794</v>
      </c>
      <c r="I57" s="84" t="s">
        <v>800</v>
      </c>
      <c r="J57" s="84" t="s">
        <v>659</v>
      </c>
      <c r="K57" s="87">
        <v>3237.68</v>
      </c>
    </row>
    <row r="58" spans="1:11" ht="14.6" x14ac:dyDescent="0.4">
      <c r="A58" s="84"/>
      <c r="B58" s="84"/>
      <c r="C58" s="84"/>
      <c r="D58" s="84"/>
      <c r="E58" s="84" t="s">
        <v>634</v>
      </c>
      <c r="F58" s="85">
        <v>45126</v>
      </c>
      <c r="G58" s="84" t="s">
        <v>1798</v>
      </c>
      <c r="H58" s="84" t="s">
        <v>795</v>
      </c>
      <c r="I58" s="84" t="s">
        <v>801</v>
      </c>
      <c r="J58" s="84" t="s">
        <v>659</v>
      </c>
      <c r="K58" s="87">
        <v>502.37</v>
      </c>
    </row>
    <row r="59" spans="1:11" ht="14.6" x14ac:dyDescent="0.4">
      <c r="A59" s="84"/>
      <c r="B59" s="84"/>
      <c r="C59" s="84"/>
      <c r="D59" s="84"/>
      <c r="E59" s="84" t="s">
        <v>634</v>
      </c>
      <c r="F59" s="85">
        <v>45133</v>
      </c>
      <c r="G59" s="84" t="s">
        <v>1496</v>
      </c>
      <c r="H59" s="84" t="s">
        <v>793</v>
      </c>
      <c r="I59" s="84" t="s">
        <v>798</v>
      </c>
      <c r="J59" s="84" t="s">
        <v>659</v>
      </c>
      <c r="K59" s="87">
        <v>459.65</v>
      </c>
    </row>
    <row r="60" spans="1:11" ht="14.6" x14ac:dyDescent="0.4">
      <c r="A60" s="84"/>
      <c r="B60" s="84"/>
      <c r="C60" s="84"/>
      <c r="D60" s="84"/>
      <c r="E60" s="84" t="s">
        <v>634</v>
      </c>
      <c r="F60" s="85">
        <v>45140</v>
      </c>
      <c r="G60" s="84" t="s">
        <v>3047</v>
      </c>
      <c r="H60" s="84" t="s">
        <v>796</v>
      </c>
      <c r="I60" s="84" t="s">
        <v>803</v>
      </c>
      <c r="J60" s="84" t="s">
        <v>659</v>
      </c>
      <c r="K60" s="87">
        <v>7045.34</v>
      </c>
    </row>
    <row r="61" spans="1:11" ht="14.6" x14ac:dyDescent="0.4">
      <c r="A61" s="84"/>
      <c r="B61" s="84"/>
      <c r="C61" s="84"/>
      <c r="D61" s="84"/>
      <c r="E61" s="84" t="s">
        <v>634</v>
      </c>
      <c r="F61" s="85">
        <v>45145</v>
      </c>
      <c r="G61" s="84" t="s">
        <v>3048</v>
      </c>
      <c r="H61" s="84" t="s">
        <v>792</v>
      </c>
      <c r="I61" s="84" t="s">
        <v>797</v>
      </c>
      <c r="J61" s="84" t="s">
        <v>659</v>
      </c>
      <c r="K61" s="87">
        <v>1285.3</v>
      </c>
    </row>
    <row r="62" spans="1:11" ht="14.6" x14ac:dyDescent="0.4">
      <c r="A62" s="84"/>
      <c r="B62" s="84"/>
      <c r="C62" s="84"/>
      <c r="D62" s="84"/>
      <c r="E62" s="84" t="s">
        <v>634</v>
      </c>
      <c r="F62" s="85">
        <v>45148</v>
      </c>
      <c r="G62" s="84" t="s">
        <v>1489</v>
      </c>
      <c r="H62" s="84" t="s">
        <v>793</v>
      </c>
      <c r="I62" s="84" t="s">
        <v>798</v>
      </c>
      <c r="J62" s="84" t="s">
        <v>659</v>
      </c>
      <c r="K62" s="87">
        <v>448.94</v>
      </c>
    </row>
    <row r="63" spans="1:11" ht="14.6" x14ac:dyDescent="0.4">
      <c r="A63" s="84"/>
      <c r="B63" s="84"/>
      <c r="C63" s="84"/>
      <c r="D63" s="84"/>
      <c r="E63" s="84" t="s">
        <v>634</v>
      </c>
      <c r="F63" s="85">
        <v>45148</v>
      </c>
      <c r="G63" s="84" t="s">
        <v>3049</v>
      </c>
      <c r="H63" s="84" t="s">
        <v>792</v>
      </c>
      <c r="I63" s="84" t="s">
        <v>797</v>
      </c>
      <c r="J63" s="84" t="s">
        <v>659</v>
      </c>
      <c r="K63" s="87">
        <v>3275.59</v>
      </c>
    </row>
    <row r="64" spans="1:11" ht="15" customHeight="1" x14ac:dyDescent="0.4">
      <c r="A64" s="84"/>
      <c r="B64" s="84"/>
      <c r="C64" s="84"/>
      <c r="D64" s="84"/>
      <c r="E64" s="84" t="s">
        <v>634</v>
      </c>
      <c r="F64" s="85">
        <v>45153</v>
      </c>
      <c r="G64" s="84" t="s">
        <v>3050</v>
      </c>
      <c r="H64" s="84" t="s">
        <v>1799</v>
      </c>
      <c r="I64" s="84" t="s">
        <v>799</v>
      </c>
      <c r="J64" s="84" t="s">
        <v>659</v>
      </c>
      <c r="K64" s="87">
        <v>1495</v>
      </c>
    </row>
    <row r="65" spans="1:11" ht="15" customHeight="1" x14ac:dyDescent="0.4">
      <c r="A65" s="84"/>
      <c r="B65" s="84"/>
      <c r="C65" s="84"/>
      <c r="D65" s="84"/>
      <c r="E65" s="84" t="s">
        <v>634</v>
      </c>
      <c r="F65" s="85">
        <v>45156</v>
      </c>
      <c r="G65" s="84" t="s">
        <v>3051</v>
      </c>
      <c r="H65" s="84" t="s">
        <v>794</v>
      </c>
      <c r="I65" s="84" t="s">
        <v>800</v>
      </c>
      <c r="J65" s="84" t="s">
        <v>659</v>
      </c>
      <c r="K65" s="87">
        <v>3237.68</v>
      </c>
    </row>
    <row r="66" spans="1:11" ht="15" customHeight="1" x14ac:dyDescent="0.4">
      <c r="A66" s="84"/>
      <c r="B66" s="84"/>
      <c r="C66" s="84"/>
      <c r="D66" s="84"/>
      <c r="E66" s="84" t="s">
        <v>634</v>
      </c>
      <c r="F66" s="85">
        <v>45157</v>
      </c>
      <c r="G66" s="84" t="s">
        <v>3052</v>
      </c>
      <c r="H66" s="84" t="s">
        <v>795</v>
      </c>
      <c r="I66" s="84" t="s">
        <v>801</v>
      </c>
      <c r="J66" s="84" t="s">
        <v>659</v>
      </c>
      <c r="K66" s="87">
        <v>2098.19</v>
      </c>
    </row>
    <row r="67" spans="1:11" ht="15" customHeight="1" x14ac:dyDescent="0.4">
      <c r="A67" s="84"/>
      <c r="B67" s="84"/>
      <c r="C67" s="84"/>
      <c r="D67" s="84"/>
      <c r="E67" s="84" t="s">
        <v>634</v>
      </c>
      <c r="F67" s="85">
        <v>45173</v>
      </c>
      <c r="G67" s="84" t="s">
        <v>2577</v>
      </c>
      <c r="H67" s="84" t="s">
        <v>796</v>
      </c>
      <c r="I67" s="84" t="s">
        <v>803</v>
      </c>
      <c r="J67" s="84" t="s">
        <v>659</v>
      </c>
      <c r="K67" s="87">
        <v>6459.76</v>
      </c>
    </row>
    <row r="68" spans="1:11" ht="15" customHeight="1" x14ac:dyDescent="0.4">
      <c r="A68" s="84"/>
      <c r="B68" s="84"/>
      <c r="C68" s="84"/>
      <c r="D68" s="84"/>
      <c r="E68" s="84" t="s">
        <v>634</v>
      </c>
      <c r="F68" s="85">
        <v>45173</v>
      </c>
      <c r="G68" s="84" t="s">
        <v>3053</v>
      </c>
      <c r="H68" s="84" t="s">
        <v>796</v>
      </c>
      <c r="I68" s="84" t="s">
        <v>802</v>
      </c>
      <c r="J68" s="84" t="s">
        <v>659</v>
      </c>
      <c r="K68" s="87">
        <v>237.64</v>
      </c>
    </row>
    <row r="69" spans="1:11" ht="15" customHeight="1" x14ac:dyDescent="0.4">
      <c r="A69" s="84"/>
      <c r="B69" s="84"/>
      <c r="C69" s="84"/>
      <c r="D69" s="84"/>
      <c r="E69" s="84" t="s">
        <v>634</v>
      </c>
      <c r="F69" s="85">
        <v>45176</v>
      </c>
      <c r="G69" s="84" t="s">
        <v>3054</v>
      </c>
      <c r="H69" s="84" t="s">
        <v>792</v>
      </c>
      <c r="I69" s="84" t="s">
        <v>797</v>
      </c>
      <c r="J69" s="84" t="s">
        <v>659</v>
      </c>
      <c r="K69" s="87">
        <v>1285.3</v>
      </c>
    </row>
    <row r="70" spans="1:11" ht="15" customHeight="1" x14ac:dyDescent="0.4">
      <c r="A70" s="84"/>
      <c r="B70" s="84"/>
      <c r="C70" s="84"/>
      <c r="D70" s="84"/>
      <c r="E70" s="84" t="s">
        <v>634</v>
      </c>
      <c r="F70" s="85">
        <v>45176</v>
      </c>
      <c r="G70" s="84" t="s">
        <v>3055</v>
      </c>
      <c r="H70" s="84" t="s">
        <v>792</v>
      </c>
      <c r="I70" s="84" t="s">
        <v>797</v>
      </c>
      <c r="J70" s="84" t="s">
        <v>659</v>
      </c>
      <c r="K70" s="87">
        <v>3626.65</v>
      </c>
    </row>
    <row r="71" spans="1:11" ht="15" customHeight="1" x14ac:dyDescent="0.4">
      <c r="A71" s="84"/>
      <c r="B71" s="84"/>
      <c r="C71" s="84"/>
      <c r="D71" s="84"/>
      <c r="E71" s="84" t="s">
        <v>634</v>
      </c>
      <c r="F71" s="85">
        <v>45184</v>
      </c>
      <c r="G71" s="84" t="s">
        <v>3056</v>
      </c>
      <c r="H71" s="84" t="s">
        <v>1799</v>
      </c>
      <c r="I71" s="84" t="s">
        <v>799</v>
      </c>
      <c r="J71" s="84" t="s">
        <v>659</v>
      </c>
      <c r="K71" s="87">
        <v>1495</v>
      </c>
    </row>
    <row r="72" spans="1:11" ht="15" customHeight="1" x14ac:dyDescent="0.4">
      <c r="A72" s="84"/>
      <c r="B72" s="84"/>
      <c r="C72" s="84"/>
      <c r="D72" s="84"/>
      <c r="E72" s="84" t="s">
        <v>634</v>
      </c>
      <c r="F72" s="85">
        <v>45187</v>
      </c>
      <c r="G72" s="84" t="s">
        <v>3057</v>
      </c>
      <c r="H72" s="84" t="s">
        <v>794</v>
      </c>
      <c r="I72" s="84" t="s">
        <v>800</v>
      </c>
      <c r="J72" s="84" t="s">
        <v>659</v>
      </c>
      <c r="K72" s="87">
        <v>3237.68</v>
      </c>
    </row>
    <row r="73" spans="1:11" ht="15" customHeight="1" x14ac:dyDescent="0.4">
      <c r="A73" s="84"/>
      <c r="B73" s="84"/>
      <c r="C73" s="84"/>
      <c r="D73" s="84"/>
      <c r="E73" s="84" t="s">
        <v>634</v>
      </c>
      <c r="F73" s="85">
        <v>45188</v>
      </c>
      <c r="G73" s="84" t="s">
        <v>3058</v>
      </c>
      <c r="H73" s="84" t="s">
        <v>795</v>
      </c>
      <c r="I73" s="84" t="s">
        <v>801</v>
      </c>
      <c r="J73" s="84" t="s">
        <v>659</v>
      </c>
      <c r="K73" s="87">
        <v>3128.37</v>
      </c>
    </row>
    <row r="74" spans="1:11" ht="15" customHeight="1" x14ac:dyDescent="0.4">
      <c r="A74" s="84"/>
      <c r="B74" s="84"/>
      <c r="C74" s="84"/>
      <c r="D74" s="84"/>
      <c r="E74" s="84" t="s">
        <v>634</v>
      </c>
      <c r="F74" s="85">
        <v>45195</v>
      </c>
      <c r="G74" s="84" t="s">
        <v>2620</v>
      </c>
      <c r="H74" s="84" t="s">
        <v>793</v>
      </c>
      <c r="I74" s="84" t="s">
        <v>798</v>
      </c>
      <c r="J74" s="84" t="s">
        <v>659</v>
      </c>
      <c r="K74" s="87">
        <v>448.93</v>
      </c>
    </row>
    <row r="75" spans="1:11" ht="15" customHeight="1" x14ac:dyDescent="0.4">
      <c r="A75" s="84"/>
      <c r="B75" s="84"/>
      <c r="C75" s="84"/>
      <c r="D75" s="84"/>
      <c r="E75" s="84" t="s">
        <v>634</v>
      </c>
      <c r="F75" s="85">
        <v>45202</v>
      </c>
      <c r="G75" s="84" t="s">
        <v>2638</v>
      </c>
      <c r="H75" s="84" t="s">
        <v>796</v>
      </c>
      <c r="I75" s="84" t="s">
        <v>802</v>
      </c>
      <c r="J75" s="84" t="s">
        <v>659</v>
      </c>
      <c r="K75" s="87">
        <v>237.64</v>
      </c>
    </row>
    <row r="76" spans="1:11" ht="15" customHeight="1" x14ac:dyDescent="0.4">
      <c r="A76" s="84"/>
      <c r="B76" s="84"/>
      <c r="C76" s="84"/>
      <c r="D76" s="84"/>
      <c r="E76" s="84" t="s">
        <v>634</v>
      </c>
      <c r="F76" s="85">
        <v>45202</v>
      </c>
      <c r="G76" s="84" t="s">
        <v>3059</v>
      </c>
      <c r="H76" s="84" t="s">
        <v>796</v>
      </c>
      <c r="I76" s="84" t="s">
        <v>803</v>
      </c>
      <c r="J76" s="84" t="s">
        <v>659</v>
      </c>
      <c r="K76" s="87">
        <v>6064.58</v>
      </c>
    </row>
    <row r="77" spans="1:11" ht="15" customHeight="1" x14ac:dyDescent="0.4">
      <c r="A77" s="84"/>
      <c r="B77" s="84"/>
      <c r="C77" s="84"/>
      <c r="D77" s="84"/>
      <c r="E77" s="84" t="s">
        <v>634</v>
      </c>
      <c r="F77" s="85">
        <v>45213</v>
      </c>
      <c r="G77" s="84" t="s">
        <v>3060</v>
      </c>
      <c r="H77" s="84" t="s">
        <v>792</v>
      </c>
      <c r="I77" s="84" t="s">
        <v>797</v>
      </c>
      <c r="J77" s="84" t="s">
        <v>659</v>
      </c>
      <c r="K77" s="87">
        <v>3626.81</v>
      </c>
    </row>
    <row r="78" spans="1:11" ht="15" customHeight="1" x14ac:dyDescent="0.4">
      <c r="A78" s="84"/>
      <c r="B78" s="84"/>
      <c r="C78" s="84"/>
      <c r="D78" s="84"/>
      <c r="E78" s="84" t="s">
        <v>634</v>
      </c>
      <c r="F78" s="85">
        <v>45213</v>
      </c>
      <c r="G78" s="84" t="s">
        <v>3061</v>
      </c>
      <c r="H78" s="84" t="s">
        <v>792</v>
      </c>
      <c r="I78" s="84" t="s">
        <v>797</v>
      </c>
      <c r="J78" s="84" t="s">
        <v>659</v>
      </c>
      <c r="K78" s="87">
        <v>1285.43</v>
      </c>
    </row>
    <row r="79" spans="1:11" ht="15" customHeight="1" x14ac:dyDescent="0.4">
      <c r="A79" s="84"/>
      <c r="B79" s="84"/>
      <c r="C79" s="84"/>
      <c r="D79" s="84"/>
      <c r="E79" s="84" t="s">
        <v>634</v>
      </c>
      <c r="F79" s="85">
        <v>45215</v>
      </c>
      <c r="G79" s="84" t="s">
        <v>3062</v>
      </c>
      <c r="H79" s="84" t="s">
        <v>1799</v>
      </c>
      <c r="I79" s="84" t="s">
        <v>799</v>
      </c>
      <c r="J79" s="84" t="s">
        <v>659</v>
      </c>
      <c r="K79" s="87">
        <v>1495</v>
      </c>
    </row>
    <row r="80" spans="1:11" ht="15" customHeight="1" x14ac:dyDescent="0.4">
      <c r="A80" s="84"/>
      <c r="B80" s="84"/>
      <c r="C80" s="84"/>
      <c r="D80" s="84"/>
      <c r="E80" s="84" t="s">
        <v>634</v>
      </c>
      <c r="F80" s="85">
        <v>45217</v>
      </c>
      <c r="G80" s="84" t="s">
        <v>3063</v>
      </c>
      <c r="H80" s="84" t="s">
        <v>794</v>
      </c>
      <c r="I80" s="84" t="s">
        <v>800</v>
      </c>
      <c r="J80" s="84" t="s">
        <v>659</v>
      </c>
      <c r="K80" s="87">
        <v>3285.35</v>
      </c>
    </row>
    <row r="81" spans="1:11" ht="15" customHeight="1" x14ac:dyDescent="0.4">
      <c r="A81" s="84"/>
      <c r="B81" s="84"/>
      <c r="C81" s="84"/>
      <c r="D81" s="84"/>
      <c r="E81" s="84" t="s">
        <v>634</v>
      </c>
      <c r="F81" s="85">
        <v>45218</v>
      </c>
      <c r="G81" s="84" t="s">
        <v>3064</v>
      </c>
      <c r="H81" s="84" t="s">
        <v>795</v>
      </c>
      <c r="I81" s="84" t="s">
        <v>801</v>
      </c>
      <c r="J81" s="84" t="s">
        <v>659</v>
      </c>
      <c r="K81" s="87">
        <v>3204.57</v>
      </c>
    </row>
    <row r="82" spans="1:11" ht="15" customHeight="1" x14ac:dyDescent="0.4">
      <c r="A82" s="84"/>
      <c r="B82" s="84"/>
      <c r="C82" s="84"/>
      <c r="D82" s="84"/>
      <c r="E82" s="84" t="s">
        <v>704</v>
      </c>
      <c r="F82" s="85">
        <v>45222</v>
      </c>
      <c r="G82" s="84" t="s">
        <v>3065</v>
      </c>
      <c r="H82" s="84" t="s">
        <v>3082</v>
      </c>
      <c r="I82" s="84" t="s">
        <v>3083</v>
      </c>
      <c r="J82" s="84" t="s">
        <v>771</v>
      </c>
      <c r="K82" s="87">
        <v>240</v>
      </c>
    </row>
    <row r="83" spans="1:11" ht="15" customHeight="1" x14ac:dyDescent="0.4">
      <c r="A83" s="84"/>
      <c r="B83" s="84"/>
      <c r="C83" s="84"/>
      <c r="D83" s="84"/>
      <c r="E83" s="84" t="s">
        <v>634</v>
      </c>
      <c r="F83" s="85">
        <v>45223</v>
      </c>
      <c r="G83" s="84" t="s">
        <v>2372</v>
      </c>
      <c r="H83" s="84" t="s">
        <v>793</v>
      </c>
      <c r="I83" s="84" t="s">
        <v>798</v>
      </c>
      <c r="J83" s="84" t="s">
        <v>659</v>
      </c>
      <c r="K83" s="87">
        <v>448.93</v>
      </c>
    </row>
    <row r="84" spans="1:11" ht="15" customHeight="1" x14ac:dyDescent="0.4">
      <c r="A84" s="84"/>
      <c r="B84" s="84"/>
      <c r="C84" s="84"/>
      <c r="D84" s="84"/>
      <c r="E84" s="84" t="s">
        <v>634</v>
      </c>
      <c r="F84" s="85">
        <v>45232</v>
      </c>
      <c r="G84" s="84" t="s">
        <v>3066</v>
      </c>
      <c r="H84" s="84" t="s">
        <v>796</v>
      </c>
      <c r="I84" s="84" t="s">
        <v>802</v>
      </c>
      <c r="J84" s="84" t="s">
        <v>659</v>
      </c>
      <c r="K84" s="87">
        <v>237.64</v>
      </c>
    </row>
    <row r="85" spans="1:11" ht="15" customHeight="1" x14ac:dyDescent="0.4">
      <c r="A85" s="84"/>
      <c r="B85" s="84"/>
      <c r="C85" s="84"/>
      <c r="D85" s="84"/>
      <c r="E85" s="84" t="s">
        <v>634</v>
      </c>
      <c r="F85" s="85">
        <v>45232</v>
      </c>
      <c r="G85" s="84" t="s">
        <v>3067</v>
      </c>
      <c r="H85" s="84" t="s">
        <v>796</v>
      </c>
      <c r="I85" s="84" t="s">
        <v>803</v>
      </c>
      <c r="J85" s="84" t="s">
        <v>659</v>
      </c>
      <c r="K85" s="87">
        <v>5409.53</v>
      </c>
    </row>
    <row r="86" spans="1:11" ht="15" customHeight="1" x14ac:dyDescent="0.4">
      <c r="A86" s="84"/>
      <c r="B86" s="84"/>
      <c r="C86" s="84"/>
      <c r="D86" s="84"/>
      <c r="E86" s="84" t="s">
        <v>634</v>
      </c>
      <c r="F86" s="85">
        <v>45237</v>
      </c>
      <c r="G86" s="84" t="s">
        <v>3068</v>
      </c>
      <c r="H86" s="84" t="s">
        <v>792</v>
      </c>
      <c r="I86" s="84" t="s">
        <v>797</v>
      </c>
      <c r="J86" s="84" t="s">
        <v>659</v>
      </c>
      <c r="K86" s="87">
        <v>1285.43</v>
      </c>
    </row>
    <row r="87" spans="1:11" ht="15" customHeight="1" x14ac:dyDescent="0.4">
      <c r="A87" s="84"/>
      <c r="B87" s="84"/>
      <c r="C87" s="84"/>
      <c r="D87" s="84"/>
      <c r="E87" s="84" t="s">
        <v>634</v>
      </c>
      <c r="F87" s="85">
        <v>45237</v>
      </c>
      <c r="G87" s="84" t="s">
        <v>3069</v>
      </c>
      <c r="H87" s="84" t="s">
        <v>792</v>
      </c>
      <c r="I87" s="84" t="s">
        <v>797</v>
      </c>
      <c r="J87" s="84" t="s">
        <v>659</v>
      </c>
      <c r="K87" s="87">
        <v>3626.81</v>
      </c>
    </row>
    <row r="88" spans="1:11" ht="15" customHeight="1" x14ac:dyDescent="0.4">
      <c r="A88" s="84"/>
      <c r="B88" s="84"/>
      <c r="C88" s="84"/>
      <c r="D88" s="84"/>
      <c r="E88" s="84" t="s">
        <v>634</v>
      </c>
      <c r="F88" s="85">
        <v>45245</v>
      </c>
      <c r="G88" s="84" t="s">
        <v>3070</v>
      </c>
      <c r="H88" s="84" t="s">
        <v>1799</v>
      </c>
      <c r="I88" s="84" t="s">
        <v>799</v>
      </c>
      <c r="J88" s="84" t="s">
        <v>659</v>
      </c>
      <c r="K88" s="87">
        <v>1495</v>
      </c>
    </row>
    <row r="89" spans="1:11" ht="15" customHeight="1" x14ac:dyDescent="0.4">
      <c r="A89" s="84"/>
      <c r="B89" s="84"/>
      <c r="C89" s="84"/>
      <c r="D89" s="84"/>
      <c r="E89" s="84" t="s">
        <v>634</v>
      </c>
      <c r="F89" s="85">
        <v>45248</v>
      </c>
      <c r="G89" s="84" t="s">
        <v>3071</v>
      </c>
      <c r="H89" s="84" t="s">
        <v>794</v>
      </c>
      <c r="I89" s="84" t="s">
        <v>800</v>
      </c>
      <c r="J89" s="84" t="s">
        <v>659</v>
      </c>
      <c r="K89" s="87">
        <v>3313.54</v>
      </c>
    </row>
    <row r="90" spans="1:11" ht="15" customHeight="1" x14ac:dyDescent="0.4">
      <c r="A90" s="84"/>
      <c r="B90" s="84"/>
      <c r="C90" s="84"/>
      <c r="D90" s="84"/>
      <c r="E90" s="84" t="s">
        <v>634</v>
      </c>
      <c r="F90" s="85">
        <v>45249</v>
      </c>
      <c r="G90" s="84" t="s">
        <v>3072</v>
      </c>
      <c r="H90" s="84" t="s">
        <v>795</v>
      </c>
      <c r="I90" s="84" t="s">
        <v>801</v>
      </c>
      <c r="J90" s="84" t="s">
        <v>659</v>
      </c>
      <c r="K90" s="87">
        <v>3283.48</v>
      </c>
    </row>
    <row r="91" spans="1:11" ht="15" customHeight="1" x14ac:dyDescent="0.4">
      <c r="A91" s="84"/>
      <c r="B91" s="84"/>
      <c r="C91" s="84"/>
      <c r="D91" s="84"/>
      <c r="E91" s="84" t="s">
        <v>634</v>
      </c>
      <c r="F91" s="85">
        <v>45256</v>
      </c>
      <c r="G91" s="84" t="s">
        <v>1539</v>
      </c>
      <c r="H91" s="84" t="s">
        <v>793</v>
      </c>
      <c r="I91" s="84" t="s">
        <v>798</v>
      </c>
      <c r="J91" s="84" t="s">
        <v>659</v>
      </c>
      <c r="K91" s="87">
        <v>448.93</v>
      </c>
    </row>
    <row r="92" spans="1:11" ht="15" customHeight="1" x14ac:dyDescent="0.4">
      <c r="A92" s="84"/>
      <c r="B92" s="84"/>
      <c r="C92" s="84"/>
      <c r="D92" s="84"/>
      <c r="E92" s="84" t="s">
        <v>634</v>
      </c>
      <c r="F92" s="85">
        <v>45264</v>
      </c>
      <c r="G92" s="84" t="s">
        <v>3073</v>
      </c>
      <c r="H92" s="84" t="s">
        <v>796</v>
      </c>
      <c r="I92" s="84" t="s">
        <v>802</v>
      </c>
      <c r="J92" s="84" t="s">
        <v>659</v>
      </c>
      <c r="K92" s="87">
        <v>237.64</v>
      </c>
    </row>
    <row r="93" spans="1:11" ht="15" customHeight="1" x14ac:dyDescent="0.4">
      <c r="A93" s="84"/>
      <c r="B93" s="84"/>
      <c r="C93" s="84"/>
      <c r="D93" s="84"/>
      <c r="E93" s="84" t="s">
        <v>634</v>
      </c>
      <c r="F93" s="85">
        <v>45267</v>
      </c>
      <c r="G93" s="84" t="s">
        <v>3074</v>
      </c>
      <c r="H93" s="84" t="s">
        <v>792</v>
      </c>
      <c r="I93" s="84" t="s">
        <v>797</v>
      </c>
      <c r="J93" s="84" t="s">
        <v>659</v>
      </c>
      <c r="K93" s="87">
        <v>3369.31</v>
      </c>
    </row>
    <row r="94" spans="1:11" ht="15" customHeight="1" x14ac:dyDescent="0.4">
      <c r="A94" s="84"/>
      <c r="B94" s="84"/>
      <c r="C94" s="84"/>
      <c r="D94" s="84"/>
      <c r="E94" s="84" t="s">
        <v>634</v>
      </c>
      <c r="F94" s="85">
        <v>45267</v>
      </c>
      <c r="G94" s="84" t="s">
        <v>3075</v>
      </c>
      <c r="H94" s="84" t="s">
        <v>792</v>
      </c>
      <c r="I94" s="84" t="s">
        <v>797</v>
      </c>
      <c r="J94" s="84" t="s">
        <v>659</v>
      </c>
      <c r="K94" s="87">
        <v>1059.57</v>
      </c>
    </row>
    <row r="95" spans="1:11" ht="15" customHeight="1" x14ac:dyDescent="0.4">
      <c r="A95" s="84"/>
      <c r="B95" s="84"/>
      <c r="C95" s="84"/>
      <c r="D95" s="84"/>
      <c r="E95" s="84" t="s">
        <v>634</v>
      </c>
      <c r="F95" s="85">
        <v>45272</v>
      </c>
      <c r="G95" s="84" t="s">
        <v>3076</v>
      </c>
      <c r="H95" s="84" t="s">
        <v>796</v>
      </c>
      <c r="I95" s="84" t="s">
        <v>803</v>
      </c>
      <c r="J95" s="84" t="s">
        <v>659</v>
      </c>
      <c r="K95" s="87">
        <v>5091.93</v>
      </c>
    </row>
    <row r="96" spans="1:11" ht="15" customHeight="1" x14ac:dyDescent="0.4">
      <c r="A96" s="84"/>
      <c r="B96" s="84"/>
      <c r="C96" s="84"/>
      <c r="D96" s="84"/>
      <c r="E96" s="84" t="s">
        <v>634</v>
      </c>
      <c r="F96" s="85">
        <v>45275</v>
      </c>
      <c r="G96" s="84" t="s">
        <v>3077</v>
      </c>
      <c r="H96" s="84" t="s">
        <v>1799</v>
      </c>
      <c r="I96" s="84" t="s">
        <v>799</v>
      </c>
      <c r="J96" s="84" t="s">
        <v>659</v>
      </c>
      <c r="K96" s="87">
        <v>1495</v>
      </c>
    </row>
    <row r="97" spans="1:11" ht="15" customHeight="1" x14ac:dyDescent="0.4">
      <c r="A97" s="84"/>
      <c r="B97" s="84"/>
      <c r="C97" s="84"/>
      <c r="D97" s="84"/>
      <c r="E97" s="84" t="s">
        <v>634</v>
      </c>
      <c r="F97" s="85">
        <v>45278</v>
      </c>
      <c r="G97" s="84" t="s">
        <v>3078</v>
      </c>
      <c r="H97" s="84" t="s">
        <v>794</v>
      </c>
      <c r="I97" s="84" t="s">
        <v>800</v>
      </c>
      <c r="J97" s="84" t="s">
        <v>659</v>
      </c>
      <c r="K97" s="87">
        <v>3347.22</v>
      </c>
    </row>
    <row r="98" spans="1:11" ht="15" customHeight="1" x14ac:dyDescent="0.4">
      <c r="A98" s="84"/>
      <c r="B98" s="84"/>
      <c r="C98" s="84"/>
      <c r="D98" s="84"/>
      <c r="E98" s="84" t="s">
        <v>634</v>
      </c>
      <c r="F98" s="85">
        <v>45279</v>
      </c>
      <c r="G98" s="84" t="s">
        <v>3079</v>
      </c>
      <c r="H98" s="84" t="s">
        <v>795</v>
      </c>
      <c r="I98" s="84" t="s">
        <v>801</v>
      </c>
      <c r="J98" s="84" t="s">
        <v>659</v>
      </c>
      <c r="K98" s="87">
        <v>3403.71</v>
      </c>
    </row>
    <row r="99" spans="1:11" ht="15" customHeight="1" x14ac:dyDescent="0.4">
      <c r="A99" s="84"/>
      <c r="B99" s="84"/>
      <c r="C99" s="84"/>
      <c r="D99" s="84"/>
      <c r="E99" s="84" t="s">
        <v>705</v>
      </c>
      <c r="F99" s="85">
        <v>45281</v>
      </c>
      <c r="G99" s="84"/>
      <c r="H99" s="84" t="s">
        <v>1548</v>
      </c>
      <c r="I99" s="84" t="s">
        <v>3084</v>
      </c>
      <c r="J99" s="84" t="s">
        <v>773</v>
      </c>
      <c r="K99" s="87">
        <v>-20</v>
      </c>
    </row>
    <row r="100" spans="1:11" ht="15" customHeight="1" x14ac:dyDescent="0.4">
      <c r="A100" s="84"/>
      <c r="B100" s="84"/>
      <c r="C100" s="84"/>
      <c r="D100" s="84"/>
      <c r="E100" s="84" t="s">
        <v>634</v>
      </c>
      <c r="F100" s="85">
        <v>45291</v>
      </c>
      <c r="G100" s="84" t="s">
        <v>3080</v>
      </c>
      <c r="H100" s="84" t="s">
        <v>796</v>
      </c>
      <c r="I100" s="84" t="s">
        <v>802</v>
      </c>
      <c r="J100" s="84" t="s">
        <v>659</v>
      </c>
      <c r="K100" s="87">
        <v>237.64</v>
      </c>
    </row>
    <row r="101" spans="1:11" ht="15" customHeight="1" thickBot="1" x14ac:dyDescent="0.45">
      <c r="A101" s="84"/>
      <c r="B101" s="84"/>
      <c r="C101" s="84"/>
      <c r="D101" s="84"/>
      <c r="E101" s="84" t="s">
        <v>634</v>
      </c>
      <c r="F101" s="85">
        <v>45291</v>
      </c>
      <c r="G101" s="84" t="s">
        <v>3081</v>
      </c>
      <c r="H101" s="84" t="s">
        <v>796</v>
      </c>
      <c r="I101" s="84" t="s">
        <v>803</v>
      </c>
      <c r="J101" s="84" t="s">
        <v>659</v>
      </c>
      <c r="K101" s="413">
        <v>5290.74</v>
      </c>
    </row>
    <row r="102" spans="1:11" ht="15" customHeight="1" thickBot="1" x14ac:dyDescent="0.45">
      <c r="A102" s="84"/>
      <c r="B102" s="84"/>
      <c r="C102" s="84" t="s">
        <v>783</v>
      </c>
      <c r="D102" s="84"/>
      <c r="E102" s="84"/>
      <c r="F102" s="85"/>
      <c r="G102" s="84"/>
      <c r="H102" s="84"/>
      <c r="I102" s="84"/>
      <c r="J102" s="84"/>
      <c r="K102" s="414">
        <f>ROUND(SUM(K3:K101),5)</f>
        <v>217237.27</v>
      </c>
    </row>
    <row r="103" spans="1:11" ht="15" customHeight="1" thickBot="1" x14ac:dyDescent="0.45">
      <c r="A103" s="84"/>
      <c r="B103" s="84" t="s">
        <v>703</v>
      </c>
      <c r="C103" s="84"/>
      <c r="D103" s="84"/>
      <c r="E103" s="84"/>
      <c r="F103" s="85"/>
      <c r="G103" s="84"/>
      <c r="H103" s="84"/>
      <c r="I103" s="84"/>
      <c r="J103" s="84"/>
      <c r="K103" s="414">
        <f>K102</f>
        <v>217237.27</v>
      </c>
    </row>
    <row r="104" spans="1:11" ht="15" customHeight="1" thickBot="1" x14ac:dyDescent="0.45">
      <c r="A104" s="84" t="s">
        <v>158</v>
      </c>
      <c r="B104" s="84"/>
      <c r="C104" s="84"/>
      <c r="D104" s="84"/>
      <c r="E104" s="84"/>
      <c r="F104" s="85"/>
      <c r="G104" s="84"/>
      <c r="H104" s="84"/>
      <c r="I104" s="84"/>
      <c r="J104" s="84"/>
      <c r="K104" s="415">
        <f>K103</f>
        <v>217237.27</v>
      </c>
    </row>
    <row r="105" spans="1:11" ht="15" customHeight="1" thickTop="1" x14ac:dyDescent="0.4"/>
  </sheetData>
  <pageMargins left="0.7" right="0.7" top="0.75" bottom="0.75" header="0.1" footer="0"/>
  <pageSetup orientation="portrait" r:id="rId1"/>
  <headerFooter>
    <oddHeader>&amp;L&amp;"Arial,Bold"&amp;8 4:29 PM
&amp;"Arial,Bold"&amp;8 01/24/24
&amp;"Arial,Bold"&amp;8 Accrual Basis&amp;C&amp;"Arial,Bold"&amp;12 Williamson Central Appraisal District
&amp;"Arial,Bold"&amp;14 Account QuickReport
&amp;"Arial,Bold"&amp;10 January through December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8550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08550" r:id="rId4" name="HEADER"/>
      </mc:Fallback>
    </mc:AlternateContent>
    <mc:AlternateContent xmlns:mc="http://schemas.openxmlformats.org/markup-compatibility/2006">
      <mc:Choice Requires="x14">
        <control shapeId="108549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08549" r:id="rId6" name="FILTER"/>
      </mc:Fallback>
    </mc:AlternateContent>
  </control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7"/>
  <dimension ref="A1:L188"/>
  <sheetViews>
    <sheetView workbookViewId="0">
      <pane xSplit="3" ySplit="1" topLeftCell="D133" activePane="bottomRight" state="frozenSplit"/>
      <selection pane="topRight" activeCell="D1" sqref="D1"/>
      <selection pane="bottomLeft" activeCell="A2" sqref="A2"/>
      <selection pane="bottomRight" activeCell="L87" sqref="L87:L89"/>
    </sheetView>
  </sheetViews>
  <sheetFormatPr defaultColWidth="14.3828125" defaultRowHeight="15" customHeight="1" x14ac:dyDescent="0.4"/>
  <cols>
    <col min="1" max="2" width="3" customWidth="1"/>
    <col min="3" max="3" width="39.53515625" customWidth="1"/>
    <col min="4" max="4" width="2.3046875" customWidth="1"/>
    <col min="5" max="5" width="17.69140625" bestFit="1" customWidth="1"/>
    <col min="6" max="6" width="10.69140625" bestFit="1" customWidth="1"/>
    <col min="7" max="7" width="18" bestFit="1" customWidth="1"/>
    <col min="8" max="10" width="30.69140625" customWidth="1"/>
    <col min="11" max="11" width="10.15234375" bestFit="1" customWidth="1"/>
  </cols>
  <sheetData>
    <row r="1" spans="1:11" s="412" customFormat="1" thickBot="1" x14ac:dyDescent="0.45">
      <c r="A1" s="416"/>
      <c r="B1" s="416"/>
      <c r="C1" s="416"/>
      <c r="D1" s="416"/>
      <c r="E1" s="417" t="s">
        <v>623</v>
      </c>
      <c r="F1" s="417" t="s">
        <v>624</v>
      </c>
      <c r="G1" s="417" t="s">
        <v>625</v>
      </c>
      <c r="H1" s="417" t="s">
        <v>626</v>
      </c>
      <c r="I1" s="417" t="s">
        <v>627</v>
      </c>
      <c r="J1" s="417" t="s">
        <v>628</v>
      </c>
      <c r="K1" s="417" t="s">
        <v>629</v>
      </c>
    </row>
    <row r="2" spans="1:11" thickTop="1" x14ac:dyDescent="0.4">
      <c r="A2" s="84"/>
      <c r="B2" s="84" t="s">
        <v>700</v>
      </c>
      <c r="C2" s="84"/>
      <c r="D2" s="84"/>
      <c r="E2" s="84"/>
      <c r="F2" s="85"/>
      <c r="G2" s="84"/>
      <c r="H2" s="84"/>
      <c r="I2" s="84"/>
      <c r="J2" s="84"/>
      <c r="K2" s="87"/>
    </row>
    <row r="3" spans="1:11" ht="14.6" x14ac:dyDescent="0.4">
      <c r="A3" s="84"/>
      <c r="B3" s="84"/>
      <c r="C3" s="84" t="s">
        <v>804</v>
      </c>
      <c r="D3" s="84"/>
      <c r="E3" s="84"/>
      <c r="F3" s="85"/>
      <c r="G3" s="84"/>
      <c r="H3" s="84"/>
      <c r="I3" s="84"/>
      <c r="J3" s="84"/>
      <c r="K3" s="87"/>
    </row>
    <row r="4" spans="1:11" ht="14.6" x14ac:dyDescent="0.4">
      <c r="A4" s="84"/>
      <c r="B4" s="84"/>
      <c r="C4" s="84"/>
      <c r="D4" s="84"/>
      <c r="E4" s="84" t="s">
        <v>634</v>
      </c>
      <c r="F4" s="85">
        <v>44927</v>
      </c>
      <c r="G4" s="84" t="s">
        <v>806</v>
      </c>
      <c r="H4" s="84" t="s">
        <v>816</v>
      </c>
      <c r="I4" s="84" t="s">
        <v>823</v>
      </c>
      <c r="J4" s="84" t="s">
        <v>659</v>
      </c>
      <c r="K4" s="87">
        <v>813.75</v>
      </c>
    </row>
    <row r="5" spans="1:11" ht="14.6" x14ac:dyDescent="0.4">
      <c r="A5" s="84"/>
      <c r="B5" s="84"/>
      <c r="C5" s="84"/>
      <c r="D5" s="84"/>
      <c r="E5" s="84" t="s">
        <v>634</v>
      </c>
      <c r="F5" s="85">
        <v>44927</v>
      </c>
      <c r="G5" s="84" t="s">
        <v>806</v>
      </c>
      <c r="H5" s="84" t="s">
        <v>816</v>
      </c>
      <c r="I5" s="84" t="s">
        <v>824</v>
      </c>
      <c r="J5" s="84" t="s">
        <v>659</v>
      </c>
      <c r="K5" s="87">
        <v>32.549999999999997</v>
      </c>
    </row>
    <row r="6" spans="1:11" ht="14.6" x14ac:dyDescent="0.4">
      <c r="A6" s="84"/>
      <c r="B6" s="84"/>
      <c r="C6" s="84"/>
      <c r="D6" s="84"/>
      <c r="E6" s="84" t="s">
        <v>634</v>
      </c>
      <c r="F6" s="85">
        <v>44927</v>
      </c>
      <c r="G6" s="84" t="s">
        <v>807</v>
      </c>
      <c r="H6" s="84" t="s">
        <v>817</v>
      </c>
      <c r="I6" s="84" t="s">
        <v>825</v>
      </c>
      <c r="J6" s="84" t="s">
        <v>659</v>
      </c>
      <c r="K6" s="87">
        <v>3025</v>
      </c>
    </row>
    <row r="7" spans="1:11" ht="14.6" x14ac:dyDescent="0.4">
      <c r="A7" s="84"/>
      <c r="B7" s="84"/>
      <c r="C7" s="84"/>
      <c r="D7" s="84"/>
      <c r="E7" s="84" t="s">
        <v>634</v>
      </c>
      <c r="F7" s="85">
        <v>44927</v>
      </c>
      <c r="G7" s="84" t="s">
        <v>808</v>
      </c>
      <c r="H7" s="84" t="s">
        <v>818</v>
      </c>
      <c r="I7" s="84" t="s">
        <v>826</v>
      </c>
      <c r="J7" s="84" t="s">
        <v>659</v>
      </c>
      <c r="K7" s="87">
        <v>1104.17</v>
      </c>
    </row>
    <row r="8" spans="1:11" ht="14.6" x14ac:dyDescent="0.4">
      <c r="A8" s="84"/>
      <c r="B8" s="84"/>
      <c r="C8" s="84"/>
      <c r="D8" s="84"/>
      <c r="E8" s="84" t="s">
        <v>634</v>
      </c>
      <c r="F8" s="85">
        <v>44929</v>
      </c>
      <c r="G8" s="84" t="s">
        <v>809</v>
      </c>
      <c r="H8" s="84" t="s">
        <v>819</v>
      </c>
      <c r="I8" s="84" t="s">
        <v>827</v>
      </c>
      <c r="J8" s="84" t="s">
        <v>659</v>
      </c>
      <c r="K8" s="87">
        <v>155.31</v>
      </c>
    </row>
    <row r="9" spans="1:11" ht="14.6" x14ac:dyDescent="0.4">
      <c r="A9" s="84"/>
      <c r="B9" s="84"/>
      <c r="C9" s="84"/>
      <c r="D9" s="84"/>
      <c r="E9" s="84" t="s">
        <v>634</v>
      </c>
      <c r="F9" s="85">
        <v>44931</v>
      </c>
      <c r="G9" s="84" t="s">
        <v>810</v>
      </c>
      <c r="H9" s="84" t="s">
        <v>647</v>
      </c>
      <c r="I9" s="84" t="s">
        <v>828</v>
      </c>
      <c r="J9" s="84" t="s">
        <v>659</v>
      </c>
      <c r="K9" s="87">
        <v>39.979999999999997</v>
      </c>
    </row>
    <row r="10" spans="1:11" ht="14.6" x14ac:dyDescent="0.4">
      <c r="A10" s="84"/>
      <c r="B10" s="84"/>
      <c r="C10" s="84"/>
      <c r="D10" s="84"/>
      <c r="E10" s="84" t="s">
        <v>634</v>
      </c>
      <c r="F10" s="85">
        <v>44935</v>
      </c>
      <c r="G10" s="84" t="s">
        <v>811</v>
      </c>
      <c r="H10" s="84" t="s">
        <v>820</v>
      </c>
      <c r="I10" s="84" t="s">
        <v>829</v>
      </c>
      <c r="J10" s="84" t="s">
        <v>659</v>
      </c>
      <c r="K10" s="87">
        <v>126</v>
      </c>
    </row>
    <row r="11" spans="1:11" ht="14.6" x14ac:dyDescent="0.4">
      <c r="A11" s="84"/>
      <c r="B11" s="84"/>
      <c r="C11" s="84"/>
      <c r="D11" s="84"/>
      <c r="E11" s="84" t="s">
        <v>634</v>
      </c>
      <c r="F11" s="85">
        <v>44935</v>
      </c>
      <c r="G11" s="84" t="s">
        <v>811</v>
      </c>
      <c r="H11" s="84" t="s">
        <v>820</v>
      </c>
      <c r="I11" s="84" t="s">
        <v>830</v>
      </c>
      <c r="J11" s="84" t="s">
        <v>659</v>
      </c>
      <c r="K11" s="87">
        <v>18</v>
      </c>
    </row>
    <row r="12" spans="1:11" ht="14.6" x14ac:dyDescent="0.4">
      <c r="A12" s="84"/>
      <c r="B12" s="84"/>
      <c r="C12" s="84"/>
      <c r="D12" s="84"/>
      <c r="E12" s="84" t="s">
        <v>634</v>
      </c>
      <c r="F12" s="85">
        <v>44943</v>
      </c>
      <c r="G12" s="84" t="s">
        <v>812</v>
      </c>
      <c r="H12" s="84" t="s">
        <v>821</v>
      </c>
      <c r="I12" s="84" t="s">
        <v>831</v>
      </c>
      <c r="J12" s="84" t="s">
        <v>659</v>
      </c>
      <c r="K12" s="87">
        <v>1625</v>
      </c>
    </row>
    <row r="13" spans="1:11" ht="14.6" x14ac:dyDescent="0.4">
      <c r="A13" s="84"/>
      <c r="B13" s="84"/>
      <c r="C13" s="84"/>
      <c r="D13" s="84"/>
      <c r="E13" s="84" t="s">
        <v>634</v>
      </c>
      <c r="F13" s="85">
        <v>44944</v>
      </c>
      <c r="G13" s="84" t="s">
        <v>813</v>
      </c>
      <c r="H13" s="84" t="s">
        <v>818</v>
      </c>
      <c r="I13" s="84" t="s">
        <v>832</v>
      </c>
      <c r="J13" s="84" t="s">
        <v>659</v>
      </c>
      <c r="K13" s="87">
        <v>1292.8</v>
      </c>
    </row>
    <row r="14" spans="1:11" ht="14.6" x14ac:dyDescent="0.4">
      <c r="A14" s="84"/>
      <c r="B14" s="84"/>
      <c r="C14" s="84"/>
      <c r="D14" s="84"/>
      <c r="E14" s="84" t="s">
        <v>634</v>
      </c>
      <c r="F14" s="85">
        <v>44951</v>
      </c>
      <c r="G14" s="84" t="s">
        <v>814</v>
      </c>
      <c r="H14" s="84" t="s">
        <v>822</v>
      </c>
      <c r="I14" s="84" t="s">
        <v>833</v>
      </c>
      <c r="J14" s="84" t="s">
        <v>659</v>
      </c>
      <c r="K14" s="87">
        <v>455</v>
      </c>
    </row>
    <row r="15" spans="1:11" ht="14.6" x14ac:dyDescent="0.4">
      <c r="A15" s="84"/>
      <c r="B15" s="84"/>
      <c r="C15" s="84"/>
      <c r="D15" s="84"/>
      <c r="E15" s="84" t="s">
        <v>634</v>
      </c>
      <c r="F15" s="85">
        <v>44957</v>
      </c>
      <c r="G15" s="84" t="s">
        <v>1030</v>
      </c>
      <c r="H15" s="84" t="s">
        <v>1035</v>
      </c>
      <c r="I15" s="84" t="s">
        <v>1036</v>
      </c>
      <c r="J15" s="84" t="s">
        <v>659</v>
      </c>
      <c r="K15" s="87">
        <v>325</v>
      </c>
    </row>
    <row r="16" spans="1:11" ht="14.6" x14ac:dyDescent="0.4">
      <c r="A16" s="84"/>
      <c r="B16" s="84"/>
      <c r="C16" s="84"/>
      <c r="D16" s="84"/>
      <c r="E16" s="84" t="s">
        <v>634</v>
      </c>
      <c r="F16" s="85">
        <v>44957</v>
      </c>
      <c r="G16" s="84" t="s">
        <v>1030</v>
      </c>
      <c r="H16" s="84" t="s">
        <v>1035</v>
      </c>
      <c r="I16" s="84" t="s">
        <v>1037</v>
      </c>
      <c r="J16" s="84" t="s">
        <v>659</v>
      </c>
      <c r="K16" s="87">
        <v>13</v>
      </c>
    </row>
    <row r="17" spans="1:11" ht="14.6" x14ac:dyDescent="0.4">
      <c r="A17" s="84"/>
      <c r="B17" s="84"/>
      <c r="C17" s="84"/>
      <c r="D17" s="84"/>
      <c r="E17" s="84" t="s">
        <v>634</v>
      </c>
      <c r="F17" s="85">
        <v>44957</v>
      </c>
      <c r="G17" s="84" t="s">
        <v>1030</v>
      </c>
      <c r="H17" s="84" t="s">
        <v>1035</v>
      </c>
      <c r="I17" s="84" t="s">
        <v>1040</v>
      </c>
      <c r="J17" s="84" t="s">
        <v>659</v>
      </c>
      <c r="K17" s="87">
        <v>85</v>
      </c>
    </row>
    <row r="18" spans="1:11" ht="14.6" x14ac:dyDescent="0.4">
      <c r="A18" s="84"/>
      <c r="B18" s="84"/>
      <c r="C18" s="84"/>
      <c r="D18" s="84"/>
      <c r="E18" s="84" t="s">
        <v>634</v>
      </c>
      <c r="F18" s="85">
        <v>44958</v>
      </c>
      <c r="G18" s="84" t="s">
        <v>815</v>
      </c>
      <c r="H18" s="84" t="s">
        <v>818</v>
      </c>
      <c r="I18" s="84" t="s">
        <v>826</v>
      </c>
      <c r="J18" s="84" t="s">
        <v>659</v>
      </c>
      <c r="K18" s="87">
        <v>1104.17</v>
      </c>
    </row>
    <row r="19" spans="1:11" ht="14.6" x14ac:dyDescent="0.4">
      <c r="A19" s="84"/>
      <c r="B19" s="84"/>
      <c r="C19" s="84"/>
      <c r="D19" s="84"/>
      <c r="E19" s="84" t="s">
        <v>634</v>
      </c>
      <c r="F19" s="85">
        <v>44958</v>
      </c>
      <c r="G19" s="84" t="s">
        <v>1031</v>
      </c>
      <c r="H19" s="84" t="s">
        <v>817</v>
      </c>
      <c r="I19" s="84" t="s">
        <v>825</v>
      </c>
      <c r="J19" s="84" t="s">
        <v>659</v>
      </c>
      <c r="K19" s="87">
        <v>3025</v>
      </c>
    </row>
    <row r="20" spans="1:11" ht="14.6" x14ac:dyDescent="0.4">
      <c r="A20" s="84"/>
      <c r="B20" s="84"/>
      <c r="C20" s="84"/>
      <c r="D20" s="84"/>
      <c r="E20" s="84" t="s">
        <v>634</v>
      </c>
      <c r="F20" s="85">
        <v>44958</v>
      </c>
      <c r="G20" s="84" t="s">
        <v>1032</v>
      </c>
      <c r="H20" s="84" t="s">
        <v>816</v>
      </c>
      <c r="I20" s="84" t="s">
        <v>823</v>
      </c>
      <c r="J20" s="84" t="s">
        <v>659</v>
      </c>
      <c r="K20" s="87">
        <v>813.75</v>
      </c>
    </row>
    <row r="21" spans="1:11" ht="14.6" x14ac:dyDescent="0.4">
      <c r="A21" s="84"/>
      <c r="B21" s="84"/>
      <c r="C21" s="84"/>
      <c r="D21" s="84"/>
      <c r="E21" s="84" t="s">
        <v>634</v>
      </c>
      <c r="F21" s="85">
        <v>44958</v>
      </c>
      <c r="G21" s="84" t="s">
        <v>1032</v>
      </c>
      <c r="H21" s="84" t="s">
        <v>816</v>
      </c>
      <c r="I21" s="84" t="s">
        <v>824</v>
      </c>
      <c r="J21" s="84" t="s">
        <v>659</v>
      </c>
      <c r="K21" s="87">
        <v>32.549999999999997</v>
      </c>
    </row>
    <row r="22" spans="1:11" ht="14.6" x14ac:dyDescent="0.4">
      <c r="A22" s="84"/>
      <c r="B22" s="84"/>
      <c r="C22" s="84"/>
      <c r="D22" s="84"/>
      <c r="E22" s="84" t="s">
        <v>634</v>
      </c>
      <c r="F22" s="85">
        <v>44964</v>
      </c>
      <c r="G22" s="84" t="s">
        <v>1033</v>
      </c>
      <c r="H22" s="84" t="s">
        <v>647</v>
      </c>
      <c r="I22" s="84" t="s">
        <v>1038</v>
      </c>
      <c r="J22" s="84" t="s">
        <v>659</v>
      </c>
      <c r="K22" s="87">
        <v>210</v>
      </c>
    </row>
    <row r="23" spans="1:11" ht="14.6" x14ac:dyDescent="0.4">
      <c r="A23" s="84"/>
      <c r="B23" s="84"/>
      <c r="C23" s="84"/>
      <c r="D23" s="84"/>
      <c r="E23" s="84" t="s">
        <v>634</v>
      </c>
      <c r="F23" s="85">
        <v>44965</v>
      </c>
      <c r="G23" s="84" t="s">
        <v>959</v>
      </c>
      <c r="H23" s="84" t="s">
        <v>647</v>
      </c>
      <c r="I23" s="84" t="s">
        <v>1039</v>
      </c>
      <c r="J23" s="84" t="s">
        <v>659</v>
      </c>
      <c r="K23" s="87">
        <v>37.99</v>
      </c>
    </row>
    <row r="24" spans="1:11" ht="14.6" x14ac:dyDescent="0.4">
      <c r="A24" s="84"/>
      <c r="B24" s="84"/>
      <c r="C24" s="84"/>
      <c r="D24" s="84"/>
      <c r="E24" s="84" t="s">
        <v>634</v>
      </c>
      <c r="F24" s="85">
        <v>44965</v>
      </c>
      <c r="G24" s="84" t="s">
        <v>1034</v>
      </c>
      <c r="H24" s="84" t="s">
        <v>821</v>
      </c>
      <c r="I24" s="84" t="s">
        <v>831</v>
      </c>
      <c r="J24" s="84" t="s">
        <v>659</v>
      </c>
      <c r="K24" s="87">
        <v>575</v>
      </c>
    </row>
    <row r="25" spans="1:11" ht="14.6" x14ac:dyDescent="0.4">
      <c r="A25" s="84"/>
      <c r="B25" s="84"/>
      <c r="C25" s="84"/>
      <c r="D25" s="84"/>
      <c r="E25" s="84" t="s">
        <v>634</v>
      </c>
      <c r="F25" s="85">
        <v>44971</v>
      </c>
      <c r="G25" s="84" t="s">
        <v>1802</v>
      </c>
      <c r="H25" s="84" t="s">
        <v>816</v>
      </c>
      <c r="I25" s="84" t="s">
        <v>1891</v>
      </c>
      <c r="J25" s="84" t="s">
        <v>659</v>
      </c>
      <c r="K25" s="87">
        <v>3233</v>
      </c>
    </row>
    <row r="26" spans="1:11" ht="14.6" x14ac:dyDescent="0.4">
      <c r="A26" s="84"/>
      <c r="B26" s="84"/>
      <c r="C26" s="84"/>
      <c r="D26" s="84"/>
      <c r="E26" s="84" t="s">
        <v>634</v>
      </c>
      <c r="F26" s="85">
        <v>44973</v>
      </c>
      <c r="G26" s="84" t="s">
        <v>1803</v>
      </c>
      <c r="H26" s="84" t="s">
        <v>647</v>
      </c>
      <c r="I26" s="84" t="s">
        <v>1892</v>
      </c>
      <c r="J26" s="84" t="s">
        <v>659</v>
      </c>
      <c r="K26" s="87">
        <v>92.77</v>
      </c>
    </row>
    <row r="27" spans="1:11" ht="14.6" x14ac:dyDescent="0.4">
      <c r="A27" s="84"/>
      <c r="B27" s="84"/>
      <c r="C27" s="84"/>
      <c r="D27" s="84"/>
      <c r="E27" s="84" t="s">
        <v>634</v>
      </c>
      <c r="F27" s="85">
        <v>44973</v>
      </c>
      <c r="G27" s="84" t="s">
        <v>1804</v>
      </c>
      <c r="H27" s="84" t="s">
        <v>1879</v>
      </c>
      <c r="I27" s="84" t="s">
        <v>1893</v>
      </c>
      <c r="J27" s="84" t="s">
        <v>659</v>
      </c>
      <c r="K27" s="87">
        <v>443</v>
      </c>
    </row>
    <row r="28" spans="1:11" ht="14.6" x14ac:dyDescent="0.4">
      <c r="A28" s="84"/>
      <c r="B28" s="84"/>
      <c r="C28" s="84"/>
      <c r="D28" s="84"/>
      <c r="E28" s="84" t="s">
        <v>634</v>
      </c>
      <c r="F28" s="85">
        <v>44985</v>
      </c>
      <c r="G28" s="84" t="s">
        <v>1805</v>
      </c>
      <c r="H28" s="84" t="s">
        <v>818</v>
      </c>
      <c r="I28" s="84" t="s">
        <v>832</v>
      </c>
      <c r="J28" s="84" t="s">
        <v>659</v>
      </c>
      <c r="K28" s="87">
        <v>670</v>
      </c>
    </row>
    <row r="29" spans="1:11" ht="14.6" x14ac:dyDescent="0.4">
      <c r="A29" s="84"/>
      <c r="B29" s="84"/>
      <c r="C29" s="84"/>
      <c r="D29" s="84"/>
      <c r="E29" s="84" t="s">
        <v>634</v>
      </c>
      <c r="F29" s="85">
        <v>44985</v>
      </c>
      <c r="G29" s="84" t="s">
        <v>1806</v>
      </c>
      <c r="H29" s="84" t="s">
        <v>1035</v>
      </c>
      <c r="I29" s="84" t="s">
        <v>1036</v>
      </c>
      <c r="J29" s="84" t="s">
        <v>659</v>
      </c>
      <c r="K29" s="87">
        <v>325</v>
      </c>
    </row>
    <row r="30" spans="1:11" ht="14.6" x14ac:dyDescent="0.4">
      <c r="A30" s="84"/>
      <c r="B30" s="84"/>
      <c r="C30" s="84"/>
      <c r="D30" s="84"/>
      <c r="E30" s="84" t="s">
        <v>634</v>
      </c>
      <c r="F30" s="85">
        <v>44985</v>
      </c>
      <c r="G30" s="84" t="s">
        <v>1806</v>
      </c>
      <c r="H30" s="84" t="s">
        <v>1035</v>
      </c>
      <c r="I30" s="84" t="s">
        <v>1037</v>
      </c>
      <c r="J30" s="84" t="s">
        <v>659</v>
      </c>
      <c r="K30" s="87">
        <v>39</v>
      </c>
    </row>
    <row r="31" spans="1:11" ht="14.6" x14ac:dyDescent="0.4">
      <c r="A31" s="84"/>
      <c r="B31" s="84"/>
      <c r="C31" s="84"/>
      <c r="D31" s="84"/>
      <c r="E31" s="84" t="s">
        <v>634</v>
      </c>
      <c r="F31" s="85">
        <v>44986</v>
      </c>
      <c r="G31" s="84" t="s">
        <v>1807</v>
      </c>
      <c r="H31" s="84" t="s">
        <v>818</v>
      </c>
      <c r="I31" s="84" t="s">
        <v>826</v>
      </c>
      <c r="J31" s="84" t="s">
        <v>659</v>
      </c>
      <c r="K31" s="87">
        <v>1104.17</v>
      </c>
    </row>
    <row r="32" spans="1:11" ht="14.6" x14ac:dyDescent="0.4">
      <c r="A32" s="84"/>
      <c r="B32" s="84"/>
      <c r="C32" s="84"/>
      <c r="D32" s="84"/>
      <c r="E32" s="84" t="s">
        <v>634</v>
      </c>
      <c r="F32" s="85">
        <v>44986</v>
      </c>
      <c r="G32" s="84" t="s">
        <v>1808</v>
      </c>
      <c r="H32" s="84" t="s">
        <v>817</v>
      </c>
      <c r="I32" s="84" t="s">
        <v>825</v>
      </c>
      <c r="J32" s="84" t="s">
        <v>659</v>
      </c>
      <c r="K32" s="87">
        <v>3025</v>
      </c>
    </row>
    <row r="33" spans="1:11" ht="14.6" x14ac:dyDescent="0.4">
      <c r="A33" s="84"/>
      <c r="B33" s="84"/>
      <c r="C33" s="84"/>
      <c r="D33" s="84"/>
      <c r="E33" s="84" t="s">
        <v>634</v>
      </c>
      <c r="F33" s="85">
        <v>44986</v>
      </c>
      <c r="G33" s="84" t="s">
        <v>1809</v>
      </c>
      <c r="H33" s="84" t="s">
        <v>1880</v>
      </c>
      <c r="I33" s="84" t="s">
        <v>1894</v>
      </c>
      <c r="J33" s="84" t="s">
        <v>659</v>
      </c>
      <c r="K33" s="87">
        <v>244</v>
      </c>
    </row>
    <row r="34" spans="1:11" ht="14.6" x14ac:dyDescent="0.4">
      <c r="A34" s="84"/>
      <c r="B34" s="84"/>
      <c r="C34" s="84"/>
      <c r="D34" s="84"/>
      <c r="E34" s="84" t="s">
        <v>634</v>
      </c>
      <c r="F34" s="85">
        <v>44986</v>
      </c>
      <c r="G34" s="84" t="s">
        <v>1810</v>
      </c>
      <c r="H34" s="84" t="s">
        <v>816</v>
      </c>
      <c r="I34" s="84" t="s">
        <v>823</v>
      </c>
      <c r="J34" s="84" t="s">
        <v>659</v>
      </c>
      <c r="K34" s="87">
        <v>813.75</v>
      </c>
    </row>
    <row r="35" spans="1:11" ht="14.6" x14ac:dyDescent="0.4">
      <c r="A35" s="84"/>
      <c r="B35" s="84"/>
      <c r="C35" s="84"/>
      <c r="D35" s="84"/>
      <c r="E35" s="84" t="s">
        <v>634</v>
      </c>
      <c r="F35" s="85">
        <v>44993</v>
      </c>
      <c r="G35" s="84" t="s">
        <v>1811</v>
      </c>
      <c r="H35" s="84" t="s">
        <v>816</v>
      </c>
      <c r="I35" s="84" t="s">
        <v>1895</v>
      </c>
      <c r="J35" s="84" t="s">
        <v>659</v>
      </c>
      <c r="K35" s="87">
        <v>435</v>
      </c>
    </row>
    <row r="36" spans="1:11" ht="14.6" x14ac:dyDescent="0.4">
      <c r="A36" s="84"/>
      <c r="B36" s="84"/>
      <c r="C36" s="84"/>
      <c r="D36" s="84"/>
      <c r="E36" s="84" t="s">
        <v>634</v>
      </c>
      <c r="F36" s="85">
        <v>44994</v>
      </c>
      <c r="G36" s="84" t="s">
        <v>1812</v>
      </c>
      <c r="H36" s="84" t="s">
        <v>820</v>
      </c>
      <c r="I36" s="84" t="s">
        <v>829</v>
      </c>
      <c r="J36" s="84" t="s">
        <v>659</v>
      </c>
      <c r="K36" s="87">
        <v>126</v>
      </c>
    </row>
    <row r="37" spans="1:11" ht="14.6" x14ac:dyDescent="0.4">
      <c r="A37" s="84"/>
      <c r="B37" s="84"/>
      <c r="C37" s="84"/>
      <c r="D37" s="84"/>
      <c r="E37" s="84" t="s">
        <v>634</v>
      </c>
      <c r="F37" s="85">
        <v>44994</v>
      </c>
      <c r="G37" s="84" t="s">
        <v>1812</v>
      </c>
      <c r="H37" s="84" t="s">
        <v>820</v>
      </c>
      <c r="I37" s="84" t="s">
        <v>830</v>
      </c>
      <c r="J37" s="84" t="s">
        <v>659</v>
      </c>
      <c r="K37" s="87">
        <v>18</v>
      </c>
    </row>
    <row r="38" spans="1:11" ht="14.6" x14ac:dyDescent="0.4">
      <c r="A38" s="84"/>
      <c r="B38" s="84"/>
      <c r="C38" s="84"/>
      <c r="D38" s="84"/>
      <c r="E38" s="84" t="s">
        <v>704</v>
      </c>
      <c r="F38" s="85">
        <v>44999</v>
      </c>
      <c r="G38" s="84" t="s">
        <v>1813</v>
      </c>
      <c r="H38" s="84" t="s">
        <v>1881</v>
      </c>
      <c r="I38" s="84" t="s">
        <v>1896</v>
      </c>
      <c r="J38" s="84" t="s">
        <v>771</v>
      </c>
      <c r="K38" s="87">
        <v>39</v>
      </c>
    </row>
    <row r="39" spans="1:11" ht="14.6" x14ac:dyDescent="0.4">
      <c r="A39" s="84"/>
      <c r="B39" s="84"/>
      <c r="C39" s="84"/>
      <c r="D39" s="84"/>
      <c r="E39" s="84" t="s">
        <v>634</v>
      </c>
      <c r="F39" s="85">
        <v>44999</v>
      </c>
      <c r="G39" s="84" t="s">
        <v>1814</v>
      </c>
      <c r="H39" s="84" t="s">
        <v>817</v>
      </c>
      <c r="I39" s="84" t="s">
        <v>1897</v>
      </c>
      <c r="J39" s="84" t="s">
        <v>659</v>
      </c>
      <c r="K39" s="87">
        <v>2565</v>
      </c>
    </row>
    <row r="40" spans="1:11" ht="14.6" x14ac:dyDescent="0.4">
      <c r="A40" s="84"/>
      <c r="B40" s="84"/>
      <c r="C40" s="84"/>
      <c r="D40" s="84"/>
      <c r="E40" s="84" t="s">
        <v>634</v>
      </c>
      <c r="F40" s="85">
        <v>45005</v>
      </c>
      <c r="G40" s="84" t="s">
        <v>1815</v>
      </c>
      <c r="H40" s="84" t="s">
        <v>817</v>
      </c>
      <c r="I40" s="84" t="s">
        <v>1898</v>
      </c>
      <c r="J40" s="84" t="s">
        <v>659</v>
      </c>
      <c r="K40" s="87">
        <v>134.68</v>
      </c>
    </row>
    <row r="41" spans="1:11" ht="14.6" x14ac:dyDescent="0.4">
      <c r="A41" s="84"/>
      <c r="B41" s="84"/>
      <c r="C41" s="84"/>
      <c r="D41" s="84"/>
      <c r="E41" s="84" t="s">
        <v>634</v>
      </c>
      <c r="F41" s="85">
        <v>45007</v>
      </c>
      <c r="G41" s="84" t="s">
        <v>1816</v>
      </c>
      <c r="H41" s="84" t="s">
        <v>822</v>
      </c>
      <c r="I41" s="84" t="s">
        <v>1899</v>
      </c>
      <c r="J41" s="84" t="s">
        <v>659</v>
      </c>
      <c r="K41" s="87">
        <v>780</v>
      </c>
    </row>
    <row r="42" spans="1:11" ht="14.6" x14ac:dyDescent="0.4">
      <c r="A42" s="84"/>
      <c r="B42" s="84"/>
      <c r="C42" s="84"/>
      <c r="D42" s="84"/>
      <c r="E42" s="84" t="s">
        <v>634</v>
      </c>
      <c r="F42" s="85">
        <v>45009</v>
      </c>
      <c r="G42" s="84" t="s">
        <v>1817</v>
      </c>
      <c r="H42" s="84" t="s">
        <v>1880</v>
      </c>
      <c r="I42" s="84" t="s">
        <v>1894</v>
      </c>
      <c r="J42" s="84" t="s">
        <v>659</v>
      </c>
      <c r="K42" s="87">
        <v>304</v>
      </c>
    </row>
    <row r="43" spans="1:11" ht="14.6" x14ac:dyDescent="0.4">
      <c r="A43" s="84"/>
      <c r="B43" s="84"/>
      <c r="C43" s="84"/>
      <c r="D43" s="84"/>
      <c r="E43" s="84" t="s">
        <v>634</v>
      </c>
      <c r="F43" s="85">
        <v>45016</v>
      </c>
      <c r="G43" s="84" t="s">
        <v>1818</v>
      </c>
      <c r="H43" s="84" t="s">
        <v>1035</v>
      </c>
      <c r="I43" s="84" t="s">
        <v>1036</v>
      </c>
      <c r="J43" s="84" t="s">
        <v>659</v>
      </c>
      <c r="K43" s="87">
        <v>325</v>
      </c>
    </row>
    <row r="44" spans="1:11" ht="14.6" x14ac:dyDescent="0.4">
      <c r="A44" s="84"/>
      <c r="B44" s="84"/>
      <c r="C44" s="84"/>
      <c r="D44" s="84"/>
      <c r="E44" s="84" t="s">
        <v>634</v>
      </c>
      <c r="F44" s="85">
        <v>45016</v>
      </c>
      <c r="G44" s="84" t="s">
        <v>1819</v>
      </c>
      <c r="H44" s="84" t="s">
        <v>816</v>
      </c>
      <c r="I44" s="84" t="s">
        <v>1900</v>
      </c>
      <c r="J44" s="84" t="s">
        <v>659</v>
      </c>
      <c r="K44" s="87">
        <v>2051</v>
      </c>
    </row>
    <row r="45" spans="1:11" ht="14.6" x14ac:dyDescent="0.4">
      <c r="A45" s="84"/>
      <c r="B45" s="84"/>
      <c r="C45" s="84"/>
      <c r="D45" s="84"/>
      <c r="E45" s="84" t="s">
        <v>634</v>
      </c>
      <c r="F45" s="85">
        <v>45016</v>
      </c>
      <c r="G45" s="84" t="s">
        <v>1819</v>
      </c>
      <c r="H45" s="84" t="s">
        <v>816</v>
      </c>
      <c r="I45" s="84" t="s">
        <v>1901</v>
      </c>
      <c r="J45" s="84" t="s">
        <v>659</v>
      </c>
      <c r="K45" s="87">
        <v>1800</v>
      </c>
    </row>
    <row r="46" spans="1:11" ht="14.6" x14ac:dyDescent="0.4">
      <c r="A46" s="84"/>
      <c r="B46" s="84"/>
      <c r="C46" s="84"/>
      <c r="D46" s="84"/>
      <c r="E46" s="84" t="s">
        <v>634</v>
      </c>
      <c r="F46" s="85">
        <v>45017</v>
      </c>
      <c r="G46" s="84" t="s">
        <v>1820</v>
      </c>
      <c r="H46" s="84" t="s">
        <v>819</v>
      </c>
      <c r="I46" s="84" t="s">
        <v>827</v>
      </c>
      <c r="J46" s="84" t="s">
        <v>659</v>
      </c>
      <c r="K46" s="87">
        <v>155.31</v>
      </c>
    </row>
    <row r="47" spans="1:11" ht="14.6" x14ac:dyDescent="0.4">
      <c r="A47" s="84"/>
      <c r="B47" s="84"/>
      <c r="C47" s="84"/>
      <c r="D47" s="84"/>
      <c r="E47" s="84" t="s">
        <v>634</v>
      </c>
      <c r="F47" s="85">
        <v>45017</v>
      </c>
      <c r="G47" s="84" t="s">
        <v>1821</v>
      </c>
      <c r="H47" s="84" t="s">
        <v>817</v>
      </c>
      <c r="I47" s="84" t="s">
        <v>825</v>
      </c>
      <c r="J47" s="84" t="s">
        <v>659</v>
      </c>
      <c r="K47" s="87">
        <v>3025</v>
      </c>
    </row>
    <row r="48" spans="1:11" ht="14.6" x14ac:dyDescent="0.4">
      <c r="A48" s="84"/>
      <c r="B48" s="84"/>
      <c r="C48" s="84"/>
      <c r="D48" s="84"/>
      <c r="E48" s="84" t="s">
        <v>634</v>
      </c>
      <c r="F48" s="85">
        <v>45017</v>
      </c>
      <c r="G48" s="84" t="s">
        <v>1822</v>
      </c>
      <c r="H48" s="84" t="s">
        <v>818</v>
      </c>
      <c r="I48" s="84" t="s">
        <v>826</v>
      </c>
      <c r="J48" s="84" t="s">
        <v>659</v>
      </c>
      <c r="K48" s="87">
        <v>1104.17</v>
      </c>
    </row>
    <row r="49" spans="1:11" ht="14.6" x14ac:dyDescent="0.4">
      <c r="A49" s="84"/>
      <c r="B49" s="84"/>
      <c r="C49" s="84"/>
      <c r="D49" s="84"/>
      <c r="E49" s="84" t="s">
        <v>634</v>
      </c>
      <c r="F49" s="85">
        <v>45017</v>
      </c>
      <c r="G49" s="84" t="s">
        <v>1823</v>
      </c>
      <c r="H49" s="84" t="s">
        <v>816</v>
      </c>
      <c r="I49" s="84" t="s">
        <v>823</v>
      </c>
      <c r="J49" s="84" t="s">
        <v>659</v>
      </c>
      <c r="K49" s="87">
        <v>852</v>
      </c>
    </row>
    <row r="50" spans="1:11" ht="14.6" x14ac:dyDescent="0.4">
      <c r="A50" s="84"/>
      <c r="B50" s="84"/>
      <c r="C50" s="84"/>
      <c r="D50" s="84"/>
      <c r="E50" s="84" t="s">
        <v>634</v>
      </c>
      <c r="F50" s="85">
        <v>45018</v>
      </c>
      <c r="G50" s="84" t="s">
        <v>1824</v>
      </c>
      <c r="H50" s="84" t="s">
        <v>1882</v>
      </c>
      <c r="I50" s="84" t="s">
        <v>1902</v>
      </c>
      <c r="J50" s="84" t="s">
        <v>659</v>
      </c>
      <c r="K50" s="87">
        <v>6075.84</v>
      </c>
    </row>
    <row r="51" spans="1:11" ht="14.6" x14ac:dyDescent="0.4">
      <c r="A51" s="84"/>
      <c r="B51" s="84"/>
      <c r="C51" s="84"/>
      <c r="D51" s="84"/>
      <c r="E51" s="84" t="s">
        <v>704</v>
      </c>
      <c r="F51" s="85">
        <v>45020</v>
      </c>
      <c r="G51" s="84" t="s">
        <v>1825</v>
      </c>
      <c r="H51" s="84" t="s">
        <v>1881</v>
      </c>
      <c r="I51" s="84" t="s">
        <v>1903</v>
      </c>
      <c r="J51" s="84" t="s">
        <v>771</v>
      </c>
      <c r="K51" s="87">
        <v>86.28</v>
      </c>
    </row>
    <row r="52" spans="1:11" ht="14.6" x14ac:dyDescent="0.4">
      <c r="A52" s="84"/>
      <c r="B52" s="84"/>
      <c r="C52" s="84"/>
      <c r="D52" s="84"/>
      <c r="E52" s="84" t="s">
        <v>704</v>
      </c>
      <c r="F52" s="85">
        <v>45020</v>
      </c>
      <c r="G52" s="84" t="s">
        <v>1825</v>
      </c>
      <c r="H52" s="84" t="s">
        <v>1881</v>
      </c>
      <c r="I52" s="84" t="s">
        <v>1932</v>
      </c>
      <c r="J52" s="84" t="s">
        <v>771</v>
      </c>
      <c r="K52" s="87">
        <v>17</v>
      </c>
    </row>
    <row r="53" spans="1:11" ht="14.6" x14ac:dyDescent="0.4">
      <c r="A53" s="84"/>
      <c r="B53" s="84"/>
      <c r="C53" s="84"/>
      <c r="D53" s="84"/>
      <c r="E53" s="84" t="s">
        <v>634</v>
      </c>
      <c r="F53" s="85">
        <v>45022</v>
      </c>
      <c r="G53" s="84" t="s">
        <v>1826</v>
      </c>
      <c r="H53" s="84" t="s">
        <v>818</v>
      </c>
      <c r="I53" s="84" t="s">
        <v>832</v>
      </c>
      <c r="J53" s="84" t="s">
        <v>659</v>
      </c>
      <c r="K53" s="87">
        <v>410</v>
      </c>
    </row>
    <row r="54" spans="1:11" ht="14.6" x14ac:dyDescent="0.4">
      <c r="A54" s="84"/>
      <c r="B54" s="84"/>
      <c r="C54" s="84"/>
      <c r="D54" s="84"/>
      <c r="E54" s="84" t="s">
        <v>634</v>
      </c>
      <c r="F54" s="85">
        <v>45028</v>
      </c>
      <c r="G54" s="84" t="s">
        <v>1827</v>
      </c>
      <c r="H54" s="84" t="s">
        <v>1883</v>
      </c>
      <c r="I54" s="84" t="s">
        <v>1904</v>
      </c>
      <c r="J54" s="84" t="s">
        <v>659</v>
      </c>
      <c r="K54" s="87">
        <v>250</v>
      </c>
    </row>
    <row r="55" spans="1:11" ht="14.6" x14ac:dyDescent="0.4">
      <c r="A55" s="84"/>
      <c r="B55" s="84"/>
      <c r="C55" s="84"/>
      <c r="D55" s="84"/>
      <c r="E55" s="84" t="s">
        <v>634</v>
      </c>
      <c r="F55" s="85">
        <v>45036</v>
      </c>
      <c r="G55" s="84" t="s">
        <v>1828</v>
      </c>
      <c r="H55" s="84" t="s">
        <v>818</v>
      </c>
      <c r="I55" s="84" t="s">
        <v>832</v>
      </c>
      <c r="J55" s="84" t="s">
        <v>659</v>
      </c>
      <c r="K55" s="87">
        <v>5652.36</v>
      </c>
    </row>
    <row r="56" spans="1:11" ht="14.6" x14ac:dyDescent="0.4">
      <c r="A56" s="84"/>
      <c r="B56" s="84"/>
      <c r="C56" s="84"/>
      <c r="D56" s="84"/>
      <c r="E56" s="84" t="s">
        <v>634</v>
      </c>
      <c r="F56" s="85">
        <v>45037</v>
      </c>
      <c r="G56" s="84" t="s">
        <v>1829</v>
      </c>
      <c r="H56" s="84" t="s">
        <v>821</v>
      </c>
      <c r="I56" s="84" t="s">
        <v>831</v>
      </c>
      <c r="J56" s="84" t="s">
        <v>659</v>
      </c>
      <c r="K56" s="87">
        <v>675</v>
      </c>
    </row>
    <row r="57" spans="1:11" ht="14.6" x14ac:dyDescent="0.4">
      <c r="A57" s="84"/>
      <c r="B57" s="84"/>
      <c r="C57" s="84"/>
      <c r="D57" s="84"/>
      <c r="E57" s="84" t="s">
        <v>634</v>
      </c>
      <c r="F57" s="85">
        <v>45040</v>
      </c>
      <c r="G57" s="84" t="s">
        <v>1830</v>
      </c>
      <c r="H57" s="84" t="s">
        <v>1884</v>
      </c>
      <c r="I57" s="84" t="s">
        <v>1905</v>
      </c>
      <c r="J57" s="84" t="s">
        <v>659</v>
      </c>
      <c r="K57" s="87">
        <v>192</v>
      </c>
    </row>
    <row r="58" spans="1:11" ht="14.6" x14ac:dyDescent="0.4">
      <c r="A58" s="84"/>
      <c r="B58" s="84"/>
      <c r="C58" s="84"/>
      <c r="D58" s="84"/>
      <c r="E58" s="84" t="s">
        <v>634</v>
      </c>
      <c r="F58" s="85">
        <v>45046</v>
      </c>
      <c r="G58" s="84" t="s">
        <v>1831</v>
      </c>
      <c r="H58" s="84" t="s">
        <v>1035</v>
      </c>
      <c r="I58" s="84" t="s">
        <v>1036</v>
      </c>
      <c r="J58" s="84" t="s">
        <v>659</v>
      </c>
      <c r="K58" s="87">
        <v>325</v>
      </c>
    </row>
    <row r="59" spans="1:11" ht="14.6" x14ac:dyDescent="0.4">
      <c r="A59" s="84"/>
      <c r="B59" s="84"/>
      <c r="C59" s="84"/>
      <c r="D59" s="84"/>
      <c r="E59" s="84" t="s">
        <v>634</v>
      </c>
      <c r="F59" s="85">
        <v>45046</v>
      </c>
      <c r="G59" s="84" t="s">
        <v>1831</v>
      </c>
      <c r="H59" s="84" t="s">
        <v>1035</v>
      </c>
      <c r="I59" s="84" t="s">
        <v>1906</v>
      </c>
      <c r="J59" s="84" t="s">
        <v>659</v>
      </c>
      <c r="K59" s="87">
        <v>39</v>
      </c>
    </row>
    <row r="60" spans="1:11" ht="14.6" x14ac:dyDescent="0.4">
      <c r="A60" s="84"/>
      <c r="B60" s="84"/>
      <c r="C60" s="84"/>
      <c r="D60" s="84"/>
      <c r="E60" s="84" t="s">
        <v>634</v>
      </c>
      <c r="F60" s="85">
        <v>45046</v>
      </c>
      <c r="G60" s="84" t="s">
        <v>1831</v>
      </c>
      <c r="H60" s="84" t="s">
        <v>1035</v>
      </c>
      <c r="I60" s="84" t="s">
        <v>1907</v>
      </c>
      <c r="J60" s="84" t="s">
        <v>659</v>
      </c>
      <c r="K60" s="87">
        <v>85</v>
      </c>
    </row>
    <row r="61" spans="1:11" ht="14.6" x14ac:dyDescent="0.4">
      <c r="A61" s="84"/>
      <c r="B61" s="84"/>
      <c r="C61" s="84"/>
      <c r="D61" s="84"/>
      <c r="E61" s="84" t="s">
        <v>634</v>
      </c>
      <c r="F61" s="85">
        <v>45047</v>
      </c>
      <c r="G61" s="84" t="s">
        <v>1832</v>
      </c>
      <c r="H61" s="84" t="s">
        <v>817</v>
      </c>
      <c r="I61" s="84" t="s">
        <v>825</v>
      </c>
      <c r="J61" s="84" t="s">
        <v>659</v>
      </c>
      <c r="K61" s="87">
        <v>3025</v>
      </c>
    </row>
    <row r="62" spans="1:11" ht="14.6" x14ac:dyDescent="0.4">
      <c r="A62" s="84"/>
      <c r="B62" s="84"/>
      <c r="C62" s="84"/>
      <c r="D62" s="84"/>
      <c r="E62" s="84" t="s">
        <v>634</v>
      </c>
      <c r="F62" s="85">
        <v>45047</v>
      </c>
      <c r="G62" s="84" t="s">
        <v>1833</v>
      </c>
      <c r="H62" s="84" t="s">
        <v>818</v>
      </c>
      <c r="I62" s="84" t="s">
        <v>826</v>
      </c>
      <c r="J62" s="84" t="s">
        <v>659</v>
      </c>
      <c r="K62" s="87">
        <v>1104.17</v>
      </c>
    </row>
    <row r="63" spans="1:11" ht="14.6" x14ac:dyDescent="0.4">
      <c r="A63" s="84"/>
      <c r="B63" s="84"/>
      <c r="C63" s="84"/>
      <c r="D63" s="84"/>
      <c r="E63" s="84" t="s">
        <v>634</v>
      </c>
      <c r="F63" s="85">
        <v>45047</v>
      </c>
      <c r="G63" s="84" t="s">
        <v>1834</v>
      </c>
      <c r="H63" s="84" t="s">
        <v>816</v>
      </c>
      <c r="I63" s="84" t="s">
        <v>823</v>
      </c>
      <c r="J63" s="84" t="s">
        <v>659</v>
      </c>
      <c r="K63" s="87">
        <v>852</v>
      </c>
    </row>
    <row r="64" spans="1:11" ht="14.6" x14ac:dyDescent="0.4">
      <c r="A64" s="84"/>
      <c r="B64" s="84"/>
      <c r="C64" s="84"/>
      <c r="D64" s="84"/>
      <c r="E64" s="84" t="s">
        <v>634</v>
      </c>
      <c r="F64" s="85">
        <v>45050</v>
      </c>
      <c r="G64" s="84" t="s">
        <v>1835</v>
      </c>
      <c r="H64" s="84" t="s">
        <v>1162</v>
      </c>
      <c r="I64" s="84" t="s">
        <v>1908</v>
      </c>
      <c r="J64" s="84" t="s">
        <v>659</v>
      </c>
      <c r="K64" s="87">
        <v>0</v>
      </c>
    </row>
    <row r="65" spans="1:11" ht="14.6" x14ac:dyDescent="0.4">
      <c r="A65" s="84"/>
      <c r="B65" s="84"/>
      <c r="C65" s="84"/>
      <c r="D65" s="84"/>
      <c r="E65" s="84" t="s">
        <v>634</v>
      </c>
      <c r="F65" s="85">
        <v>45050</v>
      </c>
      <c r="G65" s="84" t="s">
        <v>1835</v>
      </c>
      <c r="H65" s="84" t="s">
        <v>1162</v>
      </c>
      <c r="I65" s="84" t="s">
        <v>1909</v>
      </c>
      <c r="J65" s="84" t="s">
        <v>659</v>
      </c>
      <c r="K65" s="87">
        <v>0</v>
      </c>
    </row>
    <row r="66" spans="1:11" ht="14.6" x14ac:dyDescent="0.4">
      <c r="A66" s="84"/>
      <c r="B66" s="84"/>
      <c r="C66" s="84"/>
      <c r="D66" s="84"/>
      <c r="E66" s="84" t="s">
        <v>634</v>
      </c>
      <c r="F66" s="85">
        <v>45050</v>
      </c>
      <c r="G66" s="84" t="s">
        <v>1835</v>
      </c>
      <c r="H66" s="84" t="s">
        <v>1162</v>
      </c>
      <c r="I66" s="84" t="s">
        <v>1910</v>
      </c>
      <c r="J66" s="84" t="s">
        <v>659</v>
      </c>
      <c r="K66" s="87">
        <v>201.25</v>
      </c>
    </row>
    <row r="67" spans="1:11" ht="14.6" x14ac:dyDescent="0.4">
      <c r="A67" s="84"/>
      <c r="B67" s="84"/>
      <c r="C67" s="84"/>
      <c r="D67" s="84"/>
      <c r="E67" s="84" t="s">
        <v>634</v>
      </c>
      <c r="F67" s="85">
        <v>45050</v>
      </c>
      <c r="G67" s="84" t="s">
        <v>1835</v>
      </c>
      <c r="H67" s="84" t="s">
        <v>1162</v>
      </c>
      <c r="I67" s="84" t="s">
        <v>1911</v>
      </c>
      <c r="J67" s="84" t="s">
        <v>659</v>
      </c>
      <c r="K67" s="87">
        <v>82.9</v>
      </c>
    </row>
    <row r="68" spans="1:11" ht="14.6" x14ac:dyDescent="0.4">
      <c r="A68" s="84"/>
      <c r="B68" s="84"/>
      <c r="C68" s="84"/>
      <c r="D68" s="84"/>
      <c r="E68" s="84" t="s">
        <v>634</v>
      </c>
      <c r="F68" s="85">
        <v>45051</v>
      </c>
      <c r="G68" s="84" t="s">
        <v>1836</v>
      </c>
      <c r="H68" s="84" t="s">
        <v>647</v>
      </c>
      <c r="I68" s="84" t="s">
        <v>1912</v>
      </c>
      <c r="J68" s="84" t="s">
        <v>659</v>
      </c>
      <c r="K68" s="87">
        <v>61.1</v>
      </c>
    </row>
    <row r="69" spans="1:11" ht="14.6" x14ac:dyDescent="0.4">
      <c r="A69" s="84"/>
      <c r="B69" s="84"/>
      <c r="C69" s="84"/>
      <c r="D69" s="84"/>
      <c r="E69" s="84" t="s">
        <v>634</v>
      </c>
      <c r="F69" s="85">
        <v>45051</v>
      </c>
      <c r="G69" s="84" t="s">
        <v>1837</v>
      </c>
      <c r="H69" s="84" t="s">
        <v>647</v>
      </c>
      <c r="I69" s="84" t="s">
        <v>1912</v>
      </c>
      <c r="J69" s="84" t="s">
        <v>659</v>
      </c>
      <c r="K69" s="87">
        <v>90.86</v>
      </c>
    </row>
    <row r="70" spans="1:11" ht="14.6" x14ac:dyDescent="0.4">
      <c r="A70" s="84"/>
      <c r="B70" s="84"/>
      <c r="C70" s="84"/>
      <c r="D70" s="84"/>
      <c r="E70" s="84" t="s">
        <v>634</v>
      </c>
      <c r="F70" s="85">
        <v>45051</v>
      </c>
      <c r="G70" s="84" t="s">
        <v>1838</v>
      </c>
      <c r="H70" s="84" t="s">
        <v>1162</v>
      </c>
      <c r="I70" s="84" t="s">
        <v>1908</v>
      </c>
      <c r="J70" s="84" t="s">
        <v>659</v>
      </c>
      <c r="K70" s="87">
        <v>367.2</v>
      </c>
    </row>
    <row r="71" spans="1:11" ht="14.6" x14ac:dyDescent="0.4">
      <c r="A71" s="84"/>
      <c r="B71" s="84"/>
      <c r="C71" s="84"/>
      <c r="D71" s="84"/>
      <c r="E71" s="84" t="s">
        <v>634</v>
      </c>
      <c r="F71" s="85">
        <v>45051</v>
      </c>
      <c r="G71" s="84" t="s">
        <v>1838</v>
      </c>
      <c r="H71" s="84" t="s">
        <v>1162</v>
      </c>
      <c r="I71" s="84" t="s">
        <v>1909</v>
      </c>
      <c r="J71" s="84" t="s">
        <v>659</v>
      </c>
      <c r="K71" s="87">
        <v>74.400000000000006</v>
      </c>
    </row>
    <row r="72" spans="1:11" ht="14.6" x14ac:dyDescent="0.4">
      <c r="A72" s="84"/>
      <c r="B72" s="84"/>
      <c r="C72" s="84"/>
      <c r="D72" s="84"/>
      <c r="E72" s="84" t="s">
        <v>634</v>
      </c>
      <c r="F72" s="85">
        <v>45051</v>
      </c>
      <c r="G72" s="84" t="s">
        <v>1839</v>
      </c>
      <c r="H72" s="84" t="s">
        <v>822</v>
      </c>
      <c r="I72" s="84" t="s">
        <v>1913</v>
      </c>
      <c r="J72" s="84" t="s">
        <v>659</v>
      </c>
      <c r="K72" s="87">
        <v>819</v>
      </c>
    </row>
    <row r="73" spans="1:11" ht="14.6" x14ac:dyDescent="0.4">
      <c r="A73" s="84"/>
      <c r="B73" s="84"/>
      <c r="C73" s="84"/>
      <c r="D73" s="84"/>
      <c r="E73" s="84" t="s">
        <v>634</v>
      </c>
      <c r="F73" s="85">
        <v>45051</v>
      </c>
      <c r="G73" s="84" t="s">
        <v>1836</v>
      </c>
      <c r="H73" s="84" t="s">
        <v>647</v>
      </c>
      <c r="I73" s="84" t="s">
        <v>1912</v>
      </c>
      <c r="J73" s="84" t="s">
        <v>659</v>
      </c>
      <c r="K73" s="87">
        <v>61.1</v>
      </c>
    </row>
    <row r="74" spans="1:11" ht="14.6" x14ac:dyDescent="0.4">
      <c r="A74" s="84"/>
      <c r="B74" s="84"/>
      <c r="C74" s="84"/>
      <c r="D74" s="84"/>
      <c r="E74" s="84" t="s">
        <v>634</v>
      </c>
      <c r="F74" s="85">
        <v>45051</v>
      </c>
      <c r="G74" s="84" t="s">
        <v>1837</v>
      </c>
      <c r="H74" s="84" t="s">
        <v>647</v>
      </c>
      <c r="I74" s="84" t="s">
        <v>1912</v>
      </c>
      <c r="J74" s="84" t="s">
        <v>659</v>
      </c>
      <c r="K74" s="87">
        <v>90.86</v>
      </c>
    </row>
    <row r="75" spans="1:11" ht="14.6" x14ac:dyDescent="0.4">
      <c r="A75" s="84"/>
      <c r="B75" s="84"/>
      <c r="C75" s="84"/>
      <c r="D75" s="84"/>
      <c r="E75" s="84" t="s">
        <v>634</v>
      </c>
      <c r="F75" s="85">
        <v>45054</v>
      </c>
      <c r="G75" s="84" t="s">
        <v>1840</v>
      </c>
      <c r="H75" s="84" t="s">
        <v>820</v>
      </c>
      <c r="I75" s="84" t="s">
        <v>829</v>
      </c>
      <c r="J75" s="84" t="s">
        <v>659</v>
      </c>
      <c r="K75" s="87">
        <v>126</v>
      </c>
    </row>
    <row r="76" spans="1:11" ht="14.6" x14ac:dyDescent="0.4">
      <c r="A76" s="84"/>
      <c r="B76" s="84"/>
      <c r="C76" s="84"/>
      <c r="D76" s="84"/>
      <c r="E76" s="84" t="s">
        <v>634</v>
      </c>
      <c r="F76" s="85">
        <v>45054</v>
      </c>
      <c r="G76" s="84" t="s">
        <v>1840</v>
      </c>
      <c r="H76" s="84" t="s">
        <v>820</v>
      </c>
      <c r="I76" s="84" t="s">
        <v>830</v>
      </c>
      <c r="J76" s="84" t="s">
        <v>659</v>
      </c>
      <c r="K76" s="87">
        <v>18</v>
      </c>
    </row>
    <row r="77" spans="1:11" ht="14.6" x14ac:dyDescent="0.4">
      <c r="A77" s="84"/>
      <c r="B77" s="84"/>
      <c r="C77" s="84"/>
      <c r="D77" s="84"/>
      <c r="E77" s="84" t="s">
        <v>634</v>
      </c>
      <c r="F77" s="85">
        <v>45054</v>
      </c>
      <c r="G77" s="84" t="s">
        <v>1841</v>
      </c>
      <c r="H77" s="84" t="s">
        <v>816</v>
      </c>
      <c r="I77" s="84" t="s">
        <v>1914</v>
      </c>
      <c r="J77" s="84" t="s">
        <v>659</v>
      </c>
      <c r="K77" s="87">
        <v>287</v>
      </c>
    </row>
    <row r="78" spans="1:11" ht="14.6" x14ac:dyDescent="0.4">
      <c r="A78" s="84"/>
      <c r="B78" s="84"/>
      <c r="C78" s="84"/>
      <c r="D78" s="84"/>
      <c r="E78" s="84" t="s">
        <v>634</v>
      </c>
      <c r="F78" s="85">
        <v>45055</v>
      </c>
      <c r="G78" s="84" t="s">
        <v>1842</v>
      </c>
      <c r="H78" s="84" t="s">
        <v>1885</v>
      </c>
      <c r="I78" s="84" t="s">
        <v>1915</v>
      </c>
      <c r="J78" s="84" t="s">
        <v>659</v>
      </c>
      <c r="K78" s="87">
        <v>0</v>
      </c>
    </row>
    <row r="79" spans="1:11" ht="14.6" x14ac:dyDescent="0.4">
      <c r="A79" s="84"/>
      <c r="B79" s="84"/>
      <c r="C79" s="84"/>
      <c r="D79" s="84"/>
      <c r="E79" s="84" t="s">
        <v>634</v>
      </c>
      <c r="F79" s="85">
        <v>45056</v>
      </c>
      <c r="G79" s="84" t="s">
        <v>1843</v>
      </c>
      <c r="H79" s="84" t="s">
        <v>1880</v>
      </c>
      <c r="I79" s="84" t="s">
        <v>1894</v>
      </c>
      <c r="J79" s="84" t="s">
        <v>659</v>
      </c>
      <c r="K79" s="87">
        <v>214</v>
      </c>
    </row>
    <row r="80" spans="1:11" ht="14.6" x14ac:dyDescent="0.4">
      <c r="A80" s="84"/>
      <c r="B80" s="84"/>
      <c r="C80" s="84"/>
      <c r="D80" s="84"/>
      <c r="E80" s="84" t="s">
        <v>634</v>
      </c>
      <c r="F80" s="85">
        <v>45061</v>
      </c>
      <c r="G80" s="84" t="s">
        <v>1844</v>
      </c>
      <c r="H80" s="84" t="s">
        <v>821</v>
      </c>
      <c r="I80" s="84" t="s">
        <v>831</v>
      </c>
      <c r="J80" s="84" t="s">
        <v>659</v>
      </c>
      <c r="K80" s="87">
        <v>655</v>
      </c>
    </row>
    <row r="81" spans="1:12" ht="14.6" x14ac:dyDescent="0.4">
      <c r="A81" s="84"/>
      <c r="B81" s="84"/>
      <c r="C81" s="84"/>
      <c r="D81" s="84"/>
      <c r="E81" s="84" t="s">
        <v>634</v>
      </c>
      <c r="F81" s="85">
        <v>45062</v>
      </c>
      <c r="G81" s="84" t="s">
        <v>1845</v>
      </c>
      <c r="H81" s="84" t="s">
        <v>818</v>
      </c>
      <c r="I81" s="84" t="s">
        <v>832</v>
      </c>
      <c r="J81" s="84" t="s">
        <v>659</v>
      </c>
      <c r="K81" s="87">
        <v>930</v>
      </c>
    </row>
    <row r="82" spans="1:12" ht="14.6" x14ac:dyDescent="0.4">
      <c r="A82" s="84"/>
      <c r="B82" s="84"/>
      <c r="C82" s="84"/>
      <c r="D82" s="84"/>
      <c r="E82" s="84" t="s">
        <v>634</v>
      </c>
      <c r="F82" s="85">
        <v>45062</v>
      </c>
      <c r="G82" s="84" t="s">
        <v>1846</v>
      </c>
      <c r="H82" s="84" t="s">
        <v>818</v>
      </c>
      <c r="I82" s="84" t="s">
        <v>832</v>
      </c>
      <c r="J82" s="84" t="s">
        <v>659</v>
      </c>
      <c r="K82" s="87">
        <v>1144.9000000000001</v>
      </c>
    </row>
    <row r="83" spans="1:12" ht="14.6" x14ac:dyDescent="0.4">
      <c r="A83" s="84"/>
      <c r="B83" s="84"/>
      <c r="C83" s="84"/>
      <c r="D83" s="84"/>
      <c r="E83" s="84" t="s">
        <v>634</v>
      </c>
      <c r="F83" s="85">
        <v>45064</v>
      </c>
      <c r="G83" s="84" t="s">
        <v>1847</v>
      </c>
      <c r="H83" s="84" t="s">
        <v>822</v>
      </c>
      <c r="I83" s="84" t="s">
        <v>1916</v>
      </c>
      <c r="J83" s="84" t="s">
        <v>659</v>
      </c>
      <c r="K83" s="87">
        <v>775</v>
      </c>
    </row>
    <row r="84" spans="1:12" ht="14.6" x14ac:dyDescent="0.4">
      <c r="A84" s="84"/>
      <c r="B84" s="84"/>
      <c r="C84" s="84"/>
      <c r="D84" s="84"/>
      <c r="E84" s="84" t="s">
        <v>634</v>
      </c>
      <c r="F84" s="85">
        <v>45064</v>
      </c>
      <c r="G84" s="84" t="s">
        <v>1848</v>
      </c>
      <c r="H84" s="84" t="s">
        <v>1886</v>
      </c>
      <c r="I84" s="84" t="s">
        <v>1917</v>
      </c>
      <c r="J84" s="84" t="s">
        <v>659</v>
      </c>
      <c r="K84" s="87">
        <v>245</v>
      </c>
    </row>
    <row r="85" spans="1:12" ht="14.6" x14ac:dyDescent="0.4">
      <c r="A85" s="84"/>
      <c r="B85" s="84"/>
      <c r="C85" s="84"/>
      <c r="D85" s="84"/>
      <c r="E85" s="84" t="s">
        <v>704</v>
      </c>
      <c r="F85" s="85">
        <v>45064</v>
      </c>
      <c r="G85" s="84" t="s">
        <v>1848</v>
      </c>
      <c r="H85" s="84" t="s">
        <v>1886</v>
      </c>
      <c r="I85" s="84" t="s">
        <v>1918</v>
      </c>
      <c r="J85" s="84" t="s">
        <v>771</v>
      </c>
      <c r="K85" s="87">
        <v>252.35</v>
      </c>
    </row>
    <row r="86" spans="1:12" ht="14.6" x14ac:dyDescent="0.4">
      <c r="A86" s="84"/>
      <c r="B86" s="84"/>
      <c r="C86" s="84"/>
      <c r="D86" s="84"/>
      <c r="E86" s="84" t="s">
        <v>634</v>
      </c>
      <c r="F86" s="85">
        <v>45069</v>
      </c>
      <c r="G86" s="84" t="s">
        <v>1849</v>
      </c>
      <c r="H86" s="84" t="s">
        <v>816</v>
      </c>
      <c r="I86" s="84" t="s">
        <v>1919</v>
      </c>
      <c r="J86" s="84" t="s">
        <v>659</v>
      </c>
      <c r="K86" s="87">
        <v>235</v>
      </c>
    </row>
    <row r="87" spans="1:12" ht="14.6" x14ac:dyDescent="0.4">
      <c r="A87" s="84"/>
      <c r="B87" s="84"/>
      <c r="C87" s="84"/>
      <c r="D87" s="84"/>
      <c r="E87" s="84" t="s">
        <v>634</v>
      </c>
      <c r="F87" s="85">
        <v>45076</v>
      </c>
      <c r="G87" s="84" t="s">
        <v>1519</v>
      </c>
      <c r="H87" s="84" t="s">
        <v>1577</v>
      </c>
      <c r="I87" s="84" t="s">
        <v>1920</v>
      </c>
      <c r="J87" s="84" t="s">
        <v>659</v>
      </c>
      <c r="L87" s="87">
        <v>34045.5</v>
      </c>
    </row>
    <row r="88" spans="1:12" ht="14.6" x14ac:dyDescent="0.4">
      <c r="A88" s="84"/>
      <c r="B88" s="84"/>
      <c r="C88" s="84"/>
      <c r="D88" s="84"/>
      <c r="E88" s="84" t="s">
        <v>634</v>
      </c>
      <c r="F88" s="85">
        <v>45076</v>
      </c>
      <c r="G88" s="84" t="s">
        <v>1519</v>
      </c>
      <c r="H88" s="84" t="s">
        <v>1577</v>
      </c>
      <c r="I88" s="84" t="s">
        <v>1921</v>
      </c>
      <c r="J88" s="84" t="s">
        <v>659</v>
      </c>
      <c r="L88" s="87">
        <v>1780.5</v>
      </c>
    </row>
    <row r="89" spans="1:12" ht="14.6" x14ac:dyDescent="0.4">
      <c r="A89" s="84"/>
      <c r="B89" s="84"/>
      <c r="C89" s="84"/>
      <c r="D89" s="84"/>
      <c r="E89" s="84" t="s">
        <v>634</v>
      </c>
      <c r="F89" s="85">
        <v>45076</v>
      </c>
      <c r="G89" s="84" t="s">
        <v>1519</v>
      </c>
      <c r="H89" s="84" t="s">
        <v>1577</v>
      </c>
      <c r="I89" s="84" t="s">
        <v>1701</v>
      </c>
      <c r="J89" s="84" t="s">
        <v>659</v>
      </c>
      <c r="L89" s="87">
        <v>6128</v>
      </c>
    </row>
    <row r="90" spans="1:12" ht="14.6" x14ac:dyDescent="0.4">
      <c r="A90" s="84"/>
      <c r="B90" s="84"/>
      <c r="C90" s="84"/>
      <c r="D90" s="84"/>
      <c r="E90" s="84" t="s">
        <v>634</v>
      </c>
      <c r="F90" s="85">
        <v>45077</v>
      </c>
      <c r="G90" s="84" t="s">
        <v>1850</v>
      </c>
      <c r="H90" s="84" t="s">
        <v>1035</v>
      </c>
      <c r="I90" s="84" t="s">
        <v>1036</v>
      </c>
      <c r="J90" s="84" t="s">
        <v>659</v>
      </c>
      <c r="K90" s="87">
        <v>325</v>
      </c>
    </row>
    <row r="91" spans="1:12" ht="14.6" x14ac:dyDescent="0.4">
      <c r="A91" s="84"/>
      <c r="B91" s="84"/>
      <c r="C91" s="84"/>
      <c r="D91" s="84"/>
      <c r="E91" s="84" t="s">
        <v>634</v>
      </c>
      <c r="F91" s="85">
        <v>45077</v>
      </c>
      <c r="G91" s="84" t="s">
        <v>1850</v>
      </c>
      <c r="H91" s="84" t="s">
        <v>1035</v>
      </c>
      <c r="I91" s="84" t="s">
        <v>1906</v>
      </c>
      <c r="J91" s="84" t="s">
        <v>659</v>
      </c>
      <c r="K91" s="87">
        <v>39</v>
      </c>
    </row>
    <row r="92" spans="1:12" ht="14.6" x14ac:dyDescent="0.4">
      <c r="A92" s="84"/>
      <c r="B92" s="84"/>
      <c r="C92" s="84"/>
      <c r="D92" s="84"/>
      <c r="E92" s="84" t="s">
        <v>634</v>
      </c>
      <c r="F92" s="85">
        <v>45077</v>
      </c>
      <c r="G92" s="84" t="s">
        <v>1851</v>
      </c>
      <c r="H92" s="84" t="s">
        <v>818</v>
      </c>
      <c r="I92" s="84" t="s">
        <v>832</v>
      </c>
      <c r="J92" s="84" t="s">
        <v>659</v>
      </c>
      <c r="K92" s="87">
        <v>605</v>
      </c>
    </row>
    <row r="93" spans="1:12" ht="14.6" x14ac:dyDescent="0.4">
      <c r="A93" s="84"/>
      <c r="B93" s="84"/>
      <c r="C93" s="84"/>
      <c r="D93" s="84"/>
      <c r="E93" s="84" t="s">
        <v>634</v>
      </c>
      <c r="F93" s="85">
        <v>45078</v>
      </c>
      <c r="G93" s="84" t="s">
        <v>1852</v>
      </c>
      <c r="H93" s="84" t="s">
        <v>818</v>
      </c>
      <c r="I93" s="84" t="s">
        <v>826</v>
      </c>
      <c r="J93" s="84" t="s">
        <v>659</v>
      </c>
      <c r="K93" s="87">
        <v>1104.17</v>
      </c>
    </row>
    <row r="94" spans="1:12" ht="14.6" x14ac:dyDescent="0.4">
      <c r="A94" s="84"/>
      <c r="B94" s="84"/>
      <c r="C94" s="84"/>
      <c r="D94" s="84"/>
      <c r="E94" s="84" t="s">
        <v>634</v>
      </c>
      <c r="F94" s="85">
        <v>45078</v>
      </c>
      <c r="G94" s="84" t="s">
        <v>1853</v>
      </c>
      <c r="H94" s="84" t="s">
        <v>817</v>
      </c>
      <c r="I94" s="84" t="s">
        <v>825</v>
      </c>
      <c r="J94" s="84" t="s">
        <v>659</v>
      </c>
      <c r="K94" s="87">
        <v>3025</v>
      </c>
    </row>
    <row r="95" spans="1:12" ht="14.6" x14ac:dyDescent="0.4">
      <c r="A95" s="84"/>
      <c r="B95" s="84"/>
      <c r="C95" s="84"/>
      <c r="D95" s="84"/>
      <c r="E95" s="84" t="s">
        <v>634</v>
      </c>
      <c r="F95" s="85">
        <v>45078</v>
      </c>
      <c r="G95" s="84" t="s">
        <v>1854</v>
      </c>
      <c r="H95" s="84" t="s">
        <v>1887</v>
      </c>
      <c r="I95" s="84" t="s">
        <v>1922</v>
      </c>
      <c r="J95" s="84" t="s">
        <v>659</v>
      </c>
      <c r="K95" s="87">
        <v>4037.11</v>
      </c>
    </row>
    <row r="96" spans="1:12" ht="14.6" x14ac:dyDescent="0.4">
      <c r="A96" s="84"/>
      <c r="B96" s="84"/>
      <c r="C96" s="84"/>
      <c r="D96" s="84"/>
      <c r="E96" s="84" t="s">
        <v>634</v>
      </c>
      <c r="F96" s="85">
        <v>45078</v>
      </c>
      <c r="G96" s="84" t="s">
        <v>1854</v>
      </c>
      <c r="H96" s="84" t="s">
        <v>1887</v>
      </c>
      <c r="I96" s="84" t="s">
        <v>1923</v>
      </c>
      <c r="J96" s="84" t="s">
        <v>659</v>
      </c>
      <c r="K96" s="87">
        <v>-121.11</v>
      </c>
    </row>
    <row r="97" spans="1:11" ht="14.6" x14ac:dyDescent="0.4">
      <c r="A97" s="84"/>
      <c r="B97" s="84"/>
      <c r="C97" s="84"/>
      <c r="D97" s="84"/>
      <c r="E97" s="84" t="s">
        <v>634</v>
      </c>
      <c r="F97" s="85">
        <v>45078</v>
      </c>
      <c r="G97" s="84" t="s">
        <v>1855</v>
      </c>
      <c r="H97" s="84" t="s">
        <v>816</v>
      </c>
      <c r="I97" s="84" t="s">
        <v>823</v>
      </c>
      <c r="J97" s="84" t="s">
        <v>659</v>
      </c>
      <c r="K97" s="87">
        <v>852</v>
      </c>
    </row>
    <row r="98" spans="1:11" ht="14.6" x14ac:dyDescent="0.4">
      <c r="A98" s="84"/>
      <c r="B98" s="84"/>
      <c r="C98" s="84"/>
      <c r="D98" s="84"/>
      <c r="E98" s="84" t="s">
        <v>634</v>
      </c>
      <c r="F98" s="85">
        <v>45079</v>
      </c>
      <c r="G98" s="84" t="s">
        <v>1856</v>
      </c>
      <c r="H98" s="84" t="s">
        <v>822</v>
      </c>
      <c r="I98" s="84" t="s">
        <v>1924</v>
      </c>
      <c r="J98" s="84" t="s">
        <v>659</v>
      </c>
      <c r="K98" s="87">
        <v>1025</v>
      </c>
    </row>
    <row r="99" spans="1:11" ht="14.6" x14ac:dyDescent="0.4">
      <c r="A99" s="84"/>
      <c r="B99" s="84"/>
      <c r="C99" s="84"/>
      <c r="D99" s="84"/>
      <c r="E99" s="84" t="s">
        <v>634</v>
      </c>
      <c r="F99" s="85">
        <v>45079</v>
      </c>
      <c r="G99" s="84" t="s">
        <v>3085</v>
      </c>
      <c r="H99" s="84" t="s">
        <v>1889</v>
      </c>
      <c r="I99" s="84" t="s">
        <v>1928</v>
      </c>
      <c r="J99" s="84" t="s">
        <v>659</v>
      </c>
      <c r="K99" s="87">
        <v>770</v>
      </c>
    </row>
    <row r="100" spans="1:11" ht="14.6" x14ac:dyDescent="0.4">
      <c r="A100" s="84"/>
      <c r="B100" s="84"/>
      <c r="C100" s="84"/>
      <c r="D100" s="84"/>
      <c r="E100" s="84" t="s">
        <v>704</v>
      </c>
      <c r="F100" s="85">
        <v>45082</v>
      </c>
      <c r="G100" s="84" t="s">
        <v>1857</v>
      </c>
      <c r="H100" s="84" t="s">
        <v>1888</v>
      </c>
      <c r="I100" s="84" t="s">
        <v>1925</v>
      </c>
      <c r="J100" s="84" t="s">
        <v>771</v>
      </c>
      <c r="K100" s="87">
        <v>255</v>
      </c>
    </row>
    <row r="101" spans="1:11" ht="14.6" x14ac:dyDescent="0.4">
      <c r="A101" s="84"/>
      <c r="B101" s="84"/>
      <c r="C101" s="84"/>
      <c r="D101" s="84"/>
      <c r="E101" s="84" t="s">
        <v>634</v>
      </c>
      <c r="F101" s="85">
        <v>45083</v>
      </c>
      <c r="G101" s="84" t="s">
        <v>1200</v>
      </c>
      <c r="H101" s="84" t="s">
        <v>1213</v>
      </c>
      <c r="I101" s="84" t="s">
        <v>1926</v>
      </c>
      <c r="J101" s="84" t="s">
        <v>659</v>
      </c>
      <c r="K101" s="87">
        <v>14861</v>
      </c>
    </row>
    <row r="102" spans="1:11" ht="14.6" x14ac:dyDescent="0.4">
      <c r="A102" s="84"/>
      <c r="B102" s="84"/>
      <c r="C102" s="84"/>
      <c r="D102" s="84"/>
      <c r="E102" s="84" t="s">
        <v>634</v>
      </c>
      <c r="F102" s="85">
        <v>45085</v>
      </c>
      <c r="G102" s="84" t="s">
        <v>1858</v>
      </c>
      <c r="H102" s="84" t="s">
        <v>821</v>
      </c>
      <c r="I102" s="84" t="s">
        <v>831</v>
      </c>
      <c r="J102" s="84" t="s">
        <v>659</v>
      </c>
      <c r="K102" s="87">
        <v>600</v>
      </c>
    </row>
    <row r="103" spans="1:11" ht="14.6" x14ac:dyDescent="0.4">
      <c r="A103" s="84"/>
      <c r="B103" s="84"/>
      <c r="C103" s="84"/>
      <c r="D103" s="84"/>
      <c r="E103" s="84" t="s">
        <v>634</v>
      </c>
      <c r="F103" s="85">
        <v>45085</v>
      </c>
      <c r="G103" s="84" t="s">
        <v>1859</v>
      </c>
      <c r="H103" s="84" t="s">
        <v>820</v>
      </c>
      <c r="I103" s="84" t="s">
        <v>1927</v>
      </c>
      <c r="J103" s="84" t="s">
        <v>659</v>
      </c>
      <c r="K103" s="87">
        <v>60</v>
      </c>
    </row>
    <row r="104" spans="1:11" ht="14.6" x14ac:dyDescent="0.4">
      <c r="A104" s="84"/>
      <c r="B104" s="84"/>
      <c r="C104" s="84"/>
      <c r="D104" s="84"/>
      <c r="E104" s="84" t="s">
        <v>634</v>
      </c>
      <c r="F104" s="85">
        <v>45089</v>
      </c>
      <c r="G104" s="84" t="s">
        <v>1860</v>
      </c>
      <c r="H104" s="84" t="s">
        <v>818</v>
      </c>
      <c r="I104" s="84" t="s">
        <v>832</v>
      </c>
      <c r="J104" s="84" t="s">
        <v>659</v>
      </c>
      <c r="K104" s="87">
        <v>475</v>
      </c>
    </row>
    <row r="105" spans="1:11" ht="14.6" x14ac:dyDescent="0.4">
      <c r="A105" s="84"/>
      <c r="B105" s="84"/>
      <c r="C105" s="84"/>
      <c r="D105" s="84"/>
      <c r="E105" s="84" t="s">
        <v>634</v>
      </c>
      <c r="F105" s="85">
        <v>45097</v>
      </c>
      <c r="G105" s="84" t="s">
        <v>1861</v>
      </c>
      <c r="H105" s="84" t="s">
        <v>818</v>
      </c>
      <c r="I105" s="84" t="s">
        <v>832</v>
      </c>
      <c r="J105" s="84" t="s">
        <v>659</v>
      </c>
      <c r="K105" s="87">
        <v>605</v>
      </c>
    </row>
    <row r="106" spans="1:11" ht="14.6" x14ac:dyDescent="0.4">
      <c r="A106" s="84"/>
      <c r="B106" s="84"/>
      <c r="C106" s="84"/>
      <c r="D106" s="84"/>
      <c r="E106" s="84" t="s">
        <v>634</v>
      </c>
      <c r="F106" s="85">
        <v>45097</v>
      </c>
      <c r="G106" s="84" t="s">
        <v>1862</v>
      </c>
      <c r="H106" s="84" t="s">
        <v>816</v>
      </c>
      <c r="I106" s="84" t="s">
        <v>1914</v>
      </c>
      <c r="J106" s="84" t="s">
        <v>659</v>
      </c>
      <c r="K106" s="87">
        <v>1533</v>
      </c>
    </row>
    <row r="107" spans="1:11" ht="14.6" x14ac:dyDescent="0.4">
      <c r="A107" s="84"/>
      <c r="B107" s="84"/>
      <c r="C107" s="84"/>
      <c r="D107" s="84"/>
      <c r="E107" s="84" t="s">
        <v>634</v>
      </c>
      <c r="F107" s="85">
        <v>45099</v>
      </c>
      <c r="G107" s="84" t="s">
        <v>1863</v>
      </c>
      <c r="H107" s="84" t="s">
        <v>1889</v>
      </c>
      <c r="I107" s="84" t="s">
        <v>1928</v>
      </c>
      <c r="J107" s="84" t="s">
        <v>659</v>
      </c>
      <c r="K107" s="87">
        <v>255</v>
      </c>
    </row>
    <row r="108" spans="1:11" ht="14.6" x14ac:dyDescent="0.4">
      <c r="A108" s="84"/>
      <c r="B108" s="84"/>
      <c r="C108" s="84"/>
      <c r="D108" s="84"/>
      <c r="E108" s="84" t="s">
        <v>634</v>
      </c>
      <c r="F108" s="85">
        <v>45107</v>
      </c>
      <c r="G108" s="84" t="s">
        <v>1864</v>
      </c>
      <c r="H108" s="84" t="s">
        <v>1035</v>
      </c>
      <c r="I108" s="84" t="s">
        <v>1036</v>
      </c>
      <c r="J108" s="84" t="s">
        <v>659</v>
      </c>
      <c r="K108" s="87">
        <v>325</v>
      </c>
    </row>
    <row r="109" spans="1:11" ht="14.6" x14ac:dyDescent="0.4">
      <c r="A109" s="84"/>
      <c r="B109" s="84"/>
      <c r="C109" s="84"/>
      <c r="D109" s="84"/>
      <c r="E109" s="84" t="s">
        <v>634</v>
      </c>
      <c r="F109" s="85">
        <v>45107</v>
      </c>
      <c r="G109" s="84" t="s">
        <v>1864</v>
      </c>
      <c r="H109" s="84" t="s">
        <v>1035</v>
      </c>
      <c r="I109" s="84" t="s">
        <v>1906</v>
      </c>
      <c r="J109" s="84" t="s">
        <v>659</v>
      </c>
      <c r="K109" s="87">
        <v>39</v>
      </c>
    </row>
    <row r="110" spans="1:11" ht="14.6" x14ac:dyDescent="0.4">
      <c r="A110" s="84"/>
      <c r="B110" s="84"/>
      <c r="C110" s="84"/>
      <c r="D110" s="84"/>
      <c r="E110" s="84" t="s">
        <v>634</v>
      </c>
      <c r="F110" s="85">
        <v>45108</v>
      </c>
      <c r="G110" s="84" t="s">
        <v>1865</v>
      </c>
      <c r="H110" s="84" t="s">
        <v>819</v>
      </c>
      <c r="I110" s="84" t="s">
        <v>827</v>
      </c>
      <c r="J110" s="84" t="s">
        <v>659</v>
      </c>
      <c r="K110" s="87">
        <v>155.31</v>
      </c>
    </row>
    <row r="111" spans="1:11" ht="14.6" x14ac:dyDescent="0.4">
      <c r="A111" s="84"/>
      <c r="B111" s="84"/>
      <c r="C111" s="84"/>
      <c r="D111" s="84"/>
      <c r="E111" s="84" t="s">
        <v>634</v>
      </c>
      <c r="F111" s="85">
        <v>45108</v>
      </c>
      <c r="G111" s="84" t="s">
        <v>1866</v>
      </c>
      <c r="H111" s="84" t="s">
        <v>818</v>
      </c>
      <c r="I111" s="84" t="s">
        <v>826</v>
      </c>
      <c r="J111" s="84" t="s">
        <v>659</v>
      </c>
      <c r="K111" s="87">
        <v>1104.17</v>
      </c>
    </row>
    <row r="112" spans="1:11" ht="14.6" x14ac:dyDescent="0.4">
      <c r="A112" s="84"/>
      <c r="B112" s="84"/>
      <c r="C112" s="84"/>
      <c r="D112" s="84"/>
      <c r="E112" s="84" t="s">
        <v>634</v>
      </c>
      <c r="F112" s="85">
        <v>45108</v>
      </c>
      <c r="G112" s="84" t="s">
        <v>1867</v>
      </c>
      <c r="H112" s="84" t="s">
        <v>817</v>
      </c>
      <c r="I112" s="84" t="s">
        <v>825</v>
      </c>
      <c r="J112" s="84" t="s">
        <v>659</v>
      </c>
      <c r="K112" s="87">
        <v>3025</v>
      </c>
    </row>
    <row r="113" spans="1:11" ht="14.6" x14ac:dyDescent="0.4">
      <c r="A113" s="84"/>
      <c r="B113" s="84"/>
      <c r="C113" s="84"/>
      <c r="D113" s="84"/>
      <c r="E113" s="84" t="s">
        <v>634</v>
      </c>
      <c r="F113" s="85">
        <v>45108</v>
      </c>
      <c r="G113" s="84" t="s">
        <v>1868</v>
      </c>
      <c r="H113" s="84" t="s">
        <v>816</v>
      </c>
      <c r="I113" s="84" t="s">
        <v>823</v>
      </c>
      <c r="J113" s="84" t="s">
        <v>659</v>
      </c>
      <c r="K113" s="87">
        <v>852</v>
      </c>
    </row>
    <row r="114" spans="1:11" ht="14.6" x14ac:dyDescent="0.4">
      <c r="A114" s="84"/>
      <c r="B114" s="84"/>
      <c r="C114" s="84"/>
      <c r="D114" s="84"/>
      <c r="E114" s="84" t="s">
        <v>634</v>
      </c>
      <c r="F114" s="85">
        <v>45114</v>
      </c>
      <c r="G114" s="84" t="s">
        <v>1869</v>
      </c>
      <c r="H114" s="84" t="s">
        <v>647</v>
      </c>
      <c r="I114" s="84" t="s">
        <v>1929</v>
      </c>
      <c r="J114" s="84" t="s">
        <v>659</v>
      </c>
      <c r="K114" s="87">
        <v>1587.6</v>
      </c>
    </row>
    <row r="115" spans="1:11" ht="14.6" x14ac:dyDescent="0.4">
      <c r="A115" s="84"/>
      <c r="B115" s="84"/>
      <c r="C115" s="84"/>
      <c r="D115" s="84"/>
      <c r="E115" s="84" t="s">
        <v>634</v>
      </c>
      <c r="F115" s="85">
        <v>45117</v>
      </c>
      <c r="G115" s="84" t="s">
        <v>1870</v>
      </c>
      <c r="H115" s="84" t="s">
        <v>1889</v>
      </c>
      <c r="I115" s="84" t="s">
        <v>1928</v>
      </c>
      <c r="J115" s="84" t="s">
        <v>659</v>
      </c>
      <c r="K115" s="87">
        <v>1467.76</v>
      </c>
    </row>
    <row r="116" spans="1:11" ht="14.6" x14ac:dyDescent="0.4">
      <c r="A116" s="84"/>
      <c r="B116" s="84"/>
      <c r="C116" s="84"/>
      <c r="D116" s="84"/>
      <c r="E116" s="84" t="s">
        <v>634</v>
      </c>
      <c r="F116" s="85">
        <v>45117</v>
      </c>
      <c r="G116" s="84" t="s">
        <v>1871</v>
      </c>
      <c r="H116" s="84" t="s">
        <v>820</v>
      </c>
      <c r="I116" s="84" t="s">
        <v>829</v>
      </c>
      <c r="J116" s="84" t="s">
        <v>659</v>
      </c>
      <c r="K116" s="87">
        <v>126</v>
      </c>
    </row>
    <row r="117" spans="1:11" ht="14.6" x14ac:dyDescent="0.4">
      <c r="A117" s="84"/>
      <c r="B117" s="84"/>
      <c r="C117" s="84"/>
      <c r="D117" s="84"/>
      <c r="E117" s="84" t="s">
        <v>634</v>
      </c>
      <c r="F117" s="85">
        <v>45117</v>
      </c>
      <c r="G117" s="84" t="s">
        <v>1871</v>
      </c>
      <c r="H117" s="84" t="s">
        <v>820</v>
      </c>
      <c r="I117" s="84" t="s">
        <v>830</v>
      </c>
      <c r="J117" s="84" t="s">
        <v>659</v>
      </c>
      <c r="K117" s="87">
        <v>34</v>
      </c>
    </row>
    <row r="118" spans="1:11" ht="14.6" x14ac:dyDescent="0.4">
      <c r="A118" s="84"/>
      <c r="B118" s="84"/>
      <c r="C118" s="84"/>
      <c r="D118" s="84"/>
      <c r="E118" s="84" t="s">
        <v>634</v>
      </c>
      <c r="F118" s="85">
        <v>45118</v>
      </c>
      <c r="G118" s="84" t="s">
        <v>1872</v>
      </c>
      <c r="H118" s="84" t="s">
        <v>818</v>
      </c>
      <c r="I118" s="84" t="s">
        <v>832</v>
      </c>
      <c r="J118" s="84" t="s">
        <v>659</v>
      </c>
      <c r="K118" s="87">
        <v>280</v>
      </c>
    </row>
    <row r="119" spans="1:11" ht="14.6" x14ac:dyDescent="0.4">
      <c r="A119" s="84"/>
      <c r="B119" s="84"/>
      <c r="C119" s="84"/>
      <c r="D119" s="84"/>
      <c r="E119" s="84" t="s">
        <v>704</v>
      </c>
      <c r="F119" s="85">
        <v>45120</v>
      </c>
      <c r="G119" s="84" t="s">
        <v>1873</v>
      </c>
      <c r="H119" s="84" t="s">
        <v>1890</v>
      </c>
      <c r="I119" s="84" t="s">
        <v>1930</v>
      </c>
      <c r="J119" s="84" t="s">
        <v>771</v>
      </c>
      <c r="K119" s="87">
        <v>20.97</v>
      </c>
    </row>
    <row r="120" spans="1:11" ht="14.6" x14ac:dyDescent="0.4">
      <c r="A120" s="84"/>
      <c r="B120" s="84"/>
      <c r="C120" s="84"/>
      <c r="D120" s="84"/>
      <c r="E120" s="84" t="s">
        <v>634</v>
      </c>
      <c r="F120" s="85">
        <v>45121</v>
      </c>
      <c r="G120" s="84" t="s">
        <v>1874</v>
      </c>
      <c r="H120" s="84" t="s">
        <v>1880</v>
      </c>
      <c r="I120" s="84" t="s">
        <v>1894</v>
      </c>
      <c r="J120" s="84" t="s">
        <v>659</v>
      </c>
      <c r="K120" s="87">
        <v>994</v>
      </c>
    </row>
    <row r="121" spans="1:11" ht="14.6" x14ac:dyDescent="0.4">
      <c r="A121" s="84"/>
      <c r="B121" s="84"/>
      <c r="C121" s="84"/>
      <c r="D121" s="84"/>
      <c r="E121" s="84" t="s">
        <v>634</v>
      </c>
      <c r="F121" s="85">
        <v>45126</v>
      </c>
      <c r="G121" s="84" t="s">
        <v>1875</v>
      </c>
      <c r="H121" s="84" t="s">
        <v>1880</v>
      </c>
      <c r="I121" s="84" t="s">
        <v>1894</v>
      </c>
      <c r="J121" s="84" t="s">
        <v>659</v>
      </c>
      <c r="K121" s="87">
        <v>390</v>
      </c>
    </row>
    <row r="122" spans="1:11" ht="14.6" x14ac:dyDescent="0.4">
      <c r="A122" s="84"/>
      <c r="B122" s="84"/>
      <c r="C122" s="84"/>
      <c r="D122" s="84"/>
      <c r="E122" s="84" t="s">
        <v>704</v>
      </c>
      <c r="F122" s="85">
        <v>45135</v>
      </c>
      <c r="G122" s="84" t="s">
        <v>3086</v>
      </c>
      <c r="H122" s="84" t="s">
        <v>1890</v>
      </c>
      <c r="I122" s="84" t="s">
        <v>1930</v>
      </c>
      <c r="J122" s="84" t="s">
        <v>771</v>
      </c>
      <c r="K122" s="87">
        <v>14.06</v>
      </c>
    </row>
    <row r="123" spans="1:11" ht="14.6" x14ac:dyDescent="0.4">
      <c r="A123" s="84"/>
      <c r="B123" s="84"/>
      <c r="C123" s="84"/>
      <c r="D123" s="84"/>
      <c r="E123" s="84" t="s">
        <v>634</v>
      </c>
      <c r="F123" s="85">
        <v>45138</v>
      </c>
      <c r="G123" s="84" t="s">
        <v>3087</v>
      </c>
      <c r="H123" s="84" t="s">
        <v>818</v>
      </c>
      <c r="I123" s="84" t="s">
        <v>832</v>
      </c>
      <c r="J123" s="84" t="s">
        <v>659</v>
      </c>
      <c r="K123" s="87">
        <v>2060.5500000000002</v>
      </c>
    </row>
    <row r="124" spans="1:11" ht="14.6" x14ac:dyDescent="0.4">
      <c r="A124" s="84"/>
      <c r="B124" s="84"/>
      <c r="C124" s="84"/>
      <c r="D124" s="84"/>
      <c r="E124" s="84" t="s">
        <v>634</v>
      </c>
      <c r="F124" s="85">
        <v>45138</v>
      </c>
      <c r="G124" s="84" t="s">
        <v>3088</v>
      </c>
      <c r="H124" s="84" t="s">
        <v>1035</v>
      </c>
      <c r="I124" s="84" t="s">
        <v>1036</v>
      </c>
      <c r="J124" s="84" t="s">
        <v>659</v>
      </c>
      <c r="K124" s="87">
        <v>325</v>
      </c>
    </row>
    <row r="125" spans="1:11" ht="14.6" x14ac:dyDescent="0.4">
      <c r="A125" s="84"/>
      <c r="B125" s="84"/>
      <c r="C125" s="84"/>
      <c r="D125" s="84"/>
      <c r="E125" s="84" t="s">
        <v>634</v>
      </c>
      <c r="F125" s="85">
        <v>45138</v>
      </c>
      <c r="G125" s="84" t="s">
        <v>3088</v>
      </c>
      <c r="H125" s="84" t="s">
        <v>1035</v>
      </c>
      <c r="I125" s="84" t="s">
        <v>3135</v>
      </c>
      <c r="J125" s="84" t="s">
        <v>659</v>
      </c>
      <c r="K125" s="87">
        <v>39</v>
      </c>
    </row>
    <row r="126" spans="1:11" ht="14.6" x14ac:dyDescent="0.4">
      <c r="A126" s="84"/>
      <c r="B126" s="84"/>
      <c r="C126" s="84"/>
      <c r="D126" s="84"/>
      <c r="E126" s="84" t="s">
        <v>634</v>
      </c>
      <c r="F126" s="85">
        <v>45138</v>
      </c>
      <c r="G126" s="84" t="s">
        <v>3088</v>
      </c>
      <c r="H126" s="84" t="s">
        <v>1035</v>
      </c>
      <c r="I126" s="84" t="s">
        <v>3135</v>
      </c>
      <c r="J126" s="84" t="s">
        <v>659</v>
      </c>
      <c r="K126" s="87">
        <v>39</v>
      </c>
    </row>
    <row r="127" spans="1:11" ht="14.6" x14ac:dyDescent="0.4">
      <c r="A127" s="84"/>
      <c r="B127" s="84"/>
      <c r="C127" s="84"/>
      <c r="D127" s="84"/>
      <c r="E127" s="84" t="s">
        <v>634</v>
      </c>
      <c r="F127" s="85">
        <v>45139</v>
      </c>
      <c r="G127" s="84" t="s">
        <v>1876</v>
      </c>
      <c r="H127" s="84" t="s">
        <v>817</v>
      </c>
      <c r="I127" s="84" t="s">
        <v>825</v>
      </c>
      <c r="J127" s="84" t="s">
        <v>659</v>
      </c>
      <c r="K127" s="87">
        <v>3025</v>
      </c>
    </row>
    <row r="128" spans="1:11" ht="14.6" x14ac:dyDescent="0.4">
      <c r="A128" s="84"/>
      <c r="B128" s="84"/>
      <c r="C128" s="84"/>
      <c r="D128" s="84"/>
      <c r="E128" s="84" t="s">
        <v>634</v>
      </c>
      <c r="F128" s="85">
        <v>45139</v>
      </c>
      <c r="G128" s="84" t="s">
        <v>1877</v>
      </c>
      <c r="H128" s="84" t="s">
        <v>818</v>
      </c>
      <c r="I128" s="84" t="s">
        <v>826</v>
      </c>
      <c r="J128" s="84" t="s">
        <v>659</v>
      </c>
      <c r="K128" s="87">
        <v>1104.17</v>
      </c>
    </row>
    <row r="129" spans="1:11" ht="14.6" x14ac:dyDescent="0.4">
      <c r="A129" s="84"/>
      <c r="B129" s="84"/>
      <c r="C129" s="84"/>
      <c r="D129" s="84"/>
      <c r="E129" s="84" t="s">
        <v>634</v>
      </c>
      <c r="F129" s="85">
        <v>45139</v>
      </c>
      <c r="G129" s="84" t="s">
        <v>1878</v>
      </c>
      <c r="H129" s="84" t="s">
        <v>820</v>
      </c>
      <c r="I129" s="84" t="s">
        <v>1931</v>
      </c>
      <c r="J129" s="84" t="s">
        <v>659</v>
      </c>
      <c r="K129" s="87">
        <v>85</v>
      </c>
    </row>
    <row r="130" spans="1:11" ht="14.6" x14ac:dyDescent="0.4">
      <c r="A130" s="84"/>
      <c r="B130" s="84"/>
      <c r="C130" s="84"/>
      <c r="D130" s="84"/>
      <c r="E130" s="84" t="s">
        <v>634</v>
      </c>
      <c r="F130" s="85">
        <v>45139</v>
      </c>
      <c r="G130" s="84" t="s">
        <v>3089</v>
      </c>
      <c r="H130" s="84" t="s">
        <v>816</v>
      </c>
      <c r="I130" s="84" t="s">
        <v>823</v>
      </c>
      <c r="J130" s="84" t="s">
        <v>659</v>
      </c>
      <c r="K130" s="87">
        <v>852</v>
      </c>
    </row>
    <row r="131" spans="1:11" ht="14.6" x14ac:dyDescent="0.4">
      <c r="A131" s="84"/>
      <c r="B131" s="84"/>
      <c r="C131" s="84"/>
      <c r="D131" s="84"/>
      <c r="E131" s="84" t="s">
        <v>634</v>
      </c>
      <c r="F131" s="85">
        <v>45139</v>
      </c>
      <c r="G131" s="84" t="s">
        <v>3090</v>
      </c>
      <c r="H131" s="84" t="s">
        <v>816</v>
      </c>
      <c r="I131" s="84" t="s">
        <v>3136</v>
      </c>
      <c r="J131" s="84" t="s">
        <v>659</v>
      </c>
      <c r="K131" s="87">
        <v>987</v>
      </c>
    </row>
    <row r="132" spans="1:11" ht="14.6" x14ac:dyDescent="0.4">
      <c r="A132" s="84"/>
      <c r="B132" s="84"/>
      <c r="C132" s="84"/>
      <c r="D132" s="84"/>
      <c r="E132" s="84" t="s">
        <v>634</v>
      </c>
      <c r="F132" s="85">
        <v>45142</v>
      </c>
      <c r="G132" s="84" t="s">
        <v>3091</v>
      </c>
      <c r="H132" s="84" t="s">
        <v>817</v>
      </c>
      <c r="I132" s="84" t="s">
        <v>3137</v>
      </c>
      <c r="J132" s="84" t="s">
        <v>659</v>
      </c>
      <c r="K132" s="87">
        <v>95</v>
      </c>
    </row>
    <row r="133" spans="1:11" ht="14.6" x14ac:dyDescent="0.4">
      <c r="A133" s="84"/>
      <c r="B133" s="84"/>
      <c r="C133" s="84"/>
      <c r="D133" s="84"/>
      <c r="E133" s="84" t="s">
        <v>634</v>
      </c>
      <c r="F133" s="85">
        <v>45148</v>
      </c>
      <c r="G133" s="84" t="s">
        <v>3092</v>
      </c>
      <c r="H133" s="84" t="s">
        <v>1880</v>
      </c>
      <c r="I133" s="84" t="s">
        <v>1894</v>
      </c>
      <c r="J133" s="84" t="s">
        <v>659</v>
      </c>
      <c r="K133" s="87">
        <v>974</v>
      </c>
    </row>
    <row r="134" spans="1:11" ht="14.6" x14ac:dyDescent="0.4">
      <c r="A134" s="84"/>
      <c r="B134" s="84"/>
      <c r="C134" s="84"/>
      <c r="D134" s="84"/>
      <c r="E134" s="84" t="s">
        <v>634</v>
      </c>
      <c r="F134" s="85">
        <v>45148</v>
      </c>
      <c r="G134" s="84" t="s">
        <v>3093</v>
      </c>
      <c r="H134" s="84" t="s">
        <v>1880</v>
      </c>
      <c r="I134" s="84" t="s">
        <v>1894</v>
      </c>
      <c r="J134" s="84" t="s">
        <v>659</v>
      </c>
      <c r="K134" s="87">
        <v>195</v>
      </c>
    </row>
    <row r="135" spans="1:11" ht="14.6" x14ac:dyDescent="0.4">
      <c r="A135" s="84"/>
      <c r="B135" s="84"/>
      <c r="C135" s="84"/>
      <c r="D135" s="84"/>
      <c r="E135" s="84" t="s">
        <v>634</v>
      </c>
      <c r="F135" s="85">
        <v>45148</v>
      </c>
      <c r="G135" s="84" t="s">
        <v>3094</v>
      </c>
      <c r="H135" s="84" t="s">
        <v>1880</v>
      </c>
      <c r="I135" s="84" t="s">
        <v>1894</v>
      </c>
      <c r="J135" s="84" t="s">
        <v>659</v>
      </c>
      <c r="K135" s="87">
        <v>250</v>
      </c>
    </row>
    <row r="136" spans="1:11" ht="14.6" x14ac:dyDescent="0.4">
      <c r="A136" s="84"/>
      <c r="B136" s="84"/>
      <c r="C136" s="84"/>
      <c r="D136" s="84"/>
      <c r="E136" s="84" t="s">
        <v>634</v>
      </c>
      <c r="F136" s="85">
        <v>45153</v>
      </c>
      <c r="G136" s="84" t="s">
        <v>3095</v>
      </c>
      <c r="H136" s="84" t="s">
        <v>1889</v>
      </c>
      <c r="I136" s="84" t="s">
        <v>1928</v>
      </c>
      <c r="J136" s="84" t="s">
        <v>659</v>
      </c>
      <c r="K136" s="87">
        <v>3578</v>
      </c>
    </row>
    <row r="137" spans="1:11" ht="14.6" x14ac:dyDescent="0.4">
      <c r="A137" s="84"/>
      <c r="B137" s="84"/>
      <c r="C137" s="84"/>
      <c r="D137" s="84"/>
      <c r="E137" s="84" t="s">
        <v>634</v>
      </c>
      <c r="F137" s="85">
        <v>45167</v>
      </c>
      <c r="G137" s="84" t="s">
        <v>3096</v>
      </c>
      <c r="H137" s="84" t="s">
        <v>822</v>
      </c>
      <c r="I137" s="84" t="s">
        <v>3138</v>
      </c>
      <c r="J137" s="84" t="s">
        <v>659</v>
      </c>
      <c r="K137" s="87">
        <v>3474</v>
      </c>
    </row>
    <row r="138" spans="1:11" ht="14.6" x14ac:dyDescent="0.4">
      <c r="A138" s="84"/>
      <c r="B138" s="84"/>
      <c r="C138" s="84"/>
      <c r="D138" s="84"/>
      <c r="E138" s="84" t="s">
        <v>634</v>
      </c>
      <c r="F138" s="85">
        <v>45167</v>
      </c>
      <c r="G138" s="84" t="s">
        <v>3097</v>
      </c>
      <c r="H138" s="84" t="s">
        <v>822</v>
      </c>
      <c r="I138" s="84" t="s">
        <v>3139</v>
      </c>
      <c r="J138" s="84" t="s">
        <v>659</v>
      </c>
      <c r="K138" s="87">
        <v>455</v>
      </c>
    </row>
    <row r="139" spans="1:11" ht="14.6" x14ac:dyDescent="0.4">
      <c r="A139" s="84"/>
      <c r="B139" s="84"/>
      <c r="C139" s="84"/>
      <c r="D139" s="84"/>
      <c r="E139" s="84" t="s">
        <v>634</v>
      </c>
      <c r="F139" s="85">
        <v>45168</v>
      </c>
      <c r="G139" s="84" t="s">
        <v>3098</v>
      </c>
      <c r="H139" s="84" t="s">
        <v>818</v>
      </c>
      <c r="I139" s="84" t="s">
        <v>832</v>
      </c>
      <c r="J139" s="84" t="s">
        <v>659</v>
      </c>
      <c r="K139" s="87">
        <v>600</v>
      </c>
    </row>
    <row r="140" spans="1:11" ht="14.6" x14ac:dyDescent="0.4">
      <c r="A140" s="84"/>
      <c r="B140" s="84"/>
      <c r="C140" s="84"/>
      <c r="D140" s="84"/>
      <c r="E140" s="84" t="s">
        <v>634</v>
      </c>
      <c r="F140" s="85">
        <v>45169</v>
      </c>
      <c r="G140" s="84" t="s">
        <v>3099</v>
      </c>
      <c r="H140" s="84" t="s">
        <v>1035</v>
      </c>
      <c r="I140" s="84" t="s">
        <v>1036</v>
      </c>
      <c r="J140" s="84" t="s">
        <v>659</v>
      </c>
      <c r="K140" s="87">
        <v>325</v>
      </c>
    </row>
    <row r="141" spans="1:11" ht="14.6" x14ac:dyDescent="0.4">
      <c r="A141" s="84"/>
      <c r="B141" s="84"/>
      <c r="C141" s="84"/>
      <c r="D141" s="84"/>
      <c r="E141" s="84" t="s">
        <v>634</v>
      </c>
      <c r="F141" s="85">
        <v>45169</v>
      </c>
      <c r="G141" s="84" t="s">
        <v>3099</v>
      </c>
      <c r="H141" s="84" t="s">
        <v>1035</v>
      </c>
      <c r="I141" s="84" t="s">
        <v>3135</v>
      </c>
      <c r="J141" s="84" t="s">
        <v>659</v>
      </c>
      <c r="K141" s="87">
        <v>39</v>
      </c>
    </row>
    <row r="142" spans="1:11" ht="14.6" x14ac:dyDescent="0.4">
      <c r="A142" s="84"/>
      <c r="B142" s="84"/>
      <c r="C142" s="84"/>
      <c r="D142" s="84"/>
      <c r="E142" s="84" t="s">
        <v>634</v>
      </c>
      <c r="F142" s="85">
        <v>45170</v>
      </c>
      <c r="G142" s="84" t="s">
        <v>3100</v>
      </c>
      <c r="H142" s="84" t="s">
        <v>817</v>
      </c>
      <c r="I142" s="84" t="s">
        <v>825</v>
      </c>
      <c r="J142" s="84" t="s">
        <v>659</v>
      </c>
      <c r="K142" s="87">
        <v>3025</v>
      </c>
    </row>
    <row r="143" spans="1:11" ht="14.6" x14ac:dyDescent="0.4">
      <c r="A143" s="84"/>
      <c r="B143" s="84"/>
      <c r="C143" s="84"/>
      <c r="D143" s="84"/>
      <c r="E143" s="84" t="s">
        <v>634</v>
      </c>
      <c r="F143" s="85">
        <v>45170</v>
      </c>
      <c r="G143" s="84" t="s">
        <v>3101</v>
      </c>
      <c r="H143" s="84" t="s">
        <v>816</v>
      </c>
      <c r="I143" s="84" t="s">
        <v>823</v>
      </c>
      <c r="J143" s="84" t="s">
        <v>659</v>
      </c>
      <c r="K143" s="87">
        <v>852</v>
      </c>
    </row>
    <row r="144" spans="1:11" ht="14.6" x14ac:dyDescent="0.4">
      <c r="A144" s="84"/>
      <c r="B144" s="84"/>
      <c r="C144" s="84"/>
      <c r="D144" s="84"/>
      <c r="E144" s="84" t="s">
        <v>634</v>
      </c>
      <c r="F144" s="85">
        <v>45175</v>
      </c>
      <c r="G144" s="84" t="s">
        <v>3102</v>
      </c>
      <c r="H144" s="84" t="s">
        <v>820</v>
      </c>
      <c r="I144" s="84" t="s">
        <v>829</v>
      </c>
      <c r="J144" s="84" t="s">
        <v>659</v>
      </c>
      <c r="K144" s="87">
        <v>126</v>
      </c>
    </row>
    <row r="145" spans="1:11" ht="14.6" x14ac:dyDescent="0.4">
      <c r="A145" s="84"/>
      <c r="B145" s="84"/>
      <c r="C145" s="84"/>
      <c r="D145" s="84"/>
      <c r="E145" s="84" t="s">
        <v>634</v>
      </c>
      <c r="F145" s="85">
        <v>45175</v>
      </c>
      <c r="G145" s="84" t="s">
        <v>3102</v>
      </c>
      <c r="H145" s="84" t="s">
        <v>820</v>
      </c>
      <c r="I145" s="84" t="s">
        <v>830</v>
      </c>
      <c r="J145" s="84" t="s">
        <v>659</v>
      </c>
      <c r="K145" s="87">
        <v>34</v>
      </c>
    </row>
    <row r="146" spans="1:11" ht="14.6" x14ac:dyDescent="0.4">
      <c r="A146" s="84"/>
      <c r="B146" s="84"/>
      <c r="C146" s="84"/>
      <c r="D146" s="84"/>
      <c r="E146" s="84" t="s">
        <v>634</v>
      </c>
      <c r="F146" s="85">
        <v>45175</v>
      </c>
      <c r="G146" s="84" t="s">
        <v>3103</v>
      </c>
      <c r="H146" s="84" t="s">
        <v>821</v>
      </c>
      <c r="I146" s="84" t="s">
        <v>831</v>
      </c>
      <c r="J146" s="84" t="s">
        <v>659</v>
      </c>
      <c r="K146" s="87">
        <v>571.9</v>
      </c>
    </row>
    <row r="147" spans="1:11" ht="14.6" x14ac:dyDescent="0.4">
      <c r="A147" s="84"/>
      <c r="B147" s="84"/>
      <c r="C147" s="84"/>
      <c r="D147" s="84"/>
      <c r="E147" s="84" t="s">
        <v>634</v>
      </c>
      <c r="F147" s="85">
        <v>45181</v>
      </c>
      <c r="G147" s="84" t="s">
        <v>3104</v>
      </c>
      <c r="H147" s="84" t="s">
        <v>816</v>
      </c>
      <c r="I147" s="84" t="s">
        <v>3140</v>
      </c>
      <c r="J147" s="84" t="s">
        <v>659</v>
      </c>
      <c r="K147" s="87">
        <v>195</v>
      </c>
    </row>
    <row r="148" spans="1:11" ht="14.6" x14ac:dyDescent="0.4">
      <c r="A148" s="84"/>
      <c r="B148" s="84"/>
      <c r="C148" s="84"/>
      <c r="D148" s="84"/>
      <c r="E148" s="84" t="s">
        <v>705</v>
      </c>
      <c r="F148" s="85">
        <v>45187</v>
      </c>
      <c r="G148" s="84" t="s">
        <v>3105</v>
      </c>
      <c r="H148" s="84" t="s">
        <v>817</v>
      </c>
      <c r="I148" s="84" t="s">
        <v>3527</v>
      </c>
      <c r="J148" s="84" t="s">
        <v>773</v>
      </c>
      <c r="K148" s="87">
        <v>-684.09</v>
      </c>
    </row>
    <row r="149" spans="1:11" ht="14.6" x14ac:dyDescent="0.4">
      <c r="A149" s="84"/>
      <c r="B149" s="84"/>
      <c r="C149" s="84"/>
      <c r="D149" s="84"/>
      <c r="E149" s="84" t="s">
        <v>704</v>
      </c>
      <c r="F149" s="85">
        <v>45191</v>
      </c>
      <c r="G149" s="84" t="s">
        <v>3106</v>
      </c>
      <c r="H149" s="84" t="s">
        <v>1160</v>
      </c>
      <c r="I149" s="84" t="s">
        <v>1930</v>
      </c>
      <c r="J149" s="84" t="s">
        <v>771</v>
      </c>
      <c r="K149" s="87">
        <v>31.98</v>
      </c>
    </row>
    <row r="150" spans="1:11" ht="14.6" x14ac:dyDescent="0.4">
      <c r="A150" s="84"/>
      <c r="B150" s="84"/>
      <c r="C150" s="84"/>
      <c r="D150" s="84"/>
      <c r="E150" s="84" t="s">
        <v>634</v>
      </c>
      <c r="F150" s="85">
        <v>45195</v>
      </c>
      <c r="G150" s="84" t="s">
        <v>3107</v>
      </c>
      <c r="H150" s="84" t="s">
        <v>1880</v>
      </c>
      <c r="I150" s="84" t="s">
        <v>1894</v>
      </c>
      <c r="J150" s="84" t="s">
        <v>659</v>
      </c>
      <c r="K150" s="87">
        <v>274</v>
      </c>
    </row>
    <row r="151" spans="1:11" ht="14.6" x14ac:dyDescent="0.4">
      <c r="A151" s="84"/>
      <c r="B151" s="84"/>
      <c r="C151" s="84"/>
      <c r="D151" s="84"/>
      <c r="E151" s="84" t="s">
        <v>634</v>
      </c>
      <c r="F151" s="85">
        <v>45196</v>
      </c>
      <c r="G151" s="84" t="s">
        <v>3108</v>
      </c>
      <c r="H151" s="84" t="s">
        <v>816</v>
      </c>
      <c r="I151" s="84" t="s">
        <v>3136</v>
      </c>
      <c r="J151" s="84" t="s">
        <v>659</v>
      </c>
      <c r="K151" s="87">
        <v>3787</v>
      </c>
    </row>
    <row r="152" spans="1:11" ht="14.6" x14ac:dyDescent="0.4">
      <c r="A152" s="84"/>
      <c r="B152" s="84"/>
      <c r="C152" s="84"/>
      <c r="D152" s="84"/>
      <c r="E152" s="84" t="s">
        <v>634</v>
      </c>
      <c r="F152" s="85">
        <v>45199</v>
      </c>
      <c r="G152" s="84" t="s">
        <v>3109</v>
      </c>
      <c r="H152" s="84" t="s">
        <v>1035</v>
      </c>
      <c r="I152" s="84" t="s">
        <v>1036</v>
      </c>
      <c r="J152" s="84" t="s">
        <v>659</v>
      </c>
      <c r="K152" s="87">
        <v>325</v>
      </c>
    </row>
    <row r="153" spans="1:11" ht="14.6" x14ac:dyDescent="0.4">
      <c r="A153" s="84"/>
      <c r="B153" s="84"/>
      <c r="C153" s="84"/>
      <c r="D153" s="84"/>
      <c r="E153" s="84" t="s">
        <v>634</v>
      </c>
      <c r="F153" s="85">
        <v>45199</v>
      </c>
      <c r="G153" s="84" t="s">
        <v>3109</v>
      </c>
      <c r="H153" s="84" t="s">
        <v>1035</v>
      </c>
      <c r="I153" s="84" t="s">
        <v>3135</v>
      </c>
      <c r="J153" s="84" t="s">
        <v>659</v>
      </c>
      <c r="K153" s="87">
        <v>39</v>
      </c>
    </row>
    <row r="154" spans="1:11" ht="14.6" x14ac:dyDescent="0.4">
      <c r="A154" s="84"/>
      <c r="B154" s="84"/>
      <c r="C154" s="84"/>
      <c r="D154" s="84"/>
      <c r="E154" s="84" t="s">
        <v>634</v>
      </c>
      <c r="F154" s="85">
        <v>45199</v>
      </c>
      <c r="G154" s="84" t="s">
        <v>3109</v>
      </c>
      <c r="H154" s="84" t="s">
        <v>1035</v>
      </c>
      <c r="I154" s="84" t="s">
        <v>1040</v>
      </c>
      <c r="J154" s="84" t="s">
        <v>659</v>
      </c>
      <c r="K154" s="87">
        <v>85</v>
      </c>
    </row>
    <row r="155" spans="1:11" ht="14.6" x14ac:dyDescent="0.4">
      <c r="A155" s="84"/>
      <c r="B155" s="84"/>
      <c r="C155" s="84"/>
      <c r="D155" s="84"/>
      <c r="E155" s="84" t="s">
        <v>634</v>
      </c>
      <c r="F155" s="85">
        <v>45200</v>
      </c>
      <c r="G155" s="84" t="s">
        <v>3110</v>
      </c>
      <c r="H155" s="84" t="s">
        <v>819</v>
      </c>
      <c r="I155" s="84" t="s">
        <v>827</v>
      </c>
      <c r="J155" s="84" t="s">
        <v>659</v>
      </c>
      <c r="K155" s="87">
        <v>155.31</v>
      </c>
    </row>
    <row r="156" spans="1:11" ht="14.6" x14ac:dyDescent="0.4">
      <c r="A156" s="84"/>
      <c r="B156" s="84"/>
      <c r="C156" s="84"/>
      <c r="D156" s="84"/>
      <c r="E156" s="84" t="s">
        <v>634</v>
      </c>
      <c r="F156" s="85">
        <v>45200</v>
      </c>
      <c r="G156" s="84" t="s">
        <v>3111</v>
      </c>
      <c r="H156" s="84" t="s">
        <v>817</v>
      </c>
      <c r="I156" s="84" t="s">
        <v>825</v>
      </c>
      <c r="J156" s="84" t="s">
        <v>659</v>
      </c>
      <c r="K156" s="87">
        <v>3025</v>
      </c>
    </row>
    <row r="157" spans="1:11" ht="14.6" x14ac:dyDescent="0.4">
      <c r="A157" s="84"/>
      <c r="B157" s="84"/>
      <c r="C157" s="84"/>
      <c r="D157" s="84"/>
      <c r="E157" s="84" t="s">
        <v>634</v>
      </c>
      <c r="F157" s="85">
        <v>45200</v>
      </c>
      <c r="G157" s="84" t="s">
        <v>3112</v>
      </c>
      <c r="H157" s="84" t="s">
        <v>816</v>
      </c>
      <c r="I157" s="84" t="s">
        <v>823</v>
      </c>
      <c r="J157" s="84" t="s">
        <v>659</v>
      </c>
      <c r="K157" s="87">
        <v>852</v>
      </c>
    </row>
    <row r="158" spans="1:11" ht="14.6" x14ac:dyDescent="0.4">
      <c r="A158" s="84"/>
      <c r="B158" s="84"/>
      <c r="C158" s="84"/>
      <c r="D158" s="84"/>
      <c r="E158" s="84" t="s">
        <v>634</v>
      </c>
      <c r="F158" s="85">
        <v>45201</v>
      </c>
      <c r="G158" s="84" t="s">
        <v>3113</v>
      </c>
      <c r="H158" s="84" t="s">
        <v>816</v>
      </c>
      <c r="I158" s="84" t="s">
        <v>3136</v>
      </c>
      <c r="J158" s="84" t="s">
        <v>659</v>
      </c>
      <c r="K158" s="87">
        <v>897</v>
      </c>
    </row>
    <row r="159" spans="1:11" ht="14.6" x14ac:dyDescent="0.4">
      <c r="A159" s="84"/>
      <c r="B159" s="84"/>
      <c r="C159" s="84"/>
      <c r="D159" s="84"/>
      <c r="E159" s="84" t="s">
        <v>634</v>
      </c>
      <c r="F159" s="85">
        <v>45202</v>
      </c>
      <c r="G159" s="84" t="s">
        <v>3114</v>
      </c>
      <c r="H159" s="84" t="s">
        <v>3134</v>
      </c>
      <c r="I159" s="84" t="s">
        <v>3141</v>
      </c>
      <c r="J159" s="84" t="s">
        <v>659</v>
      </c>
      <c r="K159" s="87">
        <v>2111</v>
      </c>
    </row>
    <row r="160" spans="1:11" ht="14.6" x14ac:dyDescent="0.4">
      <c r="A160" s="84"/>
      <c r="B160" s="84"/>
      <c r="C160" s="84"/>
      <c r="D160" s="84"/>
      <c r="E160" s="84" t="s">
        <v>634</v>
      </c>
      <c r="F160" s="85">
        <v>45209</v>
      </c>
      <c r="G160" s="84" t="s">
        <v>2372</v>
      </c>
      <c r="H160" s="84" t="s">
        <v>1887</v>
      </c>
      <c r="I160" s="84" t="s">
        <v>3142</v>
      </c>
      <c r="J160" s="84" t="s">
        <v>659</v>
      </c>
      <c r="K160" s="87">
        <v>613</v>
      </c>
    </row>
    <row r="161" spans="1:11" ht="14.6" x14ac:dyDescent="0.4">
      <c r="A161" s="84"/>
      <c r="B161" s="84"/>
      <c r="C161" s="84"/>
      <c r="D161" s="84"/>
      <c r="E161" s="84" t="s">
        <v>634</v>
      </c>
      <c r="F161" s="85">
        <v>45210</v>
      </c>
      <c r="G161" s="84" t="s">
        <v>3115</v>
      </c>
      <c r="H161" s="84" t="s">
        <v>1880</v>
      </c>
      <c r="I161" s="84" t="s">
        <v>1894</v>
      </c>
      <c r="J161" s="84" t="s">
        <v>659</v>
      </c>
      <c r="K161" s="87">
        <v>525</v>
      </c>
    </row>
    <row r="162" spans="1:11" ht="14.6" x14ac:dyDescent="0.4">
      <c r="A162" s="84"/>
      <c r="B162" s="84"/>
      <c r="C162" s="84"/>
      <c r="D162" s="84"/>
      <c r="E162" s="84" t="s">
        <v>634</v>
      </c>
      <c r="F162" s="85">
        <v>45218</v>
      </c>
      <c r="G162" s="84" t="s">
        <v>3116</v>
      </c>
      <c r="H162" s="84" t="s">
        <v>647</v>
      </c>
      <c r="I162" s="84" t="s">
        <v>1912</v>
      </c>
      <c r="J162" s="84" t="s">
        <v>659</v>
      </c>
      <c r="K162" s="87">
        <v>90.86</v>
      </c>
    </row>
    <row r="163" spans="1:11" ht="14.6" x14ac:dyDescent="0.4">
      <c r="A163" s="84"/>
      <c r="B163" s="84"/>
      <c r="C163" s="84"/>
      <c r="D163" s="84"/>
      <c r="E163" s="84" t="s">
        <v>634</v>
      </c>
      <c r="F163" s="85">
        <v>45218</v>
      </c>
      <c r="G163" s="84" t="s">
        <v>3117</v>
      </c>
      <c r="H163" s="84" t="s">
        <v>647</v>
      </c>
      <c r="I163" s="84" t="s">
        <v>1912</v>
      </c>
      <c r="J163" s="84" t="s">
        <v>659</v>
      </c>
      <c r="K163" s="87">
        <v>61.1</v>
      </c>
    </row>
    <row r="164" spans="1:11" ht="14.6" x14ac:dyDescent="0.4">
      <c r="A164" s="84"/>
      <c r="B164" s="84"/>
      <c r="C164" s="84"/>
      <c r="D164" s="84"/>
      <c r="E164" s="84" t="s">
        <v>634</v>
      </c>
      <c r="F164" s="85">
        <v>45219</v>
      </c>
      <c r="G164" s="84" t="s">
        <v>3118</v>
      </c>
      <c r="H164" s="84" t="s">
        <v>1885</v>
      </c>
      <c r="I164" s="84" t="s">
        <v>3143</v>
      </c>
      <c r="J164" s="84" t="s">
        <v>659</v>
      </c>
      <c r="K164" s="87">
        <v>271.20999999999998</v>
      </c>
    </row>
    <row r="165" spans="1:11" ht="14.6" x14ac:dyDescent="0.4">
      <c r="A165" s="84"/>
      <c r="B165" s="84"/>
      <c r="C165" s="84"/>
      <c r="D165" s="84"/>
      <c r="E165" s="84" t="s">
        <v>634</v>
      </c>
      <c r="F165" s="85">
        <v>45224</v>
      </c>
      <c r="G165" s="84" t="s">
        <v>3119</v>
      </c>
      <c r="H165" s="84" t="s">
        <v>1885</v>
      </c>
      <c r="I165" s="84" t="s">
        <v>3144</v>
      </c>
      <c r="J165" s="84" t="s">
        <v>659</v>
      </c>
      <c r="K165" s="87">
        <v>426.86</v>
      </c>
    </row>
    <row r="166" spans="1:11" ht="14.6" x14ac:dyDescent="0.4">
      <c r="A166" s="84"/>
      <c r="B166" s="84"/>
      <c r="C166" s="84"/>
      <c r="D166" s="84"/>
      <c r="E166" s="84" t="s">
        <v>634</v>
      </c>
      <c r="F166" s="85">
        <v>45229</v>
      </c>
      <c r="G166" s="84" t="s">
        <v>3120</v>
      </c>
      <c r="H166" s="84" t="s">
        <v>818</v>
      </c>
      <c r="I166" s="84" t="s">
        <v>832</v>
      </c>
      <c r="J166" s="84" t="s">
        <v>659</v>
      </c>
      <c r="K166" s="87">
        <v>300</v>
      </c>
    </row>
    <row r="167" spans="1:11" ht="14.6" x14ac:dyDescent="0.4">
      <c r="A167" s="84"/>
      <c r="B167" s="84"/>
      <c r="C167" s="84"/>
      <c r="D167" s="84"/>
      <c r="E167" s="84" t="s">
        <v>634</v>
      </c>
      <c r="F167" s="85">
        <v>45230</v>
      </c>
      <c r="G167" s="84" t="s">
        <v>3121</v>
      </c>
      <c r="H167" s="84" t="s">
        <v>817</v>
      </c>
      <c r="I167" s="84" t="s">
        <v>825</v>
      </c>
      <c r="J167" s="84" t="s">
        <v>659</v>
      </c>
      <c r="K167" s="87">
        <v>3025</v>
      </c>
    </row>
    <row r="168" spans="1:11" ht="14.6" x14ac:dyDescent="0.4">
      <c r="A168" s="84"/>
      <c r="B168" s="84"/>
      <c r="C168" s="84"/>
      <c r="D168" s="84"/>
      <c r="E168" s="84" t="s">
        <v>634</v>
      </c>
      <c r="F168" s="85">
        <v>45230</v>
      </c>
      <c r="G168" s="84" t="s">
        <v>3122</v>
      </c>
      <c r="H168" s="84" t="s">
        <v>1035</v>
      </c>
      <c r="I168" s="84" t="s">
        <v>1036</v>
      </c>
      <c r="J168" s="84" t="s">
        <v>659</v>
      </c>
      <c r="K168" s="87">
        <v>325</v>
      </c>
    </row>
    <row r="169" spans="1:11" ht="14.6" x14ac:dyDescent="0.4">
      <c r="A169" s="84"/>
      <c r="B169" s="84"/>
      <c r="C169" s="84"/>
      <c r="D169" s="84"/>
      <c r="E169" s="84" t="s">
        <v>634</v>
      </c>
      <c r="F169" s="85">
        <v>45230</v>
      </c>
      <c r="G169" s="84" t="s">
        <v>3122</v>
      </c>
      <c r="H169" s="84" t="s">
        <v>1035</v>
      </c>
      <c r="I169" s="84" t="s">
        <v>3135</v>
      </c>
      <c r="J169" s="84" t="s">
        <v>659</v>
      </c>
      <c r="K169" s="87">
        <v>39</v>
      </c>
    </row>
    <row r="170" spans="1:11" ht="14.6" x14ac:dyDescent="0.4">
      <c r="A170" s="84"/>
      <c r="B170" s="84"/>
      <c r="C170" s="84"/>
      <c r="D170" s="84"/>
      <c r="E170" s="84" t="s">
        <v>634</v>
      </c>
      <c r="F170" s="85">
        <v>45231</v>
      </c>
      <c r="G170" s="84" t="s">
        <v>3123</v>
      </c>
      <c r="H170" s="84" t="s">
        <v>816</v>
      </c>
      <c r="I170" s="84" t="s">
        <v>823</v>
      </c>
      <c r="J170" s="84" t="s">
        <v>659</v>
      </c>
      <c r="K170" s="87">
        <v>852</v>
      </c>
    </row>
    <row r="171" spans="1:11" ht="14.6" x14ac:dyDescent="0.4">
      <c r="A171" s="84"/>
      <c r="B171" s="84"/>
      <c r="C171" s="84"/>
      <c r="D171" s="84"/>
      <c r="E171" s="84" t="s">
        <v>634</v>
      </c>
      <c r="F171" s="85">
        <v>45231</v>
      </c>
      <c r="G171" s="84" t="s">
        <v>3124</v>
      </c>
      <c r="H171" s="84" t="s">
        <v>816</v>
      </c>
      <c r="I171" s="84" t="s">
        <v>3136</v>
      </c>
      <c r="J171" s="84" t="s">
        <v>659</v>
      </c>
      <c r="K171" s="87">
        <v>1768</v>
      </c>
    </row>
    <row r="172" spans="1:11" ht="14.6" x14ac:dyDescent="0.4">
      <c r="A172" s="84"/>
      <c r="B172" s="84"/>
      <c r="C172" s="84"/>
      <c r="D172" s="84"/>
      <c r="E172" s="84" t="s">
        <v>634</v>
      </c>
      <c r="F172" s="85">
        <v>45232</v>
      </c>
      <c r="G172" s="84" t="s">
        <v>3125</v>
      </c>
      <c r="H172" s="84" t="s">
        <v>820</v>
      </c>
      <c r="I172" s="84" t="s">
        <v>829</v>
      </c>
      <c r="J172" s="84" t="s">
        <v>659</v>
      </c>
      <c r="K172" s="87">
        <v>136</v>
      </c>
    </row>
    <row r="173" spans="1:11" ht="14.6" x14ac:dyDescent="0.4">
      <c r="A173" s="84"/>
      <c r="B173" s="84"/>
      <c r="C173" s="84"/>
      <c r="D173" s="84"/>
      <c r="E173" s="84" t="s">
        <v>634</v>
      </c>
      <c r="F173" s="85">
        <v>45232</v>
      </c>
      <c r="G173" s="84" t="s">
        <v>3125</v>
      </c>
      <c r="H173" s="84" t="s">
        <v>820</v>
      </c>
      <c r="I173" s="84" t="s">
        <v>830</v>
      </c>
      <c r="J173" s="84" t="s">
        <v>659</v>
      </c>
      <c r="K173" s="87">
        <v>34</v>
      </c>
    </row>
    <row r="174" spans="1:11" ht="14.6" x14ac:dyDescent="0.4">
      <c r="A174" s="84"/>
      <c r="B174" s="84"/>
      <c r="C174" s="84"/>
      <c r="D174" s="84"/>
      <c r="E174" s="84" t="s">
        <v>634</v>
      </c>
      <c r="F174" s="85">
        <v>45233</v>
      </c>
      <c r="G174" s="84" t="s">
        <v>3126</v>
      </c>
      <c r="H174" s="84" t="s">
        <v>821</v>
      </c>
      <c r="I174" s="84" t="s">
        <v>831</v>
      </c>
      <c r="J174" s="84" t="s">
        <v>659</v>
      </c>
      <c r="K174" s="87">
        <v>625</v>
      </c>
    </row>
    <row r="175" spans="1:11" ht="14.6" x14ac:dyDescent="0.4">
      <c r="A175" s="84"/>
      <c r="B175" s="84"/>
      <c r="C175" s="84"/>
      <c r="D175" s="84"/>
      <c r="E175" s="84" t="s">
        <v>704</v>
      </c>
      <c r="F175" s="85">
        <v>45236</v>
      </c>
      <c r="G175" s="84" t="s">
        <v>3127</v>
      </c>
      <c r="H175" s="84" t="s">
        <v>1160</v>
      </c>
      <c r="I175" s="84" t="s">
        <v>1930</v>
      </c>
      <c r="J175" s="84" t="s">
        <v>2426</v>
      </c>
      <c r="K175" s="87">
        <v>18.350000000000001</v>
      </c>
    </row>
    <row r="176" spans="1:11" ht="14.6" x14ac:dyDescent="0.4">
      <c r="A176" s="84"/>
      <c r="B176" s="84"/>
      <c r="C176" s="84"/>
      <c r="D176" s="84"/>
      <c r="E176" s="84" t="s">
        <v>634</v>
      </c>
      <c r="F176" s="85">
        <v>45260</v>
      </c>
      <c r="G176" s="84" t="s">
        <v>3128</v>
      </c>
      <c r="H176" s="84" t="s">
        <v>1035</v>
      </c>
      <c r="I176" s="84" t="s">
        <v>1036</v>
      </c>
      <c r="J176" s="84" t="s">
        <v>659</v>
      </c>
      <c r="K176" s="87">
        <v>325</v>
      </c>
    </row>
    <row r="177" spans="1:11" ht="14.6" x14ac:dyDescent="0.4">
      <c r="A177" s="84"/>
      <c r="B177" s="84"/>
      <c r="C177" s="84"/>
      <c r="D177" s="84"/>
      <c r="E177" s="84" t="s">
        <v>634</v>
      </c>
      <c r="F177" s="85">
        <v>45260</v>
      </c>
      <c r="G177" s="84" t="s">
        <v>3128</v>
      </c>
      <c r="H177" s="84" t="s">
        <v>1035</v>
      </c>
      <c r="I177" s="84" t="s">
        <v>3145</v>
      </c>
      <c r="J177" s="84" t="s">
        <v>659</v>
      </c>
      <c r="K177" s="87">
        <v>13</v>
      </c>
    </row>
    <row r="178" spans="1:11" ht="14.6" x14ac:dyDescent="0.4">
      <c r="A178" s="84"/>
      <c r="B178" s="84"/>
      <c r="C178" s="84"/>
      <c r="D178" s="84"/>
      <c r="E178" s="84" t="s">
        <v>634</v>
      </c>
      <c r="F178" s="85">
        <v>45261</v>
      </c>
      <c r="G178" s="84" t="s">
        <v>3129</v>
      </c>
      <c r="H178" s="84" t="s">
        <v>817</v>
      </c>
      <c r="I178" s="84" t="s">
        <v>825</v>
      </c>
      <c r="J178" s="84" t="s">
        <v>659</v>
      </c>
      <c r="K178" s="87">
        <v>3025</v>
      </c>
    </row>
    <row r="179" spans="1:11" ht="14.6" x14ac:dyDescent="0.4">
      <c r="A179" s="84"/>
      <c r="B179" s="84"/>
      <c r="C179" s="84"/>
      <c r="D179" s="84"/>
      <c r="E179" s="84" t="s">
        <v>634</v>
      </c>
      <c r="F179" s="85">
        <v>45261</v>
      </c>
      <c r="G179" s="84" t="s">
        <v>3130</v>
      </c>
      <c r="H179" s="84" t="s">
        <v>816</v>
      </c>
      <c r="I179" s="84" t="s">
        <v>823</v>
      </c>
      <c r="J179" s="84" t="s">
        <v>659</v>
      </c>
      <c r="K179" s="87">
        <v>852</v>
      </c>
    </row>
    <row r="180" spans="1:11" ht="14.6" x14ac:dyDescent="0.4">
      <c r="A180" s="84"/>
      <c r="B180" s="84"/>
      <c r="C180" s="84"/>
      <c r="D180" s="84"/>
      <c r="E180" s="84" t="s">
        <v>634</v>
      </c>
      <c r="F180" s="85">
        <v>45273</v>
      </c>
      <c r="G180" s="84" t="s">
        <v>3131</v>
      </c>
      <c r="H180" s="84" t="s">
        <v>822</v>
      </c>
      <c r="I180" s="84" t="s">
        <v>3146</v>
      </c>
      <c r="J180" s="84" t="s">
        <v>659</v>
      </c>
      <c r="K180" s="87">
        <v>624</v>
      </c>
    </row>
    <row r="181" spans="1:11" ht="14.6" x14ac:dyDescent="0.4">
      <c r="A181" s="84"/>
      <c r="B181" s="84"/>
      <c r="C181" s="84"/>
      <c r="D181" s="84"/>
      <c r="E181" s="84" t="s">
        <v>634</v>
      </c>
      <c r="F181" s="85">
        <v>45287</v>
      </c>
      <c r="G181" s="84" t="s">
        <v>3132</v>
      </c>
      <c r="H181" s="84" t="s">
        <v>820</v>
      </c>
      <c r="I181" s="84" t="s">
        <v>829</v>
      </c>
      <c r="J181" s="84" t="s">
        <v>659</v>
      </c>
      <c r="K181" s="87">
        <v>136</v>
      </c>
    </row>
    <row r="182" spans="1:11" ht="14.6" x14ac:dyDescent="0.4">
      <c r="A182" s="84"/>
      <c r="B182" s="84"/>
      <c r="C182" s="84"/>
      <c r="D182" s="84"/>
      <c r="E182" s="84" t="s">
        <v>634</v>
      </c>
      <c r="F182" s="85">
        <v>45287</v>
      </c>
      <c r="G182" s="84" t="s">
        <v>3132</v>
      </c>
      <c r="H182" s="84" t="s">
        <v>820</v>
      </c>
      <c r="I182" s="84" t="s">
        <v>830</v>
      </c>
      <c r="J182" s="84" t="s">
        <v>659</v>
      </c>
      <c r="K182" s="87">
        <v>34</v>
      </c>
    </row>
    <row r="183" spans="1:11" ht="14.6" x14ac:dyDescent="0.4">
      <c r="A183" s="84"/>
      <c r="B183" s="84"/>
      <c r="C183" s="84"/>
      <c r="D183" s="84"/>
      <c r="E183" s="84" t="s">
        <v>634</v>
      </c>
      <c r="F183" s="85">
        <v>45291</v>
      </c>
      <c r="G183" s="84" t="s">
        <v>3133</v>
      </c>
      <c r="H183" s="84" t="s">
        <v>1035</v>
      </c>
      <c r="I183" s="84" t="s">
        <v>1036</v>
      </c>
      <c r="J183" s="84" t="s">
        <v>659</v>
      </c>
      <c r="K183" s="87">
        <v>325</v>
      </c>
    </row>
    <row r="184" spans="1:11" thickBot="1" x14ac:dyDescent="0.45">
      <c r="A184" s="84"/>
      <c r="B184" s="84"/>
      <c r="C184" s="84"/>
      <c r="D184" s="84"/>
      <c r="E184" s="84" t="s">
        <v>634</v>
      </c>
      <c r="F184" s="85">
        <v>45291</v>
      </c>
      <c r="G184" s="84" t="s">
        <v>3133</v>
      </c>
      <c r="H184" s="84" t="s">
        <v>1035</v>
      </c>
      <c r="I184" s="84" t="s">
        <v>3145</v>
      </c>
      <c r="J184" s="84" t="s">
        <v>659</v>
      </c>
      <c r="K184" s="413">
        <v>13</v>
      </c>
    </row>
    <row r="185" spans="1:11" thickBot="1" x14ac:dyDescent="0.45">
      <c r="A185" s="84"/>
      <c r="B185" s="84"/>
      <c r="C185" s="84" t="s">
        <v>805</v>
      </c>
      <c r="D185" s="84"/>
      <c r="E185" s="84"/>
      <c r="F185" s="85"/>
      <c r="G185" s="84"/>
      <c r="H185" s="84"/>
      <c r="I185" s="84"/>
      <c r="J185" s="84"/>
      <c r="K185" s="414">
        <f>ROUND(SUM(K3:K184),5)</f>
        <v>153513.68</v>
      </c>
    </row>
    <row r="186" spans="1:11" thickBot="1" x14ac:dyDescent="0.45">
      <c r="A186" s="84"/>
      <c r="B186" s="84" t="s">
        <v>703</v>
      </c>
      <c r="C186" s="84"/>
      <c r="D186" s="84"/>
      <c r="E186" s="84"/>
      <c r="F186" s="85"/>
      <c r="G186" s="84"/>
      <c r="H186" s="84"/>
      <c r="I186" s="84"/>
      <c r="J186" s="84"/>
      <c r="K186" s="414">
        <f>K185</f>
        <v>153513.68</v>
      </c>
    </row>
    <row r="187" spans="1:11" thickBot="1" x14ac:dyDescent="0.45">
      <c r="A187" s="84" t="s">
        <v>158</v>
      </c>
      <c r="B187" s="84"/>
      <c r="C187" s="84"/>
      <c r="D187" s="84"/>
      <c r="E187" s="84"/>
      <c r="F187" s="85"/>
      <c r="G187" s="84"/>
      <c r="H187" s="84"/>
      <c r="I187" s="84"/>
      <c r="J187" s="84"/>
      <c r="K187" s="415">
        <f>K186</f>
        <v>153513.68</v>
      </c>
    </row>
    <row r="188" spans="1:11" thickTop="1" x14ac:dyDescent="0.4"/>
  </sheetData>
  <pageMargins left="0.7" right="0.7" top="0.75" bottom="0.75" header="0.1" footer="0"/>
  <pageSetup orientation="portrait" r:id="rId1"/>
  <headerFooter>
    <oddHeader>&amp;L&amp;"Arial,Bold"&amp;8 9:49 AM
&amp;"Arial,Bold"&amp;8 03/08/24
&amp;"Arial,Bold"&amp;8 Accrual Basis&amp;C&amp;"Arial,Bold"&amp;12 Williamson Central Appraisal District
&amp;"Arial,Bold"&amp;14 Account QuickReport
&amp;"Arial,Bold"&amp;10 January through December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11624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11624" r:id="rId4" name="HEADER"/>
      </mc:Fallback>
    </mc:AlternateContent>
    <mc:AlternateContent xmlns:mc="http://schemas.openxmlformats.org/markup-compatibility/2006">
      <mc:Choice Requires="x14">
        <control shapeId="111623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11623" r:id="rId6" name="FILTER"/>
      </mc:Fallback>
    </mc:AlternateContent>
  </control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8"/>
  <dimension ref="A1:K31"/>
  <sheetViews>
    <sheetView workbookViewId="0">
      <pane xSplit="3" ySplit="1" topLeftCell="D2" activePane="bottomRight" state="frozenSplit"/>
      <selection pane="topRight" activeCell="D1" sqref="D1"/>
      <selection pane="bottomLeft" activeCell="A2" sqref="A2"/>
      <selection pane="bottomRight" activeCell="N31" sqref="N31"/>
    </sheetView>
  </sheetViews>
  <sheetFormatPr defaultColWidth="14.3828125" defaultRowHeight="15" customHeight="1" x14ac:dyDescent="0.4"/>
  <cols>
    <col min="1" max="2" width="3" customWidth="1"/>
    <col min="3" max="3" width="25.3828125" customWidth="1"/>
    <col min="4" max="4" width="2.3046875" customWidth="1"/>
    <col min="5" max="5" width="5.3046875" bestFit="1" customWidth="1"/>
    <col min="6" max="6" width="10.69140625" bestFit="1" customWidth="1"/>
    <col min="7" max="7" width="7.53515625" bestFit="1" customWidth="1"/>
    <col min="8" max="8" width="15.53515625" bestFit="1" customWidth="1"/>
    <col min="9" max="9" width="22.69140625" bestFit="1" customWidth="1"/>
    <col min="10" max="10" width="22.3046875" bestFit="1" customWidth="1"/>
    <col min="11" max="11" width="9.15234375" bestFit="1" customWidth="1"/>
  </cols>
  <sheetData>
    <row r="1" spans="1:11" s="412" customFormat="1" thickBot="1" x14ac:dyDescent="0.45">
      <c r="A1" s="416"/>
      <c r="B1" s="416"/>
      <c r="C1" s="416"/>
      <c r="D1" s="416"/>
      <c r="E1" s="417" t="s">
        <v>623</v>
      </c>
      <c r="F1" s="417" t="s">
        <v>624</v>
      </c>
      <c r="G1" s="417" t="s">
        <v>625</v>
      </c>
      <c r="H1" s="417" t="s">
        <v>626</v>
      </c>
      <c r="I1" s="417" t="s">
        <v>627</v>
      </c>
      <c r="J1" s="417" t="s">
        <v>628</v>
      </c>
      <c r="K1" s="417" t="s">
        <v>629</v>
      </c>
    </row>
    <row r="2" spans="1:11" thickTop="1" x14ac:dyDescent="0.4">
      <c r="A2" s="84"/>
      <c r="B2" s="84" t="s">
        <v>700</v>
      </c>
      <c r="C2" s="84"/>
      <c r="D2" s="84"/>
      <c r="E2" s="84"/>
      <c r="F2" s="85"/>
      <c r="G2" s="84"/>
      <c r="H2" s="84"/>
      <c r="I2" s="84"/>
      <c r="J2" s="84"/>
      <c r="K2" s="87"/>
    </row>
    <row r="3" spans="1:11" ht="14.6" x14ac:dyDescent="0.4">
      <c r="A3" s="84"/>
      <c r="B3" s="84"/>
      <c r="C3" s="84" t="s">
        <v>834</v>
      </c>
      <c r="D3" s="84"/>
      <c r="E3" s="84"/>
      <c r="F3" s="85"/>
      <c r="G3" s="84"/>
      <c r="H3" s="84"/>
      <c r="I3" s="84"/>
      <c r="J3" s="84"/>
      <c r="K3" s="87"/>
    </row>
    <row r="4" spans="1:11" ht="14.6" x14ac:dyDescent="0.4">
      <c r="A4" s="84"/>
      <c r="B4" s="84"/>
      <c r="C4" s="84"/>
      <c r="D4" s="84"/>
      <c r="E4" s="84" t="s">
        <v>634</v>
      </c>
      <c r="F4" s="85">
        <v>44944</v>
      </c>
      <c r="G4" s="84" t="s">
        <v>646</v>
      </c>
      <c r="H4" s="84" t="s">
        <v>836</v>
      </c>
      <c r="I4" s="84" t="s">
        <v>837</v>
      </c>
      <c r="J4" s="84" t="s">
        <v>659</v>
      </c>
      <c r="K4" s="87">
        <v>900</v>
      </c>
    </row>
    <row r="5" spans="1:11" ht="14.6" x14ac:dyDescent="0.4">
      <c r="A5" s="84"/>
      <c r="B5" s="84"/>
      <c r="C5" s="84"/>
      <c r="D5" s="84"/>
      <c r="E5" s="84" t="s">
        <v>634</v>
      </c>
      <c r="F5" s="85">
        <v>44944</v>
      </c>
      <c r="G5" s="84" t="s">
        <v>646</v>
      </c>
      <c r="H5" s="84" t="s">
        <v>836</v>
      </c>
      <c r="I5" s="84" t="s">
        <v>838</v>
      </c>
      <c r="J5" s="84" t="s">
        <v>659</v>
      </c>
      <c r="K5" s="87">
        <v>200</v>
      </c>
    </row>
    <row r="6" spans="1:11" ht="14.6" x14ac:dyDescent="0.4">
      <c r="A6" s="84"/>
      <c r="B6" s="84"/>
      <c r="C6" s="84"/>
      <c r="D6" s="84"/>
      <c r="E6" s="84" t="s">
        <v>634</v>
      </c>
      <c r="F6" s="85">
        <v>44964</v>
      </c>
      <c r="G6" s="84" t="s">
        <v>789</v>
      </c>
      <c r="H6" s="84" t="s">
        <v>836</v>
      </c>
      <c r="I6" s="84" t="s">
        <v>837</v>
      </c>
      <c r="J6" s="84" t="s">
        <v>659</v>
      </c>
      <c r="K6" s="87">
        <v>900</v>
      </c>
    </row>
    <row r="7" spans="1:11" ht="14.6" x14ac:dyDescent="0.4">
      <c r="A7" s="84"/>
      <c r="B7" s="84"/>
      <c r="C7" s="84"/>
      <c r="D7" s="84"/>
      <c r="E7" s="84" t="s">
        <v>634</v>
      </c>
      <c r="F7" s="85">
        <v>44964</v>
      </c>
      <c r="G7" s="84" t="s">
        <v>789</v>
      </c>
      <c r="H7" s="84" t="s">
        <v>836</v>
      </c>
      <c r="I7" s="84" t="s">
        <v>838</v>
      </c>
      <c r="J7" s="84" t="s">
        <v>659</v>
      </c>
      <c r="K7" s="87">
        <v>200</v>
      </c>
    </row>
    <row r="8" spans="1:11" ht="14.6" x14ac:dyDescent="0.4">
      <c r="A8" s="84"/>
      <c r="B8" s="84"/>
      <c r="C8" s="84"/>
      <c r="D8" s="84"/>
      <c r="E8" s="84" t="s">
        <v>634</v>
      </c>
      <c r="F8" s="85">
        <v>44986</v>
      </c>
      <c r="G8" s="84" t="s">
        <v>1122</v>
      </c>
      <c r="H8" s="84" t="s">
        <v>836</v>
      </c>
      <c r="I8" s="84" t="s">
        <v>837</v>
      </c>
      <c r="J8" s="84" t="s">
        <v>659</v>
      </c>
      <c r="K8" s="87">
        <v>900</v>
      </c>
    </row>
    <row r="9" spans="1:11" ht="14.6" x14ac:dyDescent="0.4">
      <c r="A9" s="84"/>
      <c r="B9" s="84"/>
      <c r="C9" s="84"/>
      <c r="D9" s="84"/>
      <c r="E9" s="84" t="s">
        <v>634</v>
      </c>
      <c r="F9" s="85">
        <v>44986</v>
      </c>
      <c r="G9" s="84" t="s">
        <v>1122</v>
      </c>
      <c r="H9" s="84" t="s">
        <v>836</v>
      </c>
      <c r="I9" s="84" t="s">
        <v>838</v>
      </c>
      <c r="J9" s="84" t="s">
        <v>659</v>
      </c>
      <c r="K9" s="87">
        <v>200</v>
      </c>
    </row>
    <row r="10" spans="1:11" ht="14.6" x14ac:dyDescent="0.4">
      <c r="A10" s="84"/>
      <c r="B10" s="84"/>
      <c r="C10" s="84"/>
      <c r="D10" s="84"/>
      <c r="E10" s="84" t="s">
        <v>634</v>
      </c>
      <c r="F10" s="85">
        <v>45013</v>
      </c>
      <c r="G10" s="84" t="s">
        <v>1193</v>
      </c>
      <c r="H10" s="84" t="s">
        <v>836</v>
      </c>
      <c r="I10" s="84" t="s">
        <v>837</v>
      </c>
      <c r="J10" s="84" t="s">
        <v>659</v>
      </c>
      <c r="K10" s="87">
        <v>900</v>
      </c>
    </row>
    <row r="11" spans="1:11" ht="14.6" x14ac:dyDescent="0.4">
      <c r="A11" s="84"/>
      <c r="B11" s="84"/>
      <c r="C11" s="84"/>
      <c r="D11" s="84"/>
      <c r="E11" s="84" t="s">
        <v>634</v>
      </c>
      <c r="F11" s="85">
        <v>45013</v>
      </c>
      <c r="G11" s="84" t="s">
        <v>1193</v>
      </c>
      <c r="H11" s="84" t="s">
        <v>836</v>
      </c>
      <c r="I11" s="84" t="s">
        <v>838</v>
      </c>
      <c r="J11" s="84" t="s">
        <v>659</v>
      </c>
      <c r="K11" s="87">
        <v>200</v>
      </c>
    </row>
    <row r="12" spans="1:11" ht="14.6" x14ac:dyDescent="0.4">
      <c r="A12" s="84"/>
      <c r="B12" s="84"/>
      <c r="C12" s="84"/>
      <c r="D12" s="84"/>
      <c r="E12" s="84" t="s">
        <v>634</v>
      </c>
      <c r="F12" s="85">
        <v>45042</v>
      </c>
      <c r="G12" s="84" t="s">
        <v>1516</v>
      </c>
      <c r="H12" s="84" t="s">
        <v>836</v>
      </c>
      <c r="I12" s="84" t="s">
        <v>837</v>
      </c>
      <c r="J12" s="84" t="s">
        <v>659</v>
      </c>
      <c r="K12" s="87">
        <v>900</v>
      </c>
    </row>
    <row r="13" spans="1:11" ht="14.6" x14ac:dyDescent="0.4">
      <c r="A13" s="84"/>
      <c r="B13" s="84"/>
      <c r="C13" s="84"/>
      <c r="D13" s="84"/>
      <c r="E13" s="84" t="s">
        <v>634</v>
      </c>
      <c r="F13" s="85">
        <v>45042</v>
      </c>
      <c r="G13" s="84" t="s">
        <v>1516</v>
      </c>
      <c r="H13" s="84" t="s">
        <v>836</v>
      </c>
      <c r="I13" s="84" t="s">
        <v>838</v>
      </c>
      <c r="J13" s="84" t="s">
        <v>659</v>
      </c>
      <c r="K13" s="87">
        <v>200</v>
      </c>
    </row>
    <row r="14" spans="1:11" ht="14.6" x14ac:dyDescent="0.4">
      <c r="A14" s="84"/>
      <c r="B14" s="84"/>
      <c r="C14" s="84"/>
      <c r="D14" s="84"/>
      <c r="E14" s="84" t="s">
        <v>634</v>
      </c>
      <c r="F14" s="85">
        <v>45078</v>
      </c>
      <c r="G14" s="84" t="s">
        <v>1531</v>
      </c>
      <c r="H14" s="84" t="s">
        <v>836</v>
      </c>
      <c r="I14" s="84" t="s">
        <v>837</v>
      </c>
      <c r="J14" s="84" t="s">
        <v>659</v>
      </c>
      <c r="K14" s="87">
        <v>900</v>
      </c>
    </row>
    <row r="15" spans="1:11" ht="14.6" x14ac:dyDescent="0.4">
      <c r="A15" s="84"/>
      <c r="B15" s="84"/>
      <c r="C15" s="84"/>
      <c r="D15" s="84"/>
      <c r="E15" s="84" t="s">
        <v>634</v>
      </c>
      <c r="F15" s="85">
        <v>45078</v>
      </c>
      <c r="G15" s="84" t="s">
        <v>1531</v>
      </c>
      <c r="H15" s="84" t="s">
        <v>836</v>
      </c>
      <c r="I15" s="84" t="s">
        <v>838</v>
      </c>
      <c r="J15" s="84" t="s">
        <v>659</v>
      </c>
      <c r="K15" s="87">
        <v>200</v>
      </c>
    </row>
    <row r="16" spans="1:11" ht="14.6" x14ac:dyDescent="0.4">
      <c r="A16" s="84"/>
      <c r="B16" s="84"/>
      <c r="C16" s="84"/>
      <c r="D16" s="84"/>
      <c r="E16" s="84" t="s">
        <v>634</v>
      </c>
      <c r="F16" s="85">
        <v>45112</v>
      </c>
      <c r="G16" s="84" t="s">
        <v>1496</v>
      </c>
      <c r="H16" s="84" t="s">
        <v>836</v>
      </c>
      <c r="I16" s="84" t="s">
        <v>837</v>
      </c>
      <c r="J16" s="84" t="s">
        <v>659</v>
      </c>
      <c r="K16" s="87">
        <v>900</v>
      </c>
    </row>
    <row r="17" spans="1:11" ht="14.6" x14ac:dyDescent="0.4">
      <c r="A17" s="84"/>
      <c r="B17" s="84"/>
      <c r="C17" s="84"/>
      <c r="D17" s="84"/>
      <c r="E17" s="84" t="s">
        <v>634</v>
      </c>
      <c r="F17" s="85">
        <v>45112</v>
      </c>
      <c r="G17" s="84" t="s">
        <v>1496</v>
      </c>
      <c r="H17" s="84" t="s">
        <v>836</v>
      </c>
      <c r="I17" s="84" t="s">
        <v>838</v>
      </c>
      <c r="J17" s="84" t="s">
        <v>659</v>
      </c>
      <c r="K17" s="87">
        <v>200</v>
      </c>
    </row>
    <row r="18" spans="1:11" ht="14.6" x14ac:dyDescent="0.4">
      <c r="A18" s="84"/>
      <c r="B18" s="84"/>
      <c r="C18" s="84"/>
      <c r="D18" s="84"/>
      <c r="E18" s="84" t="s">
        <v>634</v>
      </c>
      <c r="F18" s="85">
        <v>45154</v>
      </c>
      <c r="G18" s="84" t="s">
        <v>1489</v>
      </c>
      <c r="H18" s="84" t="s">
        <v>836</v>
      </c>
      <c r="I18" s="84" t="s">
        <v>837</v>
      </c>
      <c r="J18" s="84" t="s">
        <v>659</v>
      </c>
      <c r="K18" s="87">
        <v>900</v>
      </c>
    </row>
    <row r="19" spans="1:11" ht="14.6" x14ac:dyDescent="0.4">
      <c r="A19" s="84"/>
      <c r="B19" s="84"/>
      <c r="C19" s="84"/>
      <c r="D19" s="84"/>
      <c r="E19" s="84" t="s">
        <v>634</v>
      </c>
      <c r="F19" s="85">
        <v>45154</v>
      </c>
      <c r="G19" s="84" t="s">
        <v>1489</v>
      </c>
      <c r="H19" s="84" t="s">
        <v>836</v>
      </c>
      <c r="I19" s="84" t="s">
        <v>838</v>
      </c>
      <c r="J19" s="84" t="s">
        <v>659</v>
      </c>
      <c r="K19" s="87">
        <v>200</v>
      </c>
    </row>
    <row r="20" spans="1:11" ht="14.6" x14ac:dyDescent="0.4">
      <c r="A20" s="84"/>
      <c r="B20" s="84"/>
      <c r="C20" s="84"/>
      <c r="D20" s="84"/>
      <c r="E20" s="84" t="s">
        <v>634</v>
      </c>
      <c r="F20" s="85">
        <v>45182</v>
      </c>
      <c r="G20" s="84" t="s">
        <v>2620</v>
      </c>
      <c r="H20" s="84" t="s">
        <v>836</v>
      </c>
      <c r="I20" s="84" t="s">
        <v>837</v>
      </c>
      <c r="J20" s="84" t="s">
        <v>659</v>
      </c>
      <c r="K20" s="87">
        <v>900</v>
      </c>
    </row>
    <row r="21" spans="1:11" ht="14.6" x14ac:dyDescent="0.4">
      <c r="A21" s="84"/>
      <c r="B21" s="84"/>
      <c r="C21" s="84"/>
      <c r="D21" s="84"/>
      <c r="E21" s="84" t="s">
        <v>634</v>
      </c>
      <c r="F21" s="85">
        <v>45182</v>
      </c>
      <c r="G21" s="84" t="s">
        <v>2620</v>
      </c>
      <c r="H21" s="84" t="s">
        <v>836</v>
      </c>
      <c r="I21" s="84" t="s">
        <v>838</v>
      </c>
      <c r="J21" s="84" t="s">
        <v>659</v>
      </c>
      <c r="K21" s="87">
        <v>200</v>
      </c>
    </row>
    <row r="22" spans="1:11" ht="15" customHeight="1" x14ac:dyDescent="0.4">
      <c r="A22" s="84"/>
      <c r="B22" s="84"/>
      <c r="C22" s="84"/>
      <c r="D22" s="84"/>
      <c r="E22" s="84" t="s">
        <v>634</v>
      </c>
      <c r="F22" s="85">
        <v>45203</v>
      </c>
      <c r="G22" s="84" t="s">
        <v>2372</v>
      </c>
      <c r="H22" s="84" t="s">
        <v>836</v>
      </c>
      <c r="I22" s="84" t="s">
        <v>837</v>
      </c>
      <c r="J22" s="84" t="s">
        <v>659</v>
      </c>
      <c r="K22" s="87">
        <v>900</v>
      </c>
    </row>
    <row r="23" spans="1:11" ht="15" customHeight="1" x14ac:dyDescent="0.4">
      <c r="A23" s="84"/>
      <c r="B23" s="84"/>
      <c r="C23" s="84"/>
      <c r="D23" s="84"/>
      <c r="E23" s="84" t="s">
        <v>634</v>
      </c>
      <c r="F23" s="85">
        <v>45203</v>
      </c>
      <c r="G23" s="84" t="s">
        <v>2372</v>
      </c>
      <c r="H23" s="84" t="s">
        <v>836</v>
      </c>
      <c r="I23" s="84" t="s">
        <v>838</v>
      </c>
      <c r="J23" s="84" t="s">
        <v>659</v>
      </c>
      <c r="K23" s="87">
        <v>200</v>
      </c>
    </row>
    <row r="24" spans="1:11" ht="15" customHeight="1" x14ac:dyDescent="0.4">
      <c r="A24" s="84"/>
      <c r="B24" s="84"/>
      <c r="C24" s="84"/>
      <c r="D24" s="84"/>
      <c r="E24" s="84" t="s">
        <v>634</v>
      </c>
      <c r="F24" s="85">
        <v>45231</v>
      </c>
      <c r="G24" s="84" t="s">
        <v>1539</v>
      </c>
      <c r="H24" s="84" t="s">
        <v>836</v>
      </c>
      <c r="I24" s="84" t="s">
        <v>837</v>
      </c>
      <c r="J24" s="84" t="s">
        <v>659</v>
      </c>
      <c r="K24" s="87">
        <v>900</v>
      </c>
    </row>
    <row r="25" spans="1:11" ht="15" customHeight="1" x14ac:dyDescent="0.4">
      <c r="A25" s="84"/>
      <c r="B25" s="84"/>
      <c r="C25" s="84"/>
      <c r="D25" s="84"/>
      <c r="E25" s="84" t="s">
        <v>634</v>
      </c>
      <c r="F25" s="85">
        <v>45231</v>
      </c>
      <c r="G25" s="84" t="s">
        <v>1539</v>
      </c>
      <c r="H25" s="84" t="s">
        <v>836</v>
      </c>
      <c r="I25" s="84" t="s">
        <v>838</v>
      </c>
      <c r="J25" s="84" t="s">
        <v>659</v>
      </c>
      <c r="K25" s="87">
        <v>200</v>
      </c>
    </row>
    <row r="26" spans="1:11" ht="15" customHeight="1" x14ac:dyDescent="0.4">
      <c r="A26" s="84"/>
      <c r="B26" s="84"/>
      <c r="C26" s="84"/>
      <c r="D26" s="84"/>
      <c r="E26" s="84" t="s">
        <v>634</v>
      </c>
      <c r="F26" s="85">
        <v>45261</v>
      </c>
      <c r="G26" s="84" t="s">
        <v>2405</v>
      </c>
      <c r="H26" s="84" t="s">
        <v>836</v>
      </c>
      <c r="I26" s="84" t="s">
        <v>837</v>
      </c>
      <c r="J26" s="84" t="s">
        <v>659</v>
      </c>
      <c r="K26" s="87">
        <v>900</v>
      </c>
    </row>
    <row r="27" spans="1:11" ht="15" customHeight="1" thickBot="1" x14ac:dyDescent="0.45">
      <c r="A27" s="84"/>
      <c r="B27" s="84"/>
      <c r="C27" s="84"/>
      <c r="D27" s="84"/>
      <c r="E27" s="84" t="s">
        <v>634</v>
      </c>
      <c r="F27" s="85">
        <v>45261</v>
      </c>
      <c r="G27" s="84" t="s">
        <v>2405</v>
      </c>
      <c r="H27" s="84" t="s">
        <v>836</v>
      </c>
      <c r="I27" s="84" t="s">
        <v>838</v>
      </c>
      <c r="J27" s="84" t="s">
        <v>659</v>
      </c>
      <c r="K27" s="413">
        <v>200</v>
      </c>
    </row>
    <row r="28" spans="1:11" ht="15" customHeight="1" thickBot="1" x14ac:dyDescent="0.45">
      <c r="A28" s="84"/>
      <c r="B28" s="84"/>
      <c r="C28" s="84" t="s">
        <v>835</v>
      </c>
      <c r="D28" s="84"/>
      <c r="E28" s="84"/>
      <c r="F28" s="85"/>
      <c r="G28" s="84"/>
      <c r="H28" s="84"/>
      <c r="I28" s="84"/>
      <c r="J28" s="84"/>
      <c r="K28" s="414">
        <f>ROUND(SUM(K3:K27),5)</f>
        <v>13200</v>
      </c>
    </row>
    <row r="29" spans="1:11" ht="15" customHeight="1" thickBot="1" x14ac:dyDescent="0.45">
      <c r="A29" s="84"/>
      <c r="B29" s="84" t="s">
        <v>703</v>
      </c>
      <c r="C29" s="84"/>
      <c r="D29" s="84"/>
      <c r="E29" s="84"/>
      <c r="F29" s="85"/>
      <c r="G29" s="84"/>
      <c r="H29" s="84"/>
      <c r="I29" s="84"/>
      <c r="J29" s="84"/>
      <c r="K29" s="414">
        <f>K28</f>
        <v>13200</v>
      </c>
    </row>
    <row r="30" spans="1:11" ht="15" customHeight="1" thickBot="1" x14ac:dyDescent="0.45">
      <c r="A30" s="84" t="s">
        <v>158</v>
      </c>
      <c r="B30" s="84"/>
      <c r="C30" s="84"/>
      <c r="D30" s="84"/>
      <c r="E30" s="84"/>
      <c r="F30" s="85"/>
      <c r="G30" s="84"/>
      <c r="H30" s="84"/>
      <c r="I30" s="84"/>
      <c r="J30" s="84"/>
      <c r="K30" s="415">
        <f>K29</f>
        <v>13200</v>
      </c>
    </row>
    <row r="31" spans="1:11" ht="15" customHeight="1" thickTop="1" x14ac:dyDescent="0.4"/>
  </sheetData>
  <pageMargins left="0.7" right="0.7" top="0.75" bottom="0.75" header="0.1" footer="0"/>
  <pageSetup orientation="landscape" r:id="rId1"/>
  <headerFooter>
    <oddHeader>&amp;L&amp;"Arial,Bold"&amp;8 4:35 PM
&amp;"Arial,Bold"&amp;8 01/24/24
&amp;"Arial,Bold"&amp;8 Accrual Basis&amp;C&amp;"Arial,Bold"&amp;12 Williamson Central Appraisal District
&amp;"Arial,Bold"&amp;14 Account QuickReport
&amp;"Arial,Bold"&amp;10 January through December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24933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24933" r:id="rId4" name="HEADER"/>
      </mc:Fallback>
    </mc:AlternateContent>
    <mc:AlternateContent xmlns:mc="http://schemas.openxmlformats.org/markup-compatibility/2006">
      <mc:Choice Requires="x14">
        <control shapeId="124932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24932" r:id="rId6" name="FILTER"/>
      </mc:Fallback>
    </mc:AlternateContent>
  </control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81"/>
  <dimension ref="A1:K28"/>
  <sheetViews>
    <sheetView workbookViewId="0">
      <pane xSplit="3" ySplit="1" topLeftCell="D2" activePane="bottomRight" state="frozenSplit"/>
      <selection pane="topRight" activeCell="D1" sqref="D1"/>
      <selection pane="bottomLeft" activeCell="A2" sqref="A2"/>
      <selection pane="bottomRight" activeCell="I25" sqref="I25"/>
    </sheetView>
  </sheetViews>
  <sheetFormatPr defaultColWidth="14.3828125" defaultRowHeight="15" customHeight="1" x14ac:dyDescent="0.4"/>
  <cols>
    <col min="1" max="2" width="3" customWidth="1"/>
    <col min="3" max="3" width="36.69140625" customWidth="1"/>
    <col min="4" max="4" width="2.3046875" customWidth="1"/>
    <col min="5" max="5" width="17.69140625" bestFit="1" customWidth="1"/>
    <col min="6" max="6" width="10.69140625" bestFit="1" customWidth="1"/>
    <col min="7" max="7" width="16" bestFit="1" customWidth="1"/>
    <col min="8" max="8" width="28.53515625" bestFit="1" customWidth="1"/>
    <col min="9" max="9" width="30.69140625" customWidth="1"/>
    <col min="10" max="10" width="27.3828125" bestFit="1" customWidth="1"/>
    <col min="11" max="11" width="8.15234375" bestFit="1" customWidth="1"/>
  </cols>
  <sheetData>
    <row r="1" spans="1:11" s="412" customFormat="1" thickBot="1" x14ac:dyDescent="0.45">
      <c r="A1" s="416"/>
      <c r="B1" s="416"/>
      <c r="C1" s="416"/>
      <c r="D1" s="416"/>
      <c r="E1" s="417" t="s">
        <v>623</v>
      </c>
      <c r="F1" s="417" t="s">
        <v>624</v>
      </c>
      <c r="G1" s="417" t="s">
        <v>625</v>
      </c>
      <c r="H1" s="417" t="s">
        <v>626</v>
      </c>
      <c r="I1" s="417" t="s">
        <v>627</v>
      </c>
      <c r="J1" s="417" t="s">
        <v>628</v>
      </c>
      <c r="K1" s="417" t="s">
        <v>629</v>
      </c>
    </row>
    <row r="2" spans="1:11" thickTop="1" x14ac:dyDescent="0.4">
      <c r="A2" s="84"/>
      <c r="B2" s="84" t="s">
        <v>700</v>
      </c>
      <c r="C2" s="84"/>
      <c r="D2" s="84"/>
      <c r="E2" s="84"/>
      <c r="F2" s="85"/>
      <c r="G2" s="84"/>
      <c r="H2" s="84"/>
      <c r="I2" s="84"/>
      <c r="J2" s="84"/>
      <c r="K2" s="87"/>
    </row>
    <row r="3" spans="1:11" ht="14.6" x14ac:dyDescent="0.4">
      <c r="A3" s="84"/>
      <c r="B3" s="84"/>
      <c r="C3" s="84" t="s">
        <v>839</v>
      </c>
      <c r="D3" s="84"/>
      <c r="E3" s="84"/>
      <c r="F3" s="85"/>
      <c r="G3" s="84"/>
      <c r="H3" s="84"/>
      <c r="I3" s="84"/>
      <c r="J3" s="84"/>
      <c r="K3" s="87"/>
    </row>
    <row r="4" spans="1:11" ht="14.6" x14ac:dyDescent="0.4">
      <c r="A4" s="84"/>
      <c r="B4" s="84"/>
      <c r="C4" s="84"/>
      <c r="D4" s="84"/>
      <c r="E4" s="84" t="s">
        <v>634</v>
      </c>
      <c r="F4" s="85">
        <v>44944</v>
      </c>
      <c r="G4" s="84" t="s">
        <v>714</v>
      </c>
      <c r="H4" s="84" t="s">
        <v>717</v>
      </c>
      <c r="I4" s="84" t="s">
        <v>841</v>
      </c>
      <c r="J4" s="84" t="s">
        <v>659</v>
      </c>
      <c r="K4" s="87">
        <v>450</v>
      </c>
    </row>
    <row r="5" spans="1:11" ht="14.6" x14ac:dyDescent="0.4">
      <c r="A5" s="84"/>
      <c r="B5" s="84"/>
      <c r="C5" s="84"/>
      <c r="D5" s="84"/>
      <c r="E5" s="84" t="s">
        <v>634</v>
      </c>
      <c r="F5" s="85">
        <v>44944</v>
      </c>
      <c r="G5" s="84" t="s">
        <v>714</v>
      </c>
      <c r="H5" s="84" t="s">
        <v>717</v>
      </c>
      <c r="I5" s="84" t="s">
        <v>842</v>
      </c>
      <c r="J5" s="84" t="s">
        <v>659</v>
      </c>
      <c r="K5" s="87">
        <v>450</v>
      </c>
    </row>
    <row r="6" spans="1:11" ht="14.6" x14ac:dyDescent="0.4">
      <c r="A6" s="84"/>
      <c r="B6" s="84"/>
      <c r="C6" s="84"/>
      <c r="D6" s="84"/>
      <c r="E6" s="84" t="s">
        <v>634</v>
      </c>
      <c r="F6" s="85">
        <v>44944</v>
      </c>
      <c r="G6" s="84" t="s">
        <v>714</v>
      </c>
      <c r="H6" s="84" t="s">
        <v>717</v>
      </c>
      <c r="I6" s="84" t="s">
        <v>843</v>
      </c>
      <c r="J6" s="84" t="s">
        <v>659</v>
      </c>
      <c r="K6" s="87">
        <v>450</v>
      </c>
    </row>
    <row r="7" spans="1:11" ht="14.6" x14ac:dyDescent="0.4">
      <c r="A7" s="84"/>
      <c r="B7" s="84"/>
      <c r="C7" s="84"/>
      <c r="D7" s="84"/>
      <c r="E7" s="84" t="s">
        <v>704</v>
      </c>
      <c r="F7" s="85">
        <v>44945</v>
      </c>
      <c r="G7" s="84" t="s">
        <v>1041</v>
      </c>
      <c r="H7" s="84" t="s">
        <v>1044</v>
      </c>
      <c r="I7" s="84" t="s">
        <v>1047</v>
      </c>
      <c r="J7" s="84" t="s">
        <v>772</v>
      </c>
      <c r="K7" s="87">
        <v>76.62</v>
      </c>
    </row>
    <row r="8" spans="1:11" ht="14.6" x14ac:dyDescent="0.4">
      <c r="A8" s="84"/>
      <c r="B8" s="84"/>
      <c r="C8" s="84"/>
      <c r="D8" s="84"/>
      <c r="E8" s="84" t="s">
        <v>704</v>
      </c>
      <c r="F8" s="85">
        <v>44950</v>
      </c>
      <c r="G8" s="84" t="s">
        <v>1042</v>
      </c>
      <c r="H8" s="84" t="s">
        <v>1045</v>
      </c>
      <c r="I8" s="84" t="s">
        <v>1048</v>
      </c>
      <c r="J8" s="84" t="s">
        <v>772</v>
      </c>
      <c r="K8" s="87">
        <v>67</v>
      </c>
    </row>
    <row r="9" spans="1:11" ht="14.6" x14ac:dyDescent="0.4">
      <c r="A9" s="84"/>
      <c r="B9" s="84"/>
      <c r="C9" s="84"/>
      <c r="D9" s="84"/>
      <c r="E9" s="84" t="s">
        <v>704</v>
      </c>
      <c r="F9" s="85">
        <v>44967</v>
      </c>
      <c r="G9" s="84" t="s">
        <v>1043</v>
      </c>
      <c r="H9" s="84" t="s">
        <v>1046</v>
      </c>
      <c r="I9" s="84" t="s">
        <v>1049</v>
      </c>
      <c r="J9" s="84" t="s">
        <v>772</v>
      </c>
      <c r="K9" s="87">
        <v>64.739999999999995</v>
      </c>
    </row>
    <row r="10" spans="1:11" ht="14.6" x14ac:dyDescent="0.4">
      <c r="A10" s="84"/>
      <c r="B10" s="84"/>
      <c r="C10" s="84"/>
      <c r="D10" s="84"/>
      <c r="E10" s="84" t="s">
        <v>704</v>
      </c>
      <c r="F10" s="85">
        <v>44979</v>
      </c>
      <c r="G10" s="84" t="s">
        <v>1933</v>
      </c>
      <c r="H10" s="84" t="s">
        <v>1543</v>
      </c>
      <c r="I10" s="84" t="s">
        <v>1944</v>
      </c>
      <c r="J10" s="84" t="s">
        <v>772</v>
      </c>
      <c r="K10" s="87">
        <v>928.23</v>
      </c>
    </row>
    <row r="11" spans="1:11" ht="14.6" x14ac:dyDescent="0.4">
      <c r="A11" s="84"/>
      <c r="B11" s="84"/>
      <c r="C11" s="84"/>
      <c r="D11" s="84"/>
      <c r="E11" s="84" t="s">
        <v>634</v>
      </c>
      <c r="F11" s="85">
        <v>44985</v>
      </c>
      <c r="G11" s="84" t="s">
        <v>789</v>
      </c>
      <c r="H11" s="84" t="s">
        <v>1939</v>
      </c>
      <c r="I11" s="84" t="s">
        <v>1945</v>
      </c>
      <c r="J11" s="84" t="s">
        <v>659</v>
      </c>
      <c r="K11" s="87">
        <v>225.32</v>
      </c>
    </row>
    <row r="12" spans="1:11" ht="14.6" x14ac:dyDescent="0.4">
      <c r="A12" s="84"/>
      <c r="B12" s="84"/>
      <c r="C12" s="84"/>
      <c r="D12" s="84"/>
      <c r="E12" s="84" t="s">
        <v>634</v>
      </c>
      <c r="F12" s="85">
        <v>44993</v>
      </c>
      <c r="G12" s="84" t="s">
        <v>789</v>
      </c>
      <c r="H12" s="84" t="s">
        <v>1940</v>
      </c>
      <c r="I12" s="84" t="s">
        <v>1946</v>
      </c>
      <c r="J12" s="84" t="s">
        <v>659</v>
      </c>
      <c r="K12" s="87">
        <v>1166.04</v>
      </c>
    </row>
    <row r="13" spans="1:11" ht="14.6" x14ac:dyDescent="0.4">
      <c r="A13" s="84"/>
      <c r="B13" s="84"/>
      <c r="C13" s="84"/>
      <c r="D13" s="84"/>
      <c r="E13" s="84" t="s">
        <v>704</v>
      </c>
      <c r="F13" s="85">
        <v>45043</v>
      </c>
      <c r="G13" s="84" t="s">
        <v>1934</v>
      </c>
      <c r="H13" s="84" t="s">
        <v>1044</v>
      </c>
      <c r="I13" s="84" t="s">
        <v>1947</v>
      </c>
      <c r="J13" s="84" t="s">
        <v>772</v>
      </c>
      <c r="K13" s="87">
        <v>92.24</v>
      </c>
    </row>
    <row r="14" spans="1:11" ht="14.6" x14ac:dyDescent="0.4">
      <c r="A14" s="84"/>
      <c r="B14" s="84"/>
      <c r="C14" s="84"/>
      <c r="D14" s="84"/>
      <c r="E14" s="84" t="s">
        <v>634</v>
      </c>
      <c r="F14" s="85">
        <v>45049</v>
      </c>
      <c r="G14" s="84" t="s">
        <v>1516</v>
      </c>
      <c r="H14" s="84" t="s">
        <v>1941</v>
      </c>
      <c r="I14" s="84" t="s">
        <v>1948</v>
      </c>
      <c r="J14" s="84" t="s">
        <v>659</v>
      </c>
      <c r="K14" s="87">
        <v>60.88</v>
      </c>
    </row>
    <row r="15" spans="1:11" ht="14.6" x14ac:dyDescent="0.4">
      <c r="A15" s="84"/>
      <c r="B15" s="84"/>
      <c r="C15" s="84"/>
      <c r="D15" s="84"/>
      <c r="E15" s="84" t="s">
        <v>704</v>
      </c>
      <c r="F15" s="85">
        <v>45050</v>
      </c>
      <c r="G15" s="84" t="s">
        <v>1935</v>
      </c>
      <c r="H15" s="84" t="s">
        <v>1942</v>
      </c>
      <c r="I15" s="84" t="s">
        <v>1949</v>
      </c>
      <c r="J15" s="84" t="s">
        <v>771</v>
      </c>
      <c r="K15" s="87">
        <v>56.16</v>
      </c>
    </row>
    <row r="16" spans="1:11" ht="14.6" x14ac:dyDescent="0.4">
      <c r="A16" s="84"/>
      <c r="B16" s="84"/>
      <c r="C16" s="84"/>
      <c r="D16" s="84"/>
      <c r="E16" s="84" t="s">
        <v>634</v>
      </c>
      <c r="F16" s="85">
        <v>45084</v>
      </c>
      <c r="G16" s="84" t="s">
        <v>789</v>
      </c>
      <c r="H16" s="84" t="s">
        <v>1943</v>
      </c>
      <c r="I16" s="84" t="s">
        <v>1950</v>
      </c>
      <c r="J16" s="84" t="s">
        <v>659</v>
      </c>
      <c r="K16" s="87">
        <v>1214.6400000000001</v>
      </c>
    </row>
    <row r="17" spans="1:11" ht="14.6" x14ac:dyDescent="0.4">
      <c r="A17" s="84"/>
      <c r="B17" s="84"/>
      <c r="C17" s="84"/>
      <c r="D17" s="84"/>
      <c r="E17" s="84" t="s">
        <v>634</v>
      </c>
      <c r="F17" s="85">
        <v>45085</v>
      </c>
      <c r="G17" s="84" t="s">
        <v>1936</v>
      </c>
      <c r="H17" s="84" t="s">
        <v>723</v>
      </c>
      <c r="I17" s="84" t="s">
        <v>1949</v>
      </c>
      <c r="J17" s="84" t="s">
        <v>659</v>
      </c>
      <c r="K17" s="87">
        <v>54</v>
      </c>
    </row>
    <row r="18" spans="1:11" ht="14.6" x14ac:dyDescent="0.4">
      <c r="A18" s="84"/>
      <c r="B18" s="84"/>
      <c r="C18" s="84"/>
      <c r="D18" s="84"/>
      <c r="E18" s="84" t="s">
        <v>704</v>
      </c>
      <c r="F18" s="85">
        <v>45090</v>
      </c>
      <c r="G18" s="84" t="s">
        <v>1043</v>
      </c>
      <c r="H18" s="84" t="s">
        <v>1044</v>
      </c>
      <c r="I18" s="84" t="s">
        <v>1951</v>
      </c>
      <c r="J18" s="84" t="s">
        <v>772</v>
      </c>
      <c r="K18" s="87">
        <v>70</v>
      </c>
    </row>
    <row r="19" spans="1:11" ht="14.6" x14ac:dyDescent="0.4">
      <c r="A19" s="84"/>
      <c r="B19" s="84"/>
      <c r="C19" s="84"/>
      <c r="D19" s="84"/>
      <c r="E19" s="84" t="s">
        <v>704</v>
      </c>
      <c r="F19" s="85">
        <v>45118</v>
      </c>
      <c r="G19" s="84" t="s">
        <v>1937</v>
      </c>
      <c r="H19" s="84" t="s">
        <v>722</v>
      </c>
      <c r="I19" s="84" t="s">
        <v>1949</v>
      </c>
      <c r="J19" s="84" t="s">
        <v>771</v>
      </c>
      <c r="K19" s="87">
        <v>13.28</v>
      </c>
    </row>
    <row r="20" spans="1:11" ht="14.6" x14ac:dyDescent="0.4">
      <c r="A20" s="84"/>
      <c r="B20" s="84"/>
      <c r="C20" s="84"/>
      <c r="D20" s="84"/>
      <c r="E20" s="84" t="s">
        <v>704</v>
      </c>
      <c r="F20" s="85">
        <v>45118</v>
      </c>
      <c r="G20" s="84" t="s">
        <v>1938</v>
      </c>
      <c r="H20" s="84" t="s">
        <v>1942</v>
      </c>
      <c r="I20" s="84" t="s">
        <v>1949</v>
      </c>
      <c r="J20" s="84" t="s">
        <v>771</v>
      </c>
      <c r="K20" s="87">
        <v>70.2</v>
      </c>
    </row>
    <row r="21" spans="1:11" ht="14.6" x14ac:dyDescent="0.4">
      <c r="A21" s="84"/>
      <c r="B21" s="84"/>
      <c r="C21" s="84"/>
      <c r="D21" s="84"/>
      <c r="E21" s="84" t="s">
        <v>704</v>
      </c>
      <c r="F21" s="85">
        <v>45140</v>
      </c>
      <c r="G21" s="84" t="s">
        <v>3147</v>
      </c>
      <c r="H21" s="84" t="s">
        <v>1942</v>
      </c>
      <c r="I21" s="84" t="s">
        <v>1949</v>
      </c>
      <c r="J21" s="84" t="s">
        <v>771</v>
      </c>
      <c r="K21" s="87">
        <v>50.96</v>
      </c>
    </row>
    <row r="22" spans="1:11" ht="14.6" x14ac:dyDescent="0.4">
      <c r="A22" s="84"/>
      <c r="B22" s="84"/>
      <c r="C22" s="84"/>
      <c r="D22" s="84"/>
      <c r="E22" s="84" t="s">
        <v>704</v>
      </c>
      <c r="F22" s="85">
        <v>45183</v>
      </c>
      <c r="G22" s="84" t="s">
        <v>3148</v>
      </c>
      <c r="H22" s="84" t="s">
        <v>1942</v>
      </c>
      <c r="I22" s="84" t="s">
        <v>3152</v>
      </c>
      <c r="J22" s="84" t="s">
        <v>771</v>
      </c>
      <c r="K22" s="87">
        <v>62.4</v>
      </c>
    </row>
    <row r="23" spans="1:11" ht="14.6" x14ac:dyDescent="0.4">
      <c r="A23" s="84"/>
      <c r="B23" s="84"/>
      <c r="C23" s="84"/>
      <c r="D23" s="84"/>
      <c r="E23" s="84" t="s">
        <v>704</v>
      </c>
      <c r="F23" s="85">
        <v>45209</v>
      </c>
      <c r="G23" s="84" t="s">
        <v>3149</v>
      </c>
      <c r="H23" s="84" t="s">
        <v>1044</v>
      </c>
      <c r="I23" s="84" t="s">
        <v>3151</v>
      </c>
      <c r="J23" s="84" t="s">
        <v>772</v>
      </c>
      <c r="K23" s="87">
        <v>67</v>
      </c>
    </row>
    <row r="24" spans="1:11" thickBot="1" x14ac:dyDescent="0.45">
      <c r="A24" s="84"/>
      <c r="B24" s="84"/>
      <c r="C24" s="84"/>
      <c r="D24" s="84"/>
      <c r="E24" s="84" t="s">
        <v>704</v>
      </c>
      <c r="F24" s="85">
        <v>45210</v>
      </c>
      <c r="G24" s="84" t="s">
        <v>3150</v>
      </c>
      <c r="H24" s="84" t="s">
        <v>1942</v>
      </c>
      <c r="I24" s="84" t="s">
        <v>3153</v>
      </c>
      <c r="J24" s="84" t="s">
        <v>771</v>
      </c>
      <c r="K24" s="413">
        <v>48.36</v>
      </c>
    </row>
    <row r="25" spans="1:11" ht="15" customHeight="1" thickBot="1" x14ac:dyDescent="0.45">
      <c r="A25" s="84"/>
      <c r="B25" s="84"/>
      <c r="C25" s="84" t="s">
        <v>840</v>
      </c>
      <c r="D25" s="84"/>
      <c r="E25" s="84"/>
      <c r="F25" s="85"/>
      <c r="G25" s="84"/>
      <c r="H25" s="84"/>
      <c r="I25" s="84"/>
      <c r="J25" s="84"/>
      <c r="K25" s="414">
        <f>ROUND(SUM(K3:K24),5)</f>
        <v>5738.07</v>
      </c>
    </row>
    <row r="26" spans="1:11" ht="15" customHeight="1" thickBot="1" x14ac:dyDescent="0.45">
      <c r="A26" s="84"/>
      <c r="B26" s="84" t="s">
        <v>703</v>
      </c>
      <c r="C26" s="84"/>
      <c r="D26" s="84"/>
      <c r="E26" s="84"/>
      <c r="F26" s="85"/>
      <c r="G26" s="84"/>
      <c r="H26" s="84"/>
      <c r="I26" s="84"/>
      <c r="J26" s="84"/>
      <c r="K26" s="414">
        <f>K25</f>
        <v>5738.07</v>
      </c>
    </row>
    <row r="27" spans="1:11" ht="15" customHeight="1" thickBot="1" x14ac:dyDescent="0.45">
      <c r="A27" s="84" t="s">
        <v>158</v>
      </c>
      <c r="B27" s="84"/>
      <c r="C27" s="84"/>
      <c r="D27" s="84"/>
      <c r="E27" s="84"/>
      <c r="F27" s="85"/>
      <c r="G27" s="84"/>
      <c r="H27" s="84"/>
      <c r="I27" s="84"/>
      <c r="J27" s="84"/>
      <c r="K27" s="415">
        <f>K26</f>
        <v>5738.07</v>
      </c>
    </row>
    <row r="28" spans="1:11" ht="15" customHeight="1" thickTop="1" x14ac:dyDescent="0.4"/>
  </sheetData>
  <pageMargins left="0.7" right="0.7" top="0.75" bottom="0.75" header="0.1" footer="0"/>
  <pageSetup orientation="landscape" r:id="rId1"/>
  <headerFooter>
    <oddHeader>&amp;L&amp;"Arial,Bold"&amp;8 4:37 PM
&amp;"Arial,Bold"&amp;8 01/24/24
&amp;"Arial,Bold"&amp;8 Accrual Basis&amp;C&amp;"Arial,Bold"&amp;12 Williamson Central Appraisal District
&amp;"Arial,Bold"&amp;14 Account QuickReport
&amp;"Arial,Bold"&amp;10 January through December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1264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12646" r:id="rId4" name="HEADER"/>
      </mc:Fallback>
    </mc:AlternateContent>
    <mc:AlternateContent xmlns:mc="http://schemas.openxmlformats.org/markup-compatibility/2006">
      <mc:Choice Requires="x14">
        <control shapeId="11264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12645" r:id="rId6" name="FILTER"/>
      </mc:Fallback>
    </mc:AlternateContent>
  </control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9"/>
  <dimension ref="A1:K81"/>
  <sheetViews>
    <sheetView workbookViewId="0">
      <pane xSplit="3" ySplit="1" topLeftCell="D2" activePane="bottomRight" state="frozenSplit"/>
      <selection pane="topRight" activeCell="D1" sqref="D1"/>
      <selection pane="bottomLeft" activeCell="A2" sqref="A2"/>
      <selection pane="bottomRight"/>
    </sheetView>
  </sheetViews>
  <sheetFormatPr defaultColWidth="14.3828125" defaultRowHeight="15" customHeight="1" x14ac:dyDescent="0.4"/>
  <cols>
    <col min="1" max="2" width="3" customWidth="1"/>
    <col min="3" max="3" width="25.3828125" customWidth="1"/>
    <col min="4" max="4" width="2.3046875" customWidth="1"/>
    <col min="5" max="5" width="17.69140625" bestFit="1" customWidth="1"/>
    <col min="6" max="6" width="10.69140625" bestFit="1" customWidth="1"/>
    <col min="7" max="7" width="15.69140625" bestFit="1" customWidth="1"/>
    <col min="8" max="8" width="28.84375" bestFit="1" customWidth="1"/>
    <col min="9" max="9" width="30.69140625" customWidth="1"/>
    <col min="10" max="10" width="27.3828125" bestFit="1" customWidth="1"/>
    <col min="11" max="11" width="10.15234375" bestFit="1" customWidth="1"/>
  </cols>
  <sheetData>
    <row r="1" spans="1:11" s="412" customFormat="1" thickBot="1" x14ac:dyDescent="0.45">
      <c r="A1" s="416"/>
      <c r="B1" s="416"/>
      <c r="C1" s="416"/>
      <c r="D1" s="416"/>
      <c r="E1" s="417" t="s">
        <v>623</v>
      </c>
      <c r="F1" s="417" t="s">
        <v>624</v>
      </c>
      <c r="G1" s="417" t="s">
        <v>625</v>
      </c>
      <c r="H1" s="417" t="s">
        <v>626</v>
      </c>
      <c r="I1" s="417" t="s">
        <v>627</v>
      </c>
      <c r="J1" s="417" t="s">
        <v>628</v>
      </c>
      <c r="K1" s="417" t="s">
        <v>629</v>
      </c>
    </row>
    <row r="2" spans="1:11" thickTop="1" x14ac:dyDescent="0.4">
      <c r="A2" s="84"/>
      <c r="B2" s="84" t="s">
        <v>700</v>
      </c>
      <c r="C2" s="84"/>
      <c r="D2" s="84"/>
      <c r="E2" s="84"/>
      <c r="F2" s="85"/>
      <c r="G2" s="84"/>
      <c r="H2" s="84"/>
      <c r="I2" s="84"/>
      <c r="J2" s="84"/>
      <c r="K2" s="87"/>
    </row>
    <row r="3" spans="1:11" ht="14.6" x14ac:dyDescent="0.4">
      <c r="A3" s="84"/>
      <c r="B3" s="84"/>
      <c r="C3" s="84" t="s">
        <v>845</v>
      </c>
      <c r="D3" s="84"/>
      <c r="E3" s="84"/>
      <c r="F3" s="85"/>
      <c r="G3" s="84"/>
      <c r="H3" s="84"/>
      <c r="I3" s="84"/>
      <c r="J3" s="84"/>
      <c r="K3" s="87"/>
    </row>
    <row r="4" spans="1:11" ht="14.6" x14ac:dyDescent="0.4">
      <c r="A4" s="84"/>
      <c r="B4" s="84"/>
      <c r="C4" s="84"/>
      <c r="D4" s="84"/>
      <c r="E4" s="84" t="s">
        <v>634</v>
      </c>
      <c r="F4" s="85">
        <v>44929</v>
      </c>
      <c r="G4" s="84" t="s">
        <v>847</v>
      </c>
      <c r="H4" s="84" t="s">
        <v>854</v>
      </c>
      <c r="I4" s="84" t="s">
        <v>861</v>
      </c>
      <c r="J4" s="84" t="s">
        <v>659</v>
      </c>
      <c r="K4" s="87">
        <v>36491.660000000003</v>
      </c>
    </row>
    <row r="5" spans="1:11" ht="14.6" x14ac:dyDescent="0.4">
      <c r="A5" s="84"/>
      <c r="B5" s="84"/>
      <c r="C5" s="84"/>
      <c r="D5" s="84"/>
      <c r="E5" s="84" t="s">
        <v>634</v>
      </c>
      <c r="F5" s="85">
        <v>44929</v>
      </c>
      <c r="G5" s="84" t="s">
        <v>848</v>
      </c>
      <c r="H5" s="84" t="s">
        <v>855</v>
      </c>
      <c r="I5" s="84" t="s">
        <v>862</v>
      </c>
      <c r="J5" s="84" t="s">
        <v>659</v>
      </c>
      <c r="K5" s="87">
        <v>1429.95</v>
      </c>
    </row>
    <row r="6" spans="1:11" ht="14.6" x14ac:dyDescent="0.4">
      <c r="A6" s="84"/>
      <c r="B6" s="84"/>
      <c r="C6" s="84"/>
      <c r="D6" s="84"/>
      <c r="E6" s="84" t="s">
        <v>634</v>
      </c>
      <c r="F6" s="85">
        <v>44929</v>
      </c>
      <c r="G6" s="84" t="s">
        <v>848</v>
      </c>
      <c r="H6" s="84" t="s">
        <v>855</v>
      </c>
      <c r="I6" s="84" t="s">
        <v>863</v>
      </c>
      <c r="J6" s="84" t="s">
        <v>659</v>
      </c>
      <c r="K6" s="87">
        <v>761.95</v>
      </c>
    </row>
    <row r="7" spans="1:11" ht="14.6" x14ac:dyDescent="0.4">
      <c r="A7" s="84"/>
      <c r="B7" s="84"/>
      <c r="C7" s="84"/>
      <c r="D7" s="84"/>
      <c r="E7" s="84" t="s">
        <v>634</v>
      </c>
      <c r="F7" s="85">
        <v>44929</v>
      </c>
      <c r="G7" s="84" t="s">
        <v>848</v>
      </c>
      <c r="H7" s="84" t="s">
        <v>855</v>
      </c>
      <c r="I7" s="84" t="s">
        <v>864</v>
      </c>
      <c r="J7" s="84" t="s">
        <v>659</v>
      </c>
      <c r="K7" s="87">
        <v>34.25</v>
      </c>
    </row>
    <row r="8" spans="1:11" ht="14.6" x14ac:dyDescent="0.4">
      <c r="A8" s="84"/>
      <c r="B8" s="84"/>
      <c r="C8" s="84"/>
      <c r="D8" s="84"/>
      <c r="E8" s="84" t="s">
        <v>634</v>
      </c>
      <c r="F8" s="85">
        <v>44933</v>
      </c>
      <c r="G8" s="84" t="s">
        <v>849</v>
      </c>
      <c r="H8" s="84" t="s">
        <v>856</v>
      </c>
      <c r="I8" s="84" t="s">
        <v>865</v>
      </c>
      <c r="J8" s="84" t="s">
        <v>659</v>
      </c>
      <c r="K8" s="87">
        <v>150</v>
      </c>
    </row>
    <row r="9" spans="1:11" ht="14.6" x14ac:dyDescent="0.4">
      <c r="A9" s="84"/>
      <c r="B9" s="84"/>
      <c r="C9" s="84"/>
      <c r="D9" s="84"/>
      <c r="E9" s="84" t="s">
        <v>704</v>
      </c>
      <c r="F9" s="85">
        <v>44935</v>
      </c>
      <c r="G9" s="84"/>
      <c r="H9" s="84" t="s">
        <v>857</v>
      </c>
      <c r="I9" s="84" t="s">
        <v>866</v>
      </c>
      <c r="J9" s="84" t="s">
        <v>771</v>
      </c>
      <c r="K9" s="87">
        <v>15.86</v>
      </c>
    </row>
    <row r="10" spans="1:11" ht="14.6" x14ac:dyDescent="0.4">
      <c r="A10" s="84"/>
      <c r="B10" s="84"/>
      <c r="C10" s="84"/>
      <c r="D10" s="84"/>
      <c r="E10" s="84" t="s">
        <v>634</v>
      </c>
      <c r="F10" s="85">
        <v>44942</v>
      </c>
      <c r="G10" s="84" t="s">
        <v>850</v>
      </c>
      <c r="H10" s="84" t="s">
        <v>858</v>
      </c>
      <c r="I10" s="84" t="s">
        <v>867</v>
      </c>
      <c r="J10" s="84" t="s">
        <v>659</v>
      </c>
      <c r="K10" s="87">
        <v>2875</v>
      </c>
    </row>
    <row r="11" spans="1:11" ht="14.6" x14ac:dyDescent="0.4">
      <c r="A11" s="84"/>
      <c r="B11" s="84"/>
      <c r="C11" s="84"/>
      <c r="D11" s="84"/>
      <c r="E11" s="84" t="s">
        <v>634</v>
      </c>
      <c r="F11" s="85">
        <v>44943</v>
      </c>
      <c r="G11" s="84" t="s">
        <v>851</v>
      </c>
      <c r="H11" s="84" t="s">
        <v>859</v>
      </c>
      <c r="I11" s="84" t="s">
        <v>868</v>
      </c>
      <c r="J11" s="84" t="s">
        <v>659</v>
      </c>
      <c r="K11" s="87">
        <v>5987.5</v>
      </c>
    </row>
    <row r="12" spans="1:11" ht="14.6" x14ac:dyDescent="0.4">
      <c r="A12" s="84"/>
      <c r="B12" s="84"/>
      <c r="C12" s="84"/>
      <c r="D12" s="84"/>
      <c r="E12" s="84" t="s">
        <v>634</v>
      </c>
      <c r="F12" s="85">
        <v>44943</v>
      </c>
      <c r="G12" s="84" t="s">
        <v>852</v>
      </c>
      <c r="H12" s="84" t="s">
        <v>860</v>
      </c>
      <c r="I12" s="84" t="s">
        <v>869</v>
      </c>
      <c r="J12" s="84" t="s">
        <v>659</v>
      </c>
      <c r="K12" s="87">
        <v>3359.38</v>
      </c>
    </row>
    <row r="13" spans="1:11" ht="14.6" x14ac:dyDescent="0.4">
      <c r="A13" s="84"/>
      <c r="B13" s="84"/>
      <c r="C13" s="84"/>
      <c r="D13" s="84"/>
      <c r="E13" s="84" t="s">
        <v>634</v>
      </c>
      <c r="F13" s="85">
        <v>44958</v>
      </c>
      <c r="G13" s="84" t="s">
        <v>853</v>
      </c>
      <c r="H13" s="84" t="s">
        <v>860</v>
      </c>
      <c r="I13" s="84" t="s">
        <v>869</v>
      </c>
      <c r="J13" s="84" t="s">
        <v>659</v>
      </c>
      <c r="K13" s="87">
        <v>3359.38</v>
      </c>
    </row>
    <row r="14" spans="1:11" ht="14.6" x14ac:dyDescent="0.4">
      <c r="A14" s="84"/>
      <c r="B14" s="84"/>
      <c r="C14" s="84"/>
      <c r="D14" s="84"/>
      <c r="E14" s="84" t="s">
        <v>704</v>
      </c>
      <c r="F14" s="85">
        <v>44964</v>
      </c>
      <c r="G14" s="84" t="s">
        <v>1050</v>
      </c>
      <c r="H14" s="84" t="s">
        <v>1055</v>
      </c>
      <c r="I14" s="84" t="s">
        <v>1059</v>
      </c>
      <c r="J14" s="84" t="s">
        <v>771</v>
      </c>
      <c r="K14" s="87">
        <v>250</v>
      </c>
    </row>
    <row r="15" spans="1:11" ht="14.6" x14ac:dyDescent="0.4">
      <c r="A15" s="84"/>
      <c r="B15" s="84"/>
      <c r="C15" s="84"/>
      <c r="D15" s="84"/>
      <c r="E15" s="84" t="s">
        <v>704</v>
      </c>
      <c r="F15" s="85">
        <v>44964</v>
      </c>
      <c r="G15" s="84" t="s">
        <v>1050</v>
      </c>
      <c r="H15" s="84" t="s">
        <v>1055</v>
      </c>
      <c r="I15" s="84" t="s">
        <v>1060</v>
      </c>
      <c r="J15" s="84" t="s">
        <v>771</v>
      </c>
      <c r="K15" s="87">
        <v>150</v>
      </c>
    </row>
    <row r="16" spans="1:11" ht="14.6" x14ac:dyDescent="0.4">
      <c r="A16" s="84"/>
      <c r="B16" s="84"/>
      <c r="C16" s="84"/>
      <c r="D16" s="84"/>
      <c r="E16" s="84" t="s">
        <v>704</v>
      </c>
      <c r="F16" s="85">
        <v>44964</v>
      </c>
      <c r="G16" s="84" t="s">
        <v>1051</v>
      </c>
      <c r="H16" s="84" t="s">
        <v>1056</v>
      </c>
      <c r="I16" s="84" t="s">
        <v>1061</v>
      </c>
      <c r="J16" s="84" t="s">
        <v>771</v>
      </c>
      <c r="K16" s="87">
        <v>649</v>
      </c>
    </row>
    <row r="17" spans="1:11" ht="14.6" x14ac:dyDescent="0.4">
      <c r="A17" s="84"/>
      <c r="B17" s="84"/>
      <c r="C17" s="84"/>
      <c r="D17" s="84"/>
      <c r="E17" s="84" t="s">
        <v>704</v>
      </c>
      <c r="F17" s="85">
        <v>44964</v>
      </c>
      <c r="G17" s="84" t="s">
        <v>1052</v>
      </c>
      <c r="H17" s="84" t="s">
        <v>1057</v>
      </c>
      <c r="I17" s="84" t="s">
        <v>1062</v>
      </c>
      <c r="J17" s="84" t="s">
        <v>771</v>
      </c>
      <c r="K17" s="87">
        <v>207.9</v>
      </c>
    </row>
    <row r="18" spans="1:11" ht="14.6" x14ac:dyDescent="0.4">
      <c r="A18" s="84"/>
      <c r="B18" s="84"/>
      <c r="C18" s="84"/>
      <c r="D18" s="84"/>
      <c r="E18" s="84" t="s">
        <v>704</v>
      </c>
      <c r="F18" s="85">
        <v>44964</v>
      </c>
      <c r="G18" s="84" t="s">
        <v>1053</v>
      </c>
      <c r="H18" s="84" t="s">
        <v>1058</v>
      </c>
      <c r="I18" s="84" t="s">
        <v>1063</v>
      </c>
      <c r="J18" s="84" t="s">
        <v>771</v>
      </c>
      <c r="K18" s="87">
        <v>249</v>
      </c>
    </row>
    <row r="19" spans="1:11" ht="14.6" x14ac:dyDescent="0.4">
      <c r="A19" s="84"/>
      <c r="B19" s="84"/>
      <c r="C19" s="84"/>
      <c r="D19" s="84"/>
      <c r="E19" s="84" t="s">
        <v>704</v>
      </c>
      <c r="F19" s="85">
        <v>44964</v>
      </c>
      <c r="G19" s="84" t="s">
        <v>1952</v>
      </c>
      <c r="H19" s="84" t="s">
        <v>856</v>
      </c>
      <c r="I19" s="84" t="s">
        <v>865</v>
      </c>
      <c r="J19" s="84" t="s">
        <v>771</v>
      </c>
      <c r="K19" s="87">
        <v>237.5</v>
      </c>
    </row>
    <row r="20" spans="1:11" ht="14.6" x14ac:dyDescent="0.4">
      <c r="A20" s="84"/>
      <c r="B20" s="84"/>
      <c r="C20" s="84"/>
      <c r="D20" s="84"/>
      <c r="E20" s="84" t="s">
        <v>704</v>
      </c>
      <c r="F20" s="85">
        <v>44966</v>
      </c>
      <c r="G20" s="84"/>
      <c r="H20" s="84" t="s">
        <v>857</v>
      </c>
      <c r="I20" s="84" t="s">
        <v>866</v>
      </c>
      <c r="J20" s="84" t="s">
        <v>771</v>
      </c>
      <c r="K20" s="87">
        <v>15.86</v>
      </c>
    </row>
    <row r="21" spans="1:11" ht="14.6" x14ac:dyDescent="0.4">
      <c r="A21" s="84"/>
      <c r="B21" s="84"/>
      <c r="C21" s="84"/>
      <c r="D21" s="84"/>
      <c r="E21" s="84" t="s">
        <v>634</v>
      </c>
      <c r="F21" s="85">
        <v>44970</v>
      </c>
      <c r="G21" s="84" t="s">
        <v>1054</v>
      </c>
      <c r="H21" s="84" t="s">
        <v>391</v>
      </c>
      <c r="I21" s="84" t="s">
        <v>1064</v>
      </c>
      <c r="J21" s="84" t="s">
        <v>659</v>
      </c>
      <c r="K21" s="87">
        <v>199</v>
      </c>
    </row>
    <row r="22" spans="1:11" ht="14.6" x14ac:dyDescent="0.4">
      <c r="A22" s="84"/>
      <c r="B22" s="84"/>
      <c r="C22" s="84"/>
      <c r="D22" s="84"/>
      <c r="E22" s="84" t="s">
        <v>634</v>
      </c>
      <c r="F22" s="85">
        <v>44972</v>
      </c>
      <c r="G22" s="84" t="s">
        <v>1953</v>
      </c>
      <c r="H22" s="84" t="s">
        <v>1972</v>
      </c>
      <c r="I22" s="84" t="s">
        <v>1979</v>
      </c>
      <c r="J22" s="84" t="s">
        <v>659</v>
      </c>
      <c r="K22" s="87">
        <v>79.95</v>
      </c>
    </row>
    <row r="23" spans="1:11" ht="14.6" x14ac:dyDescent="0.4">
      <c r="A23" s="84"/>
      <c r="B23" s="84"/>
      <c r="C23" s="84"/>
      <c r="D23" s="84"/>
      <c r="E23" s="84" t="s">
        <v>634</v>
      </c>
      <c r="F23" s="85">
        <v>44988</v>
      </c>
      <c r="G23" s="84" t="s">
        <v>1954</v>
      </c>
      <c r="H23" s="84" t="s">
        <v>860</v>
      </c>
      <c r="I23" s="84" t="s">
        <v>869</v>
      </c>
      <c r="J23" s="84" t="s">
        <v>659</v>
      </c>
      <c r="K23" s="87">
        <v>3359.38</v>
      </c>
    </row>
    <row r="24" spans="1:11" ht="14.6" x14ac:dyDescent="0.4">
      <c r="A24" s="84"/>
      <c r="B24" s="84"/>
      <c r="C24" s="84"/>
      <c r="D24" s="84"/>
      <c r="E24" s="84" t="s">
        <v>704</v>
      </c>
      <c r="F24" s="85">
        <v>44991</v>
      </c>
      <c r="G24" s="84" t="s">
        <v>1955</v>
      </c>
      <c r="H24" s="84" t="s">
        <v>1973</v>
      </c>
      <c r="I24" s="84" t="s">
        <v>1986</v>
      </c>
      <c r="J24" s="84" t="s">
        <v>771</v>
      </c>
      <c r="K24" s="87">
        <v>383.76</v>
      </c>
    </row>
    <row r="25" spans="1:11" ht="14.6" x14ac:dyDescent="0.4">
      <c r="A25" s="84"/>
      <c r="B25" s="84"/>
      <c r="C25" s="84"/>
      <c r="D25" s="84"/>
      <c r="E25" s="84" t="s">
        <v>634</v>
      </c>
      <c r="F25" s="85">
        <v>44992</v>
      </c>
      <c r="G25" s="84" t="s">
        <v>1956</v>
      </c>
      <c r="H25" s="84" t="s">
        <v>856</v>
      </c>
      <c r="I25" s="84" t="s">
        <v>865</v>
      </c>
      <c r="J25" s="84" t="s">
        <v>659</v>
      </c>
      <c r="K25" s="87">
        <v>237.5</v>
      </c>
    </row>
    <row r="26" spans="1:11" ht="14.6" x14ac:dyDescent="0.4">
      <c r="A26" s="84"/>
      <c r="B26" s="84"/>
      <c r="C26" s="84"/>
      <c r="D26" s="84"/>
      <c r="E26" s="84" t="s">
        <v>704</v>
      </c>
      <c r="F26" s="85">
        <v>44994</v>
      </c>
      <c r="G26" s="84"/>
      <c r="H26" s="84" t="s">
        <v>857</v>
      </c>
      <c r="I26" s="84" t="s">
        <v>866</v>
      </c>
      <c r="J26" s="84" t="s">
        <v>771</v>
      </c>
      <c r="K26" s="87">
        <v>14.99</v>
      </c>
    </row>
    <row r="27" spans="1:11" ht="14.6" x14ac:dyDescent="0.4">
      <c r="A27" s="84"/>
      <c r="B27" s="84"/>
      <c r="C27" s="84"/>
      <c r="D27" s="84"/>
      <c r="E27" s="84" t="s">
        <v>634</v>
      </c>
      <c r="F27" s="85">
        <v>45002</v>
      </c>
      <c r="G27" s="84" t="s">
        <v>1957</v>
      </c>
      <c r="H27" s="84" t="s">
        <v>1974</v>
      </c>
      <c r="I27" s="84" t="s">
        <v>1980</v>
      </c>
      <c r="J27" s="84" t="s">
        <v>659</v>
      </c>
      <c r="K27" s="87">
        <v>2250</v>
      </c>
    </row>
    <row r="28" spans="1:11" ht="14.6" x14ac:dyDescent="0.4">
      <c r="A28" s="84"/>
      <c r="B28" s="84"/>
      <c r="C28" s="84"/>
      <c r="D28" s="84"/>
      <c r="E28" s="84" t="s">
        <v>634</v>
      </c>
      <c r="F28" s="85">
        <v>45010</v>
      </c>
      <c r="G28" s="84" t="s">
        <v>1958</v>
      </c>
      <c r="H28" s="84" t="s">
        <v>1975</v>
      </c>
      <c r="I28" s="84" t="s">
        <v>1981</v>
      </c>
      <c r="J28" s="84" t="s">
        <v>659</v>
      </c>
      <c r="K28" s="87">
        <v>4900</v>
      </c>
    </row>
    <row r="29" spans="1:11" ht="14.6" x14ac:dyDescent="0.4">
      <c r="A29" s="84"/>
      <c r="B29" s="84"/>
      <c r="C29" s="84"/>
      <c r="D29" s="84"/>
      <c r="E29" s="84" t="s">
        <v>704</v>
      </c>
      <c r="F29" s="85">
        <v>45013</v>
      </c>
      <c r="G29" s="84" t="s">
        <v>1959</v>
      </c>
      <c r="H29" s="84" t="s">
        <v>1976</v>
      </c>
      <c r="I29" s="84" t="s">
        <v>1982</v>
      </c>
      <c r="J29" s="84" t="s">
        <v>771</v>
      </c>
      <c r="K29" s="87">
        <v>495</v>
      </c>
    </row>
    <row r="30" spans="1:11" ht="14.6" x14ac:dyDescent="0.4">
      <c r="A30" s="84"/>
      <c r="B30" s="84"/>
      <c r="C30" s="84"/>
      <c r="D30" s="84"/>
      <c r="E30" s="84" t="s">
        <v>634</v>
      </c>
      <c r="F30" s="85">
        <v>45021</v>
      </c>
      <c r="G30" s="84" t="s">
        <v>1960</v>
      </c>
      <c r="H30" s="84" t="s">
        <v>860</v>
      </c>
      <c r="I30" s="84" t="s">
        <v>869</v>
      </c>
      <c r="J30" s="84" t="s">
        <v>659</v>
      </c>
      <c r="K30" s="87">
        <v>3359.38</v>
      </c>
    </row>
    <row r="31" spans="1:11" ht="14.6" x14ac:dyDescent="0.4">
      <c r="A31" s="84"/>
      <c r="B31" s="84"/>
      <c r="C31" s="84"/>
      <c r="D31" s="84"/>
      <c r="E31" s="84" t="s">
        <v>634</v>
      </c>
      <c r="F31" s="85">
        <v>45023</v>
      </c>
      <c r="G31" s="84" t="s">
        <v>1961</v>
      </c>
      <c r="H31" s="84" t="s">
        <v>856</v>
      </c>
      <c r="I31" s="84" t="s">
        <v>865</v>
      </c>
      <c r="J31" s="84" t="s">
        <v>659</v>
      </c>
      <c r="K31" s="87">
        <v>237.5</v>
      </c>
    </row>
    <row r="32" spans="1:11" ht="14.6" x14ac:dyDescent="0.4">
      <c r="A32" s="84"/>
      <c r="B32" s="84"/>
      <c r="C32" s="84"/>
      <c r="D32" s="84"/>
      <c r="E32" s="84" t="s">
        <v>704</v>
      </c>
      <c r="F32" s="85">
        <v>45025</v>
      </c>
      <c r="G32" s="84"/>
      <c r="H32" s="84" t="s">
        <v>857</v>
      </c>
      <c r="I32" s="84" t="s">
        <v>866</v>
      </c>
      <c r="J32" s="84" t="s">
        <v>771</v>
      </c>
      <c r="K32" s="87">
        <v>14.99</v>
      </c>
    </row>
    <row r="33" spans="1:11" ht="14.6" x14ac:dyDescent="0.4">
      <c r="A33" s="84"/>
      <c r="B33" s="84"/>
      <c r="C33" s="84"/>
      <c r="D33" s="84"/>
      <c r="E33" s="84" t="s">
        <v>634</v>
      </c>
      <c r="F33" s="85">
        <v>45028</v>
      </c>
      <c r="G33" s="84" t="s">
        <v>1962</v>
      </c>
      <c r="H33" s="84" t="s">
        <v>1977</v>
      </c>
      <c r="I33" s="84" t="s">
        <v>1983</v>
      </c>
      <c r="J33" s="84" t="s">
        <v>659</v>
      </c>
      <c r="K33" s="87">
        <v>80</v>
      </c>
    </row>
    <row r="34" spans="1:11" ht="14.6" x14ac:dyDescent="0.4">
      <c r="A34" s="84"/>
      <c r="B34" s="84"/>
      <c r="C34" s="84"/>
      <c r="D34" s="84"/>
      <c r="E34" s="84" t="s">
        <v>634</v>
      </c>
      <c r="F34" s="85">
        <v>45049</v>
      </c>
      <c r="G34" s="84" t="s">
        <v>1963</v>
      </c>
      <c r="H34" s="84" t="s">
        <v>860</v>
      </c>
      <c r="I34" s="84" t="s">
        <v>869</v>
      </c>
      <c r="J34" s="84" t="s">
        <v>659</v>
      </c>
      <c r="K34" s="87">
        <v>3359.38</v>
      </c>
    </row>
    <row r="35" spans="1:11" ht="14.6" x14ac:dyDescent="0.4">
      <c r="A35" s="84"/>
      <c r="B35" s="84"/>
      <c r="C35" s="84"/>
      <c r="D35" s="84"/>
      <c r="E35" s="84" t="s">
        <v>634</v>
      </c>
      <c r="F35" s="85">
        <v>45049</v>
      </c>
      <c r="G35" s="84" t="s">
        <v>1964</v>
      </c>
      <c r="H35" s="84" t="s">
        <v>1978</v>
      </c>
      <c r="I35" s="84" t="s">
        <v>1984</v>
      </c>
      <c r="J35" s="84" t="s">
        <v>659</v>
      </c>
      <c r="K35" s="87">
        <v>409.5</v>
      </c>
    </row>
    <row r="36" spans="1:11" ht="14.6" x14ac:dyDescent="0.4">
      <c r="A36" s="84"/>
      <c r="B36" s="84"/>
      <c r="C36" s="84"/>
      <c r="D36" s="84"/>
      <c r="E36" s="84" t="s">
        <v>634</v>
      </c>
      <c r="F36" s="85">
        <v>45053</v>
      </c>
      <c r="G36" s="84" t="s">
        <v>1965</v>
      </c>
      <c r="H36" s="84" t="s">
        <v>856</v>
      </c>
      <c r="I36" s="84" t="s">
        <v>865</v>
      </c>
      <c r="J36" s="84" t="s">
        <v>659</v>
      </c>
      <c r="K36" s="87">
        <v>237.5</v>
      </c>
    </row>
    <row r="37" spans="1:11" ht="14.6" x14ac:dyDescent="0.4">
      <c r="A37" s="84"/>
      <c r="B37" s="84"/>
      <c r="C37" s="84"/>
      <c r="D37" s="84"/>
      <c r="E37" s="84" t="s">
        <v>704</v>
      </c>
      <c r="F37" s="85">
        <v>45055</v>
      </c>
      <c r="G37" s="84"/>
      <c r="H37" s="84" t="s">
        <v>857</v>
      </c>
      <c r="I37" s="84" t="s">
        <v>866</v>
      </c>
      <c r="J37" s="84" t="s">
        <v>771</v>
      </c>
      <c r="K37" s="87">
        <v>14.99</v>
      </c>
    </row>
    <row r="38" spans="1:11" ht="14.6" x14ac:dyDescent="0.4">
      <c r="A38" s="84"/>
      <c r="B38" s="84"/>
      <c r="C38" s="84"/>
      <c r="D38" s="84"/>
      <c r="E38" s="84" t="s">
        <v>634</v>
      </c>
      <c r="F38" s="85">
        <v>45082</v>
      </c>
      <c r="G38" s="84" t="s">
        <v>1966</v>
      </c>
      <c r="H38" s="84" t="s">
        <v>860</v>
      </c>
      <c r="I38" s="84" t="s">
        <v>869</v>
      </c>
      <c r="J38" s="84" t="s">
        <v>659</v>
      </c>
      <c r="K38" s="87">
        <v>3359.38</v>
      </c>
    </row>
    <row r="39" spans="1:11" ht="14.6" x14ac:dyDescent="0.4">
      <c r="A39" s="84"/>
      <c r="B39" s="84"/>
      <c r="C39" s="84"/>
      <c r="D39" s="84"/>
      <c r="E39" s="84" t="s">
        <v>634</v>
      </c>
      <c r="F39" s="85">
        <v>45084</v>
      </c>
      <c r="G39" s="84" t="s">
        <v>1967</v>
      </c>
      <c r="H39" s="84" t="s">
        <v>856</v>
      </c>
      <c r="I39" s="84" t="s">
        <v>865</v>
      </c>
      <c r="J39" s="84" t="s">
        <v>659</v>
      </c>
      <c r="K39" s="87">
        <v>237.5</v>
      </c>
    </row>
    <row r="40" spans="1:11" ht="14.6" x14ac:dyDescent="0.4">
      <c r="A40" s="84"/>
      <c r="B40" s="84"/>
      <c r="C40" s="84"/>
      <c r="D40" s="84"/>
      <c r="E40" s="84" t="s">
        <v>704</v>
      </c>
      <c r="F40" s="85">
        <v>45086</v>
      </c>
      <c r="G40" s="84"/>
      <c r="H40" s="84" t="s">
        <v>857</v>
      </c>
      <c r="I40" s="84" t="s">
        <v>866</v>
      </c>
      <c r="J40" s="84" t="s">
        <v>771</v>
      </c>
      <c r="K40" s="87">
        <v>14.99</v>
      </c>
    </row>
    <row r="41" spans="1:11" ht="14.6" x14ac:dyDescent="0.4">
      <c r="A41" s="84"/>
      <c r="B41" s="84"/>
      <c r="C41" s="84"/>
      <c r="D41" s="84"/>
      <c r="E41" s="84" t="s">
        <v>634</v>
      </c>
      <c r="F41" s="85">
        <v>45097</v>
      </c>
      <c r="G41" s="84" t="s">
        <v>1968</v>
      </c>
      <c r="H41" s="84" t="s">
        <v>855</v>
      </c>
      <c r="I41" s="84" t="s">
        <v>862</v>
      </c>
      <c r="J41" s="84" t="s">
        <v>659</v>
      </c>
      <c r="K41" s="87">
        <v>2859.9</v>
      </c>
    </row>
    <row r="42" spans="1:11" ht="14.6" x14ac:dyDescent="0.4">
      <c r="A42" s="84"/>
      <c r="B42" s="84"/>
      <c r="C42" s="84"/>
      <c r="D42" s="84"/>
      <c r="E42" s="84" t="s">
        <v>634</v>
      </c>
      <c r="F42" s="85">
        <v>45097</v>
      </c>
      <c r="G42" s="84" t="s">
        <v>1968</v>
      </c>
      <c r="H42" s="84" t="s">
        <v>855</v>
      </c>
      <c r="I42" s="84" t="s">
        <v>864</v>
      </c>
      <c r="J42" s="84" t="s">
        <v>659</v>
      </c>
      <c r="K42" s="87">
        <v>20</v>
      </c>
    </row>
    <row r="43" spans="1:11" ht="14.6" x14ac:dyDescent="0.4">
      <c r="A43" s="84"/>
      <c r="B43" s="84"/>
      <c r="C43" s="84"/>
      <c r="D43" s="84"/>
      <c r="E43" s="84" t="s">
        <v>704</v>
      </c>
      <c r="F43" s="85">
        <v>45104</v>
      </c>
      <c r="G43" s="84" t="s">
        <v>1969</v>
      </c>
      <c r="H43" s="84" t="s">
        <v>647</v>
      </c>
      <c r="I43" s="84" t="s">
        <v>1985</v>
      </c>
      <c r="J43" s="84" t="s">
        <v>772</v>
      </c>
      <c r="K43" s="87">
        <v>32.9</v>
      </c>
    </row>
    <row r="44" spans="1:11" ht="14.6" x14ac:dyDescent="0.4">
      <c r="A44" s="84"/>
      <c r="B44" s="84"/>
      <c r="C44" s="84"/>
      <c r="D44" s="84"/>
      <c r="E44" s="84" t="s">
        <v>634</v>
      </c>
      <c r="F44" s="85">
        <v>45113</v>
      </c>
      <c r="G44" s="84" t="s">
        <v>1970</v>
      </c>
      <c r="H44" s="84" t="s">
        <v>860</v>
      </c>
      <c r="I44" s="84" t="s">
        <v>869</v>
      </c>
      <c r="J44" s="84" t="s">
        <v>659</v>
      </c>
      <c r="K44" s="87">
        <v>3359.38</v>
      </c>
    </row>
    <row r="45" spans="1:11" ht="14.6" x14ac:dyDescent="0.4">
      <c r="A45" s="84"/>
      <c r="B45" s="84"/>
      <c r="C45" s="84"/>
      <c r="D45" s="84"/>
      <c r="E45" s="84" t="s">
        <v>634</v>
      </c>
      <c r="F45" s="85">
        <v>45114</v>
      </c>
      <c r="G45" s="84" t="s">
        <v>1971</v>
      </c>
      <c r="H45" s="84" t="s">
        <v>856</v>
      </c>
      <c r="I45" s="84" t="s">
        <v>865</v>
      </c>
      <c r="J45" s="84" t="s">
        <v>659</v>
      </c>
      <c r="K45" s="87">
        <v>237.5</v>
      </c>
    </row>
    <row r="46" spans="1:11" ht="14.6" x14ac:dyDescent="0.4">
      <c r="A46" s="84"/>
      <c r="B46" s="84"/>
      <c r="C46" s="84"/>
      <c r="D46" s="84"/>
      <c r="E46" s="84" t="s">
        <v>704</v>
      </c>
      <c r="F46" s="85">
        <v>45116</v>
      </c>
      <c r="G46" s="84"/>
      <c r="H46" s="84" t="s">
        <v>857</v>
      </c>
      <c r="I46" s="84" t="s">
        <v>866</v>
      </c>
      <c r="J46" s="84" t="s">
        <v>771</v>
      </c>
      <c r="K46" s="87">
        <v>14.99</v>
      </c>
    </row>
    <row r="47" spans="1:11" ht="14.6" x14ac:dyDescent="0.4">
      <c r="A47" s="84"/>
      <c r="B47" s="84"/>
      <c r="C47" s="84"/>
      <c r="D47" s="84"/>
      <c r="E47" s="84" t="s">
        <v>634</v>
      </c>
      <c r="F47" s="85">
        <v>45141</v>
      </c>
      <c r="G47" s="84" t="s">
        <v>3154</v>
      </c>
      <c r="H47" s="84" t="s">
        <v>860</v>
      </c>
      <c r="I47" s="84" t="s">
        <v>869</v>
      </c>
      <c r="J47" s="84" t="s">
        <v>659</v>
      </c>
      <c r="K47" s="87">
        <v>3359.38</v>
      </c>
    </row>
    <row r="48" spans="1:11" ht="14.6" x14ac:dyDescent="0.4">
      <c r="A48" s="84"/>
      <c r="B48" s="84"/>
      <c r="C48" s="84"/>
      <c r="D48" s="84"/>
      <c r="E48" s="84" t="s">
        <v>634</v>
      </c>
      <c r="F48" s="85">
        <v>45145</v>
      </c>
      <c r="G48" s="84" t="s">
        <v>3155</v>
      </c>
      <c r="H48" s="84" t="s">
        <v>856</v>
      </c>
      <c r="I48" s="84" t="s">
        <v>865</v>
      </c>
      <c r="J48" s="84" t="s">
        <v>659</v>
      </c>
      <c r="K48" s="87">
        <v>237.5</v>
      </c>
    </row>
    <row r="49" spans="1:11" ht="14.6" x14ac:dyDescent="0.4">
      <c r="A49" s="84"/>
      <c r="B49" s="84"/>
      <c r="C49" s="84"/>
      <c r="D49" s="84"/>
      <c r="E49" s="84" t="s">
        <v>634</v>
      </c>
      <c r="F49" s="85">
        <v>45146</v>
      </c>
      <c r="G49" s="84" t="s">
        <v>3156</v>
      </c>
      <c r="H49" s="84" t="s">
        <v>855</v>
      </c>
      <c r="I49" s="84" t="s">
        <v>3175</v>
      </c>
      <c r="J49" s="84" t="s">
        <v>659</v>
      </c>
      <c r="K49" s="87">
        <v>1237.95</v>
      </c>
    </row>
    <row r="50" spans="1:11" ht="14.6" x14ac:dyDescent="0.4">
      <c r="A50" s="84"/>
      <c r="B50" s="84"/>
      <c r="C50" s="84"/>
      <c r="D50" s="84"/>
      <c r="E50" s="84" t="s">
        <v>634</v>
      </c>
      <c r="F50" s="85">
        <v>45146</v>
      </c>
      <c r="G50" s="84" t="s">
        <v>3156</v>
      </c>
      <c r="H50" s="84" t="s">
        <v>855</v>
      </c>
      <c r="I50" s="84" t="s">
        <v>864</v>
      </c>
      <c r="J50" s="84" t="s">
        <v>659</v>
      </c>
      <c r="K50" s="87">
        <v>10</v>
      </c>
    </row>
    <row r="51" spans="1:11" ht="14.6" x14ac:dyDescent="0.4">
      <c r="A51" s="84"/>
      <c r="B51" s="84"/>
      <c r="C51" s="84"/>
      <c r="D51" s="84"/>
      <c r="E51" s="84" t="s">
        <v>704</v>
      </c>
      <c r="F51" s="85">
        <v>45147</v>
      </c>
      <c r="G51" s="84"/>
      <c r="H51" s="84" t="s">
        <v>857</v>
      </c>
      <c r="I51" s="84" t="s">
        <v>866</v>
      </c>
      <c r="J51" s="84" t="s">
        <v>771</v>
      </c>
      <c r="K51" s="87">
        <v>15.8</v>
      </c>
    </row>
    <row r="52" spans="1:11" ht="14.6" x14ac:dyDescent="0.4">
      <c r="A52" s="84"/>
      <c r="B52" s="84"/>
      <c r="C52" s="84"/>
      <c r="D52" s="84"/>
      <c r="E52" s="84" t="s">
        <v>634</v>
      </c>
      <c r="F52" s="85">
        <v>45169</v>
      </c>
      <c r="G52" s="84" t="s">
        <v>3157</v>
      </c>
      <c r="H52" s="84" t="s">
        <v>1978</v>
      </c>
      <c r="I52" s="84" t="s">
        <v>3176</v>
      </c>
      <c r="J52" s="84" t="s">
        <v>659</v>
      </c>
      <c r="K52" s="87">
        <v>409.5</v>
      </c>
    </row>
    <row r="53" spans="1:11" ht="14.6" x14ac:dyDescent="0.4">
      <c r="A53" s="84"/>
      <c r="B53" s="84"/>
      <c r="C53" s="84"/>
      <c r="D53" s="84"/>
      <c r="E53" s="84" t="s">
        <v>634</v>
      </c>
      <c r="F53" s="85">
        <v>45175</v>
      </c>
      <c r="G53" s="84" t="s">
        <v>3158</v>
      </c>
      <c r="H53" s="84" t="s">
        <v>860</v>
      </c>
      <c r="I53" s="84" t="s">
        <v>869</v>
      </c>
      <c r="J53" s="84" t="s">
        <v>659</v>
      </c>
      <c r="K53" s="87">
        <v>3359.38</v>
      </c>
    </row>
    <row r="54" spans="1:11" ht="14.6" x14ac:dyDescent="0.4">
      <c r="A54" s="84"/>
      <c r="B54" s="84"/>
      <c r="C54" s="84"/>
      <c r="D54" s="84"/>
      <c r="E54" s="84" t="s">
        <v>634</v>
      </c>
      <c r="F54" s="85">
        <v>45176</v>
      </c>
      <c r="G54" s="84" t="s">
        <v>3159</v>
      </c>
      <c r="H54" s="84" t="s">
        <v>856</v>
      </c>
      <c r="I54" s="84" t="s">
        <v>865</v>
      </c>
      <c r="J54" s="84" t="s">
        <v>659</v>
      </c>
      <c r="K54" s="87">
        <v>237.5</v>
      </c>
    </row>
    <row r="55" spans="1:11" ht="14.6" x14ac:dyDescent="0.4">
      <c r="A55" s="84"/>
      <c r="B55" s="84"/>
      <c r="C55" s="84"/>
      <c r="D55" s="84"/>
      <c r="E55" s="84" t="s">
        <v>704</v>
      </c>
      <c r="F55" s="85">
        <v>45178</v>
      </c>
      <c r="G55" s="84"/>
      <c r="H55" s="84" t="s">
        <v>857</v>
      </c>
      <c r="I55" s="84" t="s">
        <v>866</v>
      </c>
      <c r="J55" s="84" t="s">
        <v>771</v>
      </c>
      <c r="K55" s="87">
        <v>15.8</v>
      </c>
    </row>
    <row r="56" spans="1:11" ht="14.6" x14ac:dyDescent="0.4">
      <c r="A56" s="84"/>
      <c r="B56" s="84"/>
      <c r="C56" s="84"/>
      <c r="D56" s="84"/>
      <c r="E56" s="84" t="s">
        <v>634</v>
      </c>
      <c r="F56" s="85">
        <v>45203</v>
      </c>
      <c r="G56" s="84" t="s">
        <v>3160</v>
      </c>
      <c r="H56" s="84" t="s">
        <v>860</v>
      </c>
      <c r="I56" s="84" t="s">
        <v>869</v>
      </c>
      <c r="J56" s="84" t="s">
        <v>659</v>
      </c>
      <c r="K56" s="87">
        <v>3527.35</v>
      </c>
    </row>
    <row r="57" spans="1:11" ht="14.6" x14ac:dyDescent="0.4">
      <c r="A57" s="84"/>
      <c r="B57" s="84"/>
      <c r="C57" s="84"/>
      <c r="D57" s="84"/>
      <c r="E57" s="84" t="s">
        <v>634</v>
      </c>
      <c r="F57" s="85">
        <v>45206</v>
      </c>
      <c r="G57" s="84" t="s">
        <v>3161</v>
      </c>
      <c r="H57" s="84" t="s">
        <v>856</v>
      </c>
      <c r="I57" s="84" t="s">
        <v>865</v>
      </c>
      <c r="J57" s="84" t="s">
        <v>659</v>
      </c>
      <c r="K57" s="87">
        <v>237.5</v>
      </c>
    </row>
    <row r="58" spans="1:11" ht="14.6" x14ac:dyDescent="0.4">
      <c r="A58" s="84"/>
      <c r="B58" s="84"/>
      <c r="C58" s="84"/>
      <c r="D58" s="84"/>
      <c r="E58" s="84" t="s">
        <v>704</v>
      </c>
      <c r="F58" s="85">
        <v>45208</v>
      </c>
      <c r="G58" s="84"/>
      <c r="H58" s="84" t="s">
        <v>857</v>
      </c>
      <c r="I58" s="84" t="s">
        <v>866</v>
      </c>
      <c r="J58" s="84" t="s">
        <v>771</v>
      </c>
      <c r="K58" s="87">
        <v>15.8</v>
      </c>
    </row>
    <row r="59" spans="1:11" ht="14.6" x14ac:dyDescent="0.4">
      <c r="A59" s="84"/>
      <c r="B59" s="84"/>
      <c r="C59" s="84"/>
      <c r="D59" s="84"/>
      <c r="E59" s="84" t="s">
        <v>704</v>
      </c>
      <c r="F59" s="85">
        <v>45211</v>
      </c>
      <c r="G59" s="84" t="s">
        <v>3162</v>
      </c>
      <c r="H59" s="84" t="s">
        <v>1580</v>
      </c>
      <c r="I59" s="84" t="s">
        <v>1985</v>
      </c>
      <c r="J59" s="84" t="s">
        <v>771</v>
      </c>
      <c r="K59" s="87">
        <v>93.55</v>
      </c>
    </row>
    <row r="60" spans="1:11" ht="14.6" x14ac:dyDescent="0.4">
      <c r="A60" s="84"/>
      <c r="B60" s="84"/>
      <c r="C60" s="84"/>
      <c r="D60" s="84"/>
      <c r="E60" s="84" t="s">
        <v>634</v>
      </c>
      <c r="F60" s="85">
        <v>45212</v>
      </c>
      <c r="G60" s="84" t="s">
        <v>3163</v>
      </c>
      <c r="H60" s="84" t="s">
        <v>400</v>
      </c>
      <c r="I60" s="84" t="s">
        <v>3177</v>
      </c>
      <c r="J60" s="84" t="s">
        <v>659</v>
      </c>
      <c r="K60" s="87">
        <v>2759.5</v>
      </c>
    </row>
    <row r="61" spans="1:11" ht="14.6" x14ac:dyDescent="0.4">
      <c r="A61" s="84"/>
      <c r="B61" s="84"/>
      <c r="C61" s="84"/>
      <c r="D61" s="84"/>
      <c r="E61" s="84" t="s">
        <v>634</v>
      </c>
      <c r="F61" s="85">
        <v>45223</v>
      </c>
      <c r="G61" s="84" t="s">
        <v>3164</v>
      </c>
      <c r="H61" s="84" t="s">
        <v>855</v>
      </c>
      <c r="I61" s="84" t="s">
        <v>3178</v>
      </c>
      <c r="J61" s="84" t="s">
        <v>659</v>
      </c>
      <c r="K61" s="87">
        <v>482.95</v>
      </c>
    </row>
    <row r="62" spans="1:11" ht="14.6" x14ac:dyDescent="0.4">
      <c r="A62" s="84"/>
      <c r="B62" s="84"/>
      <c r="C62" s="84"/>
      <c r="D62" s="84"/>
      <c r="E62" s="84" t="s">
        <v>634</v>
      </c>
      <c r="F62" s="85">
        <v>45223</v>
      </c>
      <c r="G62" s="84" t="s">
        <v>3164</v>
      </c>
      <c r="H62" s="84" t="s">
        <v>855</v>
      </c>
      <c r="I62" s="84" t="s">
        <v>862</v>
      </c>
      <c r="J62" s="84" t="s">
        <v>659</v>
      </c>
      <c r="K62" s="87">
        <v>1429.95</v>
      </c>
    </row>
    <row r="63" spans="1:11" ht="14.6" x14ac:dyDescent="0.4">
      <c r="A63" s="84"/>
      <c r="B63" s="84"/>
      <c r="C63" s="84"/>
      <c r="D63" s="84"/>
      <c r="E63" s="84" t="s">
        <v>634</v>
      </c>
      <c r="F63" s="85">
        <v>45223</v>
      </c>
      <c r="G63" s="84" t="s">
        <v>3164</v>
      </c>
      <c r="H63" s="84" t="s">
        <v>855</v>
      </c>
      <c r="I63" s="84" t="s">
        <v>864</v>
      </c>
      <c r="J63" s="84" t="s">
        <v>659</v>
      </c>
      <c r="K63" s="87">
        <v>20</v>
      </c>
    </row>
    <row r="64" spans="1:11" ht="14.6" x14ac:dyDescent="0.4">
      <c r="A64" s="84"/>
      <c r="B64" s="84"/>
      <c r="C64" s="84"/>
      <c r="D64" s="84"/>
      <c r="E64" s="84" t="s">
        <v>634</v>
      </c>
      <c r="F64" s="85">
        <v>45233</v>
      </c>
      <c r="G64" s="84" t="s">
        <v>3165</v>
      </c>
      <c r="H64" s="84" t="s">
        <v>860</v>
      </c>
      <c r="I64" s="84" t="s">
        <v>869</v>
      </c>
      <c r="J64" s="84" t="s">
        <v>659</v>
      </c>
      <c r="K64" s="87">
        <v>3527.35</v>
      </c>
    </row>
    <row r="65" spans="1:11" ht="14.6" x14ac:dyDescent="0.4">
      <c r="A65" s="84"/>
      <c r="B65" s="84"/>
      <c r="C65" s="84"/>
      <c r="D65" s="84"/>
      <c r="E65" s="84" t="s">
        <v>634</v>
      </c>
      <c r="F65" s="85">
        <v>45237</v>
      </c>
      <c r="G65" s="84" t="s">
        <v>3166</v>
      </c>
      <c r="H65" s="84" t="s">
        <v>856</v>
      </c>
      <c r="I65" s="84" t="s">
        <v>865</v>
      </c>
      <c r="J65" s="84" t="s">
        <v>659</v>
      </c>
      <c r="K65" s="87">
        <v>237.5</v>
      </c>
    </row>
    <row r="66" spans="1:11" ht="14.6" x14ac:dyDescent="0.4">
      <c r="A66" s="84"/>
      <c r="B66" s="84"/>
      <c r="C66" s="84"/>
      <c r="D66" s="84"/>
      <c r="E66" s="84" t="s">
        <v>704</v>
      </c>
      <c r="F66" s="85">
        <v>45239</v>
      </c>
      <c r="G66" s="84"/>
      <c r="H66" s="84" t="s">
        <v>857</v>
      </c>
      <c r="I66" s="84" t="s">
        <v>866</v>
      </c>
      <c r="J66" s="84" t="s">
        <v>771</v>
      </c>
      <c r="K66" s="87">
        <v>15.8</v>
      </c>
    </row>
    <row r="67" spans="1:11" ht="14.6" x14ac:dyDescent="0.4">
      <c r="A67" s="84"/>
      <c r="B67" s="84"/>
      <c r="C67" s="84"/>
      <c r="D67" s="84"/>
      <c r="E67" s="84" t="s">
        <v>634</v>
      </c>
      <c r="F67" s="85">
        <v>45242</v>
      </c>
      <c r="G67" s="84" t="s">
        <v>3167</v>
      </c>
      <c r="H67" s="84" t="s">
        <v>647</v>
      </c>
      <c r="I67" s="84" t="s">
        <v>1985</v>
      </c>
      <c r="J67" s="84" t="s">
        <v>659</v>
      </c>
      <c r="K67" s="87">
        <v>65.86</v>
      </c>
    </row>
    <row r="68" spans="1:11" ht="14.6" x14ac:dyDescent="0.4">
      <c r="A68" s="84"/>
      <c r="B68" s="84"/>
      <c r="C68" s="84"/>
      <c r="D68" s="84"/>
      <c r="E68" s="84" t="s">
        <v>704</v>
      </c>
      <c r="F68" s="85">
        <v>45247</v>
      </c>
      <c r="G68" s="84" t="s">
        <v>3168</v>
      </c>
      <c r="H68" s="84" t="s">
        <v>3174</v>
      </c>
      <c r="I68" s="84" t="s">
        <v>3179</v>
      </c>
      <c r="J68" s="84" t="s">
        <v>771</v>
      </c>
      <c r="K68" s="87">
        <v>325</v>
      </c>
    </row>
    <row r="69" spans="1:11" ht="14.6" x14ac:dyDescent="0.4">
      <c r="A69" s="84"/>
      <c r="B69" s="84"/>
      <c r="C69" s="84"/>
      <c r="D69" s="84"/>
      <c r="E69" s="84" t="s">
        <v>704</v>
      </c>
      <c r="F69" s="85">
        <v>45258</v>
      </c>
      <c r="G69" s="84" t="s">
        <v>3169</v>
      </c>
      <c r="H69" s="84" t="s">
        <v>1978</v>
      </c>
      <c r="I69" s="84" t="s">
        <v>3180</v>
      </c>
      <c r="J69" s="84" t="s">
        <v>771</v>
      </c>
      <c r="K69" s="87">
        <v>52.5</v>
      </c>
    </row>
    <row r="70" spans="1:11" ht="14.6" x14ac:dyDescent="0.4">
      <c r="A70" s="84"/>
      <c r="B70" s="84"/>
      <c r="C70" s="84"/>
      <c r="D70" s="84"/>
      <c r="E70" s="84" t="s">
        <v>704</v>
      </c>
      <c r="F70" s="85">
        <v>45260</v>
      </c>
      <c r="G70" s="84" t="s">
        <v>3170</v>
      </c>
      <c r="H70" s="84" t="s">
        <v>395</v>
      </c>
      <c r="I70" s="84" t="s">
        <v>3181</v>
      </c>
      <c r="J70" s="84" t="s">
        <v>771</v>
      </c>
      <c r="K70" s="87">
        <v>170</v>
      </c>
    </row>
    <row r="71" spans="1:11" ht="14.6" x14ac:dyDescent="0.4">
      <c r="A71" s="84"/>
      <c r="B71" s="84"/>
      <c r="C71" s="84"/>
      <c r="D71" s="84"/>
      <c r="E71" s="84" t="s">
        <v>634</v>
      </c>
      <c r="F71" s="85">
        <v>45261</v>
      </c>
      <c r="G71" s="84" t="s">
        <v>3528</v>
      </c>
      <c r="H71" s="84" t="s">
        <v>855</v>
      </c>
      <c r="I71" s="84" t="s">
        <v>3530</v>
      </c>
      <c r="J71" s="84" t="s">
        <v>659</v>
      </c>
      <c r="K71" s="87">
        <v>492.95</v>
      </c>
    </row>
    <row r="72" spans="1:11" ht="14.6" x14ac:dyDescent="0.4">
      <c r="A72" s="84"/>
      <c r="B72" s="84"/>
      <c r="C72" s="84"/>
      <c r="D72" s="84"/>
      <c r="E72" s="84" t="s">
        <v>634</v>
      </c>
      <c r="F72" s="85">
        <v>45264</v>
      </c>
      <c r="G72" s="84" t="s">
        <v>3171</v>
      </c>
      <c r="H72" s="84" t="s">
        <v>391</v>
      </c>
      <c r="I72" s="84" t="s">
        <v>1064</v>
      </c>
      <c r="J72" s="84" t="s">
        <v>659</v>
      </c>
      <c r="K72" s="87">
        <v>199</v>
      </c>
    </row>
    <row r="73" spans="1:11" ht="14.6" x14ac:dyDescent="0.4">
      <c r="A73" s="84"/>
      <c r="B73" s="84"/>
      <c r="C73" s="84"/>
      <c r="D73" s="84"/>
      <c r="E73" s="84" t="s">
        <v>634</v>
      </c>
      <c r="F73" s="85">
        <v>45265</v>
      </c>
      <c r="G73" s="84" t="s">
        <v>3172</v>
      </c>
      <c r="H73" s="84" t="s">
        <v>860</v>
      </c>
      <c r="I73" s="84" t="s">
        <v>869</v>
      </c>
      <c r="J73" s="84" t="s">
        <v>659</v>
      </c>
      <c r="K73" s="87">
        <v>3527.35</v>
      </c>
    </row>
    <row r="74" spans="1:11" ht="14.6" x14ac:dyDescent="0.4">
      <c r="A74" s="84"/>
      <c r="B74" s="84"/>
      <c r="C74" s="84"/>
      <c r="D74" s="84"/>
      <c r="E74" s="84" t="s">
        <v>634</v>
      </c>
      <c r="F74" s="85">
        <v>45265</v>
      </c>
      <c r="G74" s="84" t="s">
        <v>3529</v>
      </c>
      <c r="H74" s="84" t="s">
        <v>1055</v>
      </c>
      <c r="I74" s="84" t="s">
        <v>3531</v>
      </c>
      <c r="J74" s="84" t="s">
        <v>659</v>
      </c>
      <c r="K74" s="87">
        <v>250</v>
      </c>
    </row>
    <row r="75" spans="1:11" ht="14.6" x14ac:dyDescent="0.4">
      <c r="A75" s="84"/>
      <c r="B75" s="84"/>
      <c r="C75" s="84"/>
      <c r="D75" s="84"/>
      <c r="E75" s="84" t="s">
        <v>634</v>
      </c>
      <c r="F75" s="85">
        <v>45265</v>
      </c>
      <c r="G75" s="84" t="s">
        <v>3529</v>
      </c>
      <c r="H75" s="84" t="s">
        <v>1055</v>
      </c>
      <c r="I75" s="84" t="s">
        <v>3532</v>
      </c>
      <c r="J75" s="84" t="s">
        <v>659</v>
      </c>
      <c r="K75" s="87">
        <v>150</v>
      </c>
    </row>
    <row r="76" spans="1:11" ht="14.6" x14ac:dyDescent="0.4">
      <c r="A76" s="84"/>
      <c r="B76" s="84"/>
      <c r="C76" s="84"/>
      <c r="D76" s="84"/>
      <c r="E76" s="84" t="s">
        <v>634</v>
      </c>
      <c r="F76" s="85">
        <v>45267</v>
      </c>
      <c r="G76" s="84" t="s">
        <v>3173</v>
      </c>
      <c r="H76" s="84" t="s">
        <v>856</v>
      </c>
      <c r="I76" s="84" t="s">
        <v>865</v>
      </c>
      <c r="J76" s="84" t="s">
        <v>659</v>
      </c>
      <c r="K76" s="87">
        <v>237.5</v>
      </c>
    </row>
    <row r="77" spans="1:11" thickBot="1" x14ac:dyDescent="0.45">
      <c r="A77" s="84"/>
      <c r="B77" s="84"/>
      <c r="C77" s="84"/>
      <c r="D77" s="84"/>
      <c r="E77" s="84" t="s">
        <v>704</v>
      </c>
      <c r="F77" s="85">
        <v>45269</v>
      </c>
      <c r="G77" s="84"/>
      <c r="H77" s="84" t="s">
        <v>857</v>
      </c>
      <c r="I77" s="84" t="s">
        <v>866</v>
      </c>
      <c r="J77" s="84" t="s">
        <v>771</v>
      </c>
      <c r="K77" s="413">
        <v>15.8</v>
      </c>
    </row>
    <row r="78" spans="1:11" thickBot="1" x14ac:dyDescent="0.45">
      <c r="A78" s="84"/>
      <c r="B78" s="84"/>
      <c r="C78" s="84" t="s">
        <v>846</v>
      </c>
      <c r="D78" s="84"/>
      <c r="E78" s="84"/>
      <c r="F78" s="85"/>
      <c r="G78" s="84"/>
      <c r="H78" s="84"/>
      <c r="I78" s="84"/>
      <c r="J78" s="84"/>
      <c r="K78" s="414">
        <f>ROUND(SUM(K3:K77),5)</f>
        <v>112709.57</v>
      </c>
    </row>
    <row r="79" spans="1:11" ht="15" customHeight="1" thickBot="1" x14ac:dyDescent="0.45">
      <c r="A79" s="84"/>
      <c r="B79" s="84" t="s">
        <v>703</v>
      </c>
      <c r="C79" s="84"/>
      <c r="D79" s="84"/>
      <c r="E79" s="84"/>
      <c r="F79" s="85"/>
      <c r="G79" s="84"/>
      <c r="H79" s="84"/>
      <c r="I79" s="84"/>
      <c r="J79" s="84"/>
      <c r="K79" s="414">
        <f>K78</f>
        <v>112709.57</v>
      </c>
    </row>
    <row r="80" spans="1:11" ht="15" customHeight="1" thickBot="1" x14ac:dyDescent="0.45">
      <c r="A80" s="84" t="s">
        <v>158</v>
      </c>
      <c r="B80" s="84"/>
      <c r="C80" s="84"/>
      <c r="D80" s="84"/>
      <c r="E80" s="84"/>
      <c r="F80" s="85"/>
      <c r="G80" s="84"/>
      <c r="H80" s="84"/>
      <c r="I80" s="84"/>
      <c r="J80" s="84"/>
      <c r="K80" s="415">
        <f>K79</f>
        <v>112709.57</v>
      </c>
    </row>
    <row r="81" ht="15" customHeight="1" thickTop="1" x14ac:dyDescent="0.4"/>
  </sheetData>
  <pageMargins left="0.7" right="0.7" top="0.75" bottom="0.75" header="0.1" footer="0"/>
  <pageSetup orientation="portrait" r:id="rId1"/>
  <headerFooter>
    <oddHeader>&amp;L&amp;"Arial,Bold"&amp;8 9:52 AM
&amp;"Arial,Bold"&amp;8 03/08/24
&amp;"Arial,Bold"&amp;8 Accrual Basis&amp;C&amp;"Arial,Bold"&amp;12 Williamson Central Appraisal District
&amp;"Arial,Bold"&amp;14 Account QuickReport
&amp;"Arial,Bold"&amp;10 January through December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13672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13672" r:id="rId4" name="HEADER"/>
      </mc:Fallback>
    </mc:AlternateContent>
    <mc:AlternateContent xmlns:mc="http://schemas.openxmlformats.org/markup-compatibility/2006">
      <mc:Choice Requires="x14">
        <control shapeId="113671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13671" r:id="rId6" name="FILTER"/>
      </mc:Fallback>
    </mc:AlternateContent>
  </control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0"/>
  <dimension ref="A1:K284"/>
  <sheetViews>
    <sheetView workbookViewId="0">
      <pane xSplit="3" ySplit="1" topLeftCell="D123" activePane="bottomRight" state="frozenSplit"/>
      <selection pane="topRight" activeCell="D1" sqref="D1"/>
      <selection pane="bottomLeft" activeCell="A2" sqref="A2"/>
      <selection pane="bottomRight" activeCell="J153" sqref="J153"/>
    </sheetView>
  </sheetViews>
  <sheetFormatPr defaultColWidth="14.3828125" defaultRowHeight="15" customHeight="1" x14ac:dyDescent="0.4"/>
  <cols>
    <col min="1" max="2" width="3" customWidth="1"/>
    <col min="3" max="3" width="37.3828125" customWidth="1"/>
    <col min="4" max="4" width="2.3046875" customWidth="1"/>
    <col min="5" max="5" width="17.69140625" bestFit="1" customWidth="1"/>
    <col min="6" max="6" width="10.69140625" bestFit="1" customWidth="1"/>
    <col min="7" max="7" width="20.53515625" bestFit="1" customWidth="1"/>
    <col min="8" max="9" width="30.69140625" customWidth="1"/>
    <col min="10" max="10" width="28.3828125" bestFit="1" customWidth="1"/>
    <col min="11" max="11" width="11.69140625" bestFit="1" customWidth="1"/>
  </cols>
  <sheetData>
    <row r="1" spans="1:11" s="412" customFormat="1" thickBot="1" x14ac:dyDescent="0.45">
      <c r="A1" s="416"/>
      <c r="B1" s="416"/>
      <c r="C1" s="416"/>
      <c r="D1" s="416"/>
      <c r="E1" s="417" t="s">
        <v>623</v>
      </c>
      <c r="F1" s="417" t="s">
        <v>624</v>
      </c>
      <c r="G1" s="417" t="s">
        <v>625</v>
      </c>
      <c r="H1" s="417" t="s">
        <v>626</v>
      </c>
      <c r="I1" s="417" t="s">
        <v>627</v>
      </c>
      <c r="J1" s="417" t="s">
        <v>628</v>
      </c>
      <c r="K1" s="417" t="s">
        <v>629</v>
      </c>
    </row>
    <row r="2" spans="1:11" thickTop="1" x14ac:dyDescent="0.4">
      <c r="A2" s="84"/>
      <c r="B2" s="84" t="s">
        <v>700</v>
      </c>
      <c r="C2" s="84"/>
      <c r="D2" s="84"/>
      <c r="E2" s="84"/>
      <c r="F2" s="85"/>
      <c r="G2" s="84"/>
      <c r="H2" s="84"/>
      <c r="I2" s="84"/>
      <c r="J2" s="84"/>
      <c r="K2" s="87"/>
    </row>
    <row r="3" spans="1:11" ht="14.6" x14ac:dyDescent="0.4">
      <c r="A3" s="84"/>
      <c r="B3" s="84"/>
      <c r="C3" s="84" t="s">
        <v>870</v>
      </c>
      <c r="D3" s="84"/>
      <c r="E3" s="84"/>
      <c r="F3" s="85"/>
      <c r="G3" s="84"/>
      <c r="H3" s="84"/>
      <c r="I3" s="84"/>
      <c r="J3" s="84"/>
      <c r="K3" s="87"/>
    </row>
    <row r="4" spans="1:11" ht="14.6" x14ac:dyDescent="0.4">
      <c r="A4" s="84"/>
      <c r="B4" s="84"/>
      <c r="C4" s="84"/>
      <c r="D4" s="84"/>
      <c r="E4" s="84" t="s">
        <v>634</v>
      </c>
      <c r="F4" s="85">
        <v>44929</v>
      </c>
      <c r="G4" s="84" t="s">
        <v>872</v>
      </c>
      <c r="H4" s="84" t="s">
        <v>434</v>
      </c>
      <c r="I4" s="84" t="s">
        <v>883</v>
      </c>
      <c r="J4" s="84" t="s">
        <v>659</v>
      </c>
      <c r="K4" s="87">
        <v>17304</v>
      </c>
    </row>
    <row r="5" spans="1:11" ht="14.6" x14ac:dyDescent="0.4">
      <c r="A5" s="84"/>
      <c r="B5" s="84"/>
      <c r="C5" s="84"/>
      <c r="D5" s="84"/>
      <c r="E5" s="84" t="s">
        <v>634</v>
      </c>
      <c r="F5" s="85">
        <v>44929</v>
      </c>
      <c r="G5" s="84" t="s">
        <v>873</v>
      </c>
      <c r="H5" s="84" t="s">
        <v>880</v>
      </c>
      <c r="I5" s="84" t="s">
        <v>3344</v>
      </c>
      <c r="J5" s="84" t="s">
        <v>659</v>
      </c>
      <c r="K5" s="87">
        <v>2500</v>
      </c>
    </row>
    <row r="6" spans="1:11" ht="14.6" x14ac:dyDescent="0.4">
      <c r="A6" s="84"/>
      <c r="B6" s="84"/>
      <c r="C6" s="84"/>
      <c r="D6" s="84"/>
      <c r="E6" s="84" t="s">
        <v>634</v>
      </c>
      <c r="F6" s="85">
        <v>44943</v>
      </c>
      <c r="G6" s="84" t="s">
        <v>874</v>
      </c>
      <c r="H6" s="84" t="s">
        <v>881</v>
      </c>
      <c r="I6" s="84" t="s">
        <v>884</v>
      </c>
      <c r="J6" s="84" t="s">
        <v>659</v>
      </c>
      <c r="K6" s="87">
        <v>450</v>
      </c>
    </row>
    <row r="7" spans="1:11" ht="14.6" x14ac:dyDescent="0.4">
      <c r="A7" s="84"/>
      <c r="B7" s="84"/>
      <c r="C7" s="84"/>
      <c r="D7" s="84"/>
      <c r="E7" s="84" t="s">
        <v>634</v>
      </c>
      <c r="F7" s="85">
        <v>44943</v>
      </c>
      <c r="G7" s="84" t="s">
        <v>875</v>
      </c>
      <c r="H7" s="84" t="s">
        <v>881</v>
      </c>
      <c r="I7" s="84" t="s">
        <v>885</v>
      </c>
      <c r="J7" s="84" t="s">
        <v>659</v>
      </c>
      <c r="K7" s="87">
        <v>450</v>
      </c>
    </row>
    <row r="8" spans="1:11" ht="14.6" x14ac:dyDescent="0.4">
      <c r="A8" s="84"/>
      <c r="B8" s="84"/>
      <c r="C8" s="84"/>
      <c r="D8" s="84"/>
      <c r="E8" s="84" t="s">
        <v>634</v>
      </c>
      <c r="F8" s="85">
        <v>44943</v>
      </c>
      <c r="G8" s="84" t="s">
        <v>876</v>
      </c>
      <c r="H8" s="84" t="s">
        <v>881</v>
      </c>
      <c r="I8" s="84" t="s">
        <v>886</v>
      </c>
      <c r="J8" s="84" t="s">
        <v>659</v>
      </c>
      <c r="K8" s="87">
        <v>450</v>
      </c>
    </row>
    <row r="9" spans="1:11" ht="14.6" x14ac:dyDescent="0.4">
      <c r="A9" s="84"/>
      <c r="B9" s="84"/>
      <c r="C9" s="84"/>
      <c r="D9" s="84"/>
      <c r="E9" s="84" t="s">
        <v>634</v>
      </c>
      <c r="F9" s="85">
        <v>44943</v>
      </c>
      <c r="G9" s="84" t="s">
        <v>877</v>
      </c>
      <c r="H9" s="84" t="s">
        <v>881</v>
      </c>
      <c r="I9" s="84" t="s">
        <v>887</v>
      </c>
      <c r="J9" s="84" t="s">
        <v>659</v>
      </c>
      <c r="K9" s="87">
        <v>750</v>
      </c>
    </row>
    <row r="10" spans="1:11" ht="14.6" x14ac:dyDescent="0.4">
      <c r="A10" s="84"/>
      <c r="B10" s="84"/>
      <c r="C10" s="84"/>
      <c r="D10" s="84"/>
      <c r="E10" s="84" t="s">
        <v>634</v>
      </c>
      <c r="F10" s="85">
        <v>44951</v>
      </c>
      <c r="G10" s="84" t="s">
        <v>878</v>
      </c>
      <c r="H10" s="84" t="s">
        <v>882</v>
      </c>
      <c r="I10" s="84" t="s">
        <v>3345</v>
      </c>
      <c r="J10" s="84" t="s">
        <v>659</v>
      </c>
      <c r="K10" s="87">
        <v>7000</v>
      </c>
    </row>
    <row r="11" spans="1:11" ht="14.6" x14ac:dyDescent="0.4">
      <c r="A11" s="84"/>
      <c r="B11" s="84"/>
      <c r="C11" s="84"/>
      <c r="D11" s="84"/>
      <c r="E11" s="84" t="s">
        <v>634</v>
      </c>
      <c r="F11" s="85">
        <v>44957</v>
      </c>
      <c r="G11" s="84" t="s">
        <v>1065</v>
      </c>
      <c r="H11" s="84" t="s">
        <v>1068</v>
      </c>
      <c r="I11" s="84" t="s">
        <v>3346</v>
      </c>
      <c r="J11" s="84" t="s">
        <v>659</v>
      </c>
      <c r="K11" s="87">
        <v>17189.25</v>
      </c>
    </row>
    <row r="12" spans="1:11" ht="14.6" x14ac:dyDescent="0.4">
      <c r="A12" s="84"/>
      <c r="B12" s="84"/>
      <c r="C12" s="84"/>
      <c r="D12" s="84"/>
      <c r="E12" s="84" t="s">
        <v>704</v>
      </c>
      <c r="F12" s="85">
        <v>44957</v>
      </c>
      <c r="G12" s="84" t="s">
        <v>1066</v>
      </c>
      <c r="H12" s="84" t="s">
        <v>1069</v>
      </c>
      <c r="I12" s="84" t="s">
        <v>2124</v>
      </c>
      <c r="J12" s="84" t="s">
        <v>771</v>
      </c>
      <c r="K12" s="87">
        <v>228</v>
      </c>
    </row>
    <row r="13" spans="1:11" ht="14.6" x14ac:dyDescent="0.4">
      <c r="A13" s="84"/>
      <c r="B13" s="84"/>
      <c r="C13" s="84"/>
      <c r="D13" s="84"/>
      <c r="E13" s="84" t="s">
        <v>634</v>
      </c>
      <c r="F13" s="85">
        <v>44963</v>
      </c>
      <c r="G13" s="84" t="s">
        <v>879</v>
      </c>
      <c r="H13" s="84" t="s">
        <v>880</v>
      </c>
      <c r="I13" s="84" t="s">
        <v>3344</v>
      </c>
      <c r="J13" s="84" t="s">
        <v>659</v>
      </c>
      <c r="K13" s="87">
        <v>2500</v>
      </c>
    </row>
    <row r="14" spans="1:11" ht="14.6" x14ac:dyDescent="0.4">
      <c r="A14" s="84"/>
      <c r="B14" s="84"/>
      <c r="C14" s="84"/>
      <c r="D14" s="84"/>
      <c r="E14" s="84" t="s">
        <v>634</v>
      </c>
      <c r="F14" s="85">
        <v>44970</v>
      </c>
      <c r="G14" s="84" t="s">
        <v>1067</v>
      </c>
      <c r="H14" s="84" t="s">
        <v>881</v>
      </c>
      <c r="I14" s="84" t="s">
        <v>1070</v>
      </c>
      <c r="J14" s="84" t="s">
        <v>659</v>
      </c>
      <c r="K14" s="87">
        <v>400</v>
      </c>
    </row>
    <row r="15" spans="1:11" ht="14.6" x14ac:dyDescent="0.4">
      <c r="A15" s="84"/>
      <c r="B15" s="84"/>
      <c r="C15" s="84"/>
      <c r="D15" s="84"/>
      <c r="E15" s="84" t="s">
        <v>634</v>
      </c>
      <c r="F15" s="85">
        <v>44972</v>
      </c>
      <c r="G15" s="84" t="s">
        <v>1987</v>
      </c>
      <c r="H15" s="84" t="s">
        <v>434</v>
      </c>
      <c r="I15" s="84" t="s">
        <v>2109</v>
      </c>
      <c r="J15" s="84" t="s">
        <v>659</v>
      </c>
      <c r="K15" s="87">
        <v>500</v>
      </c>
    </row>
    <row r="16" spans="1:11" ht="14.6" x14ac:dyDescent="0.4">
      <c r="A16" s="84"/>
      <c r="B16" s="84"/>
      <c r="C16" s="84"/>
      <c r="D16" s="84"/>
      <c r="E16" s="84" t="s">
        <v>634</v>
      </c>
      <c r="F16" s="85">
        <v>44978</v>
      </c>
      <c r="G16" s="84" t="s">
        <v>1988</v>
      </c>
      <c r="H16" s="84" t="s">
        <v>881</v>
      </c>
      <c r="I16" s="84" t="s">
        <v>2110</v>
      </c>
      <c r="J16" s="84" t="s">
        <v>659</v>
      </c>
      <c r="K16" s="87">
        <v>750</v>
      </c>
    </row>
    <row r="17" spans="1:11" ht="14.6" x14ac:dyDescent="0.4">
      <c r="A17" s="84"/>
      <c r="B17" s="84"/>
      <c r="C17" s="84"/>
      <c r="D17" s="84"/>
      <c r="E17" s="84" t="s">
        <v>634</v>
      </c>
      <c r="F17" s="85">
        <v>44978</v>
      </c>
      <c r="G17" s="84" t="s">
        <v>1989</v>
      </c>
      <c r="H17" s="84" t="s">
        <v>881</v>
      </c>
      <c r="I17" s="84" t="s">
        <v>2111</v>
      </c>
      <c r="J17" s="84" t="s">
        <v>659</v>
      </c>
      <c r="K17" s="87">
        <v>450</v>
      </c>
    </row>
    <row r="18" spans="1:11" ht="14.6" x14ac:dyDescent="0.4">
      <c r="A18" s="84"/>
      <c r="B18" s="84"/>
      <c r="C18" s="84"/>
      <c r="D18" s="84"/>
      <c r="E18" s="84" t="s">
        <v>634</v>
      </c>
      <c r="F18" s="85">
        <v>44978</v>
      </c>
      <c r="G18" s="84" t="s">
        <v>1990</v>
      </c>
      <c r="H18" s="84" t="s">
        <v>881</v>
      </c>
      <c r="I18" s="84" t="s">
        <v>2112</v>
      </c>
      <c r="J18" s="84" t="s">
        <v>659</v>
      </c>
      <c r="K18" s="87">
        <v>450</v>
      </c>
    </row>
    <row r="19" spans="1:11" ht="14.6" x14ac:dyDescent="0.4">
      <c r="A19" s="84"/>
      <c r="B19" s="84"/>
      <c r="C19" s="84"/>
      <c r="D19" s="84"/>
      <c r="E19" s="84" t="s">
        <v>634</v>
      </c>
      <c r="F19" s="85">
        <v>44978</v>
      </c>
      <c r="G19" s="84" t="s">
        <v>1991</v>
      </c>
      <c r="H19" s="84" t="s">
        <v>881</v>
      </c>
      <c r="I19" s="84" t="s">
        <v>2113</v>
      </c>
      <c r="J19" s="84" t="s">
        <v>659</v>
      </c>
      <c r="K19" s="87">
        <v>450</v>
      </c>
    </row>
    <row r="20" spans="1:11" ht="14.6" x14ac:dyDescent="0.4">
      <c r="A20" s="84"/>
      <c r="B20" s="84"/>
      <c r="C20" s="84"/>
      <c r="D20" s="84"/>
      <c r="E20" s="84" t="s">
        <v>634</v>
      </c>
      <c r="F20" s="85">
        <v>44978</v>
      </c>
      <c r="G20" s="84" t="s">
        <v>1992</v>
      </c>
      <c r="H20" s="84" t="s">
        <v>881</v>
      </c>
      <c r="I20" s="84" t="s">
        <v>2114</v>
      </c>
      <c r="J20" s="84" t="s">
        <v>659</v>
      </c>
      <c r="K20" s="87">
        <v>450</v>
      </c>
    </row>
    <row r="21" spans="1:11" ht="14.6" x14ac:dyDescent="0.4">
      <c r="A21" s="84"/>
      <c r="B21" s="84"/>
      <c r="C21" s="84"/>
      <c r="D21" s="84"/>
      <c r="E21" s="84" t="s">
        <v>634</v>
      </c>
      <c r="F21" s="85">
        <v>44978</v>
      </c>
      <c r="G21" s="84" t="s">
        <v>1993</v>
      </c>
      <c r="H21" s="84" t="s">
        <v>881</v>
      </c>
      <c r="I21" s="84" t="s">
        <v>2115</v>
      </c>
      <c r="J21" s="84" t="s">
        <v>659</v>
      </c>
      <c r="K21" s="87">
        <v>750</v>
      </c>
    </row>
    <row r="22" spans="1:11" ht="14.6" x14ac:dyDescent="0.4">
      <c r="A22" s="84"/>
      <c r="B22" s="84"/>
      <c r="C22" s="84"/>
      <c r="D22" s="84"/>
      <c r="E22" s="84" t="s">
        <v>634</v>
      </c>
      <c r="F22" s="85">
        <v>44979</v>
      </c>
      <c r="G22" s="84" t="s">
        <v>1994</v>
      </c>
      <c r="H22" s="84" t="s">
        <v>2082</v>
      </c>
      <c r="I22" s="84" t="s">
        <v>2116</v>
      </c>
      <c r="J22" s="84" t="s">
        <v>659</v>
      </c>
      <c r="K22" s="87">
        <v>230</v>
      </c>
    </row>
    <row r="23" spans="1:11" ht="14.6" x14ac:dyDescent="0.4">
      <c r="A23" s="84"/>
      <c r="B23" s="84"/>
      <c r="C23" s="84"/>
      <c r="D23" s="84"/>
      <c r="E23" s="84" t="s">
        <v>634</v>
      </c>
      <c r="F23" s="85">
        <v>44979</v>
      </c>
      <c r="G23" s="84" t="s">
        <v>1995</v>
      </c>
      <c r="H23" s="84" t="s">
        <v>2083</v>
      </c>
      <c r="I23" s="84" t="s">
        <v>2117</v>
      </c>
      <c r="J23" s="84" t="s">
        <v>659</v>
      </c>
      <c r="K23" s="87">
        <v>213660</v>
      </c>
    </row>
    <row r="24" spans="1:11" ht="14.6" x14ac:dyDescent="0.4">
      <c r="A24" s="84"/>
      <c r="B24" s="84"/>
      <c r="C24" s="84"/>
      <c r="D24" s="84"/>
      <c r="E24" s="84" t="s">
        <v>634</v>
      </c>
      <c r="F24" s="85">
        <v>44979</v>
      </c>
      <c r="G24" s="84" t="s">
        <v>1995</v>
      </c>
      <c r="H24" s="84" t="s">
        <v>2083</v>
      </c>
      <c r="I24" s="84" t="s">
        <v>2118</v>
      </c>
      <c r="J24" s="84" t="s">
        <v>659</v>
      </c>
      <c r="K24" s="87">
        <v>700</v>
      </c>
    </row>
    <row r="25" spans="1:11" ht="14.6" x14ac:dyDescent="0.4">
      <c r="A25" s="84"/>
      <c r="B25" s="84"/>
      <c r="C25" s="84"/>
      <c r="D25" s="84"/>
      <c r="E25" s="84" t="s">
        <v>634</v>
      </c>
      <c r="F25" s="85">
        <v>44979</v>
      </c>
      <c r="G25" s="84" t="s">
        <v>1995</v>
      </c>
      <c r="H25" s="84" t="s">
        <v>2083</v>
      </c>
      <c r="I25" s="84" t="s">
        <v>2119</v>
      </c>
      <c r="J25" s="84" t="s">
        <v>659</v>
      </c>
      <c r="K25" s="87">
        <v>2499</v>
      </c>
    </row>
    <row r="26" spans="1:11" ht="14.6" x14ac:dyDescent="0.4">
      <c r="A26" s="84"/>
      <c r="B26" s="84"/>
      <c r="C26" s="84"/>
      <c r="D26" s="84"/>
      <c r="E26" s="84" t="s">
        <v>634</v>
      </c>
      <c r="F26" s="85">
        <v>44984</v>
      </c>
      <c r="G26" s="84" t="s">
        <v>1996</v>
      </c>
      <c r="H26" s="84" t="s">
        <v>2084</v>
      </c>
      <c r="I26" s="84" t="s">
        <v>2120</v>
      </c>
      <c r="J26" s="84" t="s">
        <v>659</v>
      </c>
      <c r="K26" s="87">
        <v>750</v>
      </c>
    </row>
    <row r="27" spans="1:11" ht="14.6" x14ac:dyDescent="0.4">
      <c r="A27" s="84"/>
      <c r="B27" s="84"/>
      <c r="C27" s="84"/>
      <c r="D27" s="84"/>
      <c r="E27" s="84" t="s">
        <v>634</v>
      </c>
      <c r="F27" s="85">
        <v>44985</v>
      </c>
      <c r="G27" s="84" t="s">
        <v>1997</v>
      </c>
      <c r="H27" s="84" t="s">
        <v>2085</v>
      </c>
      <c r="I27" s="84" t="s">
        <v>2121</v>
      </c>
      <c r="J27" s="84" t="s">
        <v>659</v>
      </c>
      <c r="K27" s="87">
        <v>575</v>
      </c>
    </row>
    <row r="28" spans="1:11" ht="14.6" x14ac:dyDescent="0.4">
      <c r="A28" s="84"/>
      <c r="B28" s="84"/>
      <c r="C28" s="84"/>
      <c r="D28" s="84"/>
      <c r="E28" s="84" t="s">
        <v>634</v>
      </c>
      <c r="F28" s="85">
        <v>44985</v>
      </c>
      <c r="G28" s="84" t="s">
        <v>1998</v>
      </c>
      <c r="H28" s="84" t="s">
        <v>2086</v>
      </c>
      <c r="I28" s="84" t="s">
        <v>2122</v>
      </c>
      <c r="J28" s="84" t="s">
        <v>659</v>
      </c>
      <c r="K28" s="87">
        <v>388.96</v>
      </c>
    </row>
    <row r="29" spans="1:11" ht="14.6" x14ac:dyDescent="0.4">
      <c r="A29" s="84"/>
      <c r="B29" s="84"/>
      <c r="C29" s="84"/>
      <c r="D29" s="84"/>
      <c r="E29" s="84" t="s">
        <v>634</v>
      </c>
      <c r="F29" s="85">
        <v>44985</v>
      </c>
      <c r="G29" s="84" t="s">
        <v>1999</v>
      </c>
      <c r="H29" s="84" t="s">
        <v>2087</v>
      </c>
      <c r="I29" s="84" t="s">
        <v>2123</v>
      </c>
      <c r="J29" s="84" t="s">
        <v>659</v>
      </c>
      <c r="K29" s="87">
        <v>400</v>
      </c>
    </row>
    <row r="30" spans="1:11" ht="14.6" x14ac:dyDescent="0.4">
      <c r="A30" s="84"/>
      <c r="B30" s="84"/>
      <c r="C30" s="84"/>
      <c r="D30" s="84"/>
      <c r="E30" s="84" t="s">
        <v>704</v>
      </c>
      <c r="F30" s="85">
        <v>44985</v>
      </c>
      <c r="G30" s="84" t="s">
        <v>2000</v>
      </c>
      <c r="H30" s="84" t="s">
        <v>1069</v>
      </c>
      <c r="I30" s="84" t="s">
        <v>2124</v>
      </c>
      <c r="J30" s="84" t="s">
        <v>771</v>
      </c>
      <c r="K30" s="87">
        <v>228</v>
      </c>
    </row>
    <row r="31" spans="1:11" ht="14.6" x14ac:dyDescent="0.4">
      <c r="A31" s="84"/>
      <c r="B31" s="84"/>
      <c r="C31" s="84"/>
      <c r="D31" s="84"/>
      <c r="E31" s="84" t="s">
        <v>634</v>
      </c>
      <c r="F31" s="85">
        <v>44992</v>
      </c>
      <c r="G31" s="84" t="s">
        <v>2001</v>
      </c>
      <c r="H31" s="84" t="s">
        <v>1068</v>
      </c>
      <c r="I31" s="84" t="s">
        <v>3347</v>
      </c>
      <c r="J31" s="84" t="s">
        <v>659</v>
      </c>
      <c r="K31" s="87">
        <v>20876</v>
      </c>
    </row>
    <row r="32" spans="1:11" ht="14.6" x14ac:dyDescent="0.4">
      <c r="A32" s="84"/>
      <c r="B32" s="84"/>
      <c r="C32" s="84"/>
      <c r="D32" s="84"/>
      <c r="E32" s="84" t="s">
        <v>634</v>
      </c>
      <c r="F32" s="85">
        <v>44992</v>
      </c>
      <c r="G32" s="84" t="s">
        <v>2002</v>
      </c>
      <c r="H32" s="84" t="s">
        <v>2083</v>
      </c>
      <c r="I32" s="84" t="s">
        <v>2125</v>
      </c>
      <c r="J32" s="84" t="s">
        <v>659</v>
      </c>
      <c r="K32" s="87">
        <v>82430.78</v>
      </c>
    </row>
    <row r="33" spans="1:11" ht="14.6" x14ac:dyDescent="0.4">
      <c r="A33" s="84"/>
      <c r="B33" s="84"/>
      <c r="C33" s="84"/>
      <c r="D33" s="84"/>
      <c r="E33" s="84" t="s">
        <v>634</v>
      </c>
      <c r="F33" s="85">
        <v>44992</v>
      </c>
      <c r="G33" s="84" t="s">
        <v>2002</v>
      </c>
      <c r="H33" s="84" t="s">
        <v>2083</v>
      </c>
      <c r="I33" s="84" t="s">
        <v>2126</v>
      </c>
      <c r="J33" s="84" t="s">
        <v>659</v>
      </c>
      <c r="K33" s="87">
        <v>1000</v>
      </c>
    </row>
    <row r="34" spans="1:11" ht="14.6" x14ac:dyDescent="0.4">
      <c r="A34" s="84"/>
      <c r="B34" s="84"/>
      <c r="C34" s="84"/>
      <c r="D34" s="84"/>
      <c r="E34" s="84" t="s">
        <v>634</v>
      </c>
      <c r="F34" s="85">
        <v>44992</v>
      </c>
      <c r="G34" s="84" t="s">
        <v>2001</v>
      </c>
      <c r="H34" s="84" t="s">
        <v>1068</v>
      </c>
      <c r="I34" s="84" t="s">
        <v>3348</v>
      </c>
      <c r="J34" s="84" t="s">
        <v>659</v>
      </c>
      <c r="K34" s="87">
        <v>3100</v>
      </c>
    </row>
    <row r="35" spans="1:11" ht="14.6" x14ac:dyDescent="0.4">
      <c r="A35" s="84"/>
      <c r="B35" s="84"/>
      <c r="C35" s="84"/>
      <c r="D35" s="84"/>
      <c r="E35" s="84" t="s">
        <v>704</v>
      </c>
      <c r="F35" s="85">
        <v>44994</v>
      </c>
      <c r="G35" s="84" t="s">
        <v>2003</v>
      </c>
      <c r="H35" s="84" t="s">
        <v>2088</v>
      </c>
      <c r="I35" s="84" t="s">
        <v>2127</v>
      </c>
      <c r="J35" s="84" t="s">
        <v>771</v>
      </c>
      <c r="K35" s="87">
        <v>1300</v>
      </c>
    </row>
    <row r="36" spans="1:11" ht="14.6" x14ac:dyDescent="0.4">
      <c r="A36" s="84"/>
      <c r="B36" s="84"/>
      <c r="C36" s="84"/>
      <c r="D36" s="84"/>
      <c r="E36" s="84" t="s">
        <v>634</v>
      </c>
      <c r="F36" s="85">
        <v>44999</v>
      </c>
      <c r="G36" s="84" t="s">
        <v>2004</v>
      </c>
      <c r="H36" s="84" t="s">
        <v>2089</v>
      </c>
      <c r="I36" s="84" t="s">
        <v>2128</v>
      </c>
      <c r="J36" s="84" t="s">
        <v>659</v>
      </c>
      <c r="K36" s="87">
        <v>450</v>
      </c>
    </row>
    <row r="37" spans="1:11" ht="14.6" x14ac:dyDescent="0.4">
      <c r="A37" s="84"/>
      <c r="B37" s="84"/>
      <c r="C37" s="84"/>
      <c r="D37" s="84"/>
      <c r="E37" s="84" t="s">
        <v>634</v>
      </c>
      <c r="F37" s="85">
        <v>44999</v>
      </c>
      <c r="G37" s="84" t="s">
        <v>2005</v>
      </c>
      <c r="H37" s="84" t="s">
        <v>881</v>
      </c>
      <c r="I37" s="84" t="s">
        <v>2129</v>
      </c>
      <c r="J37" s="84" t="s">
        <v>659</v>
      </c>
      <c r="K37" s="87">
        <v>450</v>
      </c>
    </row>
    <row r="38" spans="1:11" ht="14.6" x14ac:dyDescent="0.4">
      <c r="A38" s="84"/>
      <c r="B38" s="84"/>
      <c r="C38" s="84"/>
      <c r="D38" s="84"/>
      <c r="E38" s="84" t="s">
        <v>634</v>
      </c>
      <c r="F38" s="85">
        <v>44999</v>
      </c>
      <c r="G38" s="84" t="s">
        <v>2006</v>
      </c>
      <c r="H38" s="84" t="s">
        <v>881</v>
      </c>
      <c r="I38" s="84" t="s">
        <v>2130</v>
      </c>
      <c r="J38" s="84" t="s">
        <v>659</v>
      </c>
      <c r="K38" s="87">
        <v>450</v>
      </c>
    </row>
    <row r="39" spans="1:11" ht="14.6" x14ac:dyDescent="0.4">
      <c r="A39" s="84"/>
      <c r="B39" s="84"/>
      <c r="C39" s="84"/>
      <c r="D39" s="84"/>
      <c r="E39" s="84" t="s">
        <v>634</v>
      </c>
      <c r="F39" s="85">
        <v>44999</v>
      </c>
      <c r="G39" s="84" t="s">
        <v>2007</v>
      </c>
      <c r="H39" s="84" t="s">
        <v>881</v>
      </c>
      <c r="I39" s="84" t="s">
        <v>2131</v>
      </c>
      <c r="J39" s="84" t="s">
        <v>659</v>
      </c>
      <c r="K39" s="87">
        <v>450</v>
      </c>
    </row>
    <row r="40" spans="1:11" ht="14.6" x14ac:dyDescent="0.4">
      <c r="A40" s="84"/>
      <c r="B40" s="84"/>
      <c r="C40" s="84"/>
      <c r="D40" s="84"/>
      <c r="E40" s="84" t="s">
        <v>634</v>
      </c>
      <c r="F40" s="85">
        <v>44999</v>
      </c>
      <c r="G40" s="84" t="s">
        <v>2008</v>
      </c>
      <c r="H40" s="84" t="s">
        <v>881</v>
      </c>
      <c r="I40" s="84" t="s">
        <v>2132</v>
      </c>
      <c r="J40" s="84" t="s">
        <v>659</v>
      </c>
      <c r="K40" s="87">
        <v>450</v>
      </c>
    </row>
    <row r="41" spans="1:11" ht="14.6" x14ac:dyDescent="0.4">
      <c r="A41" s="84"/>
      <c r="B41" s="84"/>
      <c r="C41" s="84"/>
      <c r="D41" s="84"/>
      <c r="E41" s="84" t="s">
        <v>634</v>
      </c>
      <c r="F41" s="85">
        <v>45006</v>
      </c>
      <c r="G41" s="84" t="s">
        <v>2009</v>
      </c>
      <c r="H41" s="84" t="s">
        <v>881</v>
      </c>
      <c r="I41" s="84" t="s">
        <v>2133</v>
      </c>
      <c r="J41" s="84" t="s">
        <v>659</v>
      </c>
      <c r="K41" s="87">
        <v>450</v>
      </c>
    </row>
    <row r="42" spans="1:11" ht="14.6" x14ac:dyDescent="0.4">
      <c r="A42" s="84"/>
      <c r="B42" s="84"/>
      <c r="C42" s="84"/>
      <c r="D42" s="84"/>
      <c r="E42" s="84" t="s">
        <v>634</v>
      </c>
      <c r="F42" s="85">
        <v>45006</v>
      </c>
      <c r="G42" s="84" t="s">
        <v>2010</v>
      </c>
      <c r="H42" s="84" t="s">
        <v>881</v>
      </c>
      <c r="I42" s="84" t="s">
        <v>2134</v>
      </c>
      <c r="J42" s="84" t="s">
        <v>659</v>
      </c>
      <c r="K42" s="87">
        <v>450</v>
      </c>
    </row>
    <row r="43" spans="1:11" ht="14.6" x14ac:dyDescent="0.4">
      <c r="A43" s="84"/>
      <c r="B43" s="84"/>
      <c r="C43" s="84"/>
      <c r="D43" s="84"/>
      <c r="E43" s="84" t="s">
        <v>688</v>
      </c>
      <c r="F43" s="85">
        <v>45006</v>
      </c>
      <c r="G43" s="84" t="s">
        <v>2011</v>
      </c>
      <c r="H43" s="84" t="s">
        <v>2090</v>
      </c>
      <c r="I43" s="84" t="s">
        <v>2135</v>
      </c>
      <c r="J43" s="84" t="s">
        <v>773</v>
      </c>
      <c r="K43" s="87">
        <v>17956.25</v>
      </c>
    </row>
    <row r="44" spans="1:11" ht="14.6" x14ac:dyDescent="0.4">
      <c r="A44" s="84"/>
      <c r="B44" s="84"/>
      <c r="C44" s="84"/>
      <c r="D44" s="84"/>
      <c r="E44" s="84" t="s">
        <v>634</v>
      </c>
      <c r="F44" s="85">
        <v>45006</v>
      </c>
      <c r="G44" s="84" t="s">
        <v>2012</v>
      </c>
      <c r="H44" s="84" t="s">
        <v>896</v>
      </c>
      <c r="I44" s="84" t="s">
        <v>2136</v>
      </c>
      <c r="J44" s="84" t="s">
        <v>659</v>
      </c>
      <c r="K44" s="87">
        <v>15200</v>
      </c>
    </row>
    <row r="45" spans="1:11" ht="14.6" x14ac:dyDescent="0.4">
      <c r="A45" s="84"/>
      <c r="B45" s="84"/>
      <c r="C45" s="84"/>
      <c r="D45" s="84"/>
      <c r="E45" s="84" t="s">
        <v>634</v>
      </c>
      <c r="F45" s="85">
        <v>45011</v>
      </c>
      <c r="G45" s="84" t="s">
        <v>2013</v>
      </c>
      <c r="H45" s="84" t="s">
        <v>880</v>
      </c>
      <c r="I45" s="84" t="s">
        <v>3344</v>
      </c>
      <c r="J45" s="84" t="s">
        <v>659</v>
      </c>
      <c r="K45" s="87">
        <v>2500</v>
      </c>
    </row>
    <row r="46" spans="1:11" ht="14.6" x14ac:dyDescent="0.4">
      <c r="A46" s="84"/>
      <c r="B46" s="84"/>
      <c r="C46" s="84"/>
      <c r="D46" s="84"/>
      <c r="E46" s="84" t="s">
        <v>634</v>
      </c>
      <c r="F46" s="85">
        <v>45011</v>
      </c>
      <c r="G46" s="84" t="s">
        <v>2014</v>
      </c>
      <c r="H46" s="84" t="s">
        <v>880</v>
      </c>
      <c r="I46" s="84" t="s">
        <v>3344</v>
      </c>
      <c r="J46" s="84" t="s">
        <v>659</v>
      </c>
      <c r="K46" s="87">
        <v>2500</v>
      </c>
    </row>
    <row r="47" spans="1:11" ht="14.6" x14ac:dyDescent="0.4">
      <c r="A47" s="84"/>
      <c r="B47" s="84"/>
      <c r="C47" s="84"/>
      <c r="D47" s="84"/>
      <c r="E47" s="84" t="s">
        <v>634</v>
      </c>
      <c r="F47" s="85">
        <v>45013</v>
      </c>
      <c r="G47" s="84" t="s">
        <v>2015</v>
      </c>
      <c r="H47" s="84" t="s">
        <v>881</v>
      </c>
      <c r="I47" s="84" t="s">
        <v>2137</v>
      </c>
      <c r="J47" s="84" t="s">
        <v>659</v>
      </c>
      <c r="K47" s="87">
        <v>450</v>
      </c>
    </row>
    <row r="48" spans="1:11" ht="14.6" x14ac:dyDescent="0.4">
      <c r="A48" s="84"/>
      <c r="B48" s="84"/>
      <c r="C48" s="84"/>
      <c r="D48" s="84"/>
      <c r="E48" s="84" t="s">
        <v>634</v>
      </c>
      <c r="F48" s="85">
        <v>45016</v>
      </c>
      <c r="G48" s="84" t="s">
        <v>2016</v>
      </c>
      <c r="H48" s="84" t="s">
        <v>2087</v>
      </c>
      <c r="I48" s="84" t="s">
        <v>2123</v>
      </c>
      <c r="J48" s="84" t="s">
        <v>659</v>
      </c>
      <c r="K48" s="87">
        <v>950</v>
      </c>
    </row>
    <row r="49" spans="1:11" ht="14.6" x14ac:dyDescent="0.4">
      <c r="A49" s="84"/>
      <c r="B49" s="84"/>
      <c r="C49" s="84"/>
      <c r="D49" s="84"/>
      <c r="E49" s="84" t="s">
        <v>634</v>
      </c>
      <c r="F49" s="85">
        <v>45017</v>
      </c>
      <c r="G49" s="84" t="s">
        <v>2017</v>
      </c>
      <c r="H49" s="84" t="s">
        <v>2091</v>
      </c>
      <c r="I49" s="84" t="s">
        <v>2138</v>
      </c>
      <c r="J49" s="84" t="s">
        <v>659</v>
      </c>
      <c r="K49" s="87">
        <v>19500</v>
      </c>
    </row>
    <row r="50" spans="1:11" ht="14.6" x14ac:dyDescent="0.4">
      <c r="A50" s="84"/>
      <c r="B50" s="84"/>
      <c r="C50" s="84"/>
      <c r="D50" s="84"/>
      <c r="E50" s="84" t="s">
        <v>634</v>
      </c>
      <c r="F50" s="85">
        <v>45020</v>
      </c>
      <c r="G50" s="84" t="s">
        <v>2018</v>
      </c>
      <c r="H50" s="84" t="s">
        <v>881</v>
      </c>
      <c r="I50" s="84" t="s">
        <v>2139</v>
      </c>
      <c r="J50" s="84" t="s">
        <v>659</v>
      </c>
      <c r="K50" s="87">
        <v>450</v>
      </c>
    </row>
    <row r="51" spans="1:11" ht="14.6" x14ac:dyDescent="0.4">
      <c r="A51" s="84"/>
      <c r="B51" s="84"/>
      <c r="C51" s="84"/>
      <c r="D51" s="84"/>
      <c r="E51" s="84" t="s">
        <v>634</v>
      </c>
      <c r="F51" s="85">
        <v>45020</v>
      </c>
      <c r="G51" s="84" t="s">
        <v>2019</v>
      </c>
      <c r="H51" s="84" t="s">
        <v>881</v>
      </c>
      <c r="I51" s="84" t="s">
        <v>2140</v>
      </c>
      <c r="J51" s="84" t="s">
        <v>659</v>
      </c>
      <c r="K51" s="87">
        <v>750</v>
      </c>
    </row>
    <row r="52" spans="1:11" ht="14.6" x14ac:dyDescent="0.4">
      <c r="A52" s="84"/>
      <c r="B52" s="84"/>
      <c r="C52" s="84"/>
      <c r="D52" s="84"/>
      <c r="E52" s="84" t="s">
        <v>634</v>
      </c>
      <c r="F52" s="85">
        <v>45021</v>
      </c>
      <c r="G52" s="84" t="s">
        <v>2020</v>
      </c>
      <c r="H52" s="84" t="s">
        <v>2092</v>
      </c>
      <c r="I52" s="84" t="s">
        <v>2141</v>
      </c>
      <c r="J52" s="84" t="s">
        <v>659</v>
      </c>
      <c r="K52" s="87">
        <v>250</v>
      </c>
    </row>
    <row r="53" spans="1:11" ht="14.6" x14ac:dyDescent="0.4">
      <c r="A53" s="84"/>
      <c r="B53" s="84"/>
      <c r="C53" s="84"/>
      <c r="D53" s="84"/>
      <c r="E53" s="84" t="s">
        <v>704</v>
      </c>
      <c r="F53" s="85">
        <v>45021</v>
      </c>
      <c r="G53" s="84" t="s">
        <v>2021</v>
      </c>
      <c r="H53" s="84" t="s">
        <v>1069</v>
      </c>
      <c r="I53" s="84" t="s">
        <v>2124</v>
      </c>
      <c r="J53" s="84" t="s">
        <v>771</v>
      </c>
      <c r="K53" s="87">
        <v>228</v>
      </c>
    </row>
    <row r="54" spans="1:11" ht="14.6" x14ac:dyDescent="0.4">
      <c r="A54" s="84"/>
      <c r="B54" s="84"/>
      <c r="C54" s="84"/>
      <c r="D54" s="84"/>
      <c r="E54" s="84" t="s">
        <v>634</v>
      </c>
      <c r="F54" s="85">
        <v>45022</v>
      </c>
      <c r="G54" s="84" t="s">
        <v>2022</v>
      </c>
      <c r="H54" s="84" t="s">
        <v>2093</v>
      </c>
      <c r="I54" s="84" t="s">
        <v>2142</v>
      </c>
      <c r="J54" s="84" t="s">
        <v>659</v>
      </c>
      <c r="K54" s="87">
        <v>800</v>
      </c>
    </row>
    <row r="55" spans="1:11" ht="14.6" x14ac:dyDescent="0.4">
      <c r="A55" s="84"/>
      <c r="B55" s="84"/>
      <c r="C55" s="84"/>
      <c r="D55" s="84"/>
      <c r="E55" s="84" t="s">
        <v>634</v>
      </c>
      <c r="F55" s="85">
        <v>45022</v>
      </c>
      <c r="G55" s="84" t="s">
        <v>2023</v>
      </c>
      <c r="H55" s="84" t="s">
        <v>881</v>
      </c>
      <c r="I55" s="84" t="s">
        <v>2143</v>
      </c>
      <c r="J55" s="84" t="s">
        <v>659</v>
      </c>
      <c r="K55" s="87">
        <v>750</v>
      </c>
    </row>
    <row r="56" spans="1:11" ht="14.6" x14ac:dyDescent="0.4">
      <c r="A56" s="84"/>
      <c r="B56" s="84"/>
      <c r="C56" s="84"/>
      <c r="D56" s="84"/>
      <c r="E56" s="84" t="s">
        <v>634</v>
      </c>
      <c r="F56" s="85">
        <v>45026</v>
      </c>
      <c r="G56" s="84" t="s">
        <v>2024</v>
      </c>
      <c r="H56" s="84" t="s">
        <v>2094</v>
      </c>
      <c r="I56" s="84" t="s">
        <v>2144</v>
      </c>
      <c r="J56" s="84" t="s">
        <v>659</v>
      </c>
      <c r="K56" s="87">
        <v>2700</v>
      </c>
    </row>
    <row r="57" spans="1:11" ht="14.6" x14ac:dyDescent="0.4">
      <c r="A57" s="84"/>
      <c r="B57" s="84"/>
      <c r="C57" s="84"/>
      <c r="D57" s="84"/>
      <c r="E57" s="84" t="s">
        <v>634</v>
      </c>
      <c r="F57" s="85">
        <v>45027</v>
      </c>
      <c r="G57" s="84" t="s">
        <v>2025</v>
      </c>
      <c r="H57" s="84" t="s">
        <v>2094</v>
      </c>
      <c r="I57" s="84" t="s">
        <v>2145</v>
      </c>
      <c r="J57" s="84" t="s">
        <v>659</v>
      </c>
      <c r="K57" s="87">
        <v>500</v>
      </c>
    </row>
    <row r="58" spans="1:11" ht="14.6" x14ac:dyDescent="0.4">
      <c r="A58" s="84"/>
      <c r="B58" s="84"/>
      <c r="C58" s="84"/>
      <c r="D58" s="84"/>
      <c r="E58" s="84" t="s">
        <v>634</v>
      </c>
      <c r="F58" s="85">
        <v>45027</v>
      </c>
      <c r="G58" s="84" t="s">
        <v>2026</v>
      </c>
      <c r="H58" s="84" t="s">
        <v>2095</v>
      </c>
      <c r="I58" s="84" t="s">
        <v>2146</v>
      </c>
      <c r="J58" s="84" t="s">
        <v>659</v>
      </c>
      <c r="K58" s="87">
        <v>16500</v>
      </c>
    </row>
    <row r="59" spans="1:11" ht="14.6" x14ac:dyDescent="0.4">
      <c r="A59" s="84"/>
      <c r="B59" s="84"/>
      <c r="C59" s="84"/>
      <c r="D59" s="84"/>
      <c r="E59" s="84" t="s">
        <v>634</v>
      </c>
      <c r="F59" s="85">
        <v>45028</v>
      </c>
      <c r="G59" s="84" t="s">
        <v>2027</v>
      </c>
      <c r="H59" s="84" t="s">
        <v>2096</v>
      </c>
      <c r="I59" s="84" t="s">
        <v>2147</v>
      </c>
      <c r="J59" s="84" t="s">
        <v>659</v>
      </c>
      <c r="K59" s="87">
        <v>450</v>
      </c>
    </row>
    <row r="60" spans="1:11" ht="14.6" x14ac:dyDescent="0.4">
      <c r="A60" s="84"/>
      <c r="B60" s="84"/>
      <c r="C60" s="84"/>
      <c r="D60" s="84"/>
      <c r="E60" s="84" t="s">
        <v>634</v>
      </c>
      <c r="F60" s="85">
        <v>45033</v>
      </c>
      <c r="G60" s="84" t="s">
        <v>2028</v>
      </c>
      <c r="H60" s="84" t="s">
        <v>434</v>
      </c>
      <c r="I60" s="84" t="s">
        <v>2109</v>
      </c>
      <c r="J60" s="84" t="s">
        <v>659</v>
      </c>
      <c r="K60" s="87">
        <v>1000</v>
      </c>
    </row>
    <row r="61" spans="1:11" ht="14.6" x14ac:dyDescent="0.4">
      <c r="A61" s="84"/>
      <c r="B61" s="84"/>
      <c r="C61" s="84"/>
      <c r="D61" s="84"/>
      <c r="E61" s="84" t="s">
        <v>634</v>
      </c>
      <c r="F61" s="85">
        <v>45034</v>
      </c>
      <c r="G61" s="84" t="s">
        <v>2029</v>
      </c>
      <c r="H61" s="84" t="s">
        <v>2097</v>
      </c>
      <c r="I61" s="84" t="s">
        <v>2148</v>
      </c>
      <c r="J61" s="84" t="s">
        <v>659</v>
      </c>
      <c r="K61" s="87">
        <v>450</v>
      </c>
    </row>
    <row r="62" spans="1:11" ht="14.6" x14ac:dyDescent="0.4">
      <c r="A62" s="84"/>
      <c r="B62" s="84"/>
      <c r="C62" s="84"/>
      <c r="D62" s="84"/>
      <c r="E62" s="84" t="s">
        <v>634</v>
      </c>
      <c r="F62" s="85">
        <v>45035</v>
      </c>
      <c r="G62" s="84" t="s">
        <v>2030</v>
      </c>
      <c r="H62" s="84" t="s">
        <v>2082</v>
      </c>
      <c r="I62" s="84" t="s">
        <v>2116</v>
      </c>
      <c r="J62" s="84" t="s">
        <v>659</v>
      </c>
      <c r="K62" s="87">
        <v>70</v>
      </c>
    </row>
    <row r="63" spans="1:11" ht="14.6" x14ac:dyDescent="0.4">
      <c r="A63" s="84"/>
      <c r="B63" s="84"/>
      <c r="C63" s="84"/>
      <c r="D63" s="84"/>
      <c r="E63" s="84" t="s">
        <v>634</v>
      </c>
      <c r="F63" s="85">
        <v>45043</v>
      </c>
      <c r="G63" s="84" t="s">
        <v>2031</v>
      </c>
      <c r="H63" s="84" t="s">
        <v>2098</v>
      </c>
      <c r="I63" s="84" t="s">
        <v>2123</v>
      </c>
      <c r="J63" s="84" t="s">
        <v>659</v>
      </c>
      <c r="K63" s="87">
        <v>10745</v>
      </c>
    </row>
    <row r="64" spans="1:11" ht="14.6" x14ac:dyDescent="0.4">
      <c r="A64" s="84"/>
      <c r="B64" s="84"/>
      <c r="C64" s="84"/>
      <c r="D64" s="84"/>
      <c r="E64" s="84" t="s">
        <v>634</v>
      </c>
      <c r="F64" s="85">
        <v>45046</v>
      </c>
      <c r="G64" s="84" t="s">
        <v>2032</v>
      </c>
      <c r="H64" s="84" t="s">
        <v>2086</v>
      </c>
      <c r="I64" s="84" t="s">
        <v>2149</v>
      </c>
      <c r="J64" s="84" t="s">
        <v>659</v>
      </c>
      <c r="K64" s="87">
        <v>114.99</v>
      </c>
    </row>
    <row r="65" spans="1:11" ht="14.6" x14ac:dyDescent="0.4">
      <c r="A65" s="84"/>
      <c r="B65" s="84"/>
      <c r="C65" s="84"/>
      <c r="D65" s="84"/>
      <c r="E65" s="84" t="s">
        <v>634</v>
      </c>
      <c r="F65" s="85">
        <v>45046</v>
      </c>
      <c r="G65" s="84" t="s">
        <v>2033</v>
      </c>
      <c r="H65" s="84" t="s">
        <v>2087</v>
      </c>
      <c r="I65" s="84" t="s">
        <v>2123</v>
      </c>
      <c r="J65" s="84" t="s">
        <v>659</v>
      </c>
      <c r="K65" s="87">
        <v>100</v>
      </c>
    </row>
    <row r="66" spans="1:11" ht="14.6" x14ac:dyDescent="0.4">
      <c r="A66" s="84"/>
      <c r="B66" s="84"/>
      <c r="C66" s="84"/>
      <c r="D66" s="84"/>
      <c r="E66" s="84" t="s">
        <v>704</v>
      </c>
      <c r="F66" s="85">
        <v>45046</v>
      </c>
      <c r="G66" s="84" t="s">
        <v>2034</v>
      </c>
      <c r="H66" s="84" t="s">
        <v>1069</v>
      </c>
      <c r="I66" s="84" t="s">
        <v>2124</v>
      </c>
      <c r="J66" s="84" t="s">
        <v>771</v>
      </c>
      <c r="K66" s="87">
        <v>228</v>
      </c>
    </row>
    <row r="67" spans="1:11" ht="14.6" x14ac:dyDescent="0.4">
      <c r="A67" s="84"/>
      <c r="B67" s="84"/>
      <c r="C67" s="84"/>
      <c r="D67" s="84"/>
      <c r="E67" s="84" t="s">
        <v>634</v>
      </c>
      <c r="F67" s="85">
        <v>45047</v>
      </c>
      <c r="G67" s="84" t="s">
        <v>2035</v>
      </c>
      <c r="H67" s="84" t="s">
        <v>2094</v>
      </c>
      <c r="I67" s="84" t="s">
        <v>2144</v>
      </c>
      <c r="J67" s="84" t="s">
        <v>659</v>
      </c>
      <c r="K67" s="87">
        <v>2700</v>
      </c>
    </row>
    <row r="68" spans="1:11" ht="14.6" x14ac:dyDescent="0.4">
      <c r="A68" s="84"/>
      <c r="B68" s="84"/>
      <c r="C68" s="84"/>
      <c r="D68" s="84"/>
      <c r="E68" s="84" t="s">
        <v>634</v>
      </c>
      <c r="F68" s="85">
        <v>45047</v>
      </c>
      <c r="G68" s="84" t="s">
        <v>2036</v>
      </c>
      <c r="H68" s="84" t="s">
        <v>2099</v>
      </c>
      <c r="I68" s="84" t="s">
        <v>2150</v>
      </c>
      <c r="J68" s="84" t="s">
        <v>659</v>
      </c>
      <c r="K68" s="87">
        <v>8000</v>
      </c>
    </row>
    <row r="69" spans="1:11" ht="14.6" x14ac:dyDescent="0.4">
      <c r="A69" s="84"/>
      <c r="B69" s="84"/>
      <c r="C69" s="84"/>
      <c r="D69" s="84"/>
      <c r="E69" s="84" t="s">
        <v>634</v>
      </c>
      <c r="F69" s="85">
        <v>45048</v>
      </c>
      <c r="G69" s="84" t="s">
        <v>2037</v>
      </c>
      <c r="H69" s="84" t="s">
        <v>2100</v>
      </c>
      <c r="I69" s="84" t="s">
        <v>2151</v>
      </c>
      <c r="J69" s="84" t="s">
        <v>659</v>
      </c>
      <c r="K69" s="87">
        <v>450</v>
      </c>
    </row>
    <row r="70" spans="1:11" ht="14.6" x14ac:dyDescent="0.4">
      <c r="A70" s="84"/>
      <c r="B70" s="84"/>
      <c r="C70" s="84"/>
      <c r="D70" s="84"/>
      <c r="E70" s="84" t="s">
        <v>634</v>
      </c>
      <c r="F70" s="85">
        <v>45055</v>
      </c>
      <c r="G70" s="84" t="s">
        <v>2038</v>
      </c>
      <c r="H70" s="84" t="s">
        <v>881</v>
      </c>
      <c r="I70" s="84" t="s">
        <v>2152</v>
      </c>
      <c r="J70" s="84" t="s">
        <v>659</v>
      </c>
      <c r="K70" s="87">
        <v>1000</v>
      </c>
    </row>
    <row r="71" spans="1:11" ht="14.6" x14ac:dyDescent="0.4">
      <c r="A71" s="84"/>
      <c r="B71" s="84"/>
      <c r="C71" s="84"/>
      <c r="D71" s="84"/>
      <c r="E71" s="84" t="s">
        <v>634</v>
      </c>
      <c r="F71" s="85">
        <v>45060</v>
      </c>
      <c r="G71" s="84" t="s">
        <v>2039</v>
      </c>
      <c r="H71" s="84" t="s">
        <v>880</v>
      </c>
      <c r="I71" s="84" t="s">
        <v>3344</v>
      </c>
      <c r="J71" s="84" t="s">
        <v>659</v>
      </c>
      <c r="K71" s="87">
        <v>2500</v>
      </c>
    </row>
    <row r="72" spans="1:11" ht="14.6" x14ac:dyDescent="0.4">
      <c r="A72" s="84"/>
      <c r="B72" s="84"/>
      <c r="C72" s="84"/>
      <c r="D72" s="84"/>
      <c r="E72" s="84" t="s">
        <v>704</v>
      </c>
      <c r="F72" s="85">
        <v>45061</v>
      </c>
      <c r="G72" s="84" t="s">
        <v>2040</v>
      </c>
      <c r="H72" s="84" t="s">
        <v>2088</v>
      </c>
      <c r="I72" s="84" t="s">
        <v>2127</v>
      </c>
      <c r="J72" s="84" t="s">
        <v>771</v>
      </c>
      <c r="K72" s="87">
        <v>600</v>
      </c>
    </row>
    <row r="73" spans="1:11" ht="14.6" x14ac:dyDescent="0.4">
      <c r="A73" s="84"/>
      <c r="B73" s="84"/>
      <c r="C73" s="84"/>
      <c r="D73" s="84"/>
      <c r="E73" s="84" t="s">
        <v>704</v>
      </c>
      <c r="F73" s="85">
        <v>45061</v>
      </c>
      <c r="G73" s="84" t="s">
        <v>2041</v>
      </c>
      <c r="H73" s="84" t="s">
        <v>2088</v>
      </c>
      <c r="I73" s="84" t="s">
        <v>2127</v>
      </c>
      <c r="J73" s="84" t="s">
        <v>771</v>
      </c>
      <c r="K73" s="87">
        <v>600</v>
      </c>
    </row>
    <row r="74" spans="1:11" ht="14.6" x14ac:dyDescent="0.4">
      <c r="A74" s="84"/>
      <c r="B74" s="84"/>
      <c r="C74" s="84"/>
      <c r="D74" s="84"/>
      <c r="E74" s="84" t="s">
        <v>634</v>
      </c>
      <c r="F74" s="85">
        <v>45064</v>
      </c>
      <c r="G74" s="84" t="s">
        <v>2042</v>
      </c>
      <c r="H74" s="84" t="s">
        <v>2098</v>
      </c>
      <c r="I74" s="84" t="s">
        <v>2123</v>
      </c>
      <c r="J74" s="84" t="s">
        <v>659</v>
      </c>
      <c r="K74" s="87">
        <v>2800</v>
      </c>
    </row>
    <row r="75" spans="1:11" ht="14.6" x14ac:dyDescent="0.4">
      <c r="A75" s="84"/>
      <c r="B75" s="84"/>
      <c r="C75" s="84"/>
      <c r="D75" s="84"/>
      <c r="E75" s="84" t="s">
        <v>634</v>
      </c>
      <c r="F75" s="85">
        <v>45066</v>
      </c>
      <c r="G75" s="84" t="s">
        <v>2043</v>
      </c>
      <c r="H75" s="84" t="s">
        <v>1068</v>
      </c>
      <c r="I75" s="84" t="s">
        <v>3349</v>
      </c>
      <c r="J75" s="84" t="s">
        <v>659</v>
      </c>
      <c r="K75" s="87">
        <v>29417.5</v>
      </c>
    </row>
    <row r="76" spans="1:11" ht="14.6" x14ac:dyDescent="0.4">
      <c r="A76" s="84"/>
      <c r="B76" s="84"/>
      <c r="C76" s="84"/>
      <c r="D76" s="84"/>
      <c r="E76" s="84" t="s">
        <v>634</v>
      </c>
      <c r="F76" s="85">
        <v>45066</v>
      </c>
      <c r="G76" s="84" t="s">
        <v>2044</v>
      </c>
      <c r="H76" s="84" t="s">
        <v>2091</v>
      </c>
      <c r="I76" s="84" t="s">
        <v>2138</v>
      </c>
      <c r="J76" s="84" t="s">
        <v>659</v>
      </c>
      <c r="K76" s="87">
        <v>19500</v>
      </c>
    </row>
    <row r="77" spans="1:11" ht="14.6" x14ac:dyDescent="0.4">
      <c r="A77" s="84"/>
      <c r="B77" s="84"/>
      <c r="C77" s="84"/>
      <c r="D77" s="84"/>
      <c r="E77" s="84" t="s">
        <v>634</v>
      </c>
      <c r="F77" s="85">
        <v>45069</v>
      </c>
      <c r="G77" s="84" t="s">
        <v>2045</v>
      </c>
      <c r="H77" s="84" t="s">
        <v>1068</v>
      </c>
      <c r="I77" s="84" t="s">
        <v>3350</v>
      </c>
      <c r="J77" s="84" t="s">
        <v>659</v>
      </c>
      <c r="K77" s="87">
        <v>22485.25</v>
      </c>
    </row>
    <row r="78" spans="1:11" ht="14.6" x14ac:dyDescent="0.4">
      <c r="A78" s="84"/>
      <c r="B78" s="84"/>
      <c r="C78" s="84"/>
      <c r="D78" s="84"/>
      <c r="E78" s="84" t="s">
        <v>634</v>
      </c>
      <c r="F78" s="85">
        <v>45070</v>
      </c>
      <c r="G78" s="84" t="s">
        <v>2046</v>
      </c>
      <c r="H78" s="84" t="s">
        <v>1068</v>
      </c>
      <c r="I78" s="84" t="s">
        <v>3351</v>
      </c>
      <c r="J78" s="84" t="s">
        <v>659</v>
      </c>
      <c r="K78" s="87">
        <v>18492.7</v>
      </c>
    </row>
    <row r="79" spans="1:11" ht="14.6" x14ac:dyDescent="0.4">
      <c r="A79" s="84"/>
      <c r="B79" s="84"/>
      <c r="C79" s="84"/>
      <c r="D79" s="84"/>
      <c r="E79" s="84" t="s">
        <v>634</v>
      </c>
      <c r="F79" s="85">
        <v>45071</v>
      </c>
      <c r="G79" s="84" t="s">
        <v>2047</v>
      </c>
      <c r="H79" s="84" t="s">
        <v>896</v>
      </c>
      <c r="I79" s="84" t="s">
        <v>2153</v>
      </c>
      <c r="J79" s="84" t="s">
        <v>659</v>
      </c>
      <c r="K79" s="87">
        <v>17200</v>
      </c>
    </row>
    <row r="80" spans="1:11" ht="14.6" x14ac:dyDescent="0.4">
      <c r="A80" s="84"/>
      <c r="B80" s="84"/>
      <c r="C80" s="84"/>
      <c r="D80" s="84"/>
      <c r="E80" s="84" t="s">
        <v>634</v>
      </c>
      <c r="F80" s="85">
        <v>45077</v>
      </c>
      <c r="G80" s="84" t="s">
        <v>2048</v>
      </c>
      <c r="H80" s="84" t="s">
        <v>2087</v>
      </c>
      <c r="I80" s="84" t="s">
        <v>2123</v>
      </c>
      <c r="J80" s="84" t="s">
        <v>659</v>
      </c>
      <c r="K80" s="87">
        <v>300</v>
      </c>
    </row>
    <row r="81" spans="1:11" ht="14.6" x14ac:dyDescent="0.4">
      <c r="A81" s="84"/>
      <c r="B81" s="84"/>
      <c r="C81" s="84"/>
      <c r="D81" s="84"/>
      <c r="E81" s="84" t="s">
        <v>634</v>
      </c>
      <c r="F81" s="85">
        <v>45077</v>
      </c>
      <c r="G81" s="84" t="s">
        <v>2049</v>
      </c>
      <c r="H81" s="84" t="s">
        <v>2101</v>
      </c>
      <c r="I81" s="84" t="s">
        <v>2154</v>
      </c>
      <c r="J81" s="84" t="s">
        <v>659</v>
      </c>
      <c r="K81" s="87">
        <v>0</v>
      </c>
    </row>
    <row r="82" spans="1:11" ht="14.6" x14ac:dyDescent="0.4">
      <c r="A82" s="84"/>
      <c r="B82" s="84"/>
      <c r="C82" s="84"/>
      <c r="D82" s="84"/>
      <c r="E82" s="84" t="s">
        <v>634</v>
      </c>
      <c r="F82" s="85">
        <v>45077</v>
      </c>
      <c r="G82" s="84" t="s">
        <v>2050</v>
      </c>
      <c r="H82" s="84" t="s">
        <v>2102</v>
      </c>
      <c r="I82" s="84" t="s">
        <v>2155</v>
      </c>
      <c r="J82" s="84" t="s">
        <v>659</v>
      </c>
      <c r="K82" s="87">
        <v>3770.55</v>
      </c>
    </row>
    <row r="83" spans="1:11" ht="14.6" x14ac:dyDescent="0.4">
      <c r="A83" s="84"/>
      <c r="B83" s="84"/>
      <c r="C83" s="84"/>
      <c r="D83" s="84"/>
      <c r="E83" s="84" t="s">
        <v>634</v>
      </c>
      <c r="F83" s="85">
        <v>45078</v>
      </c>
      <c r="G83" s="84" t="s">
        <v>2051</v>
      </c>
      <c r="H83" s="84" t="s">
        <v>2103</v>
      </c>
      <c r="I83" s="84" t="s">
        <v>2156</v>
      </c>
      <c r="J83" s="84" t="s">
        <v>659</v>
      </c>
      <c r="K83" s="87">
        <v>990</v>
      </c>
    </row>
    <row r="84" spans="1:11" ht="14.6" x14ac:dyDescent="0.4">
      <c r="A84" s="84"/>
      <c r="B84" s="84"/>
      <c r="C84" s="84"/>
      <c r="D84" s="84"/>
      <c r="E84" s="84" t="s">
        <v>634</v>
      </c>
      <c r="F84" s="85">
        <v>45078</v>
      </c>
      <c r="G84" s="84" t="s">
        <v>2051</v>
      </c>
      <c r="H84" s="84" t="s">
        <v>2103</v>
      </c>
      <c r="I84" s="84" t="s">
        <v>2156</v>
      </c>
      <c r="J84" s="84" t="s">
        <v>659</v>
      </c>
      <c r="K84" s="87">
        <v>1485</v>
      </c>
    </row>
    <row r="85" spans="1:11" ht="14.6" x14ac:dyDescent="0.4">
      <c r="A85" s="84"/>
      <c r="B85" s="84"/>
      <c r="C85" s="84"/>
      <c r="D85" s="84"/>
      <c r="E85" s="84" t="s">
        <v>634</v>
      </c>
      <c r="F85" s="85">
        <v>45078</v>
      </c>
      <c r="G85" s="84" t="s">
        <v>2052</v>
      </c>
      <c r="H85" s="84" t="s">
        <v>2094</v>
      </c>
      <c r="I85" s="84" t="s">
        <v>2144</v>
      </c>
      <c r="J85" s="84" t="s">
        <v>659</v>
      </c>
      <c r="K85" s="87">
        <v>2700</v>
      </c>
    </row>
    <row r="86" spans="1:11" ht="14.6" x14ac:dyDescent="0.4">
      <c r="A86" s="84"/>
      <c r="B86" s="84"/>
      <c r="C86" s="84"/>
      <c r="D86" s="84"/>
      <c r="E86" s="84" t="s">
        <v>634</v>
      </c>
      <c r="F86" s="85">
        <v>45078</v>
      </c>
      <c r="G86" s="84" t="s">
        <v>2053</v>
      </c>
      <c r="H86" s="84" t="s">
        <v>881</v>
      </c>
      <c r="I86" s="84" t="s">
        <v>2157</v>
      </c>
      <c r="J86" s="84" t="s">
        <v>659</v>
      </c>
      <c r="K86" s="87">
        <v>400</v>
      </c>
    </row>
    <row r="87" spans="1:11" ht="14.6" x14ac:dyDescent="0.4">
      <c r="A87" s="84"/>
      <c r="B87" s="84"/>
      <c r="C87" s="84"/>
      <c r="D87" s="84"/>
      <c r="E87" s="84" t="s">
        <v>634</v>
      </c>
      <c r="F87" s="85">
        <v>45078</v>
      </c>
      <c r="G87" s="84" t="s">
        <v>2054</v>
      </c>
      <c r="H87" s="84" t="s">
        <v>881</v>
      </c>
      <c r="I87" s="84" t="s">
        <v>2158</v>
      </c>
      <c r="J87" s="84" t="s">
        <v>659</v>
      </c>
      <c r="K87" s="87">
        <v>400</v>
      </c>
    </row>
    <row r="88" spans="1:11" ht="14.6" x14ac:dyDescent="0.4">
      <c r="A88" s="84"/>
      <c r="B88" s="84"/>
      <c r="C88" s="84"/>
      <c r="D88" s="84"/>
      <c r="E88" s="84" t="s">
        <v>634</v>
      </c>
      <c r="F88" s="85">
        <v>45078</v>
      </c>
      <c r="G88" s="84" t="s">
        <v>2055</v>
      </c>
      <c r="H88" s="84" t="s">
        <v>881</v>
      </c>
      <c r="I88" s="84" t="s">
        <v>2159</v>
      </c>
      <c r="J88" s="84" t="s">
        <v>659</v>
      </c>
      <c r="K88" s="87">
        <v>450</v>
      </c>
    </row>
    <row r="89" spans="1:11" ht="14.6" x14ac:dyDescent="0.4">
      <c r="A89" s="84"/>
      <c r="B89" s="84"/>
      <c r="C89" s="84"/>
      <c r="D89" s="84"/>
      <c r="E89" s="84" t="s">
        <v>634</v>
      </c>
      <c r="F89" s="85">
        <v>45078</v>
      </c>
      <c r="G89" s="84" t="s">
        <v>2056</v>
      </c>
      <c r="H89" s="84" t="s">
        <v>881</v>
      </c>
      <c r="I89" s="84" t="s">
        <v>2160</v>
      </c>
      <c r="J89" s="84" t="s">
        <v>659</v>
      </c>
      <c r="K89" s="87">
        <v>450</v>
      </c>
    </row>
    <row r="90" spans="1:11" ht="14.6" x14ac:dyDescent="0.4">
      <c r="A90" s="84"/>
      <c r="B90" s="84"/>
      <c r="C90" s="84"/>
      <c r="D90" s="84"/>
      <c r="E90" s="84" t="s">
        <v>704</v>
      </c>
      <c r="F90" s="85">
        <v>45079</v>
      </c>
      <c r="G90" s="84" t="s">
        <v>2057</v>
      </c>
      <c r="H90" s="84" t="s">
        <v>1069</v>
      </c>
      <c r="I90" s="84" t="s">
        <v>2124</v>
      </c>
      <c r="J90" s="84" t="s">
        <v>771</v>
      </c>
      <c r="K90" s="87">
        <v>228</v>
      </c>
    </row>
    <row r="91" spans="1:11" ht="14.6" x14ac:dyDescent="0.4">
      <c r="A91" s="84"/>
      <c r="B91" s="84"/>
      <c r="C91" s="84"/>
      <c r="D91" s="84"/>
      <c r="E91" s="84" t="s">
        <v>634</v>
      </c>
      <c r="F91" s="85">
        <v>45082</v>
      </c>
      <c r="G91" s="84" t="s">
        <v>2058</v>
      </c>
      <c r="H91" s="84" t="s">
        <v>3334</v>
      </c>
      <c r="I91" s="84" t="s">
        <v>2161</v>
      </c>
      <c r="J91" s="84" t="s">
        <v>659</v>
      </c>
      <c r="K91" s="87">
        <v>320</v>
      </c>
    </row>
    <row r="92" spans="1:11" ht="14.6" x14ac:dyDescent="0.4">
      <c r="A92" s="84"/>
      <c r="B92" s="84"/>
      <c r="C92" s="84"/>
      <c r="D92" s="84"/>
      <c r="E92" s="84" t="s">
        <v>634</v>
      </c>
      <c r="F92" s="85">
        <v>45085</v>
      </c>
      <c r="G92" s="84" t="s">
        <v>2059</v>
      </c>
      <c r="H92" s="84" t="s">
        <v>881</v>
      </c>
      <c r="I92" s="84" t="s">
        <v>2162</v>
      </c>
      <c r="J92" s="84" t="s">
        <v>659</v>
      </c>
      <c r="K92" s="87">
        <v>750</v>
      </c>
    </row>
    <row r="93" spans="1:11" ht="14.6" x14ac:dyDescent="0.4">
      <c r="A93" s="84"/>
      <c r="B93" s="84"/>
      <c r="C93" s="84"/>
      <c r="D93" s="84"/>
      <c r="E93" s="84" t="s">
        <v>634</v>
      </c>
      <c r="F93" s="85">
        <v>45085</v>
      </c>
      <c r="G93" s="84" t="s">
        <v>2060</v>
      </c>
      <c r="H93" s="84" t="s">
        <v>2104</v>
      </c>
      <c r="I93" s="84" t="s">
        <v>2163</v>
      </c>
      <c r="J93" s="84" t="s">
        <v>659</v>
      </c>
      <c r="K93" s="87">
        <v>450</v>
      </c>
    </row>
    <row r="94" spans="1:11" ht="14.6" x14ac:dyDescent="0.4">
      <c r="A94" s="84"/>
      <c r="B94" s="84"/>
      <c r="C94" s="84"/>
      <c r="D94" s="84"/>
      <c r="E94" s="84" t="s">
        <v>634</v>
      </c>
      <c r="F94" s="85">
        <v>45085</v>
      </c>
      <c r="G94" s="84" t="s">
        <v>3182</v>
      </c>
      <c r="H94" s="84" t="s">
        <v>2099</v>
      </c>
      <c r="I94" s="84" t="s">
        <v>3352</v>
      </c>
      <c r="J94" s="84" t="s">
        <v>659</v>
      </c>
      <c r="K94" s="87">
        <v>8000</v>
      </c>
    </row>
    <row r="95" spans="1:11" ht="14.6" x14ac:dyDescent="0.4">
      <c r="A95" s="84"/>
      <c r="B95" s="84"/>
      <c r="C95" s="84"/>
      <c r="D95" s="84"/>
      <c r="E95" s="84" t="s">
        <v>634</v>
      </c>
      <c r="F95" s="85">
        <v>45085</v>
      </c>
      <c r="G95" s="84" t="s">
        <v>3183</v>
      </c>
      <c r="H95" s="84" t="s">
        <v>2099</v>
      </c>
      <c r="I95" s="84" t="s">
        <v>3353</v>
      </c>
      <c r="J95" s="84" t="s">
        <v>659</v>
      </c>
      <c r="K95" s="87">
        <v>4000</v>
      </c>
    </row>
    <row r="96" spans="1:11" ht="14.6" x14ac:dyDescent="0.4">
      <c r="A96" s="84"/>
      <c r="B96" s="84"/>
      <c r="C96" s="84"/>
      <c r="D96" s="84"/>
      <c r="E96" s="84" t="s">
        <v>634</v>
      </c>
      <c r="F96" s="85">
        <v>45090</v>
      </c>
      <c r="G96" s="84" t="s">
        <v>2061</v>
      </c>
      <c r="H96" s="84" t="s">
        <v>880</v>
      </c>
      <c r="I96" s="84" t="s">
        <v>3344</v>
      </c>
      <c r="J96" s="84" t="s">
        <v>659</v>
      </c>
      <c r="K96" s="87">
        <v>2500</v>
      </c>
    </row>
    <row r="97" spans="1:11" ht="14.6" x14ac:dyDescent="0.4">
      <c r="A97" s="84"/>
      <c r="B97" s="84"/>
      <c r="C97" s="84"/>
      <c r="D97" s="84"/>
      <c r="E97" s="84" t="s">
        <v>634</v>
      </c>
      <c r="F97" s="85">
        <v>45091</v>
      </c>
      <c r="G97" s="84" t="s">
        <v>2062</v>
      </c>
      <c r="H97" s="84" t="s">
        <v>2082</v>
      </c>
      <c r="I97" s="84" t="s">
        <v>2116</v>
      </c>
      <c r="J97" s="84" t="s">
        <v>659</v>
      </c>
      <c r="K97" s="87">
        <v>70</v>
      </c>
    </row>
    <row r="98" spans="1:11" ht="14.6" x14ac:dyDescent="0.4">
      <c r="A98" s="84"/>
      <c r="B98" s="84"/>
      <c r="C98" s="84"/>
      <c r="D98" s="84"/>
      <c r="E98" s="84" t="s">
        <v>634</v>
      </c>
      <c r="F98" s="85">
        <v>45092</v>
      </c>
      <c r="G98" s="84" t="s">
        <v>2063</v>
      </c>
      <c r="H98" s="84" t="s">
        <v>2105</v>
      </c>
      <c r="I98" s="84" t="s">
        <v>2164</v>
      </c>
      <c r="J98" s="84" t="s">
        <v>659</v>
      </c>
      <c r="K98" s="87">
        <v>450</v>
      </c>
    </row>
    <row r="99" spans="1:11" ht="14.6" x14ac:dyDescent="0.4">
      <c r="A99" s="84"/>
      <c r="B99" s="84"/>
      <c r="C99" s="84"/>
      <c r="D99" s="84"/>
      <c r="E99" s="84" t="s">
        <v>634</v>
      </c>
      <c r="F99" s="85">
        <v>45097</v>
      </c>
      <c r="G99" s="84" t="s">
        <v>2064</v>
      </c>
      <c r="H99" s="84" t="s">
        <v>881</v>
      </c>
      <c r="I99" s="84" t="s">
        <v>2165</v>
      </c>
      <c r="J99" s="84" t="s">
        <v>659</v>
      </c>
      <c r="K99" s="87">
        <v>1000</v>
      </c>
    </row>
    <row r="100" spans="1:11" ht="14.6" x14ac:dyDescent="0.4">
      <c r="A100" s="84"/>
      <c r="B100" s="84"/>
      <c r="C100" s="84"/>
      <c r="D100" s="84"/>
      <c r="E100" s="84" t="s">
        <v>704</v>
      </c>
      <c r="F100" s="85">
        <v>45100</v>
      </c>
      <c r="G100" s="84" t="s">
        <v>2065</v>
      </c>
      <c r="H100" s="84" t="s">
        <v>2086</v>
      </c>
      <c r="I100" s="84" t="s">
        <v>2166</v>
      </c>
      <c r="J100" s="84" t="s">
        <v>771</v>
      </c>
      <c r="K100" s="87">
        <v>25.67</v>
      </c>
    </row>
    <row r="101" spans="1:11" ht="14.6" x14ac:dyDescent="0.4">
      <c r="A101" s="84"/>
      <c r="B101" s="84"/>
      <c r="C101" s="84"/>
      <c r="D101" s="84"/>
      <c r="E101" s="84" t="s">
        <v>634</v>
      </c>
      <c r="F101" s="85">
        <v>45104</v>
      </c>
      <c r="G101" s="84" t="s">
        <v>2066</v>
      </c>
      <c r="H101" s="84" t="s">
        <v>1068</v>
      </c>
      <c r="I101" s="84" t="s">
        <v>3354</v>
      </c>
      <c r="J101" s="84" t="s">
        <v>659</v>
      </c>
      <c r="K101" s="87">
        <v>20350.5</v>
      </c>
    </row>
    <row r="102" spans="1:11" ht="14.6" x14ac:dyDescent="0.4">
      <c r="A102" s="84"/>
      <c r="B102" s="84"/>
      <c r="C102" s="84"/>
      <c r="D102" s="84"/>
      <c r="E102" s="84" t="s">
        <v>634</v>
      </c>
      <c r="F102" s="85">
        <v>45107</v>
      </c>
      <c r="G102" s="84" t="s">
        <v>2067</v>
      </c>
      <c r="H102" s="84" t="s">
        <v>2101</v>
      </c>
      <c r="I102" s="84" t="s">
        <v>2154</v>
      </c>
      <c r="J102" s="84" t="s">
        <v>659</v>
      </c>
      <c r="K102" s="87">
        <v>0</v>
      </c>
    </row>
    <row r="103" spans="1:11" ht="14.6" x14ac:dyDescent="0.4">
      <c r="A103" s="84"/>
      <c r="B103" s="84"/>
      <c r="C103" s="84"/>
      <c r="D103" s="84"/>
      <c r="E103" s="84" t="s">
        <v>634</v>
      </c>
      <c r="F103" s="85">
        <v>45108</v>
      </c>
      <c r="G103" s="84" t="s">
        <v>2068</v>
      </c>
      <c r="H103" s="84" t="s">
        <v>2091</v>
      </c>
      <c r="I103" s="84" t="s">
        <v>2138</v>
      </c>
      <c r="J103" s="84" t="s">
        <v>659</v>
      </c>
      <c r="K103" s="87">
        <v>19500</v>
      </c>
    </row>
    <row r="104" spans="1:11" ht="14.6" x14ac:dyDescent="0.4">
      <c r="A104" s="84"/>
      <c r="B104" s="84"/>
      <c r="C104" s="84"/>
      <c r="D104" s="84"/>
      <c r="E104" s="84" t="s">
        <v>634</v>
      </c>
      <c r="F104" s="85">
        <v>45112</v>
      </c>
      <c r="G104" s="84" t="s">
        <v>2069</v>
      </c>
      <c r="H104" s="84" t="s">
        <v>2093</v>
      </c>
      <c r="I104" s="84" t="s">
        <v>2167</v>
      </c>
      <c r="J104" s="84" t="s">
        <v>659</v>
      </c>
      <c r="K104" s="87">
        <v>800</v>
      </c>
    </row>
    <row r="105" spans="1:11" ht="14.6" x14ac:dyDescent="0.4">
      <c r="A105" s="84"/>
      <c r="B105" s="84"/>
      <c r="C105" s="84"/>
      <c r="D105" s="84"/>
      <c r="E105" s="84" t="s">
        <v>704</v>
      </c>
      <c r="F105" s="85">
        <v>45112</v>
      </c>
      <c r="G105" s="84" t="s">
        <v>2070</v>
      </c>
      <c r="H105" s="84" t="s">
        <v>1069</v>
      </c>
      <c r="I105" s="84" t="s">
        <v>2124</v>
      </c>
      <c r="J105" s="84" t="s">
        <v>771</v>
      </c>
      <c r="K105" s="87">
        <v>228</v>
      </c>
    </row>
    <row r="106" spans="1:11" ht="14.6" x14ac:dyDescent="0.4">
      <c r="A106" s="84"/>
      <c r="B106" s="84"/>
      <c r="C106" s="84"/>
      <c r="D106" s="84"/>
      <c r="E106" s="84" t="s">
        <v>634</v>
      </c>
      <c r="F106" s="85">
        <v>45117</v>
      </c>
      <c r="G106" s="84" t="s">
        <v>2071</v>
      </c>
      <c r="H106" s="84" t="s">
        <v>2106</v>
      </c>
      <c r="I106" s="84" t="s">
        <v>2168</v>
      </c>
      <c r="J106" s="84" t="s">
        <v>659</v>
      </c>
      <c r="K106" s="87">
        <v>318.75</v>
      </c>
    </row>
    <row r="107" spans="1:11" ht="14.6" x14ac:dyDescent="0.4">
      <c r="A107" s="84"/>
      <c r="B107" s="84"/>
      <c r="C107" s="84"/>
      <c r="D107" s="84"/>
      <c r="E107" s="84" t="s">
        <v>634</v>
      </c>
      <c r="F107" s="85">
        <v>45117</v>
      </c>
      <c r="G107" s="84" t="s">
        <v>2072</v>
      </c>
      <c r="H107" s="84" t="s">
        <v>881</v>
      </c>
      <c r="I107" s="84" t="s">
        <v>2169</v>
      </c>
      <c r="J107" s="84" t="s">
        <v>659</v>
      </c>
      <c r="K107" s="87">
        <v>450</v>
      </c>
    </row>
    <row r="108" spans="1:11" ht="14.6" x14ac:dyDescent="0.4">
      <c r="A108" s="84"/>
      <c r="B108" s="84"/>
      <c r="C108" s="84"/>
      <c r="D108" s="84"/>
      <c r="E108" s="84" t="s">
        <v>634</v>
      </c>
      <c r="F108" s="85">
        <v>45118</v>
      </c>
      <c r="G108" s="84" t="s">
        <v>2073</v>
      </c>
      <c r="H108" s="84" t="s">
        <v>2107</v>
      </c>
      <c r="I108" s="84" t="s">
        <v>2170</v>
      </c>
      <c r="J108" s="84" t="s">
        <v>659</v>
      </c>
      <c r="K108" s="87">
        <v>450</v>
      </c>
    </row>
    <row r="109" spans="1:11" ht="14.6" x14ac:dyDescent="0.4">
      <c r="A109" s="84"/>
      <c r="B109" s="84"/>
      <c r="C109" s="84"/>
      <c r="D109" s="84"/>
      <c r="E109" s="84" t="s">
        <v>634</v>
      </c>
      <c r="F109" s="85">
        <v>45118</v>
      </c>
      <c r="G109" s="84" t="s">
        <v>2074</v>
      </c>
      <c r="H109" s="84" t="s">
        <v>881</v>
      </c>
      <c r="I109" s="84" t="s">
        <v>2171</v>
      </c>
      <c r="J109" s="84" t="s">
        <v>659</v>
      </c>
      <c r="K109" s="87">
        <v>450</v>
      </c>
    </row>
    <row r="110" spans="1:11" ht="14.6" x14ac:dyDescent="0.4">
      <c r="A110" s="84"/>
      <c r="B110" s="84"/>
      <c r="C110" s="84"/>
      <c r="D110" s="84"/>
      <c r="E110" s="84" t="s">
        <v>634</v>
      </c>
      <c r="F110" s="85">
        <v>45120</v>
      </c>
      <c r="G110" s="84" t="s">
        <v>2075</v>
      </c>
      <c r="H110" s="84" t="s">
        <v>881</v>
      </c>
      <c r="I110" s="84" t="s">
        <v>2172</v>
      </c>
      <c r="J110" s="84" t="s">
        <v>659</v>
      </c>
      <c r="K110" s="87">
        <v>450</v>
      </c>
    </row>
    <row r="111" spans="1:11" ht="14.6" x14ac:dyDescent="0.4">
      <c r="A111" s="84"/>
      <c r="B111" s="84"/>
      <c r="C111" s="84"/>
      <c r="D111" s="84"/>
      <c r="E111" s="84" t="s">
        <v>634</v>
      </c>
      <c r="F111" s="85">
        <v>45121</v>
      </c>
      <c r="G111" s="84" t="s">
        <v>2076</v>
      </c>
      <c r="H111" s="84" t="s">
        <v>2098</v>
      </c>
      <c r="I111" s="84" t="s">
        <v>2123</v>
      </c>
      <c r="J111" s="84" t="s">
        <v>659</v>
      </c>
      <c r="K111" s="87">
        <v>2415</v>
      </c>
    </row>
    <row r="112" spans="1:11" ht="14.6" x14ac:dyDescent="0.4">
      <c r="A112" s="84"/>
      <c r="B112" s="84"/>
      <c r="C112" s="84"/>
      <c r="D112" s="84"/>
      <c r="E112" s="84" t="s">
        <v>634</v>
      </c>
      <c r="F112" s="85">
        <v>45124</v>
      </c>
      <c r="G112" s="84" t="s">
        <v>2077</v>
      </c>
      <c r="H112" s="84" t="s">
        <v>880</v>
      </c>
      <c r="I112" s="84" t="s">
        <v>3344</v>
      </c>
      <c r="J112" s="84" t="s">
        <v>659</v>
      </c>
      <c r="K112" s="87">
        <v>2500</v>
      </c>
    </row>
    <row r="113" spans="1:11" ht="14.6" x14ac:dyDescent="0.4">
      <c r="A113" s="84"/>
      <c r="B113" s="84"/>
      <c r="C113" s="84"/>
      <c r="D113" s="84"/>
      <c r="E113" s="84" t="s">
        <v>634</v>
      </c>
      <c r="F113" s="85">
        <v>45125</v>
      </c>
      <c r="G113" s="84" t="s">
        <v>2078</v>
      </c>
      <c r="H113" s="84" t="s">
        <v>881</v>
      </c>
      <c r="I113" s="84" t="s">
        <v>2173</v>
      </c>
      <c r="J113" s="84" t="s">
        <v>659</v>
      </c>
      <c r="K113" s="87">
        <v>450</v>
      </c>
    </row>
    <row r="114" spans="1:11" ht="14.6" x14ac:dyDescent="0.4">
      <c r="A114" s="84"/>
      <c r="B114" s="84"/>
      <c r="C114" s="84"/>
      <c r="D114" s="84"/>
      <c r="E114" s="84" t="s">
        <v>634</v>
      </c>
      <c r="F114" s="85">
        <v>45131</v>
      </c>
      <c r="G114" s="84" t="s">
        <v>3184</v>
      </c>
      <c r="H114" s="84" t="s">
        <v>1068</v>
      </c>
      <c r="I114" s="84" t="s">
        <v>3355</v>
      </c>
      <c r="J114" s="84" t="s">
        <v>659</v>
      </c>
      <c r="K114" s="87">
        <v>16945.400000000001</v>
      </c>
    </row>
    <row r="115" spans="1:11" ht="14.6" x14ac:dyDescent="0.4">
      <c r="A115" s="84"/>
      <c r="B115" s="84"/>
      <c r="C115" s="84"/>
      <c r="D115" s="84"/>
      <c r="E115" s="84" t="s">
        <v>704</v>
      </c>
      <c r="F115" s="85">
        <v>45131</v>
      </c>
      <c r="G115" s="84" t="s">
        <v>3185</v>
      </c>
      <c r="H115" s="84" t="s">
        <v>2088</v>
      </c>
      <c r="I115" s="84" t="s">
        <v>2127</v>
      </c>
      <c r="J115" s="84" t="s">
        <v>771</v>
      </c>
      <c r="K115" s="87">
        <v>500</v>
      </c>
    </row>
    <row r="116" spans="1:11" ht="14.6" x14ac:dyDescent="0.4">
      <c r="A116" s="84"/>
      <c r="B116" s="84"/>
      <c r="C116" s="84"/>
      <c r="D116" s="84"/>
      <c r="E116" s="84" t="s">
        <v>704</v>
      </c>
      <c r="F116" s="85">
        <v>45131</v>
      </c>
      <c r="G116" s="84" t="s">
        <v>3186</v>
      </c>
      <c r="H116" s="84" t="s">
        <v>3335</v>
      </c>
      <c r="I116" s="84" t="s">
        <v>3356</v>
      </c>
      <c r="J116" s="84" t="s">
        <v>771</v>
      </c>
      <c r="K116" s="87">
        <v>750</v>
      </c>
    </row>
    <row r="117" spans="1:11" ht="14.6" x14ac:dyDescent="0.4">
      <c r="A117" s="84"/>
      <c r="B117" s="84"/>
      <c r="C117" s="84"/>
      <c r="D117" s="84"/>
      <c r="E117" s="84" t="s">
        <v>634</v>
      </c>
      <c r="F117" s="85">
        <v>45132</v>
      </c>
      <c r="G117" s="84" t="s">
        <v>2079</v>
      </c>
      <c r="H117" s="84" t="s">
        <v>881</v>
      </c>
      <c r="I117" s="84" t="s">
        <v>2174</v>
      </c>
      <c r="J117" s="84" t="s">
        <v>659</v>
      </c>
      <c r="K117" s="87">
        <v>450</v>
      </c>
    </row>
    <row r="118" spans="1:11" ht="14.6" x14ac:dyDescent="0.4">
      <c r="A118" s="84"/>
      <c r="B118" s="84"/>
      <c r="C118" s="84"/>
      <c r="D118" s="84"/>
      <c r="E118" s="84" t="s">
        <v>634</v>
      </c>
      <c r="F118" s="85">
        <v>45132</v>
      </c>
      <c r="G118" s="84" t="s">
        <v>3187</v>
      </c>
      <c r="H118" s="84" t="s">
        <v>2103</v>
      </c>
      <c r="I118" s="84" t="s">
        <v>3357</v>
      </c>
      <c r="J118" s="84" t="s">
        <v>659</v>
      </c>
      <c r="K118" s="87">
        <v>12500</v>
      </c>
    </row>
    <row r="119" spans="1:11" ht="14.6" x14ac:dyDescent="0.4">
      <c r="A119" s="84"/>
      <c r="B119" s="84"/>
      <c r="C119" s="84"/>
      <c r="D119" s="84"/>
      <c r="E119" s="84" t="s">
        <v>688</v>
      </c>
      <c r="F119" s="85">
        <v>45132</v>
      </c>
      <c r="G119" s="84" t="s">
        <v>3188</v>
      </c>
      <c r="H119" s="84" t="s">
        <v>2101</v>
      </c>
      <c r="I119" s="84" t="s">
        <v>3358</v>
      </c>
      <c r="J119" s="84" t="s">
        <v>773</v>
      </c>
      <c r="K119" s="87">
        <v>15000</v>
      </c>
    </row>
    <row r="120" spans="1:11" ht="14.6" x14ac:dyDescent="0.4">
      <c r="A120" s="84"/>
      <c r="B120" s="84"/>
      <c r="C120" s="84"/>
      <c r="D120" s="84"/>
      <c r="E120" s="84" t="s">
        <v>688</v>
      </c>
      <c r="F120" s="85">
        <v>45132</v>
      </c>
      <c r="G120" s="84" t="s">
        <v>3189</v>
      </c>
      <c r="H120" s="84" t="s">
        <v>2101</v>
      </c>
      <c r="I120" s="84" t="s">
        <v>3358</v>
      </c>
      <c r="J120" s="84" t="s">
        <v>773</v>
      </c>
      <c r="K120" s="87">
        <v>7046</v>
      </c>
    </row>
    <row r="121" spans="1:11" ht="14.6" x14ac:dyDescent="0.4">
      <c r="A121" s="84"/>
      <c r="B121" s="84"/>
      <c r="C121" s="84"/>
      <c r="D121" s="84"/>
      <c r="E121" s="84" t="s">
        <v>634</v>
      </c>
      <c r="F121" s="85">
        <v>45133</v>
      </c>
      <c r="G121" s="84" t="s">
        <v>2080</v>
      </c>
      <c r="H121" s="84" t="s">
        <v>2108</v>
      </c>
      <c r="I121" s="84" t="s">
        <v>2175</v>
      </c>
      <c r="J121" s="84" t="s">
        <v>659</v>
      </c>
      <c r="K121" s="87">
        <v>10250</v>
      </c>
    </row>
    <row r="122" spans="1:11" ht="14.6" x14ac:dyDescent="0.4">
      <c r="A122" s="84"/>
      <c r="B122" s="84"/>
      <c r="C122" s="84"/>
      <c r="D122" s="84"/>
      <c r="E122" s="84" t="s">
        <v>634</v>
      </c>
      <c r="F122" s="85">
        <v>45133</v>
      </c>
      <c r="G122" s="84" t="s">
        <v>2080</v>
      </c>
      <c r="H122" s="84" t="s">
        <v>2108</v>
      </c>
      <c r="I122" s="84" t="s">
        <v>2176</v>
      </c>
      <c r="J122" s="84" t="s">
        <v>659</v>
      </c>
      <c r="K122" s="87">
        <v>800</v>
      </c>
    </row>
    <row r="123" spans="1:11" ht="14.6" x14ac:dyDescent="0.4">
      <c r="A123" s="84"/>
      <c r="B123" s="84"/>
      <c r="C123" s="84"/>
      <c r="D123" s="84"/>
      <c r="E123" s="84" t="s">
        <v>688</v>
      </c>
      <c r="F123" s="85">
        <v>45135</v>
      </c>
      <c r="G123" s="84" t="s">
        <v>3190</v>
      </c>
      <c r="H123" s="84" t="s">
        <v>2101</v>
      </c>
      <c r="I123" s="84" t="s">
        <v>3358</v>
      </c>
      <c r="J123" s="84" t="s">
        <v>773</v>
      </c>
      <c r="K123" s="87">
        <v>6824</v>
      </c>
    </row>
    <row r="124" spans="1:11" ht="14.6" x14ac:dyDescent="0.4">
      <c r="A124" s="84"/>
      <c r="B124" s="84"/>
      <c r="C124" s="84"/>
      <c r="D124" s="84"/>
      <c r="E124" s="84" t="s">
        <v>705</v>
      </c>
      <c r="F124" s="85">
        <v>45135</v>
      </c>
      <c r="G124" s="84" t="s">
        <v>3191</v>
      </c>
      <c r="H124" s="84" t="s">
        <v>725</v>
      </c>
      <c r="I124" s="84" t="s">
        <v>3359</v>
      </c>
      <c r="J124" s="84" t="s">
        <v>773</v>
      </c>
      <c r="K124" s="87">
        <v>-150</v>
      </c>
    </row>
    <row r="125" spans="1:11" ht="14.6" x14ac:dyDescent="0.4">
      <c r="A125" s="84"/>
      <c r="B125" s="84"/>
      <c r="C125" s="84"/>
      <c r="D125" s="84"/>
      <c r="E125" s="84" t="s">
        <v>634</v>
      </c>
      <c r="F125" s="85">
        <v>45138</v>
      </c>
      <c r="G125" s="84" t="s">
        <v>2081</v>
      </c>
      <c r="H125" s="84" t="s">
        <v>880</v>
      </c>
      <c r="I125" s="84" t="s">
        <v>3344</v>
      </c>
      <c r="J125" s="84" t="s">
        <v>659</v>
      </c>
      <c r="K125" s="87">
        <v>2500</v>
      </c>
    </row>
    <row r="126" spans="1:11" ht="14.6" x14ac:dyDescent="0.4">
      <c r="A126" s="84"/>
      <c r="B126" s="84"/>
      <c r="C126" s="84"/>
      <c r="D126" s="84"/>
      <c r="E126" s="84" t="s">
        <v>634</v>
      </c>
      <c r="F126" s="85">
        <v>45138</v>
      </c>
      <c r="G126" s="84" t="s">
        <v>3192</v>
      </c>
      <c r="H126" s="84" t="s">
        <v>2087</v>
      </c>
      <c r="I126" s="84" t="s">
        <v>2123</v>
      </c>
      <c r="J126" s="84" t="s">
        <v>659</v>
      </c>
      <c r="K126" s="87">
        <v>200</v>
      </c>
    </row>
    <row r="127" spans="1:11" ht="14.6" x14ac:dyDescent="0.4">
      <c r="A127" s="84"/>
      <c r="B127" s="84"/>
      <c r="C127" s="84"/>
      <c r="D127" s="84"/>
      <c r="E127" s="84" t="s">
        <v>704</v>
      </c>
      <c r="F127" s="85">
        <v>45138</v>
      </c>
      <c r="G127" s="84" t="s">
        <v>3193</v>
      </c>
      <c r="H127" s="84" t="s">
        <v>1069</v>
      </c>
      <c r="I127" s="84" t="s">
        <v>2124</v>
      </c>
      <c r="J127" s="84" t="s">
        <v>771</v>
      </c>
      <c r="K127" s="87">
        <v>228</v>
      </c>
    </row>
    <row r="128" spans="1:11" ht="14.6" x14ac:dyDescent="0.4">
      <c r="A128" s="84"/>
      <c r="B128" s="84"/>
      <c r="C128" s="84"/>
      <c r="D128" s="84"/>
      <c r="E128" s="84" t="s">
        <v>634</v>
      </c>
      <c r="F128" s="85">
        <v>45145</v>
      </c>
      <c r="G128" s="84" t="s">
        <v>3194</v>
      </c>
      <c r="H128" s="84" t="s">
        <v>2103</v>
      </c>
      <c r="I128" s="84" t="s">
        <v>3360</v>
      </c>
      <c r="J128" s="84" t="s">
        <v>659</v>
      </c>
      <c r="K128" s="87">
        <v>8500</v>
      </c>
    </row>
    <row r="129" spans="1:11" ht="14.6" x14ac:dyDescent="0.4">
      <c r="A129" s="84"/>
      <c r="B129" s="84"/>
      <c r="C129" s="84"/>
      <c r="D129" s="84"/>
      <c r="E129" s="84" t="s">
        <v>634</v>
      </c>
      <c r="F129" s="85">
        <v>45146</v>
      </c>
      <c r="G129" s="84" t="s">
        <v>3195</v>
      </c>
      <c r="H129" s="84" t="s">
        <v>2092</v>
      </c>
      <c r="I129" s="84" t="s">
        <v>3361</v>
      </c>
      <c r="J129" s="84" t="s">
        <v>659</v>
      </c>
      <c r="K129" s="87">
        <v>50</v>
      </c>
    </row>
    <row r="130" spans="1:11" ht="14.6" x14ac:dyDescent="0.4">
      <c r="A130" s="84"/>
      <c r="B130" s="84"/>
      <c r="C130" s="84"/>
      <c r="D130" s="84"/>
      <c r="E130" s="84" t="s">
        <v>634</v>
      </c>
      <c r="F130" s="85">
        <v>45146</v>
      </c>
      <c r="G130" s="84" t="s">
        <v>3196</v>
      </c>
      <c r="H130" s="84" t="s">
        <v>881</v>
      </c>
      <c r="I130" s="84" t="s">
        <v>3362</v>
      </c>
      <c r="J130" s="84" t="s">
        <v>659</v>
      </c>
      <c r="K130" s="87">
        <v>450</v>
      </c>
    </row>
    <row r="131" spans="1:11" ht="14.6" x14ac:dyDescent="0.4">
      <c r="A131" s="84"/>
      <c r="B131" s="84"/>
      <c r="C131" s="84"/>
      <c r="D131" s="84"/>
      <c r="E131" s="84" t="s">
        <v>634</v>
      </c>
      <c r="F131" s="85">
        <v>45147</v>
      </c>
      <c r="G131" s="84" t="s">
        <v>3197</v>
      </c>
      <c r="H131" s="84" t="s">
        <v>2082</v>
      </c>
      <c r="I131" s="84" t="s">
        <v>2116</v>
      </c>
      <c r="J131" s="84" t="s">
        <v>659</v>
      </c>
      <c r="K131" s="87">
        <v>70</v>
      </c>
    </row>
    <row r="132" spans="1:11" ht="14.6" x14ac:dyDescent="0.4">
      <c r="A132" s="84"/>
      <c r="B132" s="84"/>
      <c r="C132" s="84"/>
      <c r="D132" s="84"/>
      <c r="E132" s="84" t="s">
        <v>634</v>
      </c>
      <c r="F132" s="85">
        <v>45153</v>
      </c>
      <c r="G132" s="84" t="s">
        <v>3198</v>
      </c>
      <c r="H132" s="84" t="s">
        <v>881</v>
      </c>
      <c r="I132" s="84" t="s">
        <v>3363</v>
      </c>
      <c r="J132" s="84" t="s">
        <v>659</v>
      </c>
      <c r="K132" s="87">
        <v>450</v>
      </c>
    </row>
    <row r="133" spans="1:11" ht="14.6" x14ac:dyDescent="0.4">
      <c r="A133" s="84"/>
      <c r="B133" s="84"/>
      <c r="C133" s="84"/>
      <c r="D133" s="84"/>
      <c r="E133" s="84" t="s">
        <v>634</v>
      </c>
      <c r="F133" s="85">
        <v>45153</v>
      </c>
      <c r="G133" s="84" t="s">
        <v>3199</v>
      </c>
      <c r="H133" s="84" t="s">
        <v>2098</v>
      </c>
      <c r="I133" s="84" t="s">
        <v>2123</v>
      </c>
      <c r="J133" s="84" t="s">
        <v>659</v>
      </c>
      <c r="K133" s="87">
        <v>7814.6</v>
      </c>
    </row>
    <row r="134" spans="1:11" ht="14.6" x14ac:dyDescent="0.4">
      <c r="A134" s="84"/>
      <c r="B134" s="84"/>
      <c r="C134" s="84"/>
      <c r="D134" s="84"/>
      <c r="E134" s="84" t="s">
        <v>634</v>
      </c>
      <c r="F134" s="85">
        <v>45153</v>
      </c>
      <c r="G134" s="84" t="s">
        <v>3200</v>
      </c>
      <c r="H134" s="84" t="s">
        <v>1068</v>
      </c>
      <c r="I134" s="84" t="s">
        <v>3364</v>
      </c>
      <c r="J134" s="84" t="s">
        <v>659</v>
      </c>
      <c r="K134" s="87">
        <v>21055.56</v>
      </c>
    </row>
    <row r="135" spans="1:11" ht="14.6" x14ac:dyDescent="0.4">
      <c r="A135" s="84"/>
      <c r="B135" s="84"/>
      <c r="C135" s="84"/>
      <c r="D135" s="84"/>
      <c r="E135" s="84" t="s">
        <v>634</v>
      </c>
      <c r="F135" s="85">
        <v>45153</v>
      </c>
      <c r="G135" s="84" t="s">
        <v>3201</v>
      </c>
      <c r="H135" s="84" t="s">
        <v>2099</v>
      </c>
      <c r="I135" s="84" t="s">
        <v>3365</v>
      </c>
      <c r="J135" s="84" t="s">
        <v>659</v>
      </c>
      <c r="K135" s="87">
        <v>8000</v>
      </c>
    </row>
    <row r="136" spans="1:11" ht="14.6" x14ac:dyDescent="0.4">
      <c r="A136" s="84"/>
      <c r="B136" s="84"/>
      <c r="C136" s="84"/>
      <c r="D136" s="84"/>
      <c r="E136" s="84" t="s">
        <v>634</v>
      </c>
      <c r="F136" s="85">
        <v>45154</v>
      </c>
      <c r="G136" s="84" t="s">
        <v>3202</v>
      </c>
      <c r="H136" s="84" t="s">
        <v>2093</v>
      </c>
      <c r="I136" s="84" t="s">
        <v>3366</v>
      </c>
      <c r="J136" s="84" t="s">
        <v>659</v>
      </c>
      <c r="K136" s="87">
        <v>400</v>
      </c>
    </row>
    <row r="137" spans="1:11" ht="14.6" x14ac:dyDescent="0.4">
      <c r="A137" s="84"/>
      <c r="B137" s="84"/>
      <c r="C137" s="84"/>
      <c r="D137" s="84"/>
      <c r="E137" s="84" t="s">
        <v>634</v>
      </c>
      <c r="F137" s="85">
        <v>45154</v>
      </c>
      <c r="G137" s="84" t="s">
        <v>3203</v>
      </c>
      <c r="H137" s="84" t="s">
        <v>2094</v>
      </c>
      <c r="I137" s="84" t="s">
        <v>2144</v>
      </c>
      <c r="J137" s="84" t="s">
        <v>659</v>
      </c>
      <c r="K137" s="87">
        <v>2700</v>
      </c>
    </row>
    <row r="138" spans="1:11" ht="14.6" x14ac:dyDescent="0.4">
      <c r="A138" s="84"/>
      <c r="B138" s="84"/>
      <c r="C138" s="84"/>
      <c r="D138" s="84"/>
      <c r="E138" s="84" t="s">
        <v>634</v>
      </c>
      <c r="F138" s="85">
        <v>45154</v>
      </c>
      <c r="G138" s="84" t="s">
        <v>3204</v>
      </c>
      <c r="H138" s="84" t="s">
        <v>2094</v>
      </c>
      <c r="I138" s="84" t="s">
        <v>2144</v>
      </c>
      <c r="J138" s="84" t="s">
        <v>659</v>
      </c>
      <c r="K138" s="87">
        <v>2700</v>
      </c>
    </row>
    <row r="139" spans="1:11" ht="14.6" x14ac:dyDescent="0.4">
      <c r="A139" s="84"/>
      <c r="B139" s="84"/>
      <c r="C139" s="84"/>
      <c r="D139" s="84"/>
      <c r="E139" s="84" t="s">
        <v>634</v>
      </c>
      <c r="F139" s="85">
        <v>45156</v>
      </c>
      <c r="G139" s="84" t="s">
        <v>3205</v>
      </c>
      <c r="H139" s="84" t="s">
        <v>881</v>
      </c>
      <c r="I139" s="84" t="s">
        <v>3367</v>
      </c>
      <c r="J139" s="84" t="s">
        <v>659</v>
      </c>
      <c r="K139" s="87">
        <v>450</v>
      </c>
    </row>
    <row r="140" spans="1:11" ht="14.6" x14ac:dyDescent="0.4">
      <c r="A140" s="84"/>
      <c r="B140" s="84"/>
      <c r="C140" s="84"/>
      <c r="D140" s="84"/>
      <c r="E140" s="84" t="s">
        <v>634</v>
      </c>
      <c r="F140" s="85">
        <v>45156</v>
      </c>
      <c r="G140" s="84" t="s">
        <v>3206</v>
      </c>
      <c r="H140" s="84" t="s">
        <v>881</v>
      </c>
      <c r="I140" s="84" t="s">
        <v>3368</v>
      </c>
      <c r="J140" s="84" t="s">
        <v>659</v>
      </c>
      <c r="K140" s="87">
        <v>450</v>
      </c>
    </row>
    <row r="141" spans="1:11" ht="14.6" x14ac:dyDescent="0.4">
      <c r="A141" s="84"/>
      <c r="B141" s="84"/>
      <c r="C141" s="84"/>
      <c r="D141" s="84"/>
      <c r="E141" s="84" t="s">
        <v>634</v>
      </c>
      <c r="F141" s="85">
        <v>45156</v>
      </c>
      <c r="G141" s="84" t="s">
        <v>3207</v>
      </c>
      <c r="H141" s="84" t="s">
        <v>881</v>
      </c>
      <c r="I141" s="84" t="s">
        <v>3369</v>
      </c>
      <c r="J141" s="84" t="s">
        <v>659</v>
      </c>
      <c r="K141" s="87">
        <v>450</v>
      </c>
    </row>
    <row r="142" spans="1:11" ht="14.6" x14ac:dyDescent="0.4">
      <c r="A142" s="84"/>
      <c r="B142" s="84"/>
      <c r="C142" s="84"/>
      <c r="D142" s="84"/>
      <c r="E142" s="84" t="s">
        <v>634</v>
      </c>
      <c r="F142" s="85">
        <v>45163</v>
      </c>
      <c r="G142" s="84" t="s">
        <v>3208</v>
      </c>
      <c r="H142" s="84" t="s">
        <v>880</v>
      </c>
      <c r="I142" s="84" t="s">
        <v>3344</v>
      </c>
      <c r="J142" s="84" t="s">
        <v>659</v>
      </c>
      <c r="K142" s="87">
        <v>2500</v>
      </c>
    </row>
    <row r="143" spans="1:11" ht="14.6" x14ac:dyDescent="0.4">
      <c r="A143" s="84"/>
      <c r="B143" s="84"/>
      <c r="C143" s="84"/>
      <c r="D143" s="84"/>
      <c r="E143" s="84" t="s">
        <v>634</v>
      </c>
      <c r="F143" s="85">
        <v>45163</v>
      </c>
      <c r="G143" s="84" t="s">
        <v>3209</v>
      </c>
      <c r="H143" s="84" t="s">
        <v>3336</v>
      </c>
      <c r="I143" s="84" t="s">
        <v>3370</v>
      </c>
      <c r="J143" s="84" t="s">
        <v>659</v>
      </c>
      <c r="K143" s="87">
        <v>450</v>
      </c>
    </row>
    <row r="144" spans="1:11" ht="14.6" x14ac:dyDescent="0.4">
      <c r="A144" s="84"/>
      <c r="B144" s="84"/>
      <c r="C144" s="84"/>
      <c r="D144" s="84"/>
      <c r="E144" s="84" t="s">
        <v>634</v>
      </c>
      <c r="F144" s="85">
        <v>45166</v>
      </c>
      <c r="G144" s="84" t="s">
        <v>3210</v>
      </c>
      <c r="H144" s="84" t="s">
        <v>3334</v>
      </c>
      <c r="I144" s="84" t="s">
        <v>3371</v>
      </c>
      <c r="J144" s="84" t="s">
        <v>659</v>
      </c>
      <c r="K144" s="87">
        <v>3360</v>
      </c>
    </row>
    <row r="145" spans="1:11" ht="14.6" x14ac:dyDescent="0.4">
      <c r="A145" s="84"/>
      <c r="B145" s="84"/>
      <c r="C145" s="84"/>
      <c r="D145" s="84"/>
      <c r="E145" s="84" t="s">
        <v>634</v>
      </c>
      <c r="F145" s="85">
        <v>45169</v>
      </c>
      <c r="G145" s="84" t="s">
        <v>3211</v>
      </c>
      <c r="H145" s="84" t="s">
        <v>3337</v>
      </c>
      <c r="I145" s="84" t="s">
        <v>3372</v>
      </c>
      <c r="J145" s="84" t="s">
        <v>659</v>
      </c>
      <c r="K145" s="87">
        <v>50</v>
      </c>
    </row>
    <row r="146" spans="1:11" ht="14.6" x14ac:dyDescent="0.4">
      <c r="A146" s="84"/>
      <c r="B146" s="84"/>
      <c r="C146" s="84"/>
      <c r="D146" s="84"/>
      <c r="E146" s="84" t="s">
        <v>704</v>
      </c>
      <c r="F146" s="85">
        <v>45169</v>
      </c>
      <c r="G146" s="84" t="s">
        <v>3212</v>
      </c>
      <c r="H146" s="84" t="s">
        <v>1069</v>
      </c>
      <c r="I146" s="84" t="s">
        <v>2124</v>
      </c>
      <c r="J146" s="84" t="s">
        <v>771</v>
      </c>
      <c r="K146" s="87">
        <v>228</v>
      </c>
    </row>
    <row r="147" spans="1:11" ht="14.6" x14ac:dyDescent="0.4">
      <c r="A147" s="84"/>
      <c r="B147" s="84"/>
      <c r="C147" s="84"/>
      <c r="D147" s="84"/>
      <c r="E147" s="84" t="s">
        <v>634</v>
      </c>
      <c r="F147" s="85">
        <v>45170</v>
      </c>
      <c r="G147" s="84" t="s">
        <v>3213</v>
      </c>
      <c r="H147" s="84" t="s">
        <v>2094</v>
      </c>
      <c r="I147" s="84" t="s">
        <v>2144</v>
      </c>
      <c r="J147" s="84" t="s">
        <v>659</v>
      </c>
      <c r="K147" s="87">
        <v>2700</v>
      </c>
    </row>
    <row r="148" spans="1:11" ht="14.6" x14ac:dyDescent="0.4">
      <c r="A148" s="84"/>
      <c r="B148" s="84"/>
      <c r="C148" s="84"/>
      <c r="D148" s="84"/>
      <c r="E148" s="84" t="s">
        <v>634</v>
      </c>
      <c r="F148" s="85">
        <v>45176</v>
      </c>
      <c r="G148" s="84" t="s">
        <v>3214</v>
      </c>
      <c r="H148" s="84" t="s">
        <v>881</v>
      </c>
      <c r="I148" s="84" t="s">
        <v>3373</v>
      </c>
      <c r="J148" s="84" t="s">
        <v>659</v>
      </c>
      <c r="K148" s="87">
        <v>450</v>
      </c>
    </row>
    <row r="149" spans="1:11" ht="14.6" x14ac:dyDescent="0.4">
      <c r="A149" s="84"/>
      <c r="B149" s="84"/>
      <c r="C149" s="84"/>
      <c r="D149" s="84"/>
      <c r="E149" s="84" t="s">
        <v>634</v>
      </c>
      <c r="F149" s="85">
        <v>45176</v>
      </c>
      <c r="G149" s="84" t="s">
        <v>3215</v>
      </c>
      <c r="H149" s="84" t="s">
        <v>881</v>
      </c>
      <c r="I149" s="84" t="s">
        <v>3374</v>
      </c>
      <c r="J149" s="84" t="s">
        <v>659</v>
      </c>
      <c r="K149" s="87">
        <v>400</v>
      </c>
    </row>
    <row r="150" spans="1:11" ht="14.6" x14ac:dyDescent="0.4">
      <c r="A150" s="84"/>
      <c r="B150" s="84"/>
      <c r="C150" s="84"/>
      <c r="D150" s="84"/>
      <c r="E150" s="84" t="s">
        <v>634</v>
      </c>
      <c r="F150" s="85">
        <v>45176</v>
      </c>
      <c r="G150" s="84" t="s">
        <v>3216</v>
      </c>
      <c r="H150" s="84" t="s">
        <v>881</v>
      </c>
      <c r="I150" s="84" t="s">
        <v>3375</v>
      </c>
      <c r="J150" s="84" t="s">
        <v>659</v>
      </c>
      <c r="K150" s="87">
        <v>450</v>
      </c>
    </row>
    <row r="151" spans="1:11" ht="14.6" x14ac:dyDescent="0.4">
      <c r="A151" s="84"/>
      <c r="B151" s="84"/>
      <c r="C151" s="84"/>
      <c r="D151" s="84"/>
      <c r="E151" s="84" t="s">
        <v>634</v>
      </c>
      <c r="F151" s="85">
        <v>45176</v>
      </c>
      <c r="G151" s="84" t="s">
        <v>3217</v>
      </c>
      <c r="H151" s="84" t="s">
        <v>881</v>
      </c>
      <c r="I151" s="84" t="s">
        <v>3376</v>
      </c>
      <c r="J151" s="84" t="s">
        <v>659</v>
      </c>
      <c r="K151" s="87">
        <v>450</v>
      </c>
    </row>
    <row r="152" spans="1:11" ht="14.6" x14ac:dyDescent="0.4">
      <c r="A152" s="84"/>
      <c r="B152" s="84"/>
      <c r="C152" s="84"/>
      <c r="D152" s="84"/>
      <c r="E152" s="84" t="s">
        <v>634</v>
      </c>
      <c r="F152" s="85">
        <v>45176</v>
      </c>
      <c r="G152" s="84" t="s">
        <v>3218</v>
      </c>
      <c r="H152" s="84" t="s">
        <v>881</v>
      </c>
      <c r="I152" s="84" t="s">
        <v>3377</v>
      </c>
      <c r="J152" s="84" t="s">
        <v>659</v>
      </c>
      <c r="K152" s="87">
        <v>750</v>
      </c>
    </row>
    <row r="153" spans="1:11" ht="14.6" x14ac:dyDescent="0.4">
      <c r="A153" s="84"/>
      <c r="B153" s="84"/>
      <c r="C153" s="84"/>
      <c r="D153" s="84"/>
      <c r="E153" s="84" t="s">
        <v>634</v>
      </c>
      <c r="F153" s="85">
        <v>45176</v>
      </c>
      <c r="G153" s="84" t="s">
        <v>3219</v>
      </c>
      <c r="H153" s="84" t="s">
        <v>881</v>
      </c>
      <c r="I153" s="84" t="s">
        <v>3378</v>
      </c>
      <c r="J153" s="84" t="s">
        <v>659</v>
      </c>
      <c r="K153" s="87">
        <v>400</v>
      </c>
    </row>
    <row r="154" spans="1:11" ht="14.6" x14ac:dyDescent="0.4">
      <c r="A154" s="84"/>
      <c r="B154" s="84"/>
      <c r="C154" s="84"/>
      <c r="D154" s="84"/>
      <c r="E154" s="84" t="s">
        <v>634</v>
      </c>
      <c r="F154" s="85">
        <v>45176</v>
      </c>
      <c r="G154" s="84" t="s">
        <v>3220</v>
      </c>
      <c r="H154" s="84" t="s">
        <v>881</v>
      </c>
      <c r="I154" s="84" t="s">
        <v>3379</v>
      </c>
      <c r="J154" s="84" t="s">
        <v>659</v>
      </c>
      <c r="K154" s="87">
        <v>450</v>
      </c>
    </row>
    <row r="155" spans="1:11" ht="14.6" x14ac:dyDescent="0.4">
      <c r="A155" s="84"/>
      <c r="B155" s="84"/>
      <c r="C155" s="84"/>
      <c r="D155" s="84"/>
      <c r="E155" s="84" t="s">
        <v>634</v>
      </c>
      <c r="F155" s="85">
        <v>45176</v>
      </c>
      <c r="G155" s="84" t="s">
        <v>3221</v>
      </c>
      <c r="H155" s="84" t="s">
        <v>881</v>
      </c>
      <c r="I155" s="84" t="s">
        <v>3380</v>
      </c>
      <c r="J155" s="84" t="s">
        <v>659</v>
      </c>
      <c r="K155" s="87">
        <v>450</v>
      </c>
    </row>
    <row r="156" spans="1:11" ht="14.6" x14ac:dyDescent="0.4">
      <c r="A156" s="84"/>
      <c r="B156" s="84"/>
      <c r="C156" s="84"/>
      <c r="D156" s="84"/>
      <c r="E156" s="84" t="s">
        <v>634</v>
      </c>
      <c r="F156" s="85">
        <v>45176</v>
      </c>
      <c r="G156" s="84" t="s">
        <v>3222</v>
      </c>
      <c r="H156" s="84" t="s">
        <v>881</v>
      </c>
      <c r="I156" s="84" t="s">
        <v>3381</v>
      </c>
      <c r="J156" s="84" t="s">
        <v>659</v>
      </c>
      <c r="K156" s="87">
        <v>450</v>
      </c>
    </row>
    <row r="157" spans="1:11" ht="14.6" x14ac:dyDescent="0.4">
      <c r="A157" s="84"/>
      <c r="B157" s="84"/>
      <c r="C157" s="84"/>
      <c r="D157" s="84"/>
      <c r="E157" s="84" t="s">
        <v>704</v>
      </c>
      <c r="F157" s="85">
        <v>45176</v>
      </c>
      <c r="G157" s="84" t="s">
        <v>3223</v>
      </c>
      <c r="H157" s="84" t="s">
        <v>2086</v>
      </c>
      <c r="I157" s="84" t="s">
        <v>2166</v>
      </c>
      <c r="J157" s="84" t="s">
        <v>771</v>
      </c>
      <c r="K157" s="87">
        <v>177.93</v>
      </c>
    </row>
    <row r="158" spans="1:11" ht="14.6" x14ac:dyDescent="0.4">
      <c r="A158" s="84"/>
      <c r="B158" s="84"/>
      <c r="C158" s="84"/>
      <c r="D158" s="84"/>
      <c r="E158" s="84" t="s">
        <v>634</v>
      </c>
      <c r="F158" s="85">
        <v>45177</v>
      </c>
      <c r="G158" s="84" t="s">
        <v>3224</v>
      </c>
      <c r="H158" s="84" t="s">
        <v>3338</v>
      </c>
      <c r="I158" s="84" t="s">
        <v>3382</v>
      </c>
      <c r="J158" s="84" t="s">
        <v>659</v>
      </c>
      <c r="K158" s="87">
        <v>400</v>
      </c>
    </row>
    <row r="159" spans="1:11" ht="14.6" x14ac:dyDescent="0.4">
      <c r="A159" s="84"/>
      <c r="B159" s="84"/>
      <c r="C159" s="84"/>
      <c r="D159" s="84"/>
      <c r="E159" s="84" t="s">
        <v>634</v>
      </c>
      <c r="F159" s="85">
        <v>45177</v>
      </c>
      <c r="G159" s="84" t="s">
        <v>3225</v>
      </c>
      <c r="H159" s="84" t="s">
        <v>881</v>
      </c>
      <c r="I159" s="84" t="s">
        <v>3383</v>
      </c>
      <c r="J159" s="84" t="s">
        <v>659</v>
      </c>
      <c r="K159" s="87">
        <v>450</v>
      </c>
    </row>
    <row r="160" spans="1:11" ht="14.6" x14ac:dyDescent="0.4">
      <c r="A160" s="84"/>
      <c r="B160" s="84"/>
      <c r="C160" s="84"/>
      <c r="D160" s="84"/>
      <c r="E160" s="84" t="s">
        <v>634</v>
      </c>
      <c r="F160" s="85">
        <v>45177</v>
      </c>
      <c r="G160" s="84" t="s">
        <v>3226</v>
      </c>
      <c r="H160" s="84" t="s">
        <v>881</v>
      </c>
      <c r="I160" s="84" t="s">
        <v>3384</v>
      </c>
      <c r="J160" s="84" t="s">
        <v>659</v>
      </c>
      <c r="K160" s="87">
        <v>450</v>
      </c>
    </row>
    <row r="161" spans="1:11" ht="14.6" x14ac:dyDescent="0.4">
      <c r="A161" s="84"/>
      <c r="B161" s="84"/>
      <c r="C161" s="84"/>
      <c r="D161" s="84"/>
      <c r="E161" s="84" t="s">
        <v>634</v>
      </c>
      <c r="F161" s="85">
        <v>45177</v>
      </c>
      <c r="G161" s="84" t="s">
        <v>3227</v>
      </c>
      <c r="H161" s="84" t="s">
        <v>881</v>
      </c>
      <c r="I161" s="84" t="s">
        <v>3385</v>
      </c>
      <c r="J161" s="84" t="s">
        <v>659</v>
      </c>
      <c r="K161" s="87">
        <v>450</v>
      </c>
    </row>
    <row r="162" spans="1:11" ht="14.6" x14ac:dyDescent="0.4">
      <c r="A162" s="84"/>
      <c r="B162" s="84"/>
      <c r="C162" s="84"/>
      <c r="D162" s="84"/>
      <c r="E162" s="84" t="s">
        <v>634</v>
      </c>
      <c r="F162" s="85">
        <v>45177</v>
      </c>
      <c r="G162" s="84" t="s">
        <v>3228</v>
      </c>
      <c r="H162" s="84" t="s">
        <v>881</v>
      </c>
      <c r="I162" s="84" t="s">
        <v>3386</v>
      </c>
      <c r="J162" s="84" t="s">
        <v>659</v>
      </c>
      <c r="K162" s="87">
        <v>450</v>
      </c>
    </row>
    <row r="163" spans="1:11" ht="14.6" x14ac:dyDescent="0.4">
      <c r="A163" s="84"/>
      <c r="B163" s="84"/>
      <c r="C163" s="84"/>
      <c r="D163" s="84"/>
      <c r="E163" s="84" t="s">
        <v>634</v>
      </c>
      <c r="F163" s="85">
        <v>45177</v>
      </c>
      <c r="G163" s="84" t="s">
        <v>3229</v>
      </c>
      <c r="H163" s="84" t="s">
        <v>881</v>
      </c>
      <c r="I163" s="84" t="s">
        <v>3387</v>
      </c>
      <c r="J163" s="84" t="s">
        <v>659</v>
      </c>
      <c r="K163" s="87">
        <v>450</v>
      </c>
    </row>
    <row r="164" spans="1:11" ht="14.6" x14ac:dyDescent="0.4">
      <c r="A164" s="84"/>
      <c r="B164" s="84"/>
      <c r="C164" s="84"/>
      <c r="D164" s="84"/>
      <c r="E164" s="84" t="s">
        <v>634</v>
      </c>
      <c r="F164" s="85">
        <v>45181</v>
      </c>
      <c r="G164" s="84" t="s">
        <v>3230</v>
      </c>
      <c r="H164" s="84" t="s">
        <v>881</v>
      </c>
      <c r="I164" s="84" t="s">
        <v>3388</v>
      </c>
      <c r="J164" s="84" t="s">
        <v>659</v>
      </c>
      <c r="K164" s="87">
        <v>750</v>
      </c>
    </row>
    <row r="165" spans="1:11" ht="14.6" x14ac:dyDescent="0.4">
      <c r="A165" s="84"/>
      <c r="B165" s="84"/>
      <c r="C165" s="84"/>
      <c r="D165" s="84"/>
      <c r="E165" s="84" t="s">
        <v>634</v>
      </c>
      <c r="F165" s="85">
        <v>45181</v>
      </c>
      <c r="G165" s="84" t="s">
        <v>3231</v>
      </c>
      <c r="H165" s="84" t="s">
        <v>881</v>
      </c>
      <c r="I165" s="84" t="s">
        <v>3389</v>
      </c>
      <c r="J165" s="84" t="s">
        <v>659</v>
      </c>
      <c r="K165" s="87">
        <v>450</v>
      </c>
    </row>
    <row r="166" spans="1:11" ht="14.6" x14ac:dyDescent="0.4">
      <c r="A166" s="84"/>
      <c r="B166" s="84"/>
      <c r="C166" s="84"/>
      <c r="D166" s="84"/>
      <c r="E166" s="84" t="s">
        <v>634</v>
      </c>
      <c r="F166" s="85">
        <v>45181</v>
      </c>
      <c r="G166" s="84" t="s">
        <v>3232</v>
      </c>
      <c r="H166" s="84" t="s">
        <v>881</v>
      </c>
      <c r="I166" s="84" t="s">
        <v>3390</v>
      </c>
      <c r="J166" s="84" t="s">
        <v>659</v>
      </c>
      <c r="K166" s="87">
        <v>450</v>
      </c>
    </row>
    <row r="167" spans="1:11" ht="14.6" x14ac:dyDescent="0.4">
      <c r="A167" s="84"/>
      <c r="B167" s="84"/>
      <c r="C167" s="84"/>
      <c r="D167" s="84"/>
      <c r="E167" s="84" t="s">
        <v>634</v>
      </c>
      <c r="F167" s="85">
        <v>45181</v>
      </c>
      <c r="G167" s="84" t="s">
        <v>3233</v>
      </c>
      <c r="H167" s="84" t="s">
        <v>881</v>
      </c>
      <c r="I167" s="84" t="s">
        <v>3391</v>
      </c>
      <c r="J167" s="84" t="s">
        <v>659</v>
      </c>
      <c r="K167" s="87">
        <v>450</v>
      </c>
    </row>
    <row r="168" spans="1:11" ht="14.6" x14ac:dyDescent="0.4">
      <c r="A168" s="84"/>
      <c r="B168" s="84"/>
      <c r="C168" s="84"/>
      <c r="D168" s="84"/>
      <c r="E168" s="84" t="s">
        <v>634</v>
      </c>
      <c r="F168" s="85">
        <v>45181</v>
      </c>
      <c r="G168" s="84" t="s">
        <v>3234</v>
      </c>
      <c r="H168" s="84" t="s">
        <v>881</v>
      </c>
      <c r="I168" s="84" t="s">
        <v>3392</v>
      </c>
      <c r="J168" s="84" t="s">
        <v>659</v>
      </c>
      <c r="K168" s="87">
        <v>450</v>
      </c>
    </row>
    <row r="169" spans="1:11" ht="14.6" x14ac:dyDescent="0.4">
      <c r="A169" s="84"/>
      <c r="B169" s="84"/>
      <c r="C169" s="84"/>
      <c r="D169" s="84"/>
      <c r="E169" s="84" t="s">
        <v>634</v>
      </c>
      <c r="F169" s="85">
        <v>45181</v>
      </c>
      <c r="G169" s="84" t="s">
        <v>3235</v>
      </c>
      <c r="H169" s="84" t="s">
        <v>881</v>
      </c>
      <c r="I169" s="84" t="s">
        <v>3393</v>
      </c>
      <c r="J169" s="84" t="s">
        <v>659</v>
      </c>
      <c r="K169" s="87">
        <v>450</v>
      </c>
    </row>
    <row r="170" spans="1:11" ht="14.6" x14ac:dyDescent="0.4">
      <c r="A170" s="84"/>
      <c r="B170" s="84"/>
      <c r="C170" s="84"/>
      <c r="D170" s="84"/>
      <c r="E170" s="84" t="s">
        <v>634</v>
      </c>
      <c r="F170" s="85">
        <v>45181</v>
      </c>
      <c r="G170" s="84" t="s">
        <v>3236</v>
      </c>
      <c r="H170" s="84" t="s">
        <v>3339</v>
      </c>
      <c r="I170" s="84" t="s">
        <v>3394</v>
      </c>
      <c r="J170" s="84" t="s">
        <v>659</v>
      </c>
      <c r="K170" s="87">
        <v>1000</v>
      </c>
    </row>
    <row r="171" spans="1:11" ht="14.6" x14ac:dyDescent="0.4">
      <c r="A171" s="84"/>
      <c r="B171" s="84"/>
      <c r="C171" s="84"/>
      <c r="D171" s="84"/>
      <c r="E171" s="84" t="s">
        <v>634</v>
      </c>
      <c r="F171" s="85">
        <v>45181</v>
      </c>
      <c r="G171" s="84" t="s">
        <v>3237</v>
      </c>
      <c r="H171" s="84" t="s">
        <v>3335</v>
      </c>
      <c r="I171" s="84" t="s">
        <v>3395</v>
      </c>
      <c r="J171" s="84" t="s">
        <v>659</v>
      </c>
      <c r="K171" s="87">
        <v>750</v>
      </c>
    </row>
    <row r="172" spans="1:11" ht="14.6" x14ac:dyDescent="0.4">
      <c r="A172" s="84"/>
      <c r="B172" s="84"/>
      <c r="C172" s="84"/>
      <c r="D172" s="84"/>
      <c r="E172" s="84" t="s">
        <v>634</v>
      </c>
      <c r="F172" s="85">
        <v>45181</v>
      </c>
      <c r="G172" s="84" t="s">
        <v>2336</v>
      </c>
      <c r="H172" s="84" t="s">
        <v>2093</v>
      </c>
      <c r="I172" s="84" t="s">
        <v>3396</v>
      </c>
      <c r="J172" s="84" t="s">
        <v>659</v>
      </c>
      <c r="K172" s="87">
        <v>400</v>
      </c>
    </row>
    <row r="173" spans="1:11" ht="14.6" x14ac:dyDescent="0.4">
      <c r="A173" s="84"/>
      <c r="B173" s="84"/>
      <c r="C173" s="84"/>
      <c r="D173" s="84"/>
      <c r="E173" s="84" t="s">
        <v>634</v>
      </c>
      <c r="F173" s="85">
        <v>45182</v>
      </c>
      <c r="G173" s="84" t="s">
        <v>3238</v>
      </c>
      <c r="H173" s="84" t="s">
        <v>1068</v>
      </c>
      <c r="I173" s="84" t="s">
        <v>3397</v>
      </c>
      <c r="J173" s="84" t="s">
        <v>659</v>
      </c>
      <c r="K173" s="87">
        <v>22430.06</v>
      </c>
    </row>
    <row r="174" spans="1:11" ht="14.6" x14ac:dyDescent="0.4">
      <c r="A174" s="84"/>
      <c r="B174" s="84"/>
      <c r="C174" s="84"/>
      <c r="D174" s="84"/>
      <c r="E174" s="84" t="s">
        <v>634</v>
      </c>
      <c r="F174" s="85">
        <v>45183</v>
      </c>
      <c r="G174" s="84" t="s">
        <v>3239</v>
      </c>
      <c r="H174" s="84" t="s">
        <v>2103</v>
      </c>
      <c r="I174" s="84" t="s">
        <v>3357</v>
      </c>
      <c r="J174" s="84" t="s">
        <v>659</v>
      </c>
      <c r="K174" s="87">
        <v>11000</v>
      </c>
    </row>
    <row r="175" spans="1:11" ht="14.6" x14ac:dyDescent="0.4">
      <c r="A175" s="84"/>
      <c r="B175" s="84"/>
      <c r="C175" s="84"/>
      <c r="D175" s="84"/>
      <c r="E175" s="84" t="s">
        <v>634</v>
      </c>
      <c r="F175" s="85">
        <v>45187</v>
      </c>
      <c r="G175" s="84" t="s">
        <v>3240</v>
      </c>
      <c r="H175" s="84" t="s">
        <v>2098</v>
      </c>
      <c r="I175" s="84" t="s">
        <v>2123</v>
      </c>
      <c r="J175" s="84" t="s">
        <v>659</v>
      </c>
      <c r="K175" s="87">
        <v>5390</v>
      </c>
    </row>
    <row r="176" spans="1:11" ht="14.6" x14ac:dyDescent="0.4">
      <c r="A176" s="84"/>
      <c r="B176" s="84"/>
      <c r="C176" s="84"/>
      <c r="D176" s="84"/>
      <c r="E176" s="84" t="s">
        <v>634</v>
      </c>
      <c r="F176" s="85">
        <v>45187</v>
      </c>
      <c r="G176" s="84" t="s">
        <v>3241</v>
      </c>
      <c r="H176" s="84" t="s">
        <v>2093</v>
      </c>
      <c r="I176" s="84" t="s">
        <v>3398</v>
      </c>
      <c r="J176" s="84" t="s">
        <v>659</v>
      </c>
      <c r="K176" s="87">
        <v>800</v>
      </c>
    </row>
    <row r="177" spans="1:11" ht="14.6" x14ac:dyDescent="0.4">
      <c r="A177" s="84"/>
      <c r="B177" s="84"/>
      <c r="C177" s="84"/>
      <c r="D177" s="84"/>
      <c r="E177" s="84" t="s">
        <v>634</v>
      </c>
      <c r="F177" s="85">
        <v>45190</v>
      </c>
      <c r="G177" s="84" t="s">
        <v>3242</v>
      </c>
      <c r="H177" s="84" t="s">
        <v>3335</v>
      </c>
      <c r="I177" s="84" t="s">
        <v>3399</v>
      </c>
      <c r="J177" s="84" t="s">
        <v>659</v>
      </c>
      <c r="K177" s="87">
        <v>750</v>
      </c>
    </row>
    <row r="178" spans="1:11" ht="14.6" x14ac:dyDescent="0.4">
      <c r="A178" s="84"/>
      <c r="B178" s="84"/>
      <c r="C178" s="84"/>
      <c r="D178" s="84"/>
      <c r="E178" s="84" t="s">
        <v>634</v>
      </c>
      <c r="F178" s="85">
        <v>45191</v>
      </c>
      <c r="G178" s="84" t="s">
        <v>3243</v>
      </c>
      <c r="H178" s="84" t="s">
        <v>881</v>
      </c>
      <c r="I178" s="84" t="s">
        <v>3400</v>
      </c>
      <c r="J178" s="84" t="s">
        <v>659</v>
      </c>
      <c r="K178" s="87">
        <v>450</v>
      </c>
    </row>
    <row r="179" spans="1:11" ht="14.6" x14ac:dyDescent="0.4">
      <c r="A179" s="84"/>
      <c r="B179" s="84"/>
      <c r="C179" s="84"/>
      <c r="D179" s="84"/>
      <c r="E179" s="84" t="s">
        <v>634</v>
      </c>
      <c r="F179" s="85">
        <v>45191</v>
      </c>
      <c r="G179" s="84" t="s">
        <v>3244</v>
      </c>
      <c r="H179" s="84" t="s">
        <v>881</v>
      </c>
      <c r="I179" s="84" t="s">
        <v>3401</v>
      </c>
      <c r="J179" s="84" t="s">
        <v>659</v>
      </c>
      <c r="K179" s="87">
        <v>450</v>
      </c>
    </row>
    <row r="180" spans="1:11" ht="14.6" x14ac:dyDescent="0.4">
      <c r="A180" s="84"/>
      <c r="B180" s="84"/>
      <c r="C180" s="84"/>
      <c r="D180" s="84"/>
      <c r="E180" s="84" t="s">
        <v>634</v>
      </c>
      <c r="F180" s="85">
        <v>45191</v>
      </c>
      <c r="G180" s="84" t="s">
        <v>3245</v>
      </c>
      <c r="H180" s="84" t="s">
        <v>881</v>
      </c>
      <c r="I180" s="84" t="s">
        <v>3402</v>
      </c>
      <c r="J180" s="84" t="s">
        <v>659</v>
      </c>
      <c r="K180" s="87">
        <v>450</v>
      </c>
    </row>
    <row r="181" spans="1:11" ht="14.6" x14ac:dyDescent="0.4">
      <c r="A181" s="84"/>
      <c r="B181" s="84"/>
      <c r="C181" s="84"/>
      <c r="D181" s="84"/>
      <c r="E181" s="84" t="s">
        <v>634</v>
      </c>
      <c r="F181" s="85">
        <v>45191</v>
      </c>
      <c r="G181" s="84" t="s">
        <v>3246</v>
      </c>
      <c r="H181" s="84" t="s">
        <v>881</v>
      </c>
      <c r="I181" s="84" t="s">
        <v>3403</v>
      </c>
      <c r="J181" s="84" t="s">
        <v>659</v>
      </c>
      <c r="K181" s="87">
        <v>400</v>
      </c>
    </row>
    <row r="182" spans="1:11" ht="14.6" x14ac:dyDescent="0.4">
      <c r="A182" s="84"/>
      <c r="B182" s="84"/>
      <c r="C182" s="84"/>
      <c r="D182" s="84"/>
      <c r="E182" s="84" t="s">
        <v>634</v>
      </c>
      <c r="F182" s="85">
        <v>45191</v>
      </c>
      <c r="G182" s="84" t="s">
        <v>3247</v>
      </c>
      <c r="H182" s="84" t="s">
        <v>881</v>
      </c>
      <c r="I182" s="84" t="s">
        <v>3404</v>
      </c>
      <c r="J182" s="84" t="s">
        <v>659</v>
      </c>
      <c r="K182" s="87">
        <v>450</v>
      </c>
    </row>
    <row r="183" spans="1:11" ht="14.6" x14ac:dyDescent="0.4">
      <c r="A183" s="84"/>
      <c r="B183" s="84"/>
      <c r="C183" s="84"/>
      <c r="D183" s="84"/>
      <c r="E183" s="84" t="s">
        <v>634</v>
      </c>
      <c r="F183" s="85">
        <v>45191</v>
      </c>
      <c r="G183" s="84" t="s">
        <v>3248</v>
      </c>
      <c r="H183" s="84" t="s">
        <v>881</v>
      </c>
      <c r="I183" s="84" t="s">
        <v>3405</v>
      </c>
      <c r="J183" s="84" t="s">
        <v>659</v>
      </c>
      <c r="K183" s="87">
        <v>450</v>
      </c>
    </row>
    <row r="184" spans="1:11" ht="14.6" x14ac:dyDescent="0.4">
      <c r="A184" s="84"/>
      <c r="B184" s="84"/>
      <c r="C184" s="84"/>
      <c r="D184" s="84"/>
      <c r="E184" s="84" t="s">
        <v>634</v>
      </c>
      <c r="F184" s="85">
        <v>45191</v>
      </c>
      <c r="G184" s="84" t="s">
        <v>3249</v>
      </c>
      <c r="H184" s="84" t="s">
        <v>3340</v>
      </c>
      <c r="I184" s="84" t="s">
        <v>3406</v>
      </c>
      <c r="J184" s="84" t="s">
        <v>659</v>
      </c>
      <c r="K184" s="87">
        <v>1000</v>
      </c>
    </row>
    <row r="185" spans="1:11" ht="14.6" x14ac:dyDescent="0.4">
      <c r="A185" s="84"/>
      <c r="B185" s="84"/>
      <c r="C185" s="84"/>
      <c r="D185" s="84"/>
      <c r="E185" s="84" t="s">
        <v>704</v>
      </c>
      <c r="F185" s="85">
        <v>45193</v>
      </c>
      <c r="G185" s="84" t="s">
        <v>3250</v>
      </c>
      <c r="H185" s="84" t="s">
        <v>2088</v>
      </c>
      <c r="I185" s="84" t="s">
        <v>2127</v>
      </c>
      <c r="J185" s="84" t="s">
        <v>771</v>
      </c>
      <c r="K185" s="87">
        <v>500</v>
      </c>
    </row>
    <row r="186" spans="1:11" ht="14.6" x14ac:dyDescent="0.4">
      <c r="A186" s="84"/>
      <c r="B186" s="84"/>
      <c r="C186" s="84"/>
      <c r="D186" s="84"/>
      <c r="E186" s="84" t="s">
        <v>634</v>
      </c>
      <c r="F186" s="85">
        <v>45199</v>
      </c>
      <c r="G186" s="84" t="s">
        <v>3251</v>
      </c>
      <c r="H186" s="84" t="s">
        <v>2087</v>
      </c>
      <c r="I186" s="84" t="s">
        <v>2123</v>
      </c>
      <c r="J186" s="84" t="s">
        <v>659</v>
      </c>
      <c r="K186" s="87">
        <v>550</v>
      </c>
    </row>
    <row r="187" spans="1:11" ht="14.6" x14ac:dyDescent="0.4">
      <c r="A187" s="84"/>
      <c r="B187" s="84"/>
      <c r="C187" s="84"/>
      <c r="D187" s="84"/>
      <c r="E187" s="84" t="s">
        <v>634</v>
      </c>
      <c r="F187" s="85">
        <v>45199</v>
      </c>
      <c r="G187" s="84" t="s">
        <v>3252</v>
      </c>
      <c r="H187" s="84" t="s">
        <v>3335</v>
      </c>
      <c r="I187" s="84" t="s">
        <v>3407</v>
      </c>
      <c r="J187" s="84" t="s">
        <v>659</v>
      </c>
      <c r="K187" s="87">
        <v>750</v>
      </c>
    </row>
    <row r="188" spans="1:11" ht="14.6" x14ac:dyDescent="0.4">
      <c r="A188" s="84"/>
      <c r="B188" s="84"/>
      <c r="C188" s="84"/>
      <c r="D188" s="84"/>
      <c r="E188" s="84" t="s">
        <v>634</v>
      </c>
      <c r="F188" s="85">
        <v>45200</v>
      </c>
      <c r="G188" s="84" t="s">
        <v>3253</v>
      </c>
      <c r="H188" s="84" t="s">
        <v>2091</v>
      </c>
      <c r="I188" s="84" t="s">
        <v>2138</v>
      </c>
      <c r="J188" s="84" t="s">
        <v>659</v>
      </c>
      <c r="K188" s="87">
        <v>19500</v>
      </c>
    </row>
    <row r="189" spans="1:11" ht="14.6" x14ac:dyDescent="0.4">
      <c r="A189" s="84"/>
      <c r="B189" s="84"/>
      <c r="C189" s="84"/>
      <c r="D189" s="84"/>
      <c r="E189" s="84" t="s">
        <v>634</v>
      </c>
      <c r="F189" s="85">
        <v>45200</v>
      </c>
      <c r="G189" s="84" t="s">
        <v>3254</v>
      </c>
      <c r="H189" s="84" t="s">
        <v>880</v>
      </c>
      <c r="I189" s="84" t="s">
        <v>3344</v>
      </c>
      <c r="J189" s="84" t="s">
        <v>659</v>
      </c>
      <c r="K189" s="87">
        <v>2500</v>
      </c>
    </row>
    <row r="190" spans="1:11" ht="14.6" x14ac:dyDescent="0.4">
      <c r="A190" s="84"/>
      <c r="B190" s="84"/>
      <c r="C190" s="84"/>
      <c r="D190" s="84"/>
      <c r="E190" s="84" t="s">
        <v>634</v>
      </c>
      <c r="F190" s="85">
        <v>45200</v>
      </c>
      <c r="G190" s="84" t="s">
        <v>3255</v>
      </c>
      <c r="H190" s="84" t="s">
        <v>1548</v>
      </c>
      <c r="I190" s="84" t="s">
        <v>3408</v>
      </c>
      <c r="J190" s="84" t="s">
        <v>659</v>
      </c>
      <c r="K190" s="87">
        <v>1586.2</v>
      </c>
    </row>
    <row r="191" spans="1:11" ht="14.6" x14ac:dyDescent="0.4">
      <c r="A191" s="84"/>
      <c r="B191" s="84"/>
      <c r="C191" s="84"/>
      <c r="D191" s="84"/>
      <c r="E191" s="84" t="s">
        <v>634</v>
      </c>
      <c r="F191" s="85">
        <v>45201</v>
      </c>
      <c r="G191" s="84" t="s">
        <v>3256</v>
      </c>
      <c r="H191" s="84" t="s">
        <v>881</v>
      </c>
      <c r="I191" s="84" t="s">
        <v>3409</v>
      </c>
      <c r="J191" s="84" t="s">
        <v>659</v>
      </c>
      <c r="K191" s="87">
        <v>450</v>
      </c>
    </row>
    <row r="192" spans="1:11" ht="14.6" x14ac:dyDescent="0.4">
      <c r="A192" s="84"/>
      <c r="B192" s="84"/>
      <c r="C192" s="84"/>
      <c r="D192" s="84"/>
      <c r="E192" s="84" t="s">
        <v>634</v>
      </c>
      <c r="F192" s="85">
        <v>45201</v>
      </c>
      <c r="G192" s="84" t="s">
        <v>3257</v>
      </c>
      <c r="H192" s="84" t="s">
        <v>881</v>
      </c>
      <c r="I192" s="84" t="s">
        <v>3410</v>
      </c>
      <c r="J192" s="84" t="s">
        <v>659</v>
      </c>
      <c r="K192" s="87">
        <v>450</v>
      </c>
    </row>
    <row r="193" spans="1:11" ht="14.6" x14ac:dyDescent="0.4">
      <c r="A193" s="84"/>
      <c r="B193" s="84"/>
      <c r="C193" s="84"/>
      <c r="D193" s="84"/>
      <c r="E193" s="84" t="s">
        <v>634</v>
      </c>
      <c r="F193" s="85">
        <v>45201</v>
      </c>
      <c r="G193" s="84" t="s">
        <v>3258</v>
      </c>
      <c r="H193" s="84" t="s">
        <v>881</v>
      </c>
      <c r="I193" s="84" t="s">
        <v>3411</v>
      </c>
      <c r="J193" s="84" t="s">
        <v>659</v>
      </c>
      <c r="K193" s="87">
        <v>450</v>
      </c>
    </row>
    <row r="194" spans="1:11" ht="14.6" x14ac:dyDescent="0.4">
      <c r="A194" s="84"/>
      <c r="B194" s="84"/>
      <c r="C194" s="84"/>
      <c r="D194" s="84"/>
      <c r="E194" s="84" t="s">
        <v>634</v>
      </c>
      <c r="F194" s="85">
        <v>45201</v>
      </c>
      <c r="G194" s="84" t="s">
        <v>3259</v>
      </c>
      <c r="H194" s="84" t="s">
        <v>881</v>
      </c>
      <c r="I194" s="84" t="s">
        <v>3412</v>
      </c>
      <c r="J194" s="84" t="s">
        <v>659</v>
      </c>
      <c r="K194" s="87">
        <v>450</v>
      </c>
    </row>
    <row r="195" spans="1:11" ht="14.6" x14ac:dyDescent="0.4">
      <c r="A195" s="84"/>
      <c r="B195" s="84"/>
      <c r="C195" s="84"/>
      <c r="D195" s="84"/>
      <c r="E195" s="84" t="s">
        <v>634</v>
      </c>
      <c r="F195" s="85">
        <v>45201</v>
      </c>
      <c r="G195" s="84" t="s">
        <v>3260</v>
      </c>
      <c r="H195" s="84" t="s">
        <v>881</v>
      </c>
      <c r="I195" s="84" t="s">
        <v>3413</v>
      </c>
      <c r="J195" s="84" t="s">
        <v>659</v>
      </c>
      <c r="K195" s="87">
        <v>450</v>
      </c>
    </row>
    <row r="196" spans="1:11" ht="14.6" x14ac:dyDescent="0.4">
      <c r="A196" s="84"/>
      <c r="B196" s="84"/>
      <c r="C196" s="84"/>
      <c r="D196" s="84"/>
      <c r="E196" s="84" t="s">
        <v>634</v>
      </c>
      <c r="F196" s="85">
        <v>45201</v>
      </c>
      <c r="G196" s="84" t="s">
        <v>3261</v>
      </c>
      <c r="H196" s="84" t="s">
        <v>881</v>
      </c>
      <c r="I196" s="84" t="s">
        <v>3414</v>
      </c>
      <c r="J196" s="84" t="s">
        <v>659</v>
      </c>
      <c r="K196" s="87">
        <v>450</v>
      </c>
    </row>
    <row r="197" spans="1:11" ht="14.6" x14ac:dyDescent="0.4">
      <c r="A197" s="84"/>
      <c r="B197" s="84"/>
      <c r="C197" s="84"/>
      <c r="D197" s="84"/>
      <c r="E197" s="84" t="s">
        <v>634</v>
      </c>
      <c r="F197" s="85">
        <v>45201</v>
      </c>
      <c r="G197" s="84" t="s">
        <v>3262</v>
      </c>
      <c r="H197" s="84" t="s">
        <v>881</v>
      </c>
      <c r="I197" s="84" t="s">
        <v>3415</v>
      </c>
      <c r="J197" s="84" t="s">
        <v>659</v>
      </c>
      <c r="K197" s="87">
        <v>450</v>
      </c>
    </row>
    <row r="198" spans="1:11" ht="14.6" x14ac:dyDescent="0.4">
      <c r="A198" s="84"/>
      <c r="B198" s="84"/>
      <c r="C198" s="84"/>
      <c r="D198" s="84"/>
      <c r="E198" s="84" t="s">
        <v>634</v>
      </c>
      <c r="F198" s="85">
        <v>45201</v>
      </c>
      <c r="G198" s="84" t="s">
        <v>3263</v>
      </c>
      <c r="H198" s="84" t="s">
        <v>2094</v>
      </c>
      <c r="I198" s="84" t="s">
        <v>2144</v>
      </c>
      <c r="J198" s="84" t="s">
        <v>659</v>
      </c>
      <c r="K198" s="87">
        <v>2700</v>
      </c>
    </row>
    <row r="199" spans="1:11" ht="14.6" x14ac:dyDescent="0.4">
      <c r="A199" s="84"/>
      <c r="B199" s="84"/>
      <c r="C199" s="84"/>
      <c r="D199" s="84"/>
      <c r="E199" s="84" t="s">
        <v>634</v>
      </c>
      <c r="F199" s="85">
        <v>45203</v>
      </c>
      <c r="G199" s="84" t="s">
        <v>3264</v>
      </c>
      <c r="H199" s="84" t="s">
        <v>3341</v>
      </c>
      <c r="I199" s="84" t="s">
        <v>3416</v>
      </c>
      <c r="J199" s="84" t="s">
        <v>659</v>
      </c>
      <c r="K199" s="87">
        <v>10000</v>
      </c>
    </row>
    <row r="200" spans="1:11" ht="14.6" x14ac:dyDescent="0.4">
      <c r="A200" s="84"/>
      <c r="B200" s="84"/>
      <c r="C200" s="84"/>
      <c r="D200" s="84"/>
      <c r="E200" s="84" t="s">
        <v>634</v>
      </c>
      <c r="F200" s="85">
        <v>45203</v>
      </c>
      <c r="G200" s="84" t="s">
        <v>3265</v>
      </c>
      <c r="H200" s="84" t="s">
        <v>2082</v>
      </c>
      <c r="I200" s="84" t="s">
        <v>2116</v>
      </c>
      <c r="J200" s="84" t="s">
        <v>659</v>
      </c>
      <c r="K200" s="87">
        <v>70</v>
      </c>
    </row>
    <row r="201" spans="1:11" ht="14.6" x14ac:dyDescent="0.4">
      <c r="A201" s="84"/>
      <c r="B201" s="84"/>
      <c r="C201" s="84"/>
      <c r="D201" s="84"/>
      <c r="E201" s="84" t="s">
        <v>634</v>
      </c>
      <c r="F201" s="85">
        <v>45203</v>
      </c>
      <c r="G201" s="84" t="s">
        <v>3266</v>
      </c>
      <c r="H201" s="84" t="s">
        <v>881</v>
      </c>
      <c r="I201" s="84" t="s">
        <v>3417</v>
      </c>
      <c r="J201" s="84" t="s">
        <v>659</v>
      </c>
      <c r="K201" s="87">
        <v>450</v>
      </c>
    </row>
    <row r="202" spans="1:11" ht="14.6" x14ac:dyDescent="0.4">
      <c r="A202" s="84"/>
      <c r="B202" s="84"/>
      <c r="C202" s="84"/>
      <c r="D202" s="84"/>
      <c r="E202" s="84" t="s">
        <v>634</v>
      </c>
      <c r="F202" s="85">
        <v>45203</v>
      </c>
      <c r="G202" s="84" t="s">
        <v>3267</v>
      </c>
      <c r="H202" s="84" t="s">
        <v>881</v>
      </c>
      <c r="I202" s="84" t="s">
        <v>3418</v>
      </c>
      <c r="J202" s="84" t="s">
        <v>659</v>
      </c>
      <c r="K202" s="87">
        <v>450</v>
      </c>
    </row>
    <row r="203" spans="1:11" ht="14.6" x14ac:dyDescent="0.4">
      <c r="A203" s="84"/>
      <c r="B203" s="84"/>
      <c r="C203" s="84"/>
      <c r="D203" s="84"/>
      <c r="E203" s="84" t="s">
        <v>634</v>
      </c>
      <c r="F203" s="85">
        <v>45203</v>
      </c>
      <c r="G203" s="84" t="s">
        <v>3268</v>
      </c>
      <c r="H203" s="84" t="s">
        <v>881</v>
      </c>
      <c r="I203" s="84" t="s">
        <v>3419</v>
      </c>
      <c r="J203" s="84" t="s">
        <v>659</v>
      </c>
      <c r="K203" s="87">
        <v>450</v>
      </c>
    </row>
    <row r="204" spans="1:11" ht="14.6" x14ac:dyDescent="0.4">
      <c r="A204" s="84"/>
      <c r="B204" s="84"/>
      <c r="C204" s="84"/>
      <c r="D204" s="84"/>
      <c r="E204" s="84" t="s">
        <v>634</v>
      </c>
      <c r="F204" s="85">
        <v>45203</v>
      </c>
      <c r="G204" s="84" t="s">
        <v>3269</v>
      </c>
      <c r="H204" s="84" t="s">
        <v>881</v>
      </c>
      <c r="I204" s="84" t="s">
        <v>3420</v>
      </c>
      <c r="J204" s="84" t="s">
        <v>659</v>
      </c>
      <c r="K204" s="87">
        <v>400</v>
      </c>
    </row>
    <row r="205" spans="1:11" ht="14.6" x14ac:dyDescent="0.4">
      <c r="A205" s="84"/>
      <c r="B205" s="84"/>
      <c r="C205" s="84"/>
      <c r="D205" s="84"/>
      <c r="E205" s="84" t="s">
        <v>704</v>
      </c>
      <c r="F205" s="85">
        <v>45203</v>
      </c>
      <c r="G205" s="84" t="s">
        <v>3270</v>
      </c>
      <c r="H205" s="84" t="s">
        <v>1069</v>
      </c>
      <c r="I205" s="84" t="s">
        <v>2124</v>
      </c>
      <c r="J205" s="84" t="s">
        <v>771</v>
      </c>
      <c r="K205" s="87">
        <v>228</v>
      </c>
    </row>
    <row r="206" spans="1:11" ht="14.6" x14ac:dyDescent="0.4">
      <c r="A206" s="84"/>
      <c r="B206" s="84"/>
      <c r="C206" s="84"/>
      <c r="D206" s="84"/>
      <c r="E206" s="84" t="s">
        <v>634</v>
      </c>
      <c r="F206" s="85">
        <v>45209</v>
      </c>
      <c r="G206" s="84" t="s">
        <v>3271</v>
      </c>
      <c r="H206" s="84" t="s">
        <v>2098</v>
      </c>
      <c r="I206" s="84" t="s">
        <v>2123</v>
      </c>
      <c r="J206" s="84" t="s">
        <v>659</v>
      </c>
      <c r="K206" s="87">
        <v>70</v>
      </c>
    </row>
    <row r="207" spans="1:11" ht="14.6" x14ac:dyDescent="0.4">
      <c r="A207" s="84"/>
      <c r="B207" s="84"/>
      <c r="C207" s="84"/>
      <c r="D207" s="84"/>
      <c r="E207" s="84" t="s">
        <v>634</v>
      </c>
      <c r="F207" s="85">
        <v>45218</v>
      </c>
      <c r="G207" s="84" t="s">
        <v>3272</v>
      </c>
      <c r="H207" s="84" t="s">
        <v>1068</v>
      </c>
      <c r="I207" s="84" t="s">
        <v>3421</v>
      </c>
      <c r="J207" s="84" t="s">
        <v>659</v>
      </c>
      <c r="K207" s="87">
        <v>28674.85</v>
      </c>
    </row>
    <row r="208" spans="1:11" ht="14.6" x14ac:dyDescent="0.4">
      <c r="A208" s="84"/>
      <c r="B208" s="84"/>
      <c r="C208" s="84"/>
      <c r="D208" s="84"/>
      <c r="E208" s="84" t="s">
        <v>634</v>
      </c>
      <c r="F208" s="85">
        <v>45223</v>
      </c>
      <c r="G208" s="84" t="s">
        <v>3273</v>
      </c>
      <c r="H208" s="84" t="s">
        <v>881</v>
      </c>
      <c r="I208" s="84" t="s">
        <v>3423</v>
      </c>
      <c r="J208" s="84" t="s">
        <v>659</v>
      </c>
      <c r="K208" s="87">
        <v>450</v>
      </c>
    </row>
    <row r="209" spans="1:11" ht="14.6" x14ac:dyDescent="0.4">
      <c r="A209" s="84"/>
      <c r="B209" s="84"/>
      <c r="C209" s="84"/>
      <c r="D209" s="84"/>
      <c r="E209" s="84" t="s">
        <v>634</v>
      </c>
      <c r="F209" s="85">
        <v>45223</v>
      </c>
      <c r="G209" s="84" t="s">
        <v>3274</v>
      </c>
      <c r="H209" s="84" t="s">
        <v>881</v>
      </c>
      <c r="I209" s="84" t="s">
        <v>3424</v>
      </c>
      <c r="J209" s="84" t="s">
        <v>659</v>
      </c>
      <c r="K209" s="87">
        <v>450</v>
      </c>
    </row>
    <row r="210" spans="1:11" ht="14.6" x14ac:dyDescent="0.4">
      <c r="A210" s="84"/>
      <c r="B210" s="84"/>
      <c r="C210" s="84"/>
      <c r="D210" s="84"/>
      <c r="E210" s="84" t="s">
        <v>634</v>
      </c>
      <c r="F210" s="85">
        <v>45223</v>
      </c>
      <c r="G210" s="84" t="s">
        <v>3275</v>
      </c>
      <c r="H210" s="84" t="s">
        <v>881</v>
      </c>
      <c r="I210" s="84" t="s">
        <v>3425</v>
      </c>
      <c r="J210" s="84" t="s">
        <v>659</v>
      </c>
      <c r="K210" s="87">
        <v>450</v>
      </c>
    </row>
    <row r="211" spans="1:11" ht="14.6" x14ac:dyDescent="0.4">
      <c r="A211" s="84"/>
      <c r="B211" s="84"/>
      <c r="C211" s="84"/>
      <c r="D211" s="84"/>
      <c r="E211" s="84" t="s">
        <v>634</v>
      </c>
      <c r="F211" s="85">
        <v>45223</v>
      </c>
      <c r="G211" s="84" t="s">
        <v>3276</v>
      </c>
      <c r="H211" s="84" t="s">
        <v>881</v>
      </c>
      <c r="I211" s="84" t="s">
        <v>3426</v>
      </c>
      <c r="J211" s="84" t="s">
        <v>659</v>
      </c>
      <c r="K211" s="87">
        <v>450</v>
      </c>
    </row>
    <row r="212" spans="1:11" ht="14.6" x14ac:dyDescent="0.4">
      <c r="A212" s="84"/>
      <c r="B212" s="84"/>
      <c r="C212" s="84"/>
      <c r="D212" s="84"/>
      <c r="E212" s="84" t="s">
        <v>634</v>
      </c>
      <c r="F212" s="85">
        <v>45223</v>
      </c>
      <c r="G212" s="84" t="s">
        <v>3277</v>
      </c>
      <c r="H212" s="84" t="s">
        <v>881</v>
      </c>
      <c r="I212" s="84" t="s">
        <v>3427</v>
      </c>
      <c r="J212" s="84" t="s">
        <v>659</v>
      </c>
      <c r="K212" s="87">
        <v>450</v>
      </c>
    </row>
    <row r="213" spans="1:11" ht="14.6" x14ac:dyDescent="0.4">
      <c r="A213" s="84"/>
      <c r="B213" s="84"/>
      <c r="C213" s="84"/>
      <c r="D213" s="84"/>
      <c r="E213" s="84" t="s">
        <v>634</v>
      </c>
      <c r="F213" s="85">
        <v>45223</v>
      </c>
      <c r="G213" s="84" t="s">
        <v>3278</v>
      </c>
      <c r="H213" s="84" t="s">
        <v>881</v>
      </c>
      <c r="I213" s="84" t="s">
        <v>3428</v>
      </c>
      <c r="J213" s="84" t="s">
        <v>659</v>
      </c>
      <c r="K213" s="87">
        <v>450</v>
      </c>
    </row>
    <row r="214" spans="1:11" ht="14.6" x14ac:dyDescent="0.4">
      <c r="A214" s="84"/>
      <c r="B214" s="84"/>
      <c r="C214" s="84"/>
      <c r="D214" s="84"/>
      <c r="E214" s="84" t="s">
        <v>634</v>
      </c>
      <c r="F214" s="85">
        <v>45223</v>
      </c>
      <c r="G214" s="84" t="s">
        <v>3279</v>
      </c>
      <c r="H214" s="84" t="s">
        <v>881</v>
      </c>
      <c r="I214" s="84" t="s">
        <v>3429</v>
      </c>
      <c r="J214" s="84" t="s">
        <v>659</v>
      </c>
      <c r="K214" s="87">
        <v>450</v>
      </c>
    </row>
    <row r="215" spans="1:11" ht="14.6" x14ac:dyDescent="0.4">
      <c r="A215" s="84"/>
      <c r="B215" s="84"/>
      <c r="C215" s="84"/>
      <c r="D215" s="84"/>
      <c r="E215" s="84" t="s">
        <v>634</v>
      </c>
      <c r="F215" s="85">
        <v>45223</v>
      </c>
      <c r="G215" s="84" t="s">
        <v>3280</v>
      </c>
      <c r="H215" s="84" t="s">
        <v>881</v>
      </c>
      <c r="I215" s="84" t="s">
        <v>3430</v>
      </c>
      <c r="J215" s="84" t="s">
        <v>659</v>
      </c>
      <c r="K215" s="87">
        <v>450</v>
      </c>
    </row>
    <row r="216" spans="1:11" ht="14.6" x14ac:dyDescent="0.4">
      <c r="A216" s="84"/>
      <c r="B216" s="84"/>
      <c r="C216" s="84"/>
      <c r="D216" s="84"/>
      <c r="E216" s="84" t="s">
        <v>634</v>
      </c>
      <c r="F216" s="85">
        <v>45223</v>
      </c>
      <c r="G216" s="84" t="s">
        <v>3281</v>
      </c>
      <c r="H216" s="84" t="s">
        <v>881</v>
      </c>
      <c r="I216" s="84" t="s">
        <v>3431</v>
      </c>
      <c r="J216" s="84" t="s">
        <v>659</v>
      </c>
      <c r="K216" s="87">
        <v>450</v>
      </c>
    </row>
    <row r="217" spans="1:11" ht="14.6" x14ac:dyDescent="0.4">
      <c r="A217" s="84"/>
      <c r="B217" s="84"/>
      <c r="C217" s="84"/>
      <c r="D217" s="84"/>
      <c r="E217" s="84" t="s">
        <v>634</v>
      </c>
      <c r="F217" s="85">
        <v>45223</v>
      </c>
      <c r="G217" s="84" t="s">
        <v>3282</v>
      </c>
      <c r="H217" s="84" t="s">
        <v>881</v>
      </c>
      <c r="I217" s="84" t="s">
        <v>3432</v>
      </c>
      <c r="J217" s="84" t="s">
        <v>659</v>
      </c>
      <c r="K217" s="87">
        <v>450</v>
      </c>
    </row>
    <row r="218" spans="1:11" ht="14.6" x14ac:dyDescent="0.4">
      <c r="A218" s="84"/>
      <c r="B218" s="84"/>
      <c r="C218" s="84"/>
      <c r="D218" s="84"/>
      <c r="E218" s="84" t="s">
        <v>634</v>
      </c>
      <c r="F218" s="85">
        <v>45223</v>
      </c>
      <c r="G218" s="84" t="s">
        <v>3283</v>
      </c>
      <c r="H218" s="84" t="s">
        <v>881</v>
      </c>
      <c r="I218" s="84" t="s">
        <v>3433</v>
      </c>
      <c r="J218" s="84" t="s">
        <v>659</v>
      </c>
      <c r="K218" s="87">
        <v>450</v>
      </c>
    </row>
    <row r="219" spans="1:11" ht="14.6" x14ac:dyDescent="0.4">
      <c r="A219" s="84"/>
      <c r="B219" s="84"/>
      <c r="C219" s="84"/>
      <c r="D219" s="84"/>
      <c r="E219" s="84" t="s">
        <v>634</v>
      </c>
      <c r="F219" s="85">
        <v>45223</v>
      </c>
      <c r="G219" s="84" t="s">
        <v>3284</v>
      </c>
      <c r="H219" s="84" t="s">
        <v>881</v>
      </c>
      <c r="I219" s="84" t="s">
        <v>3434</v>
      </c>
      <c r="J219" s="84" t="s">
        <v>659</v>
      </c>
      <c r="K219" s="87">
        <v>450</v>
      </c>
    </row>
    <row r="220" spans="1:11" ht="14.6" x14ac:dyDescent="0.4">
      <c r="A220" s="84"/>
      <c r="B220" s="84"/>
      <c r="C220" s="84"/>
      <c r="D220" s="84"/>
      <c r="E220" s="84" t="s">
        <v>634</v>
      </c>
      <c r="F220" s="85">
        <v>45223</v>
      </c>
      <c r="G220" s="84" t="s">
        <v>3285</v>
      </c>
      <c r="H220" s="84" t="s">
        <v>3342</v>
      </c>
      <c r="I220" s="84" t="s">
        <v>3435</v>
      </c>
      <c r="J220" s="84" t="s">
        <v>659</v>
      </c>
      <c r="K220" s="87">
        <v>450</v>
      </c>
    </row>
    <row r="221" spans="1:11" ht="14.6" x14ac:dyDescent="0.4">
      <c r="A221" s="84"/>
      <c r="B221" s="84"/>
      <c r="C221" s="84"/>
      <c r="D221" s="84"/>
      <c r="E221" s="84" t="s">
        <v>634</v>
      </c>
      <c r="F221" s="85">
        <v>45224</v>
      </c>
      <c r="G221" s="84" t="s">
        <v>3286</v>
      </c>
      <c r="H221" s="84" t="s">
        <v>880</v>
      </c>
      <c r="I221" s="84" t="s">
        <v>3344</v>
      </c>
      <c r="J221" s="84" t="s">
        <v>659</v>
      </c>
      <c r="K221" s="87">
        <v>2500</v>
      </c>
    </row>
    <row r="222" spans="1:11" ht="14.6" x14ac:dyDescent="0.4">
      <c r="A222" s="84"/>
      <c r="B222" s="84"/>
      <c r="C222" s="84"/>
      <c r="D222" s="84"/>
      <c r="E222" s="84" t="s">
        <v>634</v>
      </c>
      <c r="F222" s="85">
        <v>45224</v>
      </c>
      <c r="G222" s="84" t="s">
        <v>3287</v>
      </c>
      <c r="H222" s="84" t="s">
        <v>3335</v>
      </c>
      <c r="I222" s="84" t="s">
        <v>3436</v>
      </c>
      <c r="J222" s="84" t="s">
        <v>659</v>
      </c>
      <c r="K222" s="87">
        <v>750</v>
      </c>
    </row>
    <row r="223" spans="1:11" ht="14.6" x14ac:dyDescent="0.4">
      <c r="A223" s="84"/>
      <c r="B223" s="84"/>
      <c r="C223" s="84"/>
      <c r="D223" s="84"/>
      <c r="E223" s="84" t="s">
        <v>704</v>
      </c>
      <c r="F223" s="85">
        <v>45225</v>
      </c>
      <c r="G223" s="84" t="s">
        <v>3288</v>
      </c>
      <c r="H223" s="84" t="s">
        <v>2088</v>
      </c>
      <c r="I223" s="84" t="s">
        <v>2127</v>
      </c>
      <c r="J223" s="84" t="s">
        <v>771</v>
      </c>
      <c r="K223" s="87">
        <v>500</v>
      </c>
    </row>
    <row r="224" spans="1:11" ht="14.6" x14ac:dyDescent="0.4">
      <c r="A224" s="84"/>
      <c r="B224" s="84"/>
      <c r="C224" s="84"/>
      <c r="D224" s="84"/>
      <c r="E224" s="84" t="s">
        <v>634</v>
      </c>
      <c r="F224" s="85">
        <v>45229</v>
      </c>
      <c r="G224" s="84" t="s">
        <v>3289</v>
      </c>
      <c r="H224" s="84" t="s">
        <v>881</v>
      </c>
      <c r="I224" s="84" t="s">
        <v>3437</v>
      </c>
      <c r="J224" s="84" t="s">
        <v>659</v>
      </c>
      <c r="K224" s="87">
        <v>450</v>
      </c>
    </row>
    <row r="225" spans="1:11" ht="14.6" x14ac:dyDescent="0.4">
      <c r="A225" s="84"/>
      <c r="B225" s="84"/>
      <c r="C225" s="84"/>
      <c r="D225" s="84"/>
      <c r="E225" s="84" t="s">
        <v>634</v>
      </c>
      <c r="F225" s="85">
        <v>45229</v>
      </c>
      <c r="G225" s="84" t="s">
        <v>3290</v>
      </c>
      <c r="H225" s="84" t="s">
        <v>881</v>
      </c>
      <c r="I225" s="84" t="s">
        <v>3438</v>
      </c>
      <c r="J225" s="84" t="s">
        <v>659</v>
      </c>
      <c r="K225" s="87">
        <v>450</v>
      </c>
    </row>
    <row r="226" spans="1:11" ht="14.6" x14ac:dyDescent="0.4">
      <c r="A226" s="84"/>
      <c r="B226" s="84"/>
      <c r="C226" s="84"/>
      <c r="D226" s="84"/>
      <c r="E226" s="84" t="s">
        <v>634</v>
      </c>
      <c r="F226" s="85">
        <v>45230</v>
      </c>
      <c r="G226" s="84" t="s">
        <v>3291</v>
      </c>
      <c r="H226" s="84" t="s">
        <v>897</v>
      </c>
      <c r="I226" s="84" t="s">
        <v>3439</v>
      </c>
      <c r="J226" s="84" t="s">
        <v>659</v>
      </c>
      <c r="K226" s="87">
        <v>160</v>
      </c>
    </row>
    <row r="227" spans="1:11" ht="14.6" x14ac:dyDescent="0.4">
      <c r="A227" s="84"/>
      <c r="B227" s="84"/>
      <c r="C227" s="84"/>
      <c r="D227" s="84"/>
      <c r="E227" s="84" t="s">
        <v>634</v>
      </c>
      <c r="F227" s="85">
        <v>45230</v>
      </c>
      <c r="G227" s="84" t="s">
        <v>3292</v>
      </c>
      <c r="H227" s="84" t="s">
        <v>2103</v>
      </c>
      <c r="I227" s="84" t="s">
        <v>3440</v>
      </c>
      <c r="J227" s="84" t="s">
        <v>659</v>
      </c>
      <c r="K227" s="87">
        <v>4117.5</v>
      </c>
    </row>
    <row r="228" spans="1:11" ht="14.6" x14ac:dyDescent="0.4">
      <c r="A228" s="84"/>
      <c r="B228" s="84"/>
      <c r="C228" s="84"/>
      <c r="D228" s="84"/>
      <c r="E228" s="84" t="s">
        <v>634</v>
      </c>
      <c r="F228" s="85">
        <v>45230</v>
      </c>
      <c r="G228" s="84" t="s">
        <v>3533</v>
      </c>
      <c r="H228" s="84" t="s">
        <v>3536</v>
      </c>
      <c r="I228" s="84" t="s">
        <v>3537</v>
      </c>
      <c r="J228" s="84" t="s">
        <v>659</v>
      </c>
      <c r="K228" s="87">
        <v>0</v>
      </c>
    </row>
    <row r="229" spans="1:11" ht="14.6" x14ac:dyDescent="0.4">
      <c r="A229" s="84"/>
      <c r="B229" s="84"/>
      <c r="C229" s="84"/>
      <c r="D229" s="84"/>
      <c r="E229" s="84" t="s">
        <v>634</v>
      </c>
      <c r="F229" s="85">
        <v>45230</v>
      </c>
      <c r="G229" s="84" t="s">
        <v>3533</v>
      </c>
      <c r="H229" s="84" t="s">
        <v>3536</v>
      </c>
      <c r="I229" s="84" t="s">
        <v>3540</v>
      </c>
      <c r="J229" s="84" t="s">
        <v>659</v>
      </c>
      <c r="K229" s="87">
        <v>252650</v>
      </c>
    </row>
    <row r="230" spans="1:11" ht="14.6" x14ac:dyDescent="0.4">
      <c r="A230" s="84"/>
      <c r="B230" s="84"/>
      <c r="C230" s="84"/>
      <c r="D230" s="84"/>
      <c r="E230" s="84" t="s">
        <v>634</v>
      </c>
      <c r="F230" s="85">
        <v>45231</v>
      </c>
      <c r="G230" s="84" t="s">
        <v>3293</v>
      </c>
      <c r="H230" s="84" t="s">
        <v>2093</v>
      </c>
      <c r="I230" s="84" t="s">
        <v>3441</v>
      </c>
      <c r="J230" s="84" t="s">
        <v>659</v>
      </c>
      <c r="K230" s="87">
        <v>800</v>
      </c>
    </row>
    <row r="231" spans="1:11" ht="14.6" x14ac:dyDescent="0.4">
      <c r="A231" s="84"/>
      <c r="B231" s="84"/>
      <c r="C231" s="84"/>
      <c r="D231" s="84"/>
      <c r="E231" s="84" t="s">
        <v>634</v>
      </c>
      <c r="F231" s="85">
        <v>45231</v>
      </c>
      <c r="G231" s="84" t="s">
        <v>3294</v>
      </c>
      <c r="H231" s="84" t="s">
        <v>2094</v>
      </c>
      <c r="I231" s="84" t="s">
        <v>2144</v>
      </c>
      <c r="J231" s="84" t="s">
        <v>659</v>
      </c>
      <c r="K231" s="87">
        <v>2700</v>
      </c>
    </row>
    <row r="232" spans="1:11" ht="14.6" x14ac:dyDescent="0.4">
      <c r="A232" s="84"/>
      <c r="B232" s="84"/>
      <c r="C232" s="84"/>
      <c r="D232" s="84"/>
      <c r="E232" s="84" t="s">
        <v>634</v>
      </c>
      <c r="F232" s="85">
        <v>45231</v>
      </c>
      <c r="G232" s="84" t="s">
        <v>3295</v>
      </c>
      <c r="H232" s="84" t="s">
        <v>2106</v>
      </c>
      <c r="I232" s="84" t="s">
        <v>3442</v>
      </c>
      <c r="J232" s="84" t="s">
        <v>659</v>
      </c>
      <c r="K232" s="87">
        <v>1277.19</v>
      </c>
    </row>
    <row r="233" spans="1:11" ht="14.6" x14ac:dyDescent="0.4">
      <c r="A233" s="84"/>
      <c r="B233" s="84"/>
      <c r="C233" s="84"/>
      <c r="D233" s="84"/>
      <c r="E233" s="84" t="s">
        <v>634</v>
      </c>
      <c r="F233" s="85">
        <v>45231</v>
      </c>
      <c r="G233" s="84" t="s">
        <v>3296</v>
      </c>
      <c r="H233" s="84" t="s">
        <v>1548</v>
      </c>
      <c r="I233" s="84" t="s">
        <v>3408</v>
      </c>
      <c r="J233" s="84" t="s">
        <v>659</v>
      </c>
      <c r="K233" s="87">
        <v>1622.25</v>
      </c>
    </row>
    <row r="234" spans="1:11" ht="14.6" x14ac:dyDescent="0.4">
      <c r="A234" s="84"/>
      <c r="B234" s="84"/>
      <c r="C234" s="84"/>
      <c r="D234" s="84"/>
      <c r="E234" s="84" t="s">
        <v>634</v>
      </c>
      <c r="F234" s="85">
        <v>45232</v>
      </c>
      <c r="G234" s="84" t="s">
        <v>3297</v>
      </c>
      <c r="H234" s="84" t="s">
        <v>2093</v>
      </c>
      <c r="I234" s="84" t="s">
        <v>3443</v>
      </c>
      <c r="J234" s="84" t="s">
        <v>659</v>
      </c>
      <c r="K234" s="87">
        <v>400</v>
      </c>
    </row>
    <row r="235" spans="1:11" ht="14.6" x14ac:dyDescent="0.4">
      <c r="A235" s="84"/>
      <c r="B235" s="84"/>
      <c r="C235" s="84"/>
      <c r="D235" s="84"/>
      <c r="E235" s="84" t="s">
        <v>634</v>
      </c>
      <c r="F235" s="85">
        <v>45232</v>
      </c>
      <c r="G235" s="84" t="s">
        <v>3298</v>
      </c>
      <c r="H235" s="84" t="s">
        <v>2106</v>
      </c>
      <c r="I235" s="84" t="s">
        <v>3442</v>
      </c>
      <c r="J235" s="84" t="s">
        <v>659</v>
      </c>
      <c r="K235" s="87">
        <v>1237.55</v>
      </c>
    </row>
    <row r="236" spans="1:11" ht="14.6" x14ac:dyDescent="0.4">
      <c r="A236" s="84"/>
      <c r="B236" s="84"/>
      <c r="C236" s="84"/>
      <c r="D236" s="84"/>
      <c r="E236" s="84" t="s">
        <v>704</v>
      </c>
      <c r="F236" s="85">
        <v>45233</v>
      </c>
      <c r="G236" s="84" t="s">
        <v>3299</v>
      </c>
      <c r="H236" s="84" t="s">
        <v>1069</v>
      </c>
      <c r="I236" s="84" t="s">
        <v>2124</v>
      </c>
      <c r="J236" s="84" t="s">
        <v>771</v>
      </c>
      <c r="K236" s="87">
        <v>228</v>
      </c>
    </row>
    <row r="237" spans="1:11" ht="14.6" x14ac:dyDescent="0.4">
      <c r="A237" s="84"/>
      <c r="B237" s="84"/>
      <c r="C237" s="84"/>
      <c r="D237" s="84"/>
      <c r="E237" s="84" t="s">
        <v>634</v>
      </c>
      <c r="F237" s="85">
        <v>45236</v>
      </c>
      <c r="G237" s="84" t="s">
        <v>3300</v>
      </c>
      <c r="H237" s="84" t="s">
        <v>881</v>
      </c>
      <c r="I237" s="84" t="s">
        <v>3444</v>
      </c>
      <c r="J237" s="84" t="s">
        <v>659</v>
      </c>
      <c r="K237" s="87">
        <v>450</v>
      </c>
    </row>
    <row r="238" spans="1:11" ht="14.6" x14ac:dyDescent="0.4">
      <c r="A238" s="84"/>
      <c r="B238" s="84"/>
      <c r="C238" s="84"/>
      <c r="D238" s="84"/>
      <c r="E238" s="84" t="s">
        <v>634</v>
      </c>
      <c r="F238" s="85">
        <v>45236</v>
      </c>
      <c r="G238" s="84" t="s">
        <v>3301</v>
      </c>
      <c r="H238" s="84" t="s">
        <v>881</v>
      </c>
      <c r="I238" s="84" t="s">
        <v>3445</v>
      </c>
      <c r="J238" s="84" t="s">
        <v>659</v>
      </c>
      <c r="K238" s="87">
        <v>450</v>
      </c>
    </row>
    <row r="239" spans="1:11" ht="14.6" x14ac:dyDescent="0.4">
      <c r="A239" s="84"/>
      <c r="B239" s="84"/>
      <c r="C239" s="84"/>
      <c r="D239" s="84"/>
      <c r="E239" s="84" t="s">
        <v>634</v>
      </c>
      <c r="F239" s="85">
        <v>45236</v>
      </c>
      <c r="G239" s="84" t="s">
        <v>3302</v>
      </c>
      <c r="H239" s="84" t="s">
        <v>1068</v>
      </c>
      <c r="I239" s="84" t="s">
        <v>3446</v>
      </c>
      <c r="J239" s="84" t="s">
        <v>659</v>
      </c>
      <c r="K239" s="87">
        <v>42947.56</v>
      </c>
    </row>
    <row r="240" spans="1:11" ht="14.6" x14ac:dyDescent="0.4">
      <c r="A240" s="84"/>
      <c r="B240" s="84"/>
      <c r="C240" s="84"/>
      <c r="D240" s="84"/>
      <c r="E240" s="84" t="s">
        <v>634</v>
      </c>
      <c r="F240" s="85">
        <v>45236</v>
      </c>
      <c r="G240" s="84" t="s">
        <v>3302</v>
      </c>
      <c r="H240" s="84" t="s">
        <v>1068</v>
      </c>
      <c r="I240" s="84" t="s">
        <v>3447</v>
      </c>
      <c r="J240" s="84" t="s">
        <v>659</v>
      </c>
      <c r="K240" s="87">
        <v>473</v>
      </c>
    </row>
    <row r="241" spans="1:11" ht="14.6" x14ac:dyDescent="0.4">
      <c r="A241" s="84"/>
      <c r="B241" s="84"/>
      <c r="C241" s="84"/>
      <c r="D241" s="84"/>
      <c r="E241" s="84" t="s">
        <v>634</v>
      </c>
      <c r="F241" s="85">
        <v>45236</v>
      </c>
      <c r="G241" s="84" t="s">
        <v>3302</v>
      </c>
      <c r="H241" s="84" t="s">
        <v>1068</v>
      </c>
      <c r="I241" s="84" t="s">
        <v>3448</v>
      </c>
      <c r="J241" s="84" t="s">
        <v>659</v>
      </c>
      <c r="K241" s="87">
        <v>1462</v>
      </c>
    </row>
    <row r="242" spans="1:11" ht="14.6" x14ac:dyDescent="0.4">
      <c r="A242" s="84"/>
      <c r="B242" s="84"/>
      <c r="C242" s="84"/>
      <c r="D242" s="84"/>
      <c r="E242" s="84" t="s">
        <v>634</v>
      </c>
      <c r="F242" s="85">
        <v>45236</v>
      </c>
      <c r="G242" s="84" t="s">
        <v>3302</v>
      </c>
      <c r="H242" s="84" t="s">
        <v>1068</v>
      </c>
      <c r="I242" s="84" t="s">
        <v>3449</v>
      </c>
      <c r="J242" s="84" t="s">
        <v>659</v>
      </c>
      <c r="K242" s="87">
        <v>86</v>
      </c>
    </row>
    <row r="243" spans="1:11" ht="14.6" x14ac:dyDescent="0.4">
      <c r="A243" s="84"/>
      <c r="B243" s="84"/>
      <c r="C243" s="84"/>
      <c r="D243" s="84"/>
      <c r="E243" s="84" t="s">
        <v>634</v>
      </c>
      <c r="F243" s="85">
        <v>45237</v>
      </c>
      <c r="G243" s="84" t="s">
        <v>3207</v>
      </c>
      <c r="H243" s="84" t="s">
        <v>881</v>
      </c>
      <c r="I243" s="84" t="s">
        <v>3450</v>
      </c>
      <c r="J243" s="84" t="s">
        <v>659</v>
      </c>
      <c r="K243" s="87">
        <v>450</v>
      </c>
    </row>
    <row r="244" spans="1:11" ht="14.6" x14ac:dyDescent="0.4">
      <c r="A244" s="84"/>
      <c r="B244" s="84"/>
      <c r="C244" s="84"/>
      <c r="D244" s="84"/>
      <c r="E244" s="84" t="s">
        <v>634</v>
      </c>
      <c r="F244" s="85">
        <v>45237</v>
      </c>
      <c r="G244" s="84" t="s">
        <v>3303</v>
      </c>
      <c r="H244" s="84" t="s">
        <v>881</v>
      </c>
      <c r="I244" s="84" t="s">
        <v>3451</v>
      </c>
      <c r="J244" s="84" t="s">
        <v>659</v>
      </c>
      <c r="K244" s="87">
        <v>450</v>
      </c>
    </row>
    <row r="245" spans="1:11" ht="14.6" x14ac:dyDescent="0.4">
      <c r="A245" s="84"/>
      <c r="B245" s="84"/>
      <c r="C245" s="84"/>
      <c r="D245" s="84"/>
      <c r="E245" s="84" t="s">
        <v>634</v>
      </c>
      <c r="F245" s="85">
        <v>45237</v>
      </c>
      <c r="G245" s="84" t="s">
        <v>3304</v>
      </c>
      <c r="H245" s="84" t="s">
        <v>881</v>
      </c>
      <c r="I245" s="84" t="s">
        <v>3452</v>
      </c>
      <c r="J245" s="84" t="s">
        <v>659</v>
      </c>
      <c r="K245" s="87">
        <v>450</v>
      </c>
    </row>
    <row r="246" spans="1:11" ht="14.6" x14ac:dyDescent="0.4">
      <c r="A246" s="84"/>
      <c r="B246" s="84"/>
      <c r="C246" s="84"/>
      <c r="D246" s="84"/>
      <c r="E246" s="84" t="s">
        <v>634</v>
      </c>
      <c r="F246" s="85">
        <v>45237</v>
      </c>
      <c r="G246" s="84" t="s">
        <v>3305</v>
      </c>
      <c r="H246" s="84" t="s">
        <v>881</v>
      </c>
      <c r="I246" s="84" t="s">
        <v>3453</v>
      </c>
      <c r="J246" s="84" t="s">
        <v>659</v>
      </c>
      <c r="K246" s="87">
        <v>450</v>
      </c>
    </row>
    <row r="247" spans="1:11" ht="14.6" x14ac:dyDescent="0.4">
      <c r="A247" s="84"/>
      <c r="B247" s="84"/>
      <c r="C247" s="84"/>
      <c r="D247" s="84"/>
      <c r="E247" s="84" t="s">
        <v>634</v>
      </c>
      <c r="F247" s="85">
        <v>45244</v>
      </c>
      <c r="G247" s="84" t="s">
        <v>3306</v>
      </c>
      <c r="H247" s="84" t="s">
        <v>881</v>
      </c>
      <c r="I247" s="84" t="s">
        <v>3454</v>
      </c>
      <c r="J247" s="84" t="s">
        <v>659</v>
      </c>
      <c r="K247" s="87">
        <v>450</v>
      </c>
    </row>
    <row r="248" spans="1:11" ht="14.6" x14ac:dyDescent="0.4">
      <c r="A248" s="84"/>
      <c r="B248" s="84"/>
      <c r="C248" s="84"/>
      <c r="D248" s="84"/>
      <c r="E248" s="84" t="s">
        <v>704</v>
      </c>
      <c r="F248" s="85">
        <v>45245</v>
      </c>
      <c r="G248" s="84" t="s">
        <v>3307</v>
      </c>
      <c r="H248" s="84" t="s">
        <v>2088</v>
      </c>
      <c r="I248" s="84" t="s">
        <v>2127</v>
      </c>
      <c r="J248" s="84" t="s">
        <v>771</v>
      </c>
      <c r="K248" s="87">
        <v>500</v>
      </c>
    </row>
    <row r="249" spans="1:11" ht="14.6" x14ac:dyDescent="0.4">
      <c r="A249" s="84"/>
      <c r="B249" s="84"/>
      <c r="C249" s="84"/>
      <c r="D249" s="84"/>
      <c r="E249" s="84" t="s">
        <v>634</v>
      </c>
      <c r="F249" s="85">
        <v>45246</v>
      </c>
      <c r="G249" s="84" t="s">
        <v>3308</v>
      </c>
      <c r="H249" s="84" t="s">
        <v>2098</v>
      </c>
      <c r="I249" s="84" t="s">
        <v>2123</v>
      </c>
      <c r="J249" s="84" t="s">
        <v>659</v>
      </c>
      <c r="K249" s="87">
        <v>7147.7</v>
      </c>
    </row>
    <row r="250" spans="1:11" ht="14.6" x14ac:dyDescent="0.4">
      <c r="A250" s="84"/>
      <c r="B250" s="84"/>
      <c r="C250" s="84"/>
      <c r="D250" s="84"/>
      <c r="E250" s="84" t="s">
        <v>634</v>
      </c>
      <c r="F250" s="85">
        <v>45250</v>
      </c>
      <c r="G250" s="84" t="s">
        <v>3309</v>
      </c>
      <c r="H250" s="84" t="s">
        <v>3343</v>
      </c>
      <c r="I250" s="84" t="s">
        <v>3455</v>
      </c>
      <c r="J250" s="84" t="s">
        <v>659</v>
      </c>
      <c r="K250" s="87">
        <v>786.45</v>
      </c>
    </row>
    <row r="251" spans="1:11" ht="14.6" x14ac:dyDescent="0.4">
      <c r="A251" s="84"/>
      <c r="B251" s="84"/>
      <c r="C251" s="84"/>
      <c r="D251" s="84"/>
      <c r="E251" s="84" t="s">
        <v>634</v>
      </c>
      <c r="F251" s="85">
        <v>45257</v>
      </c>
      <c r="G251" s="84" t="s">
        <v>3310</v>
      </c>
      <c r="H251" s="84" t="s">
        <v>2106</v>
      </c>
      <c r="I251" s="84" t="s">
        <v>3456</v>
      </c>
      <c r="J251" s="84" t="s">
        <v>659</v>
      </c>
      <c r="K251" s="87">
        <v>1694.07</v>
      </c>
    </row>
    <row r="252" spans="1:11" ht="14.6" x14ac:dyDescent="0.4">
      <c r="A252" s="84"/>
      <c r="B252" s="84"/>
      <c r="C252" s="84"/>
      <c r="D252" s="84"/>
      <c r="E252" s="84" t="s">
        <v>634</v>
      </c>
      <c r="F252" s="85">
        <v>45257</v>
      </c>
      <c r="G252" s="84" t="s">
        <v>3311</v>
      </c>
      <c r="H252" s="84" t="s">
        <v>880</v>
      </c>
      <c r="I252" s="84" t="s">
        <v>3344</v>
      </c>
      <c r="J252" s="84" t="s">
        <v>659</v>
      </c>
      <c r="K252" s="87">
        <v>2500</v>
      </c>
    </row>
    <row r="253" spans="1:11" ht="14.6" x14ac:dyDescent="0.4">
      <c r="A253" s="84"/>
      <c r="B253" s="84"/>
      <c r="C253" s="84"/>
      <c r="D253" s="84"/>
      <c r="E253" s="84" t="s">
        <v>634</v>
      </c>
      <c r="F253" s="85">
        <v>45258</v>
      </c>
      <c r="G253" s="84" t="s">
        <v>3312</v>
      </c>
      <c r="H253" s="84" t="s">
        <v>2099</v>
      </c>
      <c r="I253" s="84" t="s">
        <v>3457</v>
      </c>
      <c r="J253" s="84" t="s">
        <v>659</v>
      </c>
      <c r="K253" s="87">
        <v>1300</v>
      </c>
    </row>
    <row r="254" spans="1:11" ht="14.6" x14ac:dyDescent="0.4">
      <c r="A254" s="84"/>
      <c r="B254" s="84"/>
      <c r="C254" s="84"/>
      <c r="D254" s="84"/>
      <c r="E254" s="84" t="s">
        <v>704</v>
      </c>
      <c r="F254" s="85">
        <v>45258</v>
      </c>
      <c r="G254" s="84" t="s">
        <v>3313</v>
      </c>
      <c r="H254" s="84" t="s">
        <v>2088</v>
      </c>
      <c r="I254" s="84" t="s">
        <v>2127</v>
      </c>
      <c r="J254" s="84" t="s">
        <v>771</v>
      </c>
      <c r="K254" s="87">
        <v>1500</v>
      </c>
    </row>
    <row r="255" spans="1:11" ht="14.6" x14ac:dyDescent="0.4">
      <c r="A255" s="84"/>
      <c r="B255" s="84"/>
      <c r="C255" s="84"/>
      <c r="D255" s="84"/>
      <c r="E255" s="84" t="s">
        <v>704</v>
      </c>
      <c r="F255" s="85">
        <v>45258</v>
      </c>
      <c r="G255" s="84" t="s">
        <v>3314</v>
      </c>
      <c r="H255" s="84" t="s">
        <v>2088</v>
      </c>
      <c r="I255" s="84" t="s">
        <v>2127</v>
      </c>
      <c r="J255" s="84" t="s">
        <v>771</v>
      </c>
      <c r="K255" s="87">
        <v>500</v>
      </c>
    </row>
    <row r="256" spans="1:11" ht="14.6" x14ac:dyDescent="0.4">
      <c r="A256" s="84"/>
      <c r="B256" s="84"/>
      <c r="C256" s="84"/>
      <c r="D256" s="84"/>
      <c r="E256" s="84" t="s">
        <v>634</v>
      </c>
      <c r="F256" s="85">
        <v>45259</v>
      </c>
      <c r="G256" s="84" t="s">
        <v>3315</v>
      </c>
      <c r="H256" s="84" t="s">
        <v>2082</v>
      </c>
      <c r="I256" s="84" t="s">
        <v>2116</v>
      </c>
      <c r="J256" s="84" t="s">
        <v>659</v>
      </c>
      <c r="K256" s="87">
        <v>70</v>
      </c>
    </row>
    <row r="257" spans="1:11" ht="14.6" x14ac:dyDescent="0.4">
      <c r="A257" s="84"/>
      <c r="B257" s="84"/>
      <c r="C257" s="84"/>
      <c r="D257" s="84"/>
      <c r="E257" s="84" t="s">
        <v>634</v>
      </c>
      <c r="F257" s="85">
        <v>45260</v>
      </c>
      <c r="G257" s="84" t="s">
        <v>3316</v>
      </c>
      <c r="H257" s="84" t="s">
        <v>2087</v>
      </c>
      <c r="I257" s="84" t="s">
        <v>2123</v>
      </c>
      <c r="J257" s="84" t="s">
        <v>659</v>
      </c>
      <c r="K257" s="87">
        <v>500</v>
      </c>
    </row>
    <row r="258" spans="1:11" ht="14.6" x14ac:dyDescent="0.4">
      <c r="A258" s="84"/>
      <c r="B258" s="84"/>
      <c r="C258" s="84"/>
      <c r="D258" s="84"/>
      <c r="E258" s="84" t="s">
        <v>634</v>
      </c>
      <c r="F258" s="85">
        <v>45260</v>
      </c>
      <c r="G258" s="84" t="s">
        <v>3317</v>
      </c>
      <c r="H258" s="84" t="s">
        <v>897</v>
      </c>
      <c r="I258" s="84" t="s">
        <v>3439</v>
      </c>
      <c r="J258" s="84" t="s">
        <v>659</v>
      </c>
      <c r="K258" s="87">
        <v>1120</v>
      </c>
    </row>
    <row r="259" spans="1:11" ht="14.6" x14ac:dyDescent="0.4">
      <c r="A259" s="84"/>
      <c r="B259" s="84"/>
      <c r="C259" s="84"/>
      <c r="D259" s="84"/>
      <c r="E259" s="84" t="s">
        <v>704</v>
      </c>
      <c r="F259" s="85">
        <v>45260</v>
      </c>
      <c r="G259" s="84" t="s">
        <v>3318</v>
      </c>
      <c r="H259" s="84" t="s">
        <v>1069</v>
      </c>
      <c r="I259" s="84" t="s">
        <v>2124</v>
      </c>
      <c r="J259" s="84" t="s">
        <v>771</v>
      </c>
      <c r="K259" s="87">
        <v>228</v>
      </c>
    </row>
    <row r="260" spans="1:11" ht="14.6" x14ac:dyDescent="0.4">
      <c r="A260" s="84"/>
      <c r="B260" s="84"/>
      <c r="C260" s="84"/>
      <c r="D260" s="84"/>
      <c r="E260" s="84" t="s">
        <v>704</v>
      </c>
      <c r="F260" s="85">
        <v>45260</v>
      </c>
      <c r="G260" s="84" t="s">
        <v>3319</v>
      </c>
      <c r="H260" s="84" t="s">
        <v>3335</v>
      </c>
      <c r="I260" s="84" t="s">
        <v>3458</v>
      </c>
      <c r="J260" s="84" t="s">
        <v>771</v>
      </c>
      <c r="K260" s="87">
        <v>750</v>
      </c>
    </row>
    <row r="261" spans="1:11" ht="14.6" x14ac:dyDescent="0.4">
      <c r="A261" s="84"/>
      <c r="B261" s="84"/>
      <c r="C261" s="84"/>
      <c r="D261" s="84"/>
      <c r="E261" s="84" t="s">
        <v>634</v>
      </c>
      <c r="F261" s="85">
        <v>45261</v>
      </c>
      <c r="G261" s="84" t="s">
        <v>3320</v>
      </c>
      <c r="H261" s="84" t="s">
        <v>1548</v>
      </c>
      <c r="I261" s="84" t="s">
        <v>3408</v>
      </c>
      <c r="J261" s="84" t="s">
        <v>659</v>
      </c>
      <c r="K261" s="87">
        <v>504.7</v>
      </c>
    </row>
    <row r="262" spans="1:11" ht="14.6" x14ac:dyDescent="0.4">
      <c r="A262" s="84"/>
      <c r="B262" s="84"/>
      <c r="C262" s="84"/>
      <c r="D262" s="84"/>
      <c r="E262" s="84" t="s">
        <v>634</v>
      </c>
      <c r="F262" s="85">
        <v>45261</v>
      </c>
      <c r="G262" s="84" t="s">
        <v>3321</v>
      </c>
      <c r="H262" s="84" t="s">
        <v>1068</v>
      </c>
      <c r="I262" s="84" t="s">
        <v>3459</v>
      </c>
      <c r="J262" s="84" t="s">
        <v>659</v>
      </c>
      <c r="K262" s="87">
        <v>47647.83</v>
      </c>
    </row>
    <row r="263" spans="1:11" ht="14.6" x14ac:dyDescent="0.4">
      <c r="A263" s="84"/>
      <c r="B263" s="84"/>
      <c r="C263" s="84"/>
      <c r="D263" s="84"/>
      <c r="E263" s="84" t="s">
        <v>634</v>
      </c>
      <c r="F263" s="85">
        <v>45261</v>
      </c>
      <c r="G263" s="84" t="s">
        <v>3321</v>
      </c>
      <c r="H263" s="84" t="s">
        <v>1068</v>
      </c>
      <c r="I263" s="84" t="s">
        <v>3538</v>
      </c>
      <c r="J263" s="84" t="s">
        <v>659</v>
      </c>
      <c r="K263" s="87">
        <v>888.5</v>
      </c>
    </row>
    <row r="264" spans="1:11" ht="14.6" x14ac:dyDescent="0.4">
      <c r="A264" s="84"/>
      <c r="B264" s="84"/>
      <c r="C264" s="84"/>
      <c r="D264" s="84"/>
      <c r="E264" s="84" t="s">
        <v>634</v>
      </c>
      <c r="F264" s="85">
        <v>45264</v>
      </c>
      <c r="G264" s="84" t="s">
        <v>3322</v>
      </c>
      <c r="H264" s="84" t="s">
        <v>2094</v>
      </c>
      <c r="I264" s="84" t="s">
        <v>2144</v>
      </c>
      <c r="J264" s="84" t="s">
        <v>659</v>
      </c>
      <c r="K264" s="87">
        <v>2700</v>
      </c>
    </row>
    <row r="265" spans="1:11" ht="14.6" x14ac:dyDescent="0.4">
      <c r="A265" s="84"/>
      <c r="B265" s="84"/>
      <c r="C265" s="84"/>
      <c r="D265" s="84"/>
      <c r="E265" s="84" t="s">
        <v>634</v>
      </c>
      <c r="F265" s="85">
        <v>45267</v>
      </c>
      <c r="G265" s="84" t="s">
        <v>3323</v>
      </c>
      <c r="H265" s="84" t="s">
        <v>2093</v>
      </c>
      <c r="I265" s="84" t="s">
        <v>3396</v>
      </c>
      <c r="J265" s="84" t="s">
        <v>659</v>
      </c>
      <c r="K265" s="87">
        <v>400</v>
      </c>
    </row>
    <row r="266" spans="1:11" ht="14.6" x14ac:dyDescent="0.4">
      <c r="A266" s="84"/>
      <c r="B266" s="84"/>
      <c r="C266" s="84"/>
      <c r="D266" s="84"/>
      <c r="E266" s="84" t="s">
        <v>634</v>
      </c>
      <c r="F266" s="85">
        <v>45268</v>
      </c>
      <c r="G266" s="84" t="s">
        <v>3324</v>
      </c>
      <c r="H266" s="84" t="s">
        <v>434</v>
      </c>
      <c r="I266" s="84" t="s">
        <v>3460</v>
      </c>
      <c r="J266" s="84" t="s">
        <v>659</v>
      </c>
      <c r="K266" s="87">
        <v>1200</v>
      </c>
    </row>
    <row r="267" spans="1:11" ht="14.6" x14ac:dyDescent="0.4">
      <c r="A267" s="84"/>
      <c r="B267" s="84"/>
      <c r="C267" s="84"/>
      <c r="D267" s="84"/>
      <c r="E267" s="84" t="s">
        <v>634</v>
      </c>
      <c r="F267" s="85">
        <v>45271</v>
      </c>
      <c r="G267" s="84" t="s">
        <v>3325</v>
      </c>
      <c r="H267" s="84" t="s">
        <v>881</v>
      </c>
      <c r="I267" s="84" t="s">
        <v>3461</v>
      </c>
      <c r="J267" s="84" t="s">
        <v>659</v>
      </c>
      <c r="K267" s="87">
        <v>1000</v>
      </c>
    </row>
    <row r="268" spans="1:11" ht="14.6" x14ac:dyDescent="0.4">
      <c r="A268" s="84"/>
      <c r="B268" s="84"/>
      <c r="C268" s="84"/>
      <c r="D268" s="84"/>
      <c r="E268" s="84" t="s">
        <v>634</v>
      </c>
      <c r="F268" s="85">
        <v>45278</v>
      </c>
      <c r="G268" s="84" t="s">
        <v>3326</v>
      </c>
      <c r="H268" s="84" t="s">
        <v>2093</v>
      </c>
      <c r="I268" s="84" t="s">
        <v>3462</v>
      </c>
      <c r="J268" s="84" t="s">
        <v>659</v>
      </c>
      <c r="K268" s="87">
        <v>400</v>
      </c>
    </row>
    <row r="269" spans="1:11" ht="14.6" x14ac:dyDescent="0.4">
      <c r="A269" s="84"/>
      <c r="B269" s="84"/>
      <c r="C269" s="84"/>
      <c r="D269" s="84"/>
      <c r="E269" s="84" t="s">
        <v>634</v>
      </c>
      <c r="F269" s="85">
        <v>45278</v>
      </c>
      <c r="G269" s="84" t="s">
        <v>3327</v>
      </c>
      <c r="H269" s="84" t="s">
        <v>2093</v>
      </c>
      <c r="I269" s="84" t="s">
        <v>3463</v>
      </c>
      <c r="J269" s="84" t="s">
        <v>659</v>
      </c>
      <c r="K269" s="87">
        <v>400</v>
      </c>
    </row>
    <row r="270" spans="1:11" ht="14.6" x14ac:dyDescent="0.4">
      <c r="A270" s="84"/>
      <c r="B270" s="84"/>
      <c r="C270" s="84"/>
      <c r="D270" s="84"/>
      <c r="E270" s="84" t="s">
        <v>704</v>
      </c>
      <c r="F270" s="85">
        <v>45278</v>
      </c>
      <c r="G270" s="84" t="s">
        <v>3328</v>
      </c>
      <c r="H270" s="84" t="s">
        <v>2088</v>
      </c>
      <c r="I270" s="84" t="s">
        <v>2127</v>
      </c>
      <c r="J270" s="84" t="s">
        <v>771</v>
      </c>
      <c r="K270" s="87">
        <v>500</v>
      </c>
    </row>
    <row r="271" spans="1:11" ht="14.6" x14ac:dyDescent="0.4">
      <c r="A271" s="84"/>
      <c r="B271" s="84"/>
      <c r="C271" s="84"/>
      <c r="D271" s="84"/>
      <c r="E271" s="84" t="s">
        <v>634</v>
      </c>
      <c r="F271" s="85">
        <v>45280</v>
      </c>
      <c r="G271" s="84" t="s">
        <v>3329</v>
      </c>
      <c r="H271" s="84" t="s">
        <v>2092</v>
      </c>
      <c r="I271" s="84" t="s">
        <v>3464</v>
      </c>
      <c r="J271" s="84" t="s">
        <v>659</v>
      </c>
      <c r="K271" s="87">
        <v>50</v>
      </c>
    </row>
    <row r="272" spans="1:11" ht="14.6" x14ac:dyDescent="0.4">
      <c r="A272" s="84"/>
      <c r="B272" s="84"/>
      <c r="C272" s="84"/>
      <c r="D272" s="84"/>
      <c r="E272" s="84" t="s">
        <v>634</v>
      </c>
      <c r="F272" s="85">
        <v>45280</v>
      </c>
      <c r="G272" s="84" t="s">
        <v>3329</v>
      </c>
      <c r="H272" s="84" t="s">
        <v>2092</v>
      </c>
      <c r="I272" s="84" t="s">
        <v>3465</v>
      </c>
      <c r="J272" s="84" t="s">
        <v>659</v>
      </c>
      <c r="K272" s="87">
        <v>50</v>
      </c>
    </row>
    <row r="273" spans="1:11" ht="14.6" x14ac:dyDescent="0.4">
      <c r="A273" s="84"/>
      <c r="B273" s="84"/>
      <c r="C273" s="84"/>
      <c r="D273" s="84"/>
      <c r="E273" s="84" t="s">
        <v>634</v>
      </c>
      <c r="F273" s="85">
        <v>45280</v>
      </c>
      <c r="G273" s="84" t="s">
        <v>3329</v>
      </c>
      <c r="H273" s="84" t="s">
        <v>2092</v>
      </c>
      <c r="I273" s="84" t="s">
        <v>3466</v>
      </c>
      <c r="J273" s="84" t="s">
        <v>659</v>
      </c>
      <c r="K273" s="87">
        <v>50</v>
      </c>
    </row>
    <row r="274" spans="1:11" ht="14.6" x14ac:dyDescent="0.4">
      <c r="A274" s="84"/>
      <c r="B274" s="84"/>
      <c r="C274" s="84"/>
      <c r="D274" s="84"/>
      <c r="E274" s="84" t="s">
        <v>634</v>
      </c>
      <c r="F274" s="85">
        <v>45291</v>
      </c>
      <c r="G274" s="84" t="s">
        <v>3330</v>
      </c>
      <c r="H274" s="84" t="s">
        <v>1068</v>
      </c>
      <c r="I274" s="84" t="s">
        <v>3467</v>
      </c>
      <c r="J274" s="84" t="s">
        <v>659</v>
      </c>
      <c r="K274" s="87">
        <v>31504.02</v>
      </c>
    </row>
    <row r="275" spans="1:11" ht="14.6" x14ac:dyDescent="0.4">
      <c r="A275" s="84"/>
      <c r="B275" s="84"/>
      <c r="C275" s="84"/>
      <c r="D275" s="84"/>
      <c r="E275" s="84" t="s">
        <v>634</v>
      </c>
      <c r="F275" s="85">
        <v>45291</v>
      </c>
      <c r="G275" s="84" t="s">
        <v>3331</v>
      </c>
      <c r="H275" s="84" t="s">
        <v>2087</v>
      </c>
      <c r="I275" s="84" t="s">
        <v>2123</v>
      </c>
      <c r="J275" s="84" t="s">
        <v>659</v>
      </c>
      <c r="K275" s="87">
        <v>250</v>
      </c>
    </row>
    <row r="276" spans="1:11" ht="14.6" x14ac:dyDescent="0.4">
      <c r="A276" s="84"/>
      <c r="B276" s="84"/>
      <c r="C276" s="84"/>
      <c r="D276" s="84"/>
      <c r="E276" s="84" t="s">
        <v>634</v>
      </c>
      <c r="F276" s="85">
        <v>45291</v>
      </c>
      <c r="G276" s="84" t="s">
        <v>3332</v>
      </c>
      <c r="H276" s="84" t="s">
        <v>881</v>
      </c>
      <c r="I276" s="84" t="s">
        <v>3468</v>
      </c>
      <c r="J276" s="84" t="s">
        <v>659</v>
      </c>
      <c r="K276" s="87">
        <v>450</v>
      </c>
    </row>
    <row r="277" spans="1:11" ht="14.6" x14ac:dyDescent="0.4">
      <c r="A277" s="84"/>
      <c r="B277" s="84"/>
      <c r="C277" s="84"/>
      <c r="D277" s="84"/>
      <c r="E277" s="84" t="s">
        <v>634</v>
      </c>
      <c r="F277" s="85">
        <v>45291</v>
      </c>
      <c r="G277" s="84" t="s">
        <v>3333</v>
      </c>
      <c r="H277" s="84" t="s">
        <v>897</v>
      </c>
      <c r="I277" s="84" t="s">
        <v>3439</v>
      </c>
      <c r="J277" s="84" t="s">
        <v>659</v>
      </c>
      <c r="K277" s="87">
        <v>1096</v>
      </c>
    </row>
    <row r="278" spans="1:11" ht="14.6" x14ac:dyDescent="0.4">
      <c r="A278" s="84"/>
      <c r="B278" s="84"/>
      <c r="C278" s="84"/>
      <c r="D278" s="84"/>
      <c r="E278" s="84" t="s">
        <v>704</v>
      </c>
      <c r="F278" s="85">
        <v>45291</v>
      </c>
      <c r="G278" s="84" t="s">
        <v>3534</v>
      </c>
      <c r="H278" s="84" t="s">
        <v>1069</v>
      </c>
      <c r="I278" s="84" t="s">
        <v>2124</v>
      </c>
      <c r="J278" s="84" t="s">
        <v>771</v>
      </c>
      <c r="K278" s="87">
        <v>228</v>
      </c>
    </row>
    <row r="279" spans="1:11" ht="15" customHeight="1" x14ac:dyDescent="0.4">
      <c r="A279" s="84"/>
      <c r="B279" s="84"/>
      <c r="C279" s="84"/>
      <c r="D279" s="84"/>
      <c r="E279" s="84" t="s">
        <v>634</v>
      </c>
      <c r="F279" s="85">
        <v>45291</v>
      </c>
      <c r="G279" s="84" t="s">
        <v>3535</v>
      </c>
      <c r="H279" s="84" t="s">
        <v>1068</v>
      </c>
      <c r="I279" s="84" t="s">
        <v>3539</v>
      </c>
      <c r="J279" s="84" t="s">
        <v>659</v>
      </c>
      <c r="K279" s="87">
        <v>25251.040000000001</v>
      </c>
    </row>
    <row r="280" spans="1:11" ht="15" customHeight="1" thickBot="1" x14ac:dyDescent="0.45">
      <c r="A280" s="84"/>
      <c r="B280" s="84"/>
      <c r="C280" s="84"/>
      <c r="D280" s="84"/>
      <c r="E280" s="84" t="s">
        <v>634</v>
      </c>
      <c r="F280" s="85">
        <v>45291</v>
      </c>
      <c r="G280" s="84" t="s">
        <v>3330</v>
      </c>
      <c r="H280" s="84" t="s">
        <v>1068</v>
      </c>
      <c r="I280" s="84" t="s">
        <v>3538</v>
      </c>
      <c r="J280" s="84" t="s">
        <v>659</v>
      </c>
      <c r="K280" s="413">
        <v>559</v>
      </c>
    </row>
    <row r="281" spans="1:11" ht="15" customHeight="1" thickBot="1" x14ac:dyDescent="0.45">
      <c r="A281" s="84"/>
      <c r="B281" s="84"/>
      <c r="C281" s="84" t="s">
        <v>871</v>
      </c>
      <c r="D281" s="84"/>
      <c r="E281" s="84"/>
      <c r="F281" s="85"/>
      <c r="G281" s="84"/>
      <c r="H281" s="84"/>
      <c r="I281" s="84"/>
      <c r="J281" s="84"/>
      <c r="K281" s="414">
        <v>1404783.11</v>
      </c>
    </row>
    <row r="282" spans="1:11" ht="15" customHeight="1" thickBot="1" x14ac:dyDescent="0.45">
      <c r="A282" s="84"/>
      <c r="B282" s="84" t="s">
        <v>703</v>
      </c>
      <c r="C282" s="84"/>
      <c r="D282" s="84"/>
      <c r="E282" s="84"/>
      <c r="F282" s="85"/>
      <c r="G282" s="84"/>
      <c r="H282" s="84"/>
      <c r="I282" s="84"/>
      <c r="J282" s="84"/>
      <c r="K282" s="414">
        <f>K281</f>
        <v>1404783.11</v>
      </c>
    </row>
    <row r="283" spans="1:11" ht="15" customHeight="1" thickBot="1" x14ac:dyDescent="0.45">
      <c r="A283" s="84" t="s">
        <v>158</v>
      </c>
      <c r="B283" s="84"/>
      <c r="C283" s="84"/>
      <c r="D283" s="84"/>
      <c r="E283" s="84"/>
      <c r="F283" s="85"/>
      <c r="G283" s="84"/>
      <c r="H283" s="84"/>
      <c r="I283" s="84"/>
      <c r="J283" s="84"/>
      <c r="K283" s="415">
        <f>K282</f>
        <v>1404783.11</v>
      </c>
    </row>
    <row r="284" spans="1:11" ht="15" customHeight="1" thickTop="1" x14ac:dyDescent="0.4"/>
  </sheetData>
  <pageMargins left="0.7" right="0.7" top="0.75" bottom="0.75" header="0.1" footer="0"/>
  <pageSetup orientation="portrait" r:id="rId1"/>
  <headerFooter>
    <oddHeader>&amp;L&amp;"Arial,Bold"&amp;8 9:54 AM
&amp;"Arial,Bold"&amp;8 03/08/24
&amp;"Arial,Bold"&amp;8 Accrual Basis&amp;C&amp;"Arial,Bold"&amp;12 Williamson Central Appraisal District
&amp;"Arial,Bold"&amp;14 Account QuickReport
&amp;"Arial,Bold"&amp;10 January through December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1469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14696" r:id="rId4" name="HEADER"/>
      </mc:Fallback>
    </mc:AlternateContent>
    <mc:AlternateContent xmlns:mc="http://schemas.openxmlformats.org/markup-compatibility/2006">
      <mc:Choice Requires="x14">
        <control shapeId="11469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14695" r:id="rId6" name="FILTER"/>
      </mc:Fallback>
    </mc:AlternateContent>
  </controls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1"/>
  <dimension ref="A1:K59"/>
  <sheetViews>
    <sheetView workbookViewId="0">
      <pane xSplit="3" ySplit="1" topLeftCell="D34" activePane="bottomRight" state="frozenSplit"/>
      <selection pane="topRight" activeCell="D1" sqref="D1"/>
      <selection pane="bottomLeft" activeCell="A2" sqref="A2"/>
      <selection pane="bottomRight" activeCell="I19" sqref="I19"/>
    </sheetView>
  </sheetViews>
  <sheetFormatPr defaultColWidth="14.3828125" defaultRowHeight="15" customHeight="1" x14ac:dyDescent="0.4"/>
  <cols>
    <col min="1" max="2" width="3" customWidth="1"/>
    <col min="3" max="3" width="25.3828125" customWidth="1"/>
    <col min="4" max="4" width="2.3046875" customWidth="1"/>
    <col min="5" max="5" width="17.69140625" bestFit="1" customWidth="1"/>
    <col min="6" max="6" width="10.69140625" bestFit="1" customWidth="1"/>
    <col min="7" max="7" width="14.15234375" bestFit="1" customWidth="1"/>
    <col min="8" max="8" width="30.69140625" customWidth="1"/>
    <col min="9" max="9" width="65.3828125" customWidth="1"/>
    <col min="10" max="10" width="27.3828125" bestFit="1" customWidth="1"/>
    <col min="11" max="11" width="10.15234375" bestFit="1" customWidth="1"/>
  </cols>
  <sheetData>
    <row r="1" spans="1:11" s="412" customFormat="1" thickBot="1" x14ac:dyDescent="0.45">
      <c r="A1" s="416"/>
      <c r="B1" s="416"/>
      <c r="C1" s="416"/>
      <c r="D1" s="416"/>
      <c r="E1" s="417" t="s">
        <v>623</v>
      </c>
      <c r="F1" s="417" t="s">
        <v>624</v>
      </c>
      <c r="G1" s="417" t="s">
        <v>625</v>
      </c>
      <c r="H1" s="417" t="s">
        <v>626</v>
      </c>
      <c r="I1" s="417" t="s">
        <v>627</v>
      </c>
      <c r="J1" s="417" t="s">
        <v>628</v>
      </c>
      <c r="K1" s="417" t="s">
        <v>629</v>
      </c>
    </row>
    <row r="2" spans="1:11" thickTop="1" x14ac:dyDescent="0.4">
      <c r="A2" s="84"/>
      <c r="B2" s="84" t="s">
        <v>700</v>
      </c>
      <c r="C2" s="84"/>
      <c r="D2" s="84"/>
      <c r="E2" s="84"/>
      <c r="F2" s="85"/>
      <c r="G2" s="84"/>
      <c r="H2" s="84"/>
      <c r="I2" s="84"/>
      <c r="J2" s="84"/>
      <c r="K2" s="87"/>
    </row>
    <row r="3" spans="1:11" ht="14.6" x14ac:dyDescent="0.4">
      <c r="A3" s="84"/>
      <c r="B3" s="84"/>
      <c r="C3" s="84" t="s">
        <v>888</v>
      </c>
      <c r="D3" s="84"/>
      <c r="E3" s="84"/>
      <c r="F3" s="85"/>
      <c r="G3" s="84"/>
      <c r="H3" s="84"/>
      <c r="I3" s="84"/>
      <c r="J3" s="84"/>
      <c r="K3" s="87"/>
    </row>
    <row r="4" spans="1:11" ht="14.6" x14ac:dyDescent="0.4">
      <c r="A4" s="84"/>
      <c r="B4" s="84"/>
      <c r="C4" s="84"/>
      <c r="D4" s="84"/>
      <c r="E4" s="84" t="s">
        <v>634</v>
      </c>
      <c r="F4" s="85">
        <v>44927</v>
      </c>
      <c r="G4" s="84" t="s">
        <v>890</v>
      </c>
      <c r="H4" s="84" t="s">
        <v>896</v>
      </c>
      <c r="I4" s="84" t="s">
        <v>900</v>
      </c>
      <c r="J4" s="84" t="s">
        <v>659</v>
      </c>
      <c r="K4" s="87">
        <v>38000</v>
      </c>
    </row>
    <row r="5" spans="1:11" ht="14.6" x14ac:dyDescent="0.4">
      <c r="A5" s="84"/>
      <c r="B5" s="84"/>
      <c r="C5" s="84"/>
      <c r="D5" s="84"/>
      <c r="E5" s="84" t="s">
        <v>634</v>
      </c>
      <c r="F5" s="85">
        <v>44929</v>
      </c>
      <c r="G5" s="84" t="s">
        <v>872</v>
      </c>
      <c r="H5" s="84" t="s">
        <v>434</v>
      </c>
      <c r="I5" s="84" t="s">
        <v>901</v>
      </c>
      <c r="J5" s="84" t="s">
        <v>659</v>
      </c>
      <c r="K5" s="87">
        <v>1375</v>
      </c>
    </row>
    <row r="6" spans="1:11" ht="14.6" x14ac:dyDescent="0.4">
      <c r="A6" s="84"/>
      <c r="B6" s="84"/>
      <c r="C6" s="84"/>
      <c r="D6" s="84"/>
      <c r="E6" s="84" t="s">
        <v>634</v>
      </c>
      <c r="F6" s="85">
        <v>44929</v>
      </c>
      <c r="G6" s="84" t="s">
        <v>872</v>
      </c>
      <c r="H6" s="84" t="s">
        <v>434</v>
      </c>
      <c r="I6" s="84" t="s">
        <v>902</v>
      </c>
      <c r="J6" s="84" t="s">
        <v>659</v>
      </c>
      <c r="K6" s="87">
        <v>12840</v>
      </c>
    </row>
    <row r="7" spans="1:11" ht="14.6" x14ac:dyDescent="0.4">
      <c r="A7" s="84"/>
      <c r="B7" s="84"/>
      <c r="C7" s="84"/>
      <c r="D7" s="84"/>
      <c r="E7" s="84" t="s">
        <v>634</v>
      </c>
      <c r="F7" s="85">
        <v>44929</v>
      </c>
      <c r="G7" s="84" t="s">
        <v>872</v>
      </c>
      <c r="H7" s="84" t="s">
        <v>434</v>
      </c>
      <c r="I7" s="84" t="s">
        <v>903</v>
      </c>
      <c r="J7" s="84" t="s">
        <v>659</v>
      </c>
      <c r="K7" s="87">
        <v>8240</v>
      </c>
    </row>
    <row r="8" spans="1:11" ht="14.6" x14ac:dyDescent="0.4">
      <c r="A8" s="84"/>
      <c r="B8" s="84"/>
      <c r="C8" s="84"/>
      <c r="D8" s="84"/>
      <c r="E8" s="84" t="s">
        <v>634</v>
      </c>
      <c r="F8" s="85">
        <v>44929</v>
      </c>
      <c r="G8" s="84" t="s">
        <v>891</v>
      </c>
      <c r="H8" s="84" t="s">
        <v>896</v>
      </c>
      <c r="I8" s="84" t="s">
        <v>904</v>
      </c>
      <c r="J8" s="84" t="s">
        <v>659</v>
      </c>
      <c r="K8" s="87">
        <v>130493.28</v>
      </c>
    </row>
    <row r="9" spans="1:11" ht="14.6" x14ac:dyDescent="0.4">
      <c r="A9" s="84"/>
      <c r="B9" s="84"/>
      <c r="C9" s="84"/>
      <c r="D9" s="84"/>
      <c r="E9" s="84" t="s">
        <v>634</v>
      </c>
      <c r="F9" s="85">
        <v>44929</v>
      </c>
      <c r="G9" s="84" t="s">
        <v>891</v>
      </c>
      <c r="H9" s="84" t="s">
        <v>896</v>
      </c>
      <c r="I9" s="84" t="s">
        <v>905</v>
      </c>
      <c r="J9" s="84" t="s">
        <v>659</v>
      </c>
      <c r="K9" s="87">
        <v>4532.1000000000004</v>
      </c>
    </row>
    <row r="10" spans="1:11" ht="14.6" x14ac:dyDescent="0.4">
      <c r="A10" s="84"/>
      <c r="B10" s="84"/>
      <c r="C10" s="84"/>
      <c r="D10" s="84"/>
      <c r="E10" s="84" t="s">
        <v>634</v>
      </c>
      <c r="F10" s="85">
        <v>44929</v>
      </c>
      <c r="G10" s="84" t="s">
        <v>891</v>
      </c>
      <c r="H10" s="84" t="s">
        <v>896</v>
      </c>
      <c r="I10" s="84" t="s">
        <v>906</v>
      </c>
      <c r="J10" s="84" t="s">
        <v>659</v>
      </c>
      <c r="K10" s="87">
        <v>1921.66</v>
      </c>
    </row>
    <row r="11" spans="1:11" ht="14.6" x14ac:dyDescent="0.4">
      <c r="A11" s="84"/>
      <c r="B11" s="84"/>
      <c r="C11" s="84"/>
      <c r="D11" s="84"/>
      <c r="E11" s="84" t="s">
        <v>634</v>
      </c>
      <c r="F11" s="85">
        <v>44929</v>
      </c>
      <c r="G11" s="84" t="s">
        <v>891</v>
      </c>
      <c r="H11" s="84" t="s">
        <v>896</v>
      </c>
      <c r="I11" s="84" t="s">
        <v>907</v>
      </c>
      <c r="J11" s="84" t="s">
        <v>659</v>
      </c>
      <c r="K11" s="87">
        <v>3918.56</v>
      </c>
    </row>
    <row r="12" spans="1:11" ht="14.6" x14ac:dyDescent="0.4">
      <c r="A12" s="84"/>
      <c r="B12" s="84"/>
      <c r="C12" s="84"/>
      <c r="D12" s="84"/>
      <c r="E12" s="84" t="s">
        <v>634</v>
      </c>
      <c r="F12" s="85">
        <v>44929</v>
      </c>
      <c r="G12" s="84" t="s">
        <v>891</v>
      </c>
      <c r="H12" s="84" t="s">
        <v>896</v>
      </c>
      <c r="I12" s="84" t="s">
        <v>908</v>
      </c>
      <c r="J12" s="84" t="s">
        <v>659</v>
      </c>
      <c r="K12" s="87">
        <v>3258.72</v>
      </c>
    </row>
    <row r="13" spans="1:11" ht="14.6" x14ac:dyDescent="0.4">
      <c r="A13" s="84"/>
      <c r="B13" s="84"/>
      <c r="C13" s="84"/>
      <c r="D13" s="84"/>
      <c r="E13" s="84" t="s">
        <v>634</v>
      </c>
      <c r="F13" s="85">
        <v>44929</v>
      </c>
      <c r="G13" s="84" t="s">
        <v>892</v>
      </c>
      <c r="H13" s="84" t="s">
        <v>897</v>
      </c>
      <c r="I13" s="84" t="s">
        <v>909</v>
      </c>
      <c r="J13" s="84" t="s">
        <v>659</v>
      </c>
      <c r="K13" s="87">
        <v>3349.01</v>
      </c>
    </row>
    <row r="14" spans="1:11" ht="14.6" x14ac:dyDescent="0.4">
      <c r="A14" s="84"/>
      <c r="B14" s="84"/>
      <c r="C14" s="84"/>
      <c r="D14" s="84"/>
      <c r="E14" s="84" t="s">
        <v>634</v>
      </c>
      <c r="F14" s="85">
        <v>44929</v>
      </c>
      <c r="G14" s="84" t="s">
        <v>893</v>
      </c>
      <c r="H14" s="84" t="s">
        <v>898</v>
      </c>
      <c r="I14" s="84" t="s">
        <v>910</v>
      </c>
      <c r="J14" s="84" t="s">
        <v>659</v>
      </c>
      <c r="K14" s="87">
        <v>4180</v>
      </c>
    </row>
    <row r="15" spans="1:11" ht="14.6" x14ac:dyDescent="0.4">
      <c r="A15" s="84"/>
      <c r="B15" s="84"/>
      <c r="C15" s="84"/>
      <c r="D15" s="84"/>
      <c r="E15" s="84" t="s">
        <v>634</v>
      </c>
      <c r="F15" s="85">
        <v>44929</v>
      </c>
      <c r="G15" s="84" t="s">
        <v>894</v>
      </c>
      <c r="H15" s="84" t="s">
        <v>899</v>
      </c>
      <c r="I15" s="84" t="s">
        <v>911</v>
      </c>
      <c r="J15" s="84" t="s">
        <v>659</v>
      </c>
      <c r="K15" s="87">
        <v>1608.12</v>
      </c>
    </row>
    <row r="16" spans="1:11" ht="14.6" x14ac:dyDescent="0.4">
      <c r="A16" s="84"/>
      <c r="B16" s="84"/>
      <c r="C16" s="84"/>
      <c r="D16" s="84"/>
      <c r="E16" s="84" t="s">
        <v>704</v>
      </c>
      <c r="F16" s="85">
        <v>44931</v>
      </c>
      <c r="G16" s="84" t="s">
        <v>895</v>
      </c>
      <c r="H16" s="84" t="s">
        <v>467</v>
      </c>
      <c r="I16" s="84" t="s">
        <v>912</v>
      </c>
      <c r="J16" s="84" t="s">
        <v>771</v>
      </c>
      <c r="K16" s="87">
        <v>90.25</v>
      </c>
    </row>
    <row r="17" spans="1:11" ht="14.6" x14ac:dyDescent="0.4">
      <c r="A17" s="84"/>
      <c r="B17" s="84"/>
      <c r="C17" s="84"/>
      <c r="D17" s="84"/>
      <c r="E17" s="84" t="s">
        <v>634</v>
      </c>
      <c r="F17" s="85">
        <v>44945</v>
      </c>
      <c r="G17" s="84" t="s">
        <v>1071</v>
      </c>
      <c r="H17" s="84" t="s">
        <v>1752</v>
      </c>
      <c r="I17" s="84" t="s">
        <v>1077</v>
      </c>
      <c r="J17" s="84" t="s">
        <v>659</v>
      </c>
      <c r="K17" s="87">
        <v>514.24</v>
      </c>
    </row>
    <row r="18" spans="1:11" ht="14.6" x14ac:dyDescent="0.4">
      <c r="A18" s="84"/>
      <c r="B18" s="84"/>
      <c r="C18" s="84"/>
      <c r="D18" s="84"/>
      <c r="E18" s="84" t="s">
        <v>704</v>
      </c>
      <c r="F18" s="85">
        <v>44962</v>
      </c>
      <c r="G18" s="84" t="s">
        <v>1072</v>
      </c>
      <c r="H18" s="84" t="s">
        <v>467</v>
      </c>
      <c r="I18" s="84" t="s">
        <v>912</v>
      </c>
      <c r="J18" s="84" t="s">
        <v>771</v>
      </c>
      <c r="K18" s="87">
        <v>90.25</v>
      </c>
    </row>
    <row r="19" spans="1:11" ht="14.6" x14ac:dyDescent="0.4">
      <c r="A19" s="84"/>
      <c r="B19" s="84"/>
      <c r="C19" s="84"/>
      <c r="D19" s="84"/>
      <c r="E19" s="84" t="s">
        <v>704</v>
      </c>
      <c r="F19" s="85">
        <v>44969</v>
      </c>
      <c r="G19" s="84" t="s">
        <v>1074</v>
      </c>
      <c r="H19" s="84" t="s">
        <v>1076</v>
      </c>
      <c r="I19" s="84" t="s">
        <v>1078</v>
      </c>
      <c r="J19" s="84" t="s">
        <v>771</v>
      </c>
      <c r="K19" s="87">
        <v>44.99</v>
      </c>
    </row>
    <row r="20" spans="1:11" ht="14.6" x14ac:dyDescent="0.4">
      <c r="A20" s="84"/>
      <c r="B20" s="84"/>
      <c r="C20" s="84"/>
      <c r="D20" s="84"/>
      <c r="E20" s="84" t="s">
        <v>634</v>
      </c>
      <c r="F20" s="85">
        <v>44974</v>
      </c>
      <c r="G20" s="84" t="s">
        <v>2177</v>
      </c>
      <c r="H20" s="84" t="s">
        <v>1752</v>
      </c>
      <c r="I20" s="84" t="s">
        <v>1077</v>
      </c>
      <c r="J20" s="84" t="s">
        <v>659</v>
      </c>
      <c r="K20" s="87">
        <v>514.24</v>
      </c>
    </row>
    <row r="21" spans="1:11" ht="14.6" x14ac:dyDescent="0.4">
      <c r="A21" s="84"/>
      <c r="B21" s="84"/>
      <c r="C21" s="84"/>
      <c r="D21" s="84"/>
      <c r="E21" s="84" t="s">
        <v>634</v>
      </c>
      <c r="F21" s="85">
        <v>44985</v>
      </c>
      <c r="G21" s="84" t="s">
        <v>2178</v>
      </c>
      <c r="H21" s="84" t="s">
        <v>897</v>
      </c>
      <c r="I21" s="84" t="s">
        <v>2194</v>
      </c>
      <c r="J21" s="84" t="s">
        <v>659</v>
      </c>
      <c r="K21" s="87">
        <v>1116.6600000000001</v>
      </c>
    </row>
    <row r="22" spans="1:11" ht="14.6" x14ac:dyDescent="0.4">
      <c r="A22" s="84"/>
      <c r="B22" s="84"/>
      <c r="C22" s="84"/>
      <c r="D22" s="84"/>
      <c r="E22" s="84" t="s">
        <v>634</v>
      </c>
      <c r="F22" s="85">
        <v>44985</v>
      </c>
      <c r="G22" s="84" t="s">
        <v>2178</v>
      </c>
      <c r="H22" s="84" t="s">
        <v>897</v>
      </c>
      <c r="I22" s="84" t="s">
        <v>2194</v>
      </c>
      <c r="J22" s="84" t="s">
        <v>659</v>
      </c>
      <c r="K22" s="87">
        <v>2794.65</v>
      </c>
    </row>
    <row r="23" spans="1:11" ht="14.6" x14ac:dyDescent="0.4">
      <c r="A23" s="84"/>
      <c r="B23" s="84"/>
      <c r="C23" s="84"/>
      <c r="D23" s="84"/>
      <c r="E23" s="84" t="s">
        <v>704</v>
      </c>
      <c r="F23" s="85">
        <v>44990</v>
      </c>
      <c r="G23" s="84" t="s">
        <v>2179</v>
      </c>
      <c r="H23" s="84" t="s">
        <v>467</v>
      </c>
      <c r="I23" s="84" t="s">
        <v>912</v>
      </c>
      <c r="J23" s="84" t="s">
        <v>771</v>
      </c>
      <c r="K23" s="87">
        <v>90.25</v>
      </c>
    </row>
    <row r="24" spans="1:11" ht="14.6" x14ac:dyDescent="0.4">
      <c r="A24" s="84"/>
      <c r="B24" s="84"/>
      <c r="C24" s="84"/>
      <c r="D24" s="84"/>
      <c r="E24" s="84" t="s">
        <v>634</v>
      </c>
      <c r="F24" s="85">
        <v>45002</v>
      </c>
      <c r="G24" s="84" t="s">
        <v>2180</v>
      </c>
      <c r="H24" s="84" t="s">
        <v>1752</v>
      </c>
      <c r="I24" s="84" t="s">
        <v>1077</v>
      </c>
      <c r="J24" s="84" t="s">
        <v>659</v>
      </c>
      <c r="K24" s="87">
        <v>514.24</v>
      </c>
    </row>
    <row r="25" spans="1:11" ht="14.6" x14ac:dyDescent="0.4">
      <c r="A25" s="84"/>
      <c r="B25" s="84"/>
      <c r="C25" s="84"/>
      <c r="D25" s="84"/>
      <c r="E25" s="84" t="s">
        <v>704</v>
      </c>
      <c r="F25" s="85">
        <v>45020</v>
      </c>
      <c r="G25" s="84" t="s">
        <v>1124</v>
      </c>
      <c r="H25" s="84" t="s">
        <v>467</v>
      </c>
      <c r="I25" s="84" t="s">
        <v>912</v>
      </c>
      <c r="J25" s="84" t="s">
        <v>771</v>
      </c>
      <c r="K25" s="87">
        <v>90.25</v>
      </c>
    </row>
    <row r="26" spans="1:11" ht="14.6" x14ac:dyDescent="0.4">
      <c r="A26" s="84"/>
      <c r="B26" s="84"/>
      <c r="C26" s="84"/>
      <c r="D26" s="84"/>
      <c r="E26" s="84" t="s">
        <v>704</v>
      </c>
      <c r="F26" s="85">
        <v>45022</v>
      </c>
      <c r="G26" s="84" t="s">
        <v>2181</v>
      </c>
      <c r="H26" s="84" t="s">
        <v>1076</v>
      </c>
      <c r="I26" s="84" t="s">
        <v>1078</v>
      </c>
      <c r="J26" s="84" t="s">
        <v>771</v>
      </c>
      <c r="K26" s="87">
        <v>74.09</v>
      </c>
    </row>
    <row r="27" spans="1:11" ht="14.6" x14ac:dyDescent="0.4">
      <c r="A27" s="84"/>
      <c r="B27" s="84"/>
      <c r="C27" s="84"/>
      <c r="D27" s="84"/>
      <c r="E27" s="84" t="s">
        <v>634</v>
      </c>
      <c r="F27" s="85">
        <v>45023</v>
      </c>
      <c r="G27" s="84" t="s">
        <v>2182</v>
      </c>
      <c r="H27" s="84" t="s">
        <v>896</v>
      </c>
      <c r="I27" s="84" t="s">
        <v>2195</v>
      </c>
      <c r="J27" s="84" t="s">
        <v>659</v>
      </c>
      <c r="K27" s="87">
        <v>78000</v>
      </c>
    </row>
    <row r="28" spans="1:11" ht="14.6" x14ac:dyDescent="0.4">
      <c r="A28" s="84"/>
      <c r="B28" s="84"/>
      <c r="C28" s="84"/>
      <c r="D28" s="84"/>
      <c r="E28" s="84" t="s">
        <v>704</v>
      </c>
      <c r="F28" s="85">
        <v>45042</v>
      </c>
      <c r="G28" s="84" t="s">
        <v>2183</v>
      </c>
      <c r="H28" s="84" t="s">
        <v>467</v>
      </c>
      <c r="I28" s="84" t="s">
        <v>912</v>
      </c>
      <c r="J28" s="84" t="s">
        <v>771</v>
      </c>
      <c r="K28" s="87">
        <v>3.27</v>
      </c>
    </row>
    <row r="29" spans="1:11" ht="14.6" x14ac:dyDescent="0.4">
      <c r="A29" s="84"/>
      <c r="B29" s="84"/>
      <c r="C29" s="84"/>
      <c r="D29" s="84"/>
      <c r="E29" s="84" t="s">
        <v>704</v>
      </c>
      <c r="F29" s="85">
        <v>45049</v>
      </c>
      <c r="G29" s="84" t="s">
        <v>2184</v>
      </c>
      <c r="H29" s="84" t="s">
        <v>2192</v>
      </c>
      <c r="I29" s="84" t="s">
        <v>2196</v>
      </c>
      <c r="J29" s="84" t="s">
        <v>771</v>
      </c>
      <c r="K29" s="87">
        <v>87.99</v>
      </c>
    </row>
    <row r="30" spans="1:11" ht="14.6" x14ac:dyDescent="0.4">
      <c r="A30" s="84"/>
      <c r="B30" s="84"/>
      <c r="C30" s="84"/>
      <c r="D30" s="84"/>
      <c r="E30" s="84" t="s">
        <v>704</v>
      </c>
      <c r="F30" s="85">
        <v>45051</v>
      </c>
      <c r="G30" s="84" t="s">
        <v>2185</v>
      </c>
      <c r="H30" s="84" t="s">
        <v>467</v>
      </c>
      <c r="I30" s="84" t="s">
        <v>912</v>
      </c>
      <c r="J30" s="84" t="s">
        <v>771</v>
      </c>
      <c r="K30" s="87">
        <v>90.25</v>
      </c>
    </row>
    <row r="31" spans="1:11" ht="14.6" x14ac:dyDescent="0.4">
      <c r="A31" s="84"/>
      <c r="B31" s="84"/>
      <c r="C31" s="84"/>
      <c r="D31" s="84"/>
      <c r="E31" s="84" t="s">
        <v>704</v>
      </c>
      <c r="F31" s="85">
        <v>45056</v>
      </c>
      <c r="G31" s="84" t="s">
        <v>2186</v>
      </c>
      <c r="H31" s="84" t="s">
        <v>467</v>
      </c>
      <c r="I31" s="84" t="s">
        <v>912</v>
      </c>
      <c r="J31" s="84" t="s">
        <v>771</v>
      </c>
      <c r="K31" s="87">
        <v>462</v>
      </c>
    </row>
    <row r="32" spans="1:11" ht="14.6" x14ac:dyDescent="0.4">
      <c r="A32" s="84"/>
      <c r="B32" s="84"/>
      <c r="C32" s="84"/>
      <c r="D32" s="84"/>
      <c r="E32" s="84" t="s">
        <v>634</v>
      </c>
      <c r="F32" s="85">
        <v>45078</v>
      </c>
      <c r="G32" s="84" t="s">
        <v>2187</v>
      </c>
      <c r="H32" s="84" t="s">
        <v>896</v>
      </c>
      <c r="I32" s="84" t="s">
        <v>2197</v>
      </c>
      <c r="J32" s="84" t="s">
        <v>659</v>
      </c>
      <c r="K32" s="87">
        <v>13350.75</v>
      </c>
    </row>
    <row r="33" spans="1:11" ht="14.6" x14ac:dyDescent="0.4">
      <c r="A33" s="84"/>
      <c r="B33" s="84"/>
      <c r="C33" s="84"/>
      <c r="D33" s="84"/>
      <c r="E33" s="84" t="s">
        <v>704</v>
      </c>
      <c r="F33" s="85">
        <v>45082</v>
      </c>
      <c r="G33" s="84" t="s">
        <v>2188</v>
      </c>
      <c r="H33" s="84" t="s">
        <v>467</v>
      </c>
      <c r="I33" s="84" t="s">
        <v>912</v>
      </c>
      <c r="J33" s="84" t="s">
        <v>771</v>
      </c>
      <c r="K33" s="87">
        <v>90.25</v>
      </c>
    </row>
    <row r="34" spans="1:11" ht="14.6" x14ac:dyDescent="0.4">
      <c r="A34" s="84"/>
      <c r="B34" s="84"/>
      <c r="C34" s="84"/>
      <c r="D34" s="84"/>
      <c r="E34" s="84" t="s">
        <v>634</v>
      </c>
      <c r="F34" s="85">
        <v>45093</v>
      </c>
      <c r="G34" s="84" t="s">
        <v>2189</v>
      </c>
      <c r="H34" s="84" t="s">
        <v>923</v>
      </c>
      <c r="I34" s="84" t="s">
        <v>2198</v>
      </c>
      <c r="J34" s="84" t="s">
        <v>659</v>
      </c>
      <c r="K34" s="87">
        <v>728</v>
      </c>
    </row>
    <row r="35" spans="1:11" ht="14.6" x14ac:dyDescent="0.4">
      <c r="A35" s="84"/>
      <c r="B35" s="84"/>
      <c r="C35" s="84"/>
      <c r="D35" s="84"/>
      <c r="E35" s="84" t="s">
        <v>634</v>
      </c>
      <c r="F35" s="85">
        <v>45110</v>
      </c>
      <c r="G35" s="84" t="s">
        <v>2190</v>
      </c>
      <c r="H35" s="84" t="s">
        <v>925</v>
      </c>
      <c r="I35" s="84" t="s">
        <v>2199</v>
      </c>
      <c r="J35" s="84" t="s">
        <v>659</v>
      </c>
      <c r="K35" s="87">
        <v>3297.98</v>
      </c>
    </row>
    <row r="36" spans="1:11" ht="14.6" x14ac:dyDescent="0.4">
      <c r="A36" s="84"/>
      <c r="B36" s="84"/>
      <c r="C36" s="84"/>
      <c r="D36" s="84"/>
      <c r="E36" s="84" t="s">
        <v>634</v>
      </c>
      <c r="F36" s="85">
        <v>45112</v>
      </c>
      <c r="G36" s="84" t="s">
        <v>2191</v>
      </c>
      <c r="H36" s="84" t="s">
        <v>2193</v>
      </c>
      <c r="I36" s="84" t="s">
        <v>2200</v>
      </c>
      <c r="J36" s="84" t="s">
        <v>659</v>
      </c>
      <c r="K36" s="87">
        <v>3324.75</v>
      </c>
    </row>
    <row r="37" spans="1:11" ht="14.6" x14ac:dyDescent="0.4">
      <c r="A37" s="84"/>
      <c r="B37" s="84"/>
      <c r="C37" s="84"/>
      <c r="D37" s="84"/>
      <c r="E37" s="84" t="s">
        <v>634</v>
      </c>
      <c r="F37" s="85">
        <v>45112</v>
      </c>
      <c r="G37" s="84" t="s">
        <v>2191</v>
      </c>
      <c r="H37" s="84" t="s">
        <v>2193</v>
      </c>
      <c r="I37" s="84" t="s">
        <v>2201</v>
      </c>
      <c r="J37" s="84" t="s">
        <v>659</v>
      </c>
      <c r="K37" s="87">
        <v>1329.9</v>
      </c>
    </row>
    <row r="38" spans="1:11" ht="14.6" x14ac:dyDescent="0.4">
      <c r="A38" s="84"/>
      <c r="B38" s="84"/>
      <c r="C38" s="84"/>
      <c r="D38" s="84"/>
      <c r="E38" s="84" t="s">
        <v>634</v>
      </c>
      <c r="F38" s="85">
        <v>45112</v>
      </c>
      <c r="G38" s="84" t="s">
        <v>2191</v>
      </c>
      <c r="H38" s="84" t="s">
        <v>2193</v>
      </c>
      <c r="I38" s="84" t="s">
        <v>2202</v>
      </c>
      <c r="J38" s="84" t="s">
        <v>659</v>
      </c>
      <c r="K38" s="87">
        <v>1662.38</v>
      </c>
    </row>
    <row r="39" spans="1:11" ht="14.6" x14ac:dyDescent="0.4">
      <c r="A39" s="84"/>
      <c r="B39" s="84"/>
      <c r="C39" s="84"/>
      <c r="D39" s="84"/>
      <c r="E39" s="84" t="s">
        <v>634</v>
      </c>
      <c r="F39" s="85">
        <v>45112</v>
      </c>
      <c r="G39" s="84" t="s">
        <v>2191</v>
      </c>
      <c r="H39" s="84" t="s">
        <v>2193</v>
      </c>
      <c r="I39" s="84" t="s">
        <v>2203</v>
      </c>
      <c r="J39" s="84" t="s">
        <v>659</v>
      </c>
      <c r="K39" s="87">
        <v>5319.6</v>
      </c>
    </row>
    <row r="40" spans="1:11" ht="14.6" x14ac:dyDescent="0.4">
      <c r="A40" s="84"/>
      <c r="B40" s="84"/>
      <c r="C40" s="84"/>
      <c r="D40" s="84"/>
      <c r="E40" s="84" t="s">
        <v>634</v>
      </c>
      <c r="F40" s="85">
        <v>45112</v>
      </c>
      <c r="G40" s="84" t="s">
        <v>2191</v>
      </c>
      <c r="H40" s="84" t="s">
        <v>2193</v>
      </c>
      <c r="I40" s="84" t="s">
        <v>2204</v>
      </c>
      <c r="J40" s="84" t="s">
        <v>659</v>
      </c>
      <c r="K40" s="87">
        <v>554.13</v>
      </c>
    </row>
    <row r="41" spans="1:11" ht="14.6" x14ac:dyDescent="0.4">
      <c r="A41" s="84"/>
      <c r="B41" s="84"/>
      <c r="C41" s="84"/>
      <c r="D41" s="84"/>
      <c r="E41" s="84" t="s">
        <v>634</v>
      </c>
      <c r="F41" s="85">
        <v>45112</v>
      </c>
      <c r="G41" s="84" t="s">
        <v>2191</v>
      </c>
      <c r="H41" s="84" t="s">
        <v>2193</v>
      </c>
      <c r="I41" s="84" t="s">
        <v>2205</v>
      </c>
      <c r="J41" s="84" t="s">
        <v>659</v>
      </c>
      <c r="K41" s="87">
        <v>554.13</v>
      </c>
    </row>
    <row r="42" spans="1:11" ht="14.6" x14ac:dyDescent="0.4">
      <c r="A42" s="84"/>
      <c r="B42" s="84"/>
      <c r="C42" s="84"/>
      <c r="D42" s="84"/>
      <c r="E42" s="84" t="s">
        <v>634</v>
      </c>
      <c r="F42" s="85">
        <v>45112</v>
      </c>
      <c r="G42" s="84" t="s">
        <v>2191</v>
      </c>
      <c r="H42" s="84" t="s">
        <v>2193</v>
      </c>
      <c r="I42" s="84" t="s">
        <v>2206</v>
      </c>
      <c r="J42" s="84" t="s">
        <v>659</v>
      </c>
      <c r="K42" s="87">
        <v>554.13</v>
      </c>
    </row>
    <row r="43" spans="1:11" ht="14.6" x14ac:dyDescent="0.4">
      <c r="A43" s="84"/>
      <c r="B43" s="84"/>
      <c r="C43" s="84"/>
      <c r="D43" s="84"/>
      <c r="E43" s="84" t="s">
        <v>634</v>
      </c>
      <c r="F43" s="85">
        <v>45112</v>
      </c>
      <c r="G43" s="84" t="s">
        <v>2191</v>
      </c>
      <c r="H43" s="84" t="s">
        <v>2193</v>
      </c>
      <c r="I43" s="84" t="s">
        <v>2207</v>
      </c>
      <c r="J43" s="84" t="s">
        <v>659</v>
      </c>
      <c r="K43" s="87">
        <v>443.3</v>
      </c>
    </row>
    <row r="44" spans="1:11" ht="14.6" x14ac:dyDescent="0.4">
      <c r="A44" s="84"/>
      <c r="B44" s="84"/>
      <c r="C44" s="84"/>
      <c r="D44" s="84"/>
      <c r="E44" s="84" t="s">
        <v>634</v>
      </c>
      <c r="F44" s="85">
        <v>45112</v>
      </c>
      <c r="G44" s="84" t="s">
        <v>2191</v>
      </c>
      <c r="H44" s="84" t="s">
        <v>2193</v>
      </c>
      <c r="I44" s="84" t="s">
        <v>2208</v>
      </c>
      <c r="J44" s="84" t="s">
        <v>659</v>
      </c>
      <c r="K44" s="87">
        <v>664.96</v>
      </c>
    </row>
    <row r="45" spans="1:11" ht="14.6" x14ac:dyDescent="0.4">
      <c r="A45" s="84"/>
      <c r="B45" s="84"/>
      <c r="C45" s="84"/>
      <c r="D45" s="84"/>
      <c r="E45" s="84" t="s">
        <v>634</v>
      </c>
      <c r="F45" s="85">
        <v>45112</v>
      </c>
      <c r="G45" s="84" t="s">
        <v>2191</v>
      </c>
      <c r="H45" s="84" t="s">
        <v>2193</v>
      </c>
      <c r="I45" s="84" t="s">
        <v>3544</v>
      </c>
      <c r="J45" s="84" t="s">
        <v>659</v>
      </c>
      <c r="K45" s="87">
        <v>554.13</v>
      </c>
    </row>
    <row r="46" spans="1:11" ht="14.6" x14ac:dyDescent="0.4">
      <c r="A46" s="84"/>
      <c r="B46" s="84"/>
      <c r="C46" s="84"/>
      <c r="D46" s="84"/>
      <c r="E46" s="84" t="s">
        <v>634</v>
      </c>
      <c r="F46" s="85">
        <v>45112</v>
      </c>
      <c r="G46" s="84" t="s">
        <v>2191</v>
      </c>
      <c r="H46" s="84" t="s">
        <v>2193</v>
      </c>
      <c r="I46" s="84" t="s">
        <v>3545</v>
      </c>
      <c r="J46" s="84" t="s">
        <v>659</v>
      </c>
      <c r="K46" s="87">
        <v>11082.5</v>
      </c>
    </row>
    <row r="47" spans="1:11" ht="14.6" x14ac:dyDescent="0.4">
      <c r="A47" s="84"/>
      <c r="B47" s="84"/>
      <c r="C47" s="84"/>
      <c r="D47" s="84"/>
      <c r="E47" s="84" t="s">
        <v>634</v>
      </c>
      <c r="F47" s="85">
        <v>45112</v>
      </c>
      <c r="G47" s="84" t="s">
        <v>2191</v>
      </c>
      <c r="H47" s="84" t="s">
        <v>2193</v>
      </c>
      <c r="I47" s="84" t="s">
        <v>3546</v>
      </c>
      <c r="J47" s="84" t="s">
        <v>659</v>
      </c>
      <c r="K47" s="87">
        <v>98.74</v>
      </c>
    </row>
    <row r="48" spans="1:11" ht="14.6" x14ac:dyDescent="0.4">
      <c r="A48" s="84"/>
      <c r="B48" s="84"/>
      <c r="C48" s="84"/>
      <c r="D48" s="84"/>
      <c r="E48" s="84" t="s">
        <v>634</v>
      </c>
      <c r="F48" s="85">
        <v>45112</v>
      </c>
      <c r="G48" s="84" t="s">
        <v>2191</v>
      </c>
      <c r="H48" s="84" t="s">
        <v>2193</v>
      </c>
      <c r="I48" s="84" t="s">
        <v>3547</v>
      </c>
      <c r="J48" s="84" t="s">
        <v>659</v>
      </c>
      <c r="K48" s="87">
        <v>542.04</v>
      </c>
    </row>
    <row r="49" spans="1:11" ht="14.6" x14ac:dyDescent="0.4">
      <c r="A49" s="84"/>
      <c r="B49" s="84"/>
      <c r="C49" s="84"/>
      <c r="D49" s="84"/>
      <c r="E49" s="84" t="s">
        <v>634</v>
      </c>
      <c r="F49" s="85">
        <v>45112</v>
      </c>
      <c r="G49" s="84" t="s">
        <v>2191</v>
      </c>
      <c r="H49" s="84" t="s">
        <v>2193</v>
      </c>
      <c r="I49" s="84" t="s">
        <v>2209</v>
      </c>
      <c r="J49" s="84" t="s">
        <v>659</v>
      </c>
      <c r="K49" s="87">
        <v>11082.5</v>
      </c>
    </row>
    <row r="50" spans="1:11" ht="14.6" x14ac:dyDescent="0.4">
      <c r="A50" s="84"/>
      <c r="B50" s="84"/>
      <c r="C50" s="84"/>
      <c r="D50" s="84"/>
      <c r="E50" s="84" t="s">
        <v>704</v>
      </c>
      <c r="F50" s="85">
        <v>45170</v>
      </c>
      <c r="G50" s="84" t="s">
        <v>3469</v>
      </c>
      <c r="H50" s="84" t="s">
        <v>2192</v>
      </c>
      <c r="I50" s="84" t="s">
        <v>3474</v>
      </c>
      <c r="J50" s="84" t="s">
        <v>771</v>
      </c>
      <c r="K50" s="87">
        <v>2302.56</v>
      </c>
    </row>
    <row r="51" spans="1:11" ht="14.6" x14ac:dyDescent="0.4">
      <c r="A51" s="84"/>
      <c r="B51" s="84"/>
      <c r="C51" s="84"/>
      <c r="D51" s="84"/>
      <c r="E51" s="84" t="s">
        <v>634</v>
      </c>
      <c r="F51" s="85">
        <v>45257</v>
      </c>
      <c r="G51" s="84" t="s">
        <v>3470</v>
      </c>
      <c r="H51" s="84" t="s">
        <v>3473</v>
      </c>
      <c r="I51" s="84" t="s">
        <v>3475</v>
      </c>
      <c r="J51" s="84" t="s">
        <v>659</v>
      </c>
      <c r="K51" s="87">
        <v>706.5</v>
      </c>
    </row>
    <row r="52" spans="1:11" ht="14.6" x14ac:dyDescent="0.4">
      <c r="A52" s="84"/>
      <c r="B52" s="84"/>
      <c r="C52" s="84"/>
      <c r="D52" s="84"/>
      <c r="E52" s="84" t="s">
        <v>704</v>
      </c>
      <c r="F52" s="85">
        <v>45269</v>
      </c>
      <c r="G52" s="84" t="s">
        <v>3471</v>
      </c>
      <c r="H52" s="84" t="s">
        <v>1076</v>
      </c>
      <c r="I52" s="84" t="s">
        <v>1078</v>
      </c>
      <c r="J52" s="84" t="s">
        <v>771</v>
      </c>
      <c r="K52" s="87">
        <v>359.92</v>
      </c>
    </row>
    <row r="53" spans="1:11" ht="14.6" x14ac:dyDescent="0.4">
      <c r="A53" s="84"/>
      <c r="B53" s="84"/>
      <c r="C53" s="84"/>
      <c r="D53" s="84"/>
      <c r="E53" s="84" t="s">
        <v>634</v>
      </c>
      <c r="F53" s="85">
        <v>45278</v>
      </c>
      <c r="G53" s="84" t="s">
        <v>3472</v>
      </c>
      <c r="H53" s="84" t="s">
        <v>3473</v>
      </c>
      <c r="I53" s="84" t="s">
        <v>3475</v>
      </c>
      <c r="J53" s="84" t="s">
        <v>659</v>
      </c>
      <c r="K53" s="87">
        <v>12948.82</v>
      </c>
    </row>
    <row r="54" spans="1:11" ht="14.6" x14ac:dyDescent="0.4">
      <c r="A54" s="84"/>
      <c r="B54" s="84"/>
      <c r="C54" s="84"/>
      <c r="D54" s="84"/>
      <c r="E54" s="84" t="s">
        <v>634</v>
      </c>
      <c r="F54" s="85">
        <v>45279</v>
      </c>
      <c r="G54" s="84" t="s">
        <v>3541</v>
      </c>
      <c r="H54" s="84" t="s">
        <v>1085</v>
      </c>
      <c r="I54" s="84" t="s">
        <v>3543</v>
      </c>
      <c r="J54" s="84" t="s">
        <v>659</v>
      </c>
      <c r="K54" s="87">
        <v>634</v>
      </c>
    </row>
    <row r="55" spans="1:11" thickBot="1" x14ac:dyDescent="0.45">
      <c r="A55" s="84"/>
      <c r="B55" s="84"/>
      <c r="C55" s="84"/>
      <c r="D55" s="84"/>
      <c r="E55" s="84" t="s">
        <v>704</v>
      </c>
      <c r="F55" s="85">
        <v>45285</v>
      </c>
      <c r="G55" s="84" t="s">
        <v>3542</v>
      </c>
      <c r="H55" s="84" t="s">
        <v>1076</v>
      </c>
      <c r="I55" s="84" t="s">
        <v>1078</v>
      </c>
      <c r="J55" s="84" t="s">
        <v>771</v>
      </c>
      <c r="K55" s="413">
        <v>15.99</v>
      </c>
    </row>
    <row r="56" spans="1:11" thickBot="1" x14ac:dyDescent="0.45">
      <c r="A56" s="84"/>
      <c r="B56" s="84"/>
      <c r="C56" s="84" t="s">
        <v>889</v>
      </c>
      <c r="D56" s="84"/>
      <c r="E56" s="84"/>
      <c r="F56" s="85"/>
      <c r="G56" s="84"/>
      <c r="H56" s="84"/>
      <c r="I56" s="84"/>
      <c r="J56" s="84"/>
      <c r="K56" s="414">
        <f>ROUND(SUM(K3:K55),5)</f>
        <v>370496.03</v>
      </c>
    </row>
    <row r="57" spans="1:11" thickBot="1" x14ac:dyDescent="0.45">
      <c r="A57" s="84"/>
      <c r="B57" s="84" t="s">
        <v>703</v>
      </c>
      <c r="C57" s="84"/>
      <c r="D57" s="84"/>
      <c r="E57" s="84"/>
      <c r="F57" s="85"/>
      <c r="G57" s="84"/>
      <c r="H57" s="84"/>
      <c r="I57" s="84"/>
      <c r="J57" s="84"/>
      <c r="K57" s="414">
        <f>K56</f>
        <v>370496.03</v>
      </c>
    </row>
    <row r="58" spans="1:11" ht="15" customHeight="1" thickBot="1" x14ac:dyDescent="0.45">
      <c r="A58" s="84" t="s">
        <v>158</v>
      </c>
      <c r="B58" s="84"/>
      <c r="C58" s="84"/>
      <c r="D58" s="84"/>
      <c r="E58" s="84"/>
      <c r="F58" s="85"/>
      <c r="G58" s="84"/>
      <c r="H58" s="84"/>
      <c r="I58" s="84"/>
      <c r="J58" s="84"/>
      <c r="K58" s="415">
        <f>K57</f>
        <v>370496.03</v>
      </c>
    </row>
    <row r="59" spans="1:11" ht="15" customHeight="1" thickTop="1" x14ac:dyDescent="0.4"/>
  </sheetData>
  <pageMargins left="0.7" right="0.7" top="0.75" bottom="0.75" header="0.1" footer="0"/>
  <pageSetup orientation="portrait" r:id="rId1"/>
  <headerFooter>
    <oddHeader>&amp;L&amp;"Arial,Bold"&amp;8 10:07 AM
&amp;"Arial,Bold"&amp;8 03/08/24
&amp;"Arial,Bold"&amp;8 Accrual Basis&amp;C&amp;"Arial,Bold"&amp;12 Williamson Central Appraisal District
&amp;"Arial,Bold"&amp;14 Account QuickReport
&amp;"Arial,Bold"&amp;10 January through December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15720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15720" r:id="rId4" name="HEADER"/>
      </mc:Fallback>
    </mc:AlternateContent>
    <mc:AlternateContent xmlns:mc="http://schemas.openxmlformats.org/markup-compatibility/2006">
      <mc:Choice Requires="x14">
        <control shapeId="115719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15719" r:id="rId6" name="FILTER"/>
      </mc:Fallback>
    </mc:AlternateContent>
  </controls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2"/>
  <dimension ref="A1:L108"/>
  <sheetViews>
    <sheetView workbookViewId="0">
      <pane xSplit="3" ySplit="1" topLeftCell="D25" activePane="bottomRight" state="frozenSplit"/>
      <selection pane="topRight" activeCell="D1" sqref="D1"/>
      <selection pane="bottomLeft" activeCell="A2" sqref="A2"/>
      <selection pane="bottomRight" activeCell="I67" sqref="I67"/>
    </sheetView>
  </sheetViews>
  <sheetFormatPr defaultColWidth="14.3828125" defaultRowHeight="15" customHeight="1" x14ac:dyDescent="0.4"/>
  <cols>
    <col min="1" max="2" width="3" customWidth="1"/>
    <col min="3" max="3" width="37" customWidth="1"/>
    <col min="4" max="4" width="2.3046875" customWidth="1"/>
    <col min="5" max="5" width="17.69140625" bestFit="1" customWidth="1"/>
    <col min="6" max="6" width="10.69140625" bestFit="1" customWidth="1"/>
    <col min="7" max="7" width="12" bestFit="1" customWidth="1"/>
    <col min="8" max="8" width="22.69140625" bestFit="1" customWidth="1"/>
    <col min="9" max="9" width="30.69140625" customWidth="1"/>
    <col min="10" max="10" width="27.3828125" bestFit="1" customWidth="1"/>
    <col min="11" max="11" width="10.15234375" bestFit="1" customWidth="1"/>
  </cols>
  <sheetData>
    <row r="1" spans="1:11" s="412" customFormat="1" thickBot="1" x14ac:dyDescent="0.45">
      <c r="A1" s="416"/>
      <c r="B1" s="416"/>
      <c r="C1" s="416"/>
      <c r="D1" s="416"/>
      <c r="E1" s="417" t="s">
        <v>623</v>
      </c>
      <c r="F1" s="417" t="s">
        <v>624</v>
      </c>
      <c r="G1" s="417" t="s">
        <v>625</v>
      </c>
      <c r="H1" s="417" t="s">
        <v>626</v>
      </c>
      <c r="I1" s="417" t="s">
        <v>627</v>
      </c>
      <c r="J1" s="417" t="s">
        <v>628</v>
      </c>
      <c r="K1" s="417" t="s">
        <v>629</v>
      </c>
    </row>
    <row r="2" spans="1:11" thickTop="1" x14ac:dyDescent="0.4">
      <c r="A2" s="84"/>
      <c r="B2" s="84" t="s">
        <v>700</v>
      </c>
      <c r="C2" s="84"/>
      <c r="D2" s="84"/>
      <c r="E2" s="84"/>
      <c r="F2" s="85"/>
      <c r="G2" s="84"/>
      <c r="H2" s="84"/>
      <c r="I2" s="84"/>
      <c r="J2" s="84"/>
      <c r="K2" s="87"/>
    </row>
    <row r="3" spans="1:11" ht="14.6" x14ac:dyDescent="0.4">
      <c r="A3" s="84"/>
      <c r="B3" s="84"/>
      <c r="C3" s="84" t="s">
        <v>913</v>
      </c>
      <c r="D3" s="84"/>
      <c r="E3" s="84"/>
      <c r="F3" s="85"/>
      <c r="G3" s="84"/>
      <c r="H3" s="84"/>
      <c r="I3" s="84"/>
      <c r="J3" s="84"/>
      <c r="K3" s="87"/>
    </row>
    <row r="4" spans="1:11" ht="14.6" x14ac:dyDescent="0.4">
      <c r="A4" s="84"/>
      <c r="B4" s="84"/>
      <c r="C4" s="84"/>
      <c r="D4" s="84"/>
      <c r="E4" s="84" t="s">
        <v>634</v>
      </c>
      <c r="F4" s="85">
        <v>44927</v>
      </c>
      <c r="G4" s="84" t="s">
        <v>915</v>
      </c>
      <c r="H4" s="84" t="s">
        <v>921</v>
      </c>
      <c r="I4" s="84" t="s">
        <v>928</v>
      </c>
      <c r="J4" s="84" t="s">
        <v>659</v>
      </c>
      <c r="K4" s="87">
        <v>5041.67</v>
      </c>
    </row>
    <row r="5" spans="1:11" ht="14.6" x14ac:dyDescent="0.4">
      <c r="A5" s="84"/>
      <c r="B5" s="84"/>
      <c r="C5" s="84"/>
      <c r="D5" s="84"/>
      <c r="E5" s="84" t="s">
        <v>634</v>
      </c>
      <c r="F5" s="85">
        <v>44928</v>
      </c>
      <c r="G5" s="84" t="s">
        <v>916</v>
      </c>
      <c r="H5" s="84" t="s">
        <v>922</v>
      </c>
      <c r="I5" s="84" t="s">
        <v>929</v>
      </c>
      <c r="J5" s="84" t="s">
        <v>659</v>
      </c>
      <c r="K5" s="87">
        <v>328</v>
      </c>
    </row>
    <row r="6" spans="1:11" ht="14.6" x14ac:dyDescent="0.4">
      <c r="A6" s="84"/>
      <c r="B6" s="84"/>
      <c r="C6" s="84"/>
      <c r="D6" s="84"/>
      <c r="E6" s="84" t="s">
        <v>634</v>
      </c>
      <c r="F6" s="85">
        <v>44929</v>
      </c>
      <c r="G6" s="84" t="s">
        <v>917</v>
      </c>
      <c r="H6" s="84" t="s">
        <v>923</v>
      </c>
      <c r="I6" s="84" t="s">
        <v>930</v>
      </c>
      <c r="J6" s="84" t="s">
        <v>659</v>
      </c>
      <c r="K6" s="87">
        <v>35520</v>
      </c>
    </row>
    <row r="7" spans="1:11" ht="14.6" x14ac:dyDescent="0.4">
      <c r="A7" s="84"/>
      <c r="B7" s="84"/>
      <c r="C7" s="84"/>
      <c r="D7" s="84"/>
      <c r="E7" s="84" t="s">
        <v>704</v>
      </c>
      <c r="F7" s="85">
        <v>44929</v>
      </c>
      <c r="G7" s="84" t="s">
        <v>918</v>
      </c>
      <c r="H7" s="84" t="s">
        <v>924</v>
      </c>
      <c r="I7" s="84" t="s">
        <v>931</v>
      </c>
      <c r="J7" s="84" t="s">
        <v>771</v>
      </c>
      <c r="K7" s="87">
        <v>21.32</v>
      </c>
    </row>
    <row r="8" spans="1:11" ht="14.6" x14ac:dyDescent="0.4">
      <c r="A8" s="84"/>
      <c r="B8" s="84"/>
      <c r="C8" s="84"/>
      <c r="D8" s="84"/>
      <c r="E8" s="84" t="s">
        <v>704</v>
      </c>
      <c r="F8" s="85">
        <v>44932</v>
      </c>
      <c r="G8" s="84"/>
      <c r="H8" s="84" t="s">
        <v>925</v>
      </c>
      <c r="I8" s="84" t="s">
        <v>932</v>
      </c>
      <c r="J8" s="84" t="s">
        <v>771</v>
      </c>
      <c r="K8" s="87">
        <v>2559.2600000000002</v>
      </c>
    </row>
    <row r="9" spans="1:11" ht="14.6" x14ac:dyDescent="0.4">
      <c r="A9" s="84"/>
      <c r="B9" s="84"/>
      <c r="C9" s="84"/>
      <c r="D9" s="84"/>
      <c r="E9" s="84" t="s">
        <v>634</v>
      </c>
      <c r="F9" s="85">
        <v>44935</v>
      </c>
      <c r="G9" s="84" t="s">
        <v>919</v>
      </c>
      <c r="H9" s="84" t="s">
        <v>926</v>
      </c>
      <c r="I9" s="84" t="s">
        <v>933</v>
      </c>
      <c r="J9" s="84" t="s">
        <v>659</v>
      </c>
      <c r="K9" s="87">
        <v>2268</v>
      </c>
    </row>
    <row r="10" spans="1:11" ht="14.6" x14ac:dyDescent="0.4">
      <c r="A10" s="84"/>
      <c r="B10" s="84"/>
      <c r="C10" s="84"/>
      <c r="D10" s="84"/>
      <c r="E10" s="84" t="s">
        <v>634</v>
      </c>
      <c r="F10" s="85">
        <v>44935</v>
      </c>
      <c r="G10" s="84" t="s">
        <v>920</v>
      </c>
      <c r="H10" s="84" t="s">
        <v>926</v>
      </c>
      <c r="I10" s="84" t="s">
        <v>934</v>
      </c>
      <c r="J10" s="84" t="s">
        <v>659</v>
      </c>
      <c r="K10" s="87">
        <v>3728.25</v>
      </c>
    </row>
    <row r="11" spans="1:11" ht="14.6" x14ac:dyDescent="0.4">
      <c r="A11" s="84"/>
      <c r="B11" s="84"/>
      <c r="C11" s="84"/>
      <c r="D11" s="84"/>
      <c r="E11" s="84" t="s">
        <v>688</v>
      </c>
      <c r="F11" s="85">
        <v>44939</v>
      </c>
      <c r="G11" s="84"/>
      <c r="H11" s="84" t="s">
        <v>927</v>
      </c>
      <c r="I11" s="84" t="s">
        <v>935</v>
      </c>
      <c r="J11" s="84" t="s">
        <v>693</v>
      </c>
      <c r="K11" s="87">
        <v>2802.78</v>
      </c>
    </row>
    <row r="12" spans="1:11" ht="14.6" x14ac:dyDescent="0.4">
      <c r="A12" s="84"/>
      <c r="B12" s="84"/>
      <c r="C12" s="84"/>
      <c r="D12" s="84"/>
      <c r="E12" s="84" t="s">
        <v>704</v>
      </c>
      <c r="F12" s="85">
        <v>44939</v>
      </c>
      <c r="G12" s="84" t="s">
        <v>1079</v>
      </c>
      <c r="H12" s="84" t="s">
        <v>1085</v>
      </c>
      <c r="I12" s="84" t="s">
        <v>1089</v>
      </c>
      <c r="J12" s="84" t="s">
        <v>771</v>
      </c>
      <c r="K12" s="87">
        <v>264</v>
      </c>
    </row>
    <row r="13" spans="1:11" ht="14.6" x14ac:dyDescent="0.4">
      <c r="A13" s="84"/>
      <c r="B13" s="84"/>
      <c r="C13" s="84"/>
      <c r="D13" s="84"/>
      <c r="E13" s="84" t="s">
        <v>704</v>
      </c>
      <c r="F13" s="85">
        <v>44945</v>
      </c>
      <c r="G13" s="84"/>
      <c r="H13" s="84" t="s">
        <v>923</v>
      </c>
      <c r="I13" s="934" t="s">
        <v>3507</v>
      </c>
      <c r="J13" s="84" t="s">
        <v>771</v>
      </c>
      <c r="K13" s="87">
        <v>327.2</v>
      </c>
    </row>
    <row r="14" spans="1:11" ht="14.6" x14ac:dyDescent="0.4">
      <c r="A14" s="84"/>
      <c r="B14" s="84"/>
      <c r="C14" s="84"/>
      <c r="D14" s="84"/>
      <c r="E14" s="84" t="s">
        <v>704</v>
      </c>
      <c r="F14" s="85">
        <v>44951</v>
      </c>
      <c r="G14" s="84" t="s">
        <v>1080</v>
      </c>
      <c r="H14" s="84" t="s">
        <v>1086</v>
      </c>
      <c r="I14" s="84" t="s">
        <v>1090</v>
      </c>
      <c r="J14" s="84" t="s">
        <v>771</v>
      </c>
      <c r="K14" s="87">
        <v>2878.8</v>
      </c>
    </row>
    <row r="15" spans="1:11" ht="14.6" x14ac:dyDescent="0.4">
      <c r="A15" s="84"/>
      <c r="B15" s="84"/>
      <c r="C15" s="84"/>
      <c r="D15" s="84"/>
      <c r="E15" s="84" t="s">
        <v>705</v>
      </c>
      <c r="F15" s="85">
        <v>44953</v>
      </c>
      <c r="G15" s="84" t="s">
        <v>2211</v>
      </c>
      <c r="H15" s="84" t="s">
        <v>927</v>
      </c>
      <c r="I15" s="84" t="s">
        <v>2248</v>
      </c>
      <c r="J15" s="84" t="s">
        <v>693</v>
      </c>
      <c r="K15" s="87">
        <v>-174.34</v>
      </c>
    </row>
    <row r="16" spans="1:11" ht="14.6" x14ac:dyDescent="0.4">
      <c r="A16" s="84"/>
      <c r="B16" s="84"/>
      <c r="C16" s="84"/>
      <c r="D16" s="84"/>
      <c r="E16" s="84" t="s">
        <v>634</v>
      </c>
      <c r="F16" s="85">
        <v>44958</v>
      </c>
      <c r="G16" s="84" t="s">
        <v>1081</v>
      </c>
      <c r="H16" s="84" t="s">
        <v>921</v>
      </c>
      <c r="I16" s="84" t="s">
        <v>928</v>
      </c>
      <c r="J16" s="84" t="s">
        <v>659</v>
      </c>
      <c r="K16" s="87">
        <v>5041.67</v>
      </c>
    </row>
    <row r="17" spans="1:11" ht="14.6" x14ac:dyDescent="0.4">
      <c r="A17" s="84"/>
      <c r="B17" s="84"/>
      <c r="C17" s="84"/>
      <c r="D17" s="84"/>
      <c r="E17" s="84" t="s">
        <v>634</v>
      </c>
      <c r="F17" s="85">
        <v>44959</v>
      </c>
      <c r="G17" s="84" t="s">
        <v>1082</v>
      </c>
      <c r="H17" s="84" t="s">
        <v>922</v>
      </c>
      <c r="I17" s="84" t="s">
        <v>929</v>
      </c>
      <c r="J17" s="84" t="s">
        <v>659</v>
      </c>
      <c r="K17" s="87">
        <v>328</v>
      </c>
    </row>
    <row r="18" spans="1:11" ht="14.6" x14ac:dyDescent="0.4">
      <c r="A18" s="84"/>
      <c r="B18" s="84"/>
      <c r="C18" s="84"/>
      <c r="D18" s="84"/>
      <c r="E18" s="84" t="s">
        <v>704</v>
      </c>
      <c r="F18" s="85">
        <v>44960</v>
      </c>
      <c r="G18" s="84" t="s">
        <v>2212</v>
      </c>
      <c r="H18" s="84" t="s">
        <v>924</v>
      </c>
      <c r="I18" s="84" t="s">
        <v>931</v>
      </c>
      <c r="J18" s="84" t="s">
        <v>771</v>
      </c>
      <c r="K18" s="87">
        <v>21.32</v>
      </c>
    </row>
    <row r="19" spans="1:11" ht="14.6" x14ac:dyDescent="0.4">
      <c r="A19" s="84"/>
      <c r="B19" s="84"/>
      <c r="C19" s="84"/>
      <c r="D19" s="84"/>
      <c r="E19" s="84" t="s">
        <v>704</v>
      </c>
      <c r="F19" s="85">
        <v>44963</v>
      </c>
      <c r="G19" s="84"/>
      <c r="H19" s="84" t="s">
        <v>925</v>
      </c>
      <c r="I19" s="84" t="s">
        <v>932</v>
      </c>
      <c r="J19" s="84" t="s">
        <v>771</v>
      </c>
      <c r="K19" s="87">
        <v>0</v>
      </c>
    </row>
    <row r="20" spans="1:11" ht="14.6" x14ac:dyDescent="0.4">
      <c r="A20" s="84"/>
      <c r="B20" s="84"/>
      <c r="C20" s="84"/>
      <c r="D20" s="84"/>
      <c r="E20" s="84" t="s">
        <v>704</v>
      </c>
      <c r="F20" s="85">
        <v>44966</v>
      </c>
      <c r="G20" s="84" t="s">
        <v>1073</v>
      </c>
      <c r="H20" s="84" t="s">
        <v>1075</v>
      </c>
      <c r="I20" s="84" t="s">
        <v>2249</v>
      </c>
      <c r="J20" s="84" t="s">
        <v>771</v>
      </c>
      <c r="K20" s="87">
        <v>78.13</v>
      </c>
    </row>
    <row r="21" spans="1:11" ht="14.6" x14ac:dyDescent="0.4">
      <c r="A21" s="84"/>
      <c r="B21" s="84"/>
      <c r="C21" s="84"/>
      <c r="D21" s="84"/>
      <c r="E21" s="84" t="s">
        <v>704</v>
      </c>
      <c r="F21" s="85">
        <v>44966</v>
      </c>
      <c r="G21" s="84" t="s">
        <v>1073</v>
      </c>
      <c r="H21" s="84" t="s">
        <v>1075</v>
      </c>
      <c r="I21" s="84" t="s">
        <v>2250</v>
      </c>
      <c r="J21" s="84" t="s">
        <v>771</v>
      </c>
      <c r="K21" s="87">
        <v>947</v>
      </c>
    </row>
    <row r="22" spans="1:11" ht="14.6" x14ac:dyDescent="0.4">
      <c r="A22" s="84"/>
      <c r="B22" s="84"/>
      <c r="C22" s="84"/>
      <c r="D22" s="84"/>
      <c r="E22" s="84" t="s">
        <v>634</v>
      </c>
      <c r="F22" s="85">
        <v>44966</v>
      </c>
      <c r="G22" s="84" t="s">
        <v>2213</v>
      </c>
      <c r="H22" s="84" t="s">
        <v>925</v>
      </c>
      <c r="I22" s="84" t="s">
        <v>2251</v>
      </c>
      <c r="J22" s="84" t="s">
        <v>659</v>
      </c>
      <c r="K22" s="87">
        <v>2559.2600000000002</v>
      </c>
    </row>
    <row r="23" spans="1:11" ht="14.6" x14ac:dyDescent="0.4">
      <c r="A23" s="84"/>
      <c r="B23" s="84"/>
      <c r="C23" s="84"/>
      <c r="D23" s="84"/>
      <c r="E23" s="84" t="s">
        <v>704</v>
      </c>
      <c r="F23" s="85">
        <v>44967</v>
      </c>
      <c r="G23" s="84" t="s">
        <v>1083</v>
      </c>
      <c r="H23" s="84" t="s">
        <v>1087</v>
      </c>
      <c r="I23" s="84" t="s">
        <v>1091</v>
      </c>
      <c r="J23" s="84" t="s">
        <v>771</v>
      </c>
      <c r="K23" s="87">
        <v>311.75</v>
      </c>
    </row>
    <row r="24" spans="1:11" ht="14.6" x14ac:dyDescent="0.4">
      <c r="A24" s="84"/>
      <c r="B24" s="84"/>
      <c r="C24" s="84"/>
      <c r="D24" s="84"/>
      <c r="E24" s="84" t="s">
        <v>688</v>
      </c>
      <c r="F24" s="85">
        <v>44967</v>
      </c>
      <c r="G24" s="84"/>
      <c r="H24" s="84" t="s">
        <v>927</v>
      </c>
      <c r="I24" s="84" t="s">
        <v>935</v>
      </c>
      <c r="J24" s="84" t="s">
        <v>693</v>
      </c>
      <c r="K24" s="87">
        <v>1360.59</v>
      </c>
    </row>
    <row r="25" spans="1:11" ht="14.6" x14ac:dyDescent="0.4">
      <c r="A25" s="84"/>
      <c r="B25" s="84"/>
      <c r="C25" s="84"/>
      <c r="D25" s="84"/>
      <c r="E25" s="84" t="s">
        <v>704</v>
      </c>
      <c r="F25" s="85">
        <v>44968</v>
      </c>
      <c r="G25" s="84" t="s">
        <v>1084</v>
      </c>
      <c r="H25" s="84" t="s">
        <v>1088</v>
      </c>
      <c r="I25" s="84" t="s">
        <v>1092</v>
      </c>
      <c r="J25" s="84" t="s">
        <v>771</v>
      </c>
      <c r="K25" s="87">
        <v>99.99</v>
      </c>
    </row>
    <row r="26" spans="1:11" ht="14.6" x14ac:dyDescent="0.4">
      <c r="A26" s="84"/>
      <c r="B26" s="84"/>
      <c r="C26" s="84"/>
      <c r="D26" s="84"/>
      <c r="E26" s="84" t="s">
        <v>2210</v>
      </c>
      <c r="F26" s="85">
        <v>44971</v>
      </c>
      <c r="G26" s="84" t="s">
        <v>2214</v>
      </c>
      <c r="H26" s="84" t="s">
        <v>1075</v>
      </c>
      <c r="I26" s="84" t="s">
        <v>2249</v>
      </c>
      <c r="J26" s="84" t="s">
        <v>771</v>
      </c>
      <c r="K26" s="87">
        <v>-78.13</v>
      </c>
    </row>
    <row r="27" spans="1:11" ht="14.6" x14ac:dyDescent="0.4">
      <c r="A27" s="84"/>
      <c r="B27" s="84"/>
      <c r="C27" s="84"/>
      <c r="D27" s="84"/>
      <c r="E27" s="84" t="s">
        <v>704</v>
      </c>
      <c r="F27" s="85">
        <v>44974</v>
      </c>
      <c r="G27" s="84" t="s">
        <v>1191</v>
      </c>
      <c r="H27" s="84" t="s">
        <v>1210</v>
      </c>
      <c r="I27" s="84" t="s">
        <v>2252</v>
      </c>
      <c r="J27" s="84" t="s">
        <v>771</v>
      </c>
      <c r="K27" s="87">
        <v>0</v>
      </c>
    </row>
    <row r="28" spans="1:11" ht="14.6" x14ac:dyDescent="0.4">
      <c r="A28" s="84"/>
      <c r="B28" s="84"/>
      <c r="C28" s="84"/>
      <c r="D28" s="84"/>
      <c r="E28" s="84" t="s">
        <v>704</v>
      </c>
      <c r="F28" s="85">
        <v>44976</v>
      </c>
      <c r="G28" s="84"/>
      <c r="H28" s="84" t="s">
        <v>923</v>
      </c>
      <c r="I28" s="934" t="s">
        <v>3507</v>
      </c>
      <c r="J28" s="84" t="s">
        <v>771</v>
      </c>
      <c r="K28" s="87">
        <v>327.2</v>
      </c>
    </row>
    <row r="29" spans="1:11" ht="14.6" x14ac:dyDescent="0.4">
      <c r="A29" s="84"/>
      <c r="B29" s="84"/>
      <c r="C29" s="84"/>
      <c r="D29" s="84"/>
      <c r="E29" s="84" t="s">
        <v>634</v>
      </c>
      <c r="F29" s="85">
        <v>44986</v>
      </c>
      <c r="G29" s="84" t="s">
        <v>2215</v>
      </c>
      <c r="H29" s="84" t="s">
        <v>921</v>
      </c>
      <c r="I29" s="84" t="s">
        <v>928</v>
      </c>
      <c r="J29" s="84" t="s">
        <v>659</v>
      </c>
      <c r="K29" s="87">
        <v>5041.67</v>
      </c>
    </row>
    <row r="30" spans="1:11" ht="14.6" x14ac:dyDescent="0.4">
      <c r="A30" s="84"/>
      <c r="B30" s="84"/>
      <c r="C30" s="84"/>
      <c r="D30" s="84"/>
      <c r="E30" s="84" t="s">
        <v>704</v>
      </c>
      <c r="F30" s="85">
        <v>44987</v>
      </c>
      <c r="G30" s="84" t="s">
        <v>2216</v>
      </c>
      <c r="H30" s="84" t="s">
        <v>2244</v>
      </c>
      <c r="I30" s="84" t="s">
        <v>2253</v>
      </c>
      <c r="J30" s="84" t="s">
        <v>771</v>
      </c>
      <c r="K30" s="87">
        <v>300</v>
      </c>
    </row>
    <row r="31" spans="1:11" ht="14.6" x14ac:dyDescent="0.4">
      <c r="A31" s="84"/>
      <c r="B31" s="84"/>
      <c r="C31" s="84"/>
      <c r="D31" s="84"/>
      <c r="E31" s="84" t="s">
        <v>2210</v>
      </c>
      <c r="F31" s="85">
        <v>44987</v>
      </c>
      <c r="G31" s="84" t="s">
        <v>2217</v>
      </c>
      <c r="H31" s="84" t="s">
        <v>924</v>
      </c>
      <c r="I31" s="84" t="s">
        <v>2254</v>
      </c>
      <c r="J31" s="84" t="s">
        <v>771</v>
      </c>
      <c r="K31" s="87">
        <v>-4.82</v>
      </c>
    </row>
    <row r="32" spans="1:11" ht="14.6" x14ac:dyDescent="0.4">
      <c r="A32" s="84"/>
      <c r="B32" s="84"/>
      <c r="C32" s="84"/>
      <c r="D32" s="84"/>
      <c r="E32" s="84" t="s">
        <v>704</v>
      </c>
      <c r="F32" s="85">
        <v>44992</v>
      </c>
      <c r="G32" s="84" t="s">
        <v>2218</v>
      </c>
      <c r="H32" s="84" t="s">
        <v>1210</v>
      </c>
      <c r="I32" s="84" t="s">
        <v>1915</v>
      </c>
      <c r="J32" s="84" t="s">
        <v>771</v>
      </c>
      <c r="K32" s="87">
        <v>0</v>
      </c>
    </row>
    <row r="33" spans="1:11" ht="14.6" x14ac:dyDescent="0.4">
      <c r="A33" s="84"/>
      <c r="B33" s="84"/>
      <c r="C33" s="84"/>
      <c r="D33" s="84"/>
      <c r="E33" s="84" t="s">
        <v>704</v>
      </c>
      <c r="F33" s="85">
        <v>44992</v>
      </c>
      <c r="G33" s="84" t="s">
        <v>2218</v>
      </c>
      <c r="H33" s="84" t="s">
        <v>1210</v>
      </c>
      <c r="I33" s="84" t="s">
        <v>2255</v>
      </c>
      <c r="J33" s="84" t="s">
        <v>771</v>
      </c>
      <c r="K33" s="87">
        <v>349.95</v>
      </c>
    </row>
    <row r="34" spans="1:11" ht="14.6" x14ac:dyDescent="0.4">
      <c r="A34" s="84"/>
      <c r="B34" s="84"/>
      <c r="C34" s="84"/>
      <c r="D34" s="84"/>
      <c r="E34" s="84" t="s">
        <v>704</v>
      </c>
      <c r="F34" s="85">
        <v>44992</v>
      </c>
      <c r="G34" s="84" t="s">
        <v>2218</v>
      </c>
      <c r="H34" s="84" t="s">
        <v>1210</v>
      </c>
      <c r="I34" s="84" t="s">
        <v>2256</v>
      </c>
      <c r="J34" s="84" t="s">
        <v>771</v>
      </c>
      <c r="K34" s="87">
        <v>-118.73</v>
      </c>
    </row>
    <row r="35" spans="1:11" ht="14.6" x14ac:dyDescent="0.4">
      <c r="A35" s="84"/>
      <c r="B35" s="84"/>
      <c r="C35" s="84"/>
      <c r="D35" s="84"/>
      <c r="E35" s="84" t="s">
        <v>634</v>
      </c>
      <c r="F35" s="85">
        <v>44994</v>
      </c>
      <c r="G35" s="84" t="s">
        <v>2219</v>
      </c>
      <c r="H35" s="84" t="s">
        <v>925</v>
      </c>
      <c r="I35" s="84" t="s">
        <v>2251</v>
      </c>
      <c r="J35" s="84" t="s">
        <v>659</v>
      </c>
      <c r="K35" s="87">
        <v>2559.2600000000002</v>
      </c>
    </row>
    <row r="36" spans="1:11" ht="14.6" x14ac:dyDescent="0.4">
      <c r="A36" s="84"/>
      <c r="B36" s="84"/>
      <c r="C36" s="84"/>
      <c r="D36" s="84"/>
      <c r="E36" s="84" t="s">
        <v>688</v>
      </c>
      <c r="F36" s="85">
        <v>44995</v>
      </c>
      <c r="G36" s="84"/>
      <c r="H36" s="84" t="s">
        <v>927</v>
      </c>
      <c r="I36" s="84" t="s">
        <v>935</v>
      </c>
      <c r="J36" s="84" t="s">
        <v>693</v>
      </c>
      <c r="K36" s="87">
        <v>1297.5999999999999</v>
      </c>
    </row>
    <row r="37" spans="1:11" ht="14.6" x14ac:dyDescent="0.4">
      <c r="A37" s="84"/>
      <c r="B37" s="84"/>
      <c r="C37" s="84"/>
      <c r="D37" s="84"/>
      <c r="E37" s="84" t="s">
        <v>704</v>
      </c>
      <c r="F37" s="85">
        <v>45004</v>
      </c>
      <c r="G37" s="84"/>
      <c r="H37" s="84" t="s">
        <v>923</v>
      </c>
      <c r="I37" s="934" t="s">
        <v>3507</v>
      </c>
      <c r="J37" s="84" t="s">
        <v>771</v>
      </c>
      <c r="K37" s="87">
        <v>327.2</v>
      </c>
    </row>
    <row r="38" spans="1:11" ht="14.6" x14ac:dyDescent="0.4">
      <c r="A38" s="84"/>
      <c r="B38" s="84"/>
      <c r="C38" s="84"/>
      <c r="D38" s="84"/>
      <c r="E38" s="84" t="s">
        <v>704</v>
      </c>
      <c r="F38" s="85">
        <v>45007</v>
      </c>
      <c r="G38" s="84" t="s">
        <v>2220</v>
      </c>
      <c r="H38" s="84" t="s">
        <v>1088</v>
      </c>
      <c r="I38" s="84" t="s">
        <v>1092</v>
      </c>
      <c r="J38" s="84" t="s">
        <v>771</v>
      </c>
      <c r="K38" s="87">
        <v>99.99</v>
      </c>
    </row>
    <row r="39" spans="1:11" ht="14.6" x14ac:dyDescent="0.4">
      <c r="A39" s="84"/>
      <c r="B39" s="84"/>
      <c r="C39" s="84"/>
      <c r="D39" s="84"/>
      <c r="E39" s="84" t="s">
        <v>704</v>
      </c>
      <c r="F39" s="85">
        <v>45011</v>
      </c>
      <c r="G39" s="84" t="s">
        <v>2221</v>
      </c>
      <c r="H39" s="84" t="s">
        <v>1088</v>
      </c>
      <c r="I39" s="84" t="s">
        <v>2257</v>
      </c>
      <c r="J39" s="84" t="s">
        <v>771</v>
      </c>
      <c r="K39" s="87">
        <v>899.98</v>
      </c>
    </row>
    <row r="40" spans="1:11" ht="14.6" x14ac:dyDescent="0.4">
      <c r="A40" s="84"/>
      <c r="B40" s="84"/>
      <c r="C40" s="84"/>
      <c r="D40" s="84"/>
      <c r="E40" s="84" t="s">
        <v>634</v>
      </c>
      <c r="F40" s="85">
        <v>45012</v>
      </c>
      <c r="G40" s="84" t="s">
        <v>2222</v>
      </c>
      <c r="H40" s="84" t="s">
        <v>922</v>
      </c>
      <c r="I40" s="84" t="s">
        <v>929</v>
      </c>
      <c r="J40" s="84" t="s">
        <v>659</v>
      </c>
      <c r="K40" s="87">
        <v>308</v>
      </c>
    </row>
    <row r="41" spans="1:11" ht="14.6" x14ac:dyDescent="0.4">
      <c r="A41" s="84"/>
      <c r="B41" s="84"/>
      <c r="C41" s="84"/>
      <c r="D41" s="84"/>
      <c r="E41" s="84" t="s">
        <v>634</v>
      </c>
      <c r="F41" s="85">
        <v>45014</v>
      </c>
      <c r="G41" s="84" t="s">
        <v>2223</v>
      </c>
      <c r="H41" s="84" t="s">
        <v>921</v>
      </c>
      <c r="I41" s="84" t="s">
        <v>928</v>
      </c>
      <c r="J41" s="84" t="s">
        <v>659</v>
      </c>
      <c r="K41" s="87">
        <v>5041.67</v>
      </c>
    </row>
    <row r="42" spans="1:11" ht="14.6" x14ac:dyDescent="0.4">
      <c r="A42" s="84"/>
      <c r="B42" s="84"/>
      <c r="C42" s="84"/>
      <c r="D42" s="84"/>
      <c r="E42" s="84" t="s">
        <v>688</v>
      </c>
      <c r="F42" s="85">
        <v>45022</v>
      </c>
      <c r="G42" s="84"/>
      <c r="H42" s="84" t="s">
        <v>927</v>
      </c>
      <c r="I42" s="84" t="s">
        <v>935</v>
      </c>
      <c r="J42" s="84" t="s">
        <v>693</v>
      </c>
      <c r="K42" s="87">
        <v>1388.8</v>
      </c>
    </row>
    <row r="43" spans="1:11" ht="14.6" x14ac:dyDescent="0.4">
      <c r="A43" s="84"/>
      <c r="B43" s="84"/>
      <c r="C43" s="84"/>
      <c r="D43" s="84"/>
      <c r="E43" s="84" t="s">
        <v>634</v>
      </c>
      <c r="F43" s="85">
        <v>45025</v>
      </c>
      <c r="G43" s="84" t="s">
        <v>2224</v>
      </c>
      <c r="H43" s="84" t="s">
        <v>925</v>
      </c>
      <c r="I43" s="84" t="s">
        <v>2251</v>
      </c>
      <c r="J43" s="84" t="s">
        <v>659</v>
      </c>
      <c r="K43" s="87">
        <v>2749.13</v>
      </c>
    </row>
    <row r="44" spans="1:11" ht="14.6" x14ac:dyDescent="0.4">
      <c r="A44" s="84"/>
      <c r="B44" s="84"/>
      <c r="C44" s="84"/>
      <c r="D44" s="84"/>
      <c r="E44" s="84" t="s">
        <v>634</v>
      </c>
      <c r="F44" s="85">
        <v>45028</v>
      </c>
      <c r="G44" s="84" t="s">
        <v>2225</v>
      </c>
      <c r="H44" s="84" t="s">
        <v>923</v>
      </c>
      <c r="I44" s="84" t="s">
        <v>930</v>
      </c>
      <c r="J44" s="84" t="s">
        <v>659</v>
      </c>
      <c r="K44" s="87">
        <v>871.23</v>
      </c>
    </row>
    <row r="45" spans="1:11" ht="14.6" x14ac:dyDescent="0.4">
      <c r="A45" s="84"/>
      <c r="B45" s="84"/>
      <c r="C45" s="84"/>
      <c r="D45" s="84"/>
      <c r="E45" s="84" t="s">
        <v>704</v>
      </c>
      <c r="F45" s="85">
        <v>45035</v>
      </c>
      <c r="G45" s="84"/>
      <c r="H45" s="84" t="s">
        <v>923</v>
      </c>
      <c r="I45" s="934" t="s">
        <v>3507</v>
      </c>
      <c r="J45" s="84" t="s">
        <v>771</v>
      </c>
      <c r="K45" s="87">
        <v>327.2</v>
      </c>
    </row>
    <row r="46" spans="1:11" ht="14.6" x14ac:dyDescent="0.4">
      <c r="A46" s="84"/>
      <c r="B46" s="84"/>
      <c r="C46" s="84"/>
      <c r="D46" s="84"/>
      <c r="E46" s="84" t="s">
        <v>634</v>
      </c>
      <c r="F46" s="85">
        <v>45041</v>
      </c>
      <c r="G46" s="84" t="s">
        <v>2226</v>
      </c>
      <c r="H46" s="84" t="s">
        <v>922</v>
      </c>
      <c r="I46" s="84" t="s">
        <v>929</v>
      </c>
      <c r="J46" s="84" t="s">
        <v>659</v>
      </c>
      <c r="K46" s="87">
        <v>320</v>
      </c>
    </row>
    <row r="47" spans="1:11" ht="14.6" x14ac:dyDescent="0.4">
      <c r="A47" s="84"/>
      <c r="B47" s="84"/>
      <c r="C47" s="84"/>
      <c r="D47" s="84"/>
      <c r="E47" s="84" t="s">
        <v>634</v>
      </c>
      <c r="F47" s="85">
        <v>45047</v>
      </c>
      <c r="G47" s="84" t="s">
        <v>2227</v>
      </c>
      <c r="H47" s="84" t="s">
        <v>921</v>
      </c>
      <c r="I47" s="84" t="s">
        <v>928</v>
      </c>
      <c r="J47" s="84" t="s">
        <v>659</v>
      </c>
      <c r="K47" s="87">
        <v>5041.67</v>
      </c>
    </row>
    <row r="48" spans="1:11" ht="14.6" x14ac:dyDescent="0.4">
      <c r="A48" s="84"/>
      <c r="B48" s="84"/>
      <c r="C48" s="84"/>
      <c r="D48" s="84"/>
      <c r="E48" s="84" t="s">
        <v>688</v>
      </c>
      <c r="F48" s="85">
        <v>45051</v>
      </c>
      <c r="G48" s="84"/>
      <c r="H48" s="84" t="s">
        <v>927</v>
      </c>
      <c r="I48" s="84" t="s">
        <v>935</v>
      </c>
      <c r="J48" s="84" t="s">
        <v>693</v>
      </c>
      <c r="K48" s="87">
        <v>1388.8</v>
      </c>
    </row>
    <row r="49" spans="1:11" ht="14.6" x14ac:dyDescent="0.4">
      <c r="A49" s="84"/>
      <c r="B49" s="84"/>
      <c r="C49" s="84"/>
      <c r="D49" s="84"/>
      <c r="E49" s="84" t="s">
        <v>634</v>
      </c>
      <c r="F49" s="85">
        <v>45055</v>
      </c>
      <c r="G49" s="84" t="s">
        <v>1842</v>
      </c>
      <c r="H49" s="84" t="s">
        <v>1885</v>
      </c>
      <c r="I49" s="84" t="s">
        <v>2258</v>
      </c>
      <c r="J49" s="84" t="s">
        <v>659</v>
      </c>
      <c r="K49" s="87">
        <v>911.58</v>
      </c>
    </row>
    <row r="50" spans="1:11" ht="14.6" x14ac:dyDescent="0.4">
      <c r="A50" s="84"/>
      <c r="B50" s="84"/>
      <c r="C50" s="84"/>
      <c r="D50" s="84"/>
      <c r="E50" s="84" t="s">
        <v>634</v>
      </c>
      <c r="F50" s="85">
        <v>45055</v>
      </c>
      <c r="G50" s="84" t="s">
        <v>2228</v>
      </c>
      <c r="H50" s="84" t="s">
        <v>925</v>
      </c>
      <c r="I50" s="84" t="s">
        <v>2251</v>
      </c>
      <c r="J50" s="84" t="s">
        <v>659</v>
      </c>
      <c r="K50" s="87">
        <v>2721.59</v>
      </c>
    </row>
    <row r="51" spans="1:11" ht="14.6" x14ac:dyDescent="0.4">
      <c r="A51" s="84"/>
      <c r="B51" s="84"/>
      <c r="C51" s="84"/>
      <c r="D51" s="84"/>
      <c r="E51" s="84" t="s">
        <v>704</v>
      </c>
      <c r="F51" s="85">
        <v>45060</v>
      </c>
      <c r="G51" s="84" t="s">
        <v>2229</v>
      </c>
      <c r="H51" s="84" t="s">
        <v>1088</v>
      </c>
      <c r="I51" s="84" t="s">
        <v>2259</v>
      </c>
      <c r="J51" s="84" t="s">
        <v>771</v>
      </c>
      <c r="K51" s="87">
        <v>649.97</v>
      </c>
    </row>
    <row r="52" spans="1:11" ht="14.6" x14ac:dyDescent="0.4">
      <c r="A52" s="84"/>
      <c r="B52" s="84"/>
      <c r="C52" s="84"/>
      <c r="D52" s="84"/>
      <c r="E52" s="84" t="s">
        <v>704</v>
      </c>
      <c r="F52" s="85">
        <v>45065</v>
      </c>
      <c r="G52" s="84"/>
      <c r="H52" s="84" t="s">
        <v>923</v>
      </c>
      <c r="I52" s="934" t="s">
        <v>3507</v>
      </c>
      <c r="J52" s="84" t="s">
        <v>771</v>
      </c>
      <c r="K52" s="87">
        <v>327.2</v>
      </c>
    </row>
    <row r="53" spans="1:11" ht="14.6" x14ac:dyDescent="0.4">
      <c r="A53" s="84"/>
      <c r="B53" s="84"/>
      <c r="C53" s="84"/>
      <c r="D53" s="84"/>
      <c r="E53" s="84" t="s">
        <v>634</v>
      </c>
      <c r="F53" s="85">
        <v>45065</v>
      </c>
      <c r="G53" s="84" t="s">
        <v>2230</v>
      </c>
      <c r="H53" s="84" t="s">
        <v>2245</v>
      </c>
      <c r="I53" s="84" t="s">
        <v>2260</v>
      </c>
      <c r="J53" s="84" t="s">
        <v>659</v>
      </c>
      <c r="K53" s="87">
        <v>1500</v>
      </c>
    </row>
    <row r="54" spans="1:11" ht="14.6" x14ac:dyDescent="0.4">
      <c r="A54" s="84"/>
      <c r="B54" s="84"/>
      <c r="C54" s="84"/>
      <c r="D54" s="84"/>
      <c r="E54" s="84" t="s">
        <v>634</v>
      </c>
      <c r="F54" s="85">
        <v>45075</v>
      </c>
      <c r="G54" s="84" t="s">
        <v>2231</v>
      </c>
      <c r="H54" s="84" t="s">
        <v>922</v>
      </c>
      <c r="I54" s="84" t="s">
        <v>929</v>
      </c>
      <c r="J54" s="84" t="s">
        <v>659</v>
      </c>
      <c r="K54" s="87">
        <v>328</v>
      </c>
    </row>
    <row r="55" spans="1:11" ht="14.6" x14ac:dyDescent="0.4">
      <c r="A55" s="84"/>
      <c r="B55" s="84"/>
      <c r="C55" s="84"/>
      <c r="D55" s="84"/>
      <c r="E55" s="84" t="s">
        <v>634</v>
      </c>
      <c r="F55" s="85">
        <v>45078</v>
      </c>
      <c r="G55" s="84" t="s">
        <v>2232</v>
      </c>
      <c r="H55" s="84" t="s">
        <v>921</v>
      </c>
      <c r="I55" s="84" t="s">
        <v>928</v>
      </c>
      <c r="J55" s="84" t="s">
        <v>659</v>
      </c>
      <c r="K55" s="87">
        <v>5041.67</v>
      </c>
    </row>
    <row r="56" spans="1:11" ht="14.6" x14ac:dyDescent="0.4">
      <c r="A56" s="84"/>
      <c r="B56" s="84"/>
      <c r="C56" s="84"/>
      <c r="D56" s="84"/>
      <c r="E56" s="84" t="s">
        <v>688</v>
      </c>
      <c r="F56" s="85">
        <v>45079</v>
      </c>
      <c r="G56" s="84"/>
      <c r="H56" s="84" t="s">
        <v>927</v>
      </c>
      <c r="I56" s="84" t="s">
        <v>935</v>
      </c>
      <c r="J56" s="84" t="s">
        <v>693</v>
      </c>
      <c r="K56" s="87">
        <v>1388.8</v>
      </c>
    </row>
    <row r="57" spans="1:11" ht="14.6" x14ac:dyDescent="0.4">
      <c r="A57" s="84"/>
      <c r="B57" s="84"/>
      <c r="C57" s="84"/>
      <c r="D57" s="84"/>
      <c r="E57" s="84" t="s">
        <v>704</v>
      </c>
      <c r="F57" s="85">
        <v>45080</v>
      </c>
      <c r="G57" s="84" t="s">
        <v>2233</v>
      </c>
      <c r="H57" s="84" t="s">
        <v>2246</v>
      </c>
      <c r="I57" s="84" t="s">
        <v>931</v>
      </c>
      <c r="J57" s="84" t="s">
        <v>771</v>
      </c>
      <c r="K57" s="87">
        <v>51.15</v>
      </c>
    </row>
    <row r="58" spans="1:11" ht="14.6" x14ac:dyDescent="0.4">
      <c r="A58" s="84"/>
      <c r="B58" s="84"/>
      <c r="C58" s="84"/>
      <c r="D58" s="84"/>
      <c r="E58" s="84" t="s">
        <v>704</v>
      </c>
      <c r="F58" s="85">
        <v>45080</v>
      </c>
      <c r="G58" s="84" t="s">
        <v>2234</v>
      </c>
      <c r="H58" s="84" t="s">
        <v>924</v>
      </c>
      <c r="I58" s="84" t="s">
        <v>931</v>
      </c>
      <c r="J58" s="84" t="s">
        <v>771</v>
      </c>
      <c r="K58" s="87">
        <v>12</v>
      </c>
    </row>
    <row r="59" spans="1:11" ht="14.6" x14ac:dyDescent="0.4">
      <c r="A59" s="84"/>
      <c r="B59" s="84"/>
      <c r="C59" s="84"/>
      <c r="D59" s="84"/>
      <c r="E59" s="84" t="s">
        <v>704</v>
      </c>
      <c r="F59" s="85">
        <v>45083</v>
      </c>
      <c r="G59" s="84" t="s">
        <v>2235</v>
      </c>
      <c r="H59" s="84" t="s">
        <v>647</v>
      </c>
      <c r="I59" s="84" t="s">
        <v>2261</v>
      </c>
      <c r="J59" s="84" t="s">
        <v>771</v>
      </c>
      <c r="K59" s="87">
        <v>75.56</v>
      </c>
    </row>
    <row r="60" spans="1:11" ht="14.6" x14ac:dyDescent="0.4">
      <c r="A60" s="84"/>
      <c r="B60" s="84"/>
      <c r="C60" s="84"/>
      <c r="D60" s="84"/>
      <c r="E60" s="84" t="s">
        <v>634</v>
      </c>
      <c r="F60" s="85">
        <v>45086</v>
      </c>
      <c r="G60" s="84" t="s">
        <v>2236</v>
      </c>
      <c r="H60" s="84" t="s">
        <v>925</v>
      </c>
      <c r="I60" s="84" t="s">
        <v>2251</v>
      </c>
      <c r="J60" s="84" t="s">
        <v>659</v>
      </c>
      <c r="K60" s="87">
        <v>2720.82</v>
      </c>
    </row>
    <row r="61" spans="1:11" ht="14.6" x14ac:dyDescent="0.4">
      <c r="A61" s="84"/>
      <c r="B61" s="84"/>
      <c r="C61" s="84"/>
      <c r="D61" s="84"/>
      <c r="E61" s="84" t="s">
        <v>704</v>
      </c>
      <c r="F61" s="85">
        <v>45096</v>
      </c>
      <c r="G61" s="84"/>
      <c r="H61" s="84" t="s">
        <v>923</v>
      </c>
      <c r="I61" s="934" t="s">
        <v>3507</v>
      </c>
      <c r="J61" s="84" t="s">
        <v>771</v>
      </c>
      <c r="K61" s="87">
        <v>327.2</v>
      </c>
    </row>
    <row r="62" spans="1:11" ht="14.6" x14ac:dyDescent="0.4">
      <c r="A62" s="84"/>
      <c r="B62" s="84"/>
      <c r="C62" s="84"/>
      <c r="D62" s="84"/>
      <c r="E62" s="84" t="s">
        <v>634</v>
      </c>
      <c r="F62" s="85">
        <v>45103</v>
      </c>
      <c r="G62" s="84" t="s">
        <v>2237</v>
      </c>
      <c r="H62" s="84" t="s">
        <v>922</v>
      </c>
      <c r="I62" s="84" t="s">
        <v>929</v>
      </c>
      <c r="J62" s="84" t="s">
        <v>659</v>
      </c>
      <c r="K62" s="87">
        <v>314</v>
      </c>
    </row>
    <row r="63" spans="1:11" ht="14.6" x14ac:dyDescent="0.4">
      <c r="A63" s="84"/>
      <c r="B63" s="84"/>
      <c r="C63" s="84"/>
      <c r="D63" s="84"/>
      <c r="E63" s="84" t="s">
        <v>634</v>
      </c>
      <c r="F63" s="85">
        <v>45107</v>
      </c>
      <c r="G63" s="84" t="s">
        <v>2238</v>
      </c>
      <c r="H63" s="84" t="s">
        <v>2247</v>
      </c>
      <c r="I63" s="84" t="s">
        <v>2262</v>
      </c>
      <c r="J63" s="84" t="s">
        <v>659</v>
      </c>
      <c r="K63" s="87">
        <v>4498.8</v>
      </c>
    </row>
    <row r="64" spans="1:11" ht="14.6" x14ac:dyDescent="0.4">
      <c r="A64" s="84"/>
      <c r="B64" s="84"/>
      <c r="C64" s="84"/>
      <c r="D64" s="84"/>
      <c r="E64" s="84" t="s">
        <v>634</v>
      </c>
      <c r="F64" s="85">
        <v>45108</v>
      </c>
      <c r="G64" s="84" t="s">
        <v>2239</v>
      </c>
      <c r="H64" s="84" t="s">
        <v>921</v>
      </c>
      <c r="I64" s="84" t="s">
        <v>928</v>
      </c>
      <c r="J64" s="84" t="s">
        <v>659</v>
      </c>
      <c r="K64" s="87">
        <v>5041.67</v>
      </c>
    </row>
    <row r="65" spans="1:11" ht="14.6" x14ac:dyDescent="0.4">
      <c r="A65" s="84"/>
      <c r="B65" s="84"/>
      <c r="C65" s="84"/>
      <c r="D65" s="84"/>
      <c r="E65" s="84" t="s">
        <v>634</v>
      </c>
      <c r="F65" s="85">
        <v>45116</v>
      </c>
      <c r="G65" s="84" t="s">
        <v>2240</v>
      </c>
      <c r="H65" s="84" t="s">
        <v>925</v>
      </c>
      <c r="I65" s="84" t="s">
        <v>2251</v>
      </c>
      <c r="J65" s="84" t="s">
        <v>659</v>
      </c>
      <c r="K65" s="87">
        <v>2720.82</v>
      </c>
    </row>
    <row r="66" spans="1:11" ht="14.6" x14ac:dyDescent="0.4">
      <c r="A66" s="84"/>
      <c r="B66" s="84"/>
      <c r="C66" s="84"/>
      <c r="D66" s="84"/>
      <c r="E66" s="84" t="s">
        <v>688</v>
      </c>
      <c r="F66" s="85">
        <v>45121</v>
      </c>
      <c r="G66" s="84"/>
      <c r="H66" s="84" t="s">
        <v>927</v>
      </c>
      <c r="I66" s="84" t="s">
        <v>935</v>
      </c>
      <c r="J66" s="84" t="s">
        <v>693</v>
      </c>
      <c r="K66" s="87">
        <v>1388.8</v>
      </c>
    </row>
    <row r="67" spans="1:11" ht="14.6" x14ac:dyDescent="0.4">
      <c r="A67" s="84"/>
      <c r="B67" s="84"/>
      <c r="C67" s="84"/>
      <c r="D67" s="84"/>
      <c r="E67" s="84" t="s">
        <v>704</v>
      </c>
      <c r="F67" s="85">
        <v>45125</v>
      </c>
      <c r="G67" s="84" t="s">
        <v>2330</v>
      </c>
      <c r="H67" s="84" t="s">
        <v>1088</v>
      </c>
      <c r="I67" s="84" t="s">
        <v>1092</v>
      </c>
      <c r="J67" s="84" t="s">
        <v>771</v>
      </c>
      <c r="K67" s="87">
        <v>99.99</v>
      </c>
    </row>
    <row r="68" spans="1:11" ht="14.6" x14ac:dyDescent="0.4">
      <c r="A68" s="84"/>
      <c r="B68" s="84"/>
      <c r="C68" s="84"/>
      <c r="D68" s="84"/>
      <c r="E68" s="84" t="s">
        <v>704</v>
      </c>
      <c r="F68" s="85">
        <v>45126</v>
      </c>
      <c r="G68" s="84"/>
      <c r="H68" s="84" t="s">
        <v>923</v>
      </c>
      <c r="I68" s="934" t="s">
        <v>3507</v>
      </c>
      <c r="J68" s="84" t="s">
        <v>771</v>
      </c>
      <c r="K68" s="87">
        <v>327.2</v>
      </c>
    </row>
    <row r="69" spans="1:11" ht="14.6" x14ac:dyDescent="0.4">
      <c r="A69" s="84"/>
      <c r="B69" s="84"/>
      <c r="C69" s="84"/>
      <c r="D69" s="84"/>
      <c r="E69" s="84" t="s">
        <v>634</v>
      </c>
      <c r="F69" s="85">
        <v>45132</v>
      </c>
      <c r="G69" s="84" t="s">
        <v>2241</v>
      </c>
      <c r="H69" s="84" t="s">
        <v>922</v>
      </c>
      <c r="I69" s="84" t="s">
        <v>929</v>
      </c>
      <c r="J69" s="84" t="s">
        <v>659</v>
      </c>
      <c r="K69" s="87">
        <v>316</v>
      </c>
    </row>
    <row r="70" spans="1:11" ht="14.6" x14ac:dyDescent="0.4">
      <c r="A70" s="84"/>
      <c r="B70" s="84"/>
      <c r="C70" s="84"/>
      <c r="D70" s="84"/>
      <c r="E70" s="84" t="s">
        <v>634</v>
      </c>
      <c r="F70" s="85">
        <v>45132</v>
      </c>
      <c r="G70" s="84" t="s">
        <v>2242</v>
      </c>
      <c r="H70" s="84" t="s">
        <v>923</v>
      </c>
      <c r="I70" s="84" t="s">
        <v>2263</v>
      </c>
      <c r="J70" s="84" t="s">
        <v>659</v>
      </c>
      <c r="K70" s="87">
        <v>172</v>
      </c>
    </row>
    <row r="71" spans="1:11" ht="14.6" x14ac:dyDescent="0.4">
      <c r="A71" s="84"/>
      <c r="B71" s="84"/>
      <c r="C71" s="84"/>
      <c r="D71" s="84"/>
      <c r="E71" s="84" t="s">
        <v>634</v>
      </c>
      <c r="F71" s="85">
        <v>45139</v>
      </c>
      <c r="G71" s="84" t="s">
        <v>2243</v>
      </c>
      <c r="H71" s="84" t="s">
        <v>921</v>
      </c>
      <c r="I71" s="84" t="s">
        <v>928</v>
      </c>
      <c r="J71" s="84" t="s">
        <v>659</v>
      </c>
      <c r="K71" s="87">
        <v>5041.67</v>
      </c>
    </row>
    <row r="72" spans="1:11" ht="14.6" x14ac:dyDescent="0.4">
      <c r="A72" s="84"/>
      <c r="B72" s="84"/>
      <c r="C72" s="84"/>
      <c r="D72" s="84"/>
      <c r="E72" s="84" t="s">
        <v>634</v>
      </c>
      <c r="F72" s="85">
        <v>45147</v>
      </c>
      <c r="G72" s="84" t="s">
        <v>2331</v>
      </c>
      <c r="H72" s="84" t="s">
        <v>925</v>
      </c>
      <c r="I72" s="84" t="s">
        <v>2251</v>
      </c>
      <c r="J72" s="84" t="s">
        <v>659</v>
      </c>
      <c r="K72" s="87">
        <v>2720.82</v>
      </c>
    </row>
    <row r="73" spans="1:11" ht="14.6" x14ac:dyDescent="0.4">
      <c r="A73" s="84"/>
      <c r="B73" s="84"/>
      <c r="C73" s="84"/>
      <c r="D73" s="84"/>
      <c r="E73" s="84" t="s">
        <v>688</v>
      </c>
      <c r="F73" s="85">
        <v>45149</v>
      </c>
      <c r="G73" s="84"/>
      <c r="H73" s="84" t="s">
        <v>927</v>
      </c>
      <c r="I73" s="84" t="s">
        <v>935</v>
      </c>
      <c r="J73" s="84" t="s">
        <v>693</v>
      </c>
      <c r="K73" s="87">
        <v>1388.8</v>
      </c>
    </row>
    <row r="74" spans="1:11" ht="14.6" x14ac:dyDescent="0.4">
      <c r="A74" s="84"/>
      <c r="B74" s="84"/>
      <c r="C74" s="84"/>
      <c r="D74" s="84"/>
      <c r="E74" s="84" t="s">
        <v>704</v>
      </c>
      <c r="F74" s="85">
        <v>45157</v>
      </c>
      <c r="G74" s="84"/>
      <c r="H74" s="84" t="s">
        <v>923</v>
      </c>
      <c r="I74" s="934" t="s">
        <v>3507</v>
      </c>
      <c r="J74" s="84" t="s">
        <v>771</v>
      </c>
      <c r="K74" s="87">
        <v>327.2</v>
      </c>
    </row>
    <row r="75" spans="1:11" ht="14.6" x14ac:dyDescent="0.4">
      <c r="A75" s="84"/>
      <c r="B75" s="84"/>
      <c r="C75" s="84"/>
      <c r="D75" s="84"/>
      <c r="E75" s="84" t="s">
        <v>634</v>
      </c>
      <c r="F75" s="85">
        <v>45161</v>
      </c>
      <c r="G75" s="84" t="s">
        <v>2332</v>
      </c>
      <c r="H75" s="84" t="s">
        <v>923</v>
      </c>
      <c r="I75" s="84" t="s">
        <v>2354</v>
      </c>
      <c r="J75" s="84" t="s">
        <v>659</v>
      </c>
      <c r="K75" s="87">
        <v>323.57</v>
      </c>
    </row>
    <row r="76" spans="1:11" ht="14.6" x14ac:dyDescent="0.4">
      <c r="A76" s="84"/>
      <c r="B76" s="84"/>
      <c r="C76" s="84"/>
      <c r="D76" s="84"/>
      <c r="E76" s="84" t="s">
        <v>634</v>
      </c>
      <c r="F76" s="85">
        <v>45163</v>
      </c>
      <c r="G76" s="84" t="s">
        <v>2333</v>
      </c>
      <c r="H76" s="84" t="s">
        <v>922</v>
      </c>
      <c r="I76" s="84" t="s">
        <v>929</v>
      </c>
      <c r="J76" s="84" t="s">
        <v>659</v>
      </c>
      <c r="K76" s="87">
        <v>316</v>
      </c>
    </row>
    <row r="77" spans="1:11" ht="14.6" x14ac:dyDescent="0.4">
      <c r="A77" s="84"/>
      <c r="B77" s="84"/>
      <c r="C77" s="84"/>
      <c r="D77" s="84"/>
      <c r="E77" s="84" t="s">
        <v>634</v>
      </c>
      <c r="F77" s="85">
        <v>45170</v>
      </c>
      <c r="G77" s="84" t="s">
        <v>2334</v>
      </c>
      <c r="H77" s="84" t="s">
        <v>921</v>
      </c>
      <c r="I77" s="84" t="s">
        <v>928</v>
      </c>
      <c r="J77" s="84" t="s">
        <v>659</v>
      </c>
      <c r="K77" s="87">
        <v>5041.67</v>
      </c>
    </row>
    <row r="78" spans="1:11" ht="14.6" x14ac:dyDescent="0.4">
      <c r="A78" s="84"/>
      <c r="B78" s="84"/>
      <c r="C78" s="84"/>
      <c r="D78" s="84"/>
      <c r="E78" s="84" t="s">
        <v>688</v>
      </c>
      <c r="F78" s="85">
        <v>45177</v>
      </c>
      <c r="G78" s="84"/>
      <c r="H78" s="84" t="s">
        <v>927</v>
      </c>
      <c r="I78" s="84" t="s">
        <v>935</v>
      </c>
      <c r="J78" s="84" t="s">
        <v>693</v>
      </c>
      <c r="K78" s="87">
        <v>1388.8</v>
      </c>
    </row>
    <row r="79" spans="1:11" ht="14.6" x14ac:dyDescent="0.4">
      <c r="A79" s="84"/>
      <c r="B79" s="84"/>
      <c r="C79" s="84"/>
      <c r="D79" s="84"/>
      <c r="E79" s="84" t="s">
        <v>634</v>
      </c>
      <c r="F79" s="85">
        <v>45177</v>
      </c>
      <c r="G79" s="84" t="s">
        <v>2335</v>
      </c>
      <c r="H79" s="84" t="s">
        <v>925</v>
      </c>
      <c r="I79" s="84" t="s">
        <v>2251</v>
      </c>
      <c r="J79" s="84" t="s">
        <v>659</v>
      </c>
      <c r="K79" s="87">
        <v>2628.5</v>
      </c>
    </row>
    <row r="80" spans="1:11" ht="14.6" x14ac:dyDescent="0.4">
      <c r="A80" s="84"/>
      <c r="B80" s="84"/>
      <c r="C80" s="84"/>
      <c r="D80" s="84"/>
      <c r="E80" s="84" t="s">
        <v>704</v>
      </c>
      <c r="F80" s="85">
        <v>45181</v>
      </c>
      <c r="G80" s="84" t="s">
        <v>2336</v>
      </c>
      <c r="H80" s="84" t="s">
        <v>2353</v>
      </c>
      <c r="I80" s="84" t="s">
        <v>1091</v>
      </c>
      <c r="J80" s="84" t="s">
        <v>771</v>
      </c>
      <c r="K80" s="87">
        <v>60.3</v>
      </c>
    </row>
    <row r="81" spans="1:12" ht="14.6" x14ac:dyDescent="0.4">
      <c r="A81" s="84"/>
      <c r="B81" s="84"/>
      <c r="C81" s="84"/>
      <c r="D81" s="84"/>
      <c r="E81" s="84" t="s">
        <v>704</v>
      </c>
      <c r="F81" s="85">
        <v>45188</v>
      </c>
      <c r="G81" s="84"/>
      <c r="H81" s="84" t="s">
        <v>923</v>
      </c>
      <c r="I81" s="934" t="s">
        <v>3507</v>
      </c>
      <c r="J81" s="84" t="s">
        <v>771</v>
      </c>
      <c r="K81" s="87">
        <v>327.2</v>
      </c>
    </row>
    <row r="82" spans="1:12" ht="14.6" x14ac:dyDescent="0.4">
      <c r="A82" s="84"/>
      <c r="B82" s="84"/>
      <c r="C82" s="84"/>
      <c r="D82" s="84"/>
      <c r="E82" s="84" t="s">
        <v>634</v>
      </c>
      <c r="F82" s="85">
        <v>45194</v>
      </c>
      <c r="G82" s="84" t="s">
        <v>2337</v>
      </c>
      <c r="H82" s="84" t="s">
        <v>922</v>
      </c>
      <c r="I82" s="84" t="s">
        <v>929</v>
      </c>
      <c r="J82" s="84" t="s">
        <v>659</v>
      </c>
      <c r="K82" s="87">
        <v>302</v>
      </c>
    </row>
    <row r="83" spans="1:12" ht="14.6" x14ac:dyDescent="0.4">
      <c r="A83" s="84"/>
      <c r="B83" s="84"/>
      <c r="C83" s="84"/>
      <c r="D83" s="84"/>
      <c r="E83" s="84" t="s">
        <v>704</v>
      </c>
      <c r="F83" s="85">
        <v>45194</v>
      </c>
      <c r="G83" s="84" t="s">
        <v>2338</v>
      </c>
      <c r="H83" s="84" t="s">
        <v>1088</v>
      </c>
      <c r="I83" s="84" t="s">
        <v>2355</v>
      </c>
      <c r="J83" s="84" t="s">
        <v>771</v>
      </c>
      <c r="K83" s="87">
        <v>449.99</v>
      </c>
    </row>
    <row r="84" spans="1:12" ht="14.6" x14ac:dyDescent="0.4">
      <c r="A84" s="84"/>
      <c r="B84" s="84"/>
      <c r="C84" s="84"/>
      <c r="D84" s="84"/>
      <c r="E84" s="84" t="s">
        <v>634</v>
      </c>
      <c r="F84" s="85">
        <v>45200</v>
      </c>
      <c r="G84" s="84" t="s">
        <v>2339</v>
      </c>
      <c r="H84" s="84" t="s">
        <v>921</v>
      </c>
      <c r="I84" s="84" t="s">
        <v>928</v>
      </c>
      <c r="J84" s="84" t="s">
        <v>659</v>
      </c>
      <c r="K84" s="87">
        <v>5041.67</v>
      </c>
    </row>
    <row r="85" spans="1:12" ht="14.6" x14ac:dyDescent="0.4">
      <c r="A85" s="84"/>
      <c r="B85" s="84"/>
      <c r="C85" s="84"/>
      <c r="D85" s="84"/>
      <c r="E85" s="84" t="s">
        <v>704</v>
      </c>
      <c r="F85" s="85">
        <v>45202</v>
      </c>
      <c r="G85" s="84" t="s">
        <v>2340</v>
      </c>
      <c r="H85" s="84" t="s">
        <v>647</v>
      </c>
      <c r="I85" s="84" t="s">
        <v>931</v>
      </c>
      <c r="J85" s="84" t="s">
        <v>771</v>
      </c>
      <c r="K85" s="87">
        <v>99</v>
      </c>
    </row>
    <row r="86" spans="1:12" ht="14.6" x14ac:dyDescent="0.4">
      <c r="A86" s="84"/>
      <c r="B86" s="84"/>
      <c r="C86" s="84"/>
      <c r="D86" s="84"/>
      <c r="E86" s="84" t="s">
        <v>688</v>
      </c>
      <c r="F86" s="85">
        <v>45205</v>
      </c>
      <c r="G86" s="84"/>
      <c r="H86" s="84" t="s">
        <v>927</v>
      </c>
      <c r="I86" s="84" t="s">
        <v>935</v>
      </c>
      <c r="J86" s="84" t="s">
        <v>693</v>
      </c>
      <c r="K86" s="87">
        <v>1371.44</v>
      </c>
    </row>
    <row r="87" spans="1:12" ht="14.6" x14ac:dyDescent="0.4">
      <c r="A87" s="84"/>
      <c r="B87" s="84"/>
      <c r="C87" s="84"/>
      <c r="D87" s="84"/>
      <c r="E87" s="84" t="s">
        <v>634</v>
      </c>
      <c r="F87" s="85">
        <v>45208</v>
      </c>
      <c r="G87" s="84" t="s">
        <v>2341</v>
      </c>
      <c r="H87" s="84" t="s">
        <v>925</v>
      </c>
      <c r="I87" s="84" t="s">
        <v>2251</v>
      </c>
      <c r="J87" s="84" t="s">
        <v>659</v>
      </c>
      <c r="K87" s="87">
        <v>2628.5</v>
      </c>
    </row>
    <row r="88" spans="1:12" ht="14.6" x14ac:dyDescent="0.4">
      <c r="A88" s="84"/>
      <c r="B88" s="84"/>
      <c r="C88" s="84"/>
      <c r="D88" s="84"/>
      <c r="E88" s="84" t="s">
        <v>704</v>
      </c>
      <c r="F88" s="85">
        <v>45209</v>
      </c>
      <c r="G88" s="84" t="s">
        <v>2342</v>
      </c>
      <c r="H88" s="84" t="s">
        <v>1088</v>
      </c>
      <c r="I88" s="84" t="s">
        <v>2356</v>
      </c>
      <c r="J88" s="84" t="s">
        <v>771</v>
      </c>
      <c r="K88" s="87">
        <v>199.98</v>
      </c>
    </row>
    <row r="89" spans="1:12" ht="14.6" x14ac:dyDescent="0.4">
      <c r="A89" s="84"/>
      <c r="B89" s="84"/>
      <c r="C89" s="84"/>
      <c r="D89" s="84"/>
      <c r="E89" s="84" t="s">
        <v>634</v>
      </c>
      <c r="F89" s="85">
        <v>45211</v>
      </c>
      <c r="G89" s="84" t="s">
        <v>2343</v>
      </c>
      <c r="H89" s="84" t="s">
        <v>921</v>
      </c>
      <c r="I89" s="84" t="s">
        <v>2357</v>
      </c>
      <c r="J89" s="84" t="s">
        <v>659</v>
      </c>
      <c r="L89" s="87">
        <v>15000</v>
      </c>
    </row>
    <row r="90" spans="1:12" ht="14.6" x14ac:dyDescent="0.4">
      <c r="A90" s="84"/>
      <c r="B90" s="84"/>
      <c r="C90" s="84"/>
      <c r="D90" s="84"/>
      <c r="E90" s="84" t="s">
        <v>704</v>
      </c>
      <c r="F90" s="85">
        <v>45218</v>
      </c>
      <c r="G90" s="84"/>
      <c r="H90" s="84" t="s">
        <v>923</v>
      </c>
      <c r="I90" s="934" t="s">
        <v>3507</v>
      </c>
      <c r="J90" s="84" t="s">
        <v>771</v>
      </c>
      <c r="K90" s="87">
        <v>327.2</v>
      </c>
    </row>
    <row r="91" spans="1:12" ht="14.6" x14ac:dyDescent="0.4">
      <c r="A91" s="84"/>
      <c r="B91" s="84"/>
      <c r="C91" s="84"/>
      <c r="D91" s="84"/>
      <c r="E91" s="84" t="s">
        <v>634</v>
      </c>
      <c r="F91" s="85">
        <v>45224</v>
      </c>
      <c r="G91" s="84" t="s">
        <v>2344</v>
      </c>
      <c r="H91" s="84" t="s">
        <v>922</v>
      </c>
      <c r="I91" s="84" t="s">
        <v>929</v>
      </c>
      <c r="J91" s="84" t="s">
        <v>659</v>
      </c>
      <c r="K91" s="87">
        <v>308</v>
      </c>
    </row>
    <row r="92" spans="1:12" ht="14.6" x14ac:dyDescent="0.4">
      <c r="A92" s="84"/>
      <c r="B92" s="84"/>
      <c r="C92" s="84"/>
      <c r="D92" s="84"/>
      <c r="E92" s="84" t="s">
        <v>634</v>
      </c>
      <c r="F92" s="85">
        <v>45230</v>
      </c>
      <c r="G92" s="84" t="s">
        <v>2345</v>
      </c>
      <c r="H92" s="84" t="s">
        <v>923</v>
      </c>
      <c r="I92" s="84" t="s">
        <v>2354</v>
      </c>
      <c r="J92" s="84" t="s">
        <v>659</v>
      </c>
      <c r="K92" s="87">
        <v>301.68</v>
      </c>
    </row>
    <row r="93" spans="1:12" ht="14.6" x14ac:dyDescent="0.4">
      <c r="A93" s="84"/>
      <c r="B93" s="84"/>
      <c r="C93" s="84"/>
      <c r="D93" s="84"/>
      <c r="E93" s="84" t="s">
        <v>634</v>
      </c>
      <c r="F93" s="85">
        <v>45231</v>
      </c>
      <c r="G93" s="84" t="s">
        <v>2346</v>
      </c>
      <c r="H93" s="84" t="s">
        <v>921</v>
      </c>
      <c r="I93" s="84" t="s">
        <v>928</v>
      </c>
      <c r="J93" s="84" t="s">
        <v>659</v>
      </c>
      <c r="K93" s="87">
        <v>5041.67</v>
      </c>
    </row>
    <row r="94" spans="1:12" ht="14.6" x14ac:dyDescent="0.4">
      <c r="A94" s="84"/>
      <c r="B94" s="84"/>
      <c r="C94" s="84"/>
      <c r="D94" s="84"/>
      <c r="E94" s="84" t="s">
        <v>634</v>
      </c>
      <c r="F94" s="85">
        <v>45233</v>
      </c>
      <c r="G94" s="84" t="s">
        <v>2347</v>
      </c>
      <c r="H94" s="84" t="s">
        <v>925</v>
      </c>
      <c r="I94" s="84" t="s">
        <v>2358</v>
      </c>
      <c r="J94" s="84" t="s">
        <v>659</v>
      </c>
      <c r="K94" s="87">
        <v>7320</v>
      </c>
    </row>
    <row r="95" spans="1:12" ht="14.6" x14ac:dyDescent="0.4">
      <c r="A95" s="84"/>
      <c r="B95" s="84"/>
      <c r="C95" s="84"/>
      <c r="D95" s="84"/>
      <c r="E95" s="84" t="s">
        <v>688</v>
      </c>
      <c r="F95" s="85">
        <v>45233</v>
      </c>
      <c r="G95" s="84"/>
      <c r="H95" s="84" t="s">
        <v>927</v>
      </c>
      <c r="I95" s="84" t="s">
        <v>935</v>
      </c>
      <c r="J95" s="84" t="s">
        <v>693</v>
      </c>
      <c r="K95" s="87">
        <v>1371.44</v>
      </c>
    </row>
    <row r="96" spans="1:12" ht="14.6" x14ac:dyDescent="0.4">
      <c r="A96" s="84"/>
      <c r="B96" s="84"/>
      <c r="C96" s="84"/>
      <c r="D96" s="84"/>
      <c r="E96" s="84" t="s">
        <v>634</v>
      </c>
      <c r="F96" s="85">
        <v>45239</v>
      </c>
      <c r="G96" s="84" t="s">
        <v>2348</v>
      </c>
      <c r="H96" s="84" t="s">
        <v>925</v>
      </c>
      <c r="I96" s="84" t="s">
        <v>2251</v>
      </c>
      <c r="J96" s="84" t="s">
        <v>659</v>
      </c>
      <c r="K96" s="87">
        <v>3244.86</v>
      </c>
    </row>
    <row r="97" spans="1:11" ht="14.6" x14ac:dyDescent="0.4">
      <c r="A97" s="84"/>
      <c r="B97" s="84"/>
      <c r="C97" s="84"/>
      <c r="D97" s="84"/>
      <c r="E97" s="84" t="s">
        <v>704</v>
      </c>
      <c r="F97" s="85">
        <v>45249</v>
      </c>
      <c r="G97" s="84"/>
      <c r="H97" s="84" t="s">
        <v>923</v>
      </c>
      <c r="I97" s="934" t="s">
        <v>3507</v>
      </c>
      <c r="J97" s="84" t="s">
        <v>771</v>
      </c>
      <c r="K97" s="87">
        <v>327.2</v>
      </c>
    </row>
    <row r="98" spans="1:11" ht="14.6" x14ac:dyDescent="0.4">
      <c r="A98" s="84"/>
      <c r="B98" s="84"/>
      <c r="C98" s="84"/>
      <c r="D98" s="84"/>
      <c r="E98" s="84" t="s">
        <v>634</v>
      </c>
      <c r="F98" s="85">
        <v>45257</v>
      </c>
      <c r="G98" s="84" t="s">
        <v>2349</v>
      </c>
      <c r="H98" s="84" t="s">
        <v>922</v>
      </c>
      <c r="I98" s="84" t="s">
        <v>929</v>
      </c>
      <c r="J98" s="84" t="s">
        <v>659</v>
      </c>
      <c r="K98" s="87">
        <v>310</v>
      </c>
    </row>
    <row r="99" spans="1:11" ht="14.6" x14ac:dyDescent="0.4">
      <c r="A99" s="84"/>
      <c r="B99" s="84"/>
      <c r="C99" s="84"/>
      <c r="D99" s="84"/>
      <c r="E99" s="84" t="s">
        <v>704</v>
      </c>
      <c r="F99" s="85">
        <v>45260</v>
      </c>
      <c r="G99" s="84" t="s">
        <v>3476</v>
      </c>
      <c r="H99" s="84" t="s">
        <v>3477</v>
      </c>
      <c r="I99" s="84" t="s">
        <v>3478</v>
      </c>
      <c r="J99" s="84" t="s">
        <v>771</v>
      </c>
      <c r="K99" s="87">
        <v>114.75</v>
      </c>
    </row>
    <row r="100" spans="1:11" ht="14.6" x14ac:dyDescent="0.4">
      <c r="A100" s="84"/>
      <c r="B100" s="84"/>
      <c r="C100" s="84"/>
      <c r="D100" s="84"/>
      <c r="E100" s="84" t="s">
        <v>634</v>
      </c>
      <c r="F100" s="85">
        <v>45261</v>
      </c>
      <c r="G100" s="84" t="s">
        <v>2350</v>
      </c>
      <c r="H100" s="84" t="s">
        <v>921</v>
      </c>
      <c r="I100" s="84" t="s">
        <v>928</v>
      </c>
      <c r="J100" s="84" t="s">
        <v>659</v>
      </c>
      <c r="K100" s="87">
        <v>5041.67</v>
      </c>
    </row>
    <row r="101" spans="1:11" ht="14.6" x14ac:dyDescent="0.4">
      <c r="A101" s="84"/>
      <c r="B101" s="84"/>
      <c r="C101" s="84"/>
      <c r="D101" s="84"/>
      <c r="E101" s="84" t="s">
        <v>688</v>
      </c>
      <c r="F101" s="85">
        <v>45261</v>
      </c>
      <c r="G101" s="84"/>
      <c r="H101" s="84" t="s">
        <v>927</v>
      </c>
      <c r="I101" s="84" t="s">
        <v>935</v>
      </c>
      <c r="J101" s="84" t="s">
        <v>693</v>
      </c>
      <c r="K101" s="87">
        <v>1460.88</v>
      </c>
    </row>
    <row r="102" spans="1:11" ht="14.6" x14ac:dyDescent="0.4">
      <c r="A102" s="84"/>
      <c r="B102" s="84"/>
      <c r="C102" s="84"/>
      <c r="D102" s="84"/>
      <c r="E102" s="84" t="s">
        <v>634</v>
      </c>
      <c r="F102" s="85">
        <v>45269</v>
      </c>
      <c r="G102" s="84" t="s">
        <v>2351</v>
      </c>
      <c r="H102" s="84" t="s">
        <v>925</v>
      </c>
      <c r="I102" s="84" t="s">
        <v>2251</v>
      </c>
      <c r="J102" s="84" t="s">
        <v>659</v>
      </c>
      <c r="K102" s="87">
        <v>3109.12</v>
      </c>
    </row>
    <row r="103" spans="1:11" ht="14.6" x14ac:dyDescent="0.4">
      <c r="A103" s="84"/>
      <c r="B103" s="84"/>
      <c r="C103" s="84"/>
      <c r="D103" s="84"/>
      <c r="E103" s="84" t="s">
        <v>704</v>
      </c>
      <c r="F103" s="85">
        <v>45279</v>
      </c>
      <c r="G103" s="84"/>
      <c r="H103" s="84" t="s">
        <v>923</v>
      </c>
      <c r="I103" s="934" t="s">
        <v>3507</v>
      </c>
      <c r="J103" s="84" t="s">
        <v>771</v>
      </c>
      <c r="K103" s="87">
        <v>327.2</v>
      </c>
    </row>
    <row r="104" spans="1:11" thickBot="1" x14ac:dyDescent="0.45">
      <c r="A104" s="84"/>
      <c r="B104" s="84"/>
      <c r="C104" s="84"/>
      <c r="D104" s="84"/>
      <c r="E104" s="84" t="s">
        <v>634</v>
      </c>
      <c r="F104" s="85">
        <v>45286</v>
      </c>
      <c r="G104" s="84" t="s">
        <v>2352</v>
      </c>
      <c r="H104" s="84" t="s">
        <v>922</v>
      </c>
      <c r="I104" s="84" t="s">
        <v>929</v>
      </c>
      <c r="J104" s="84" t="s">
        <v>659</v>
      </c>
      <c r="K104" s="413">
        <v>296</v>
      </c>
    </row>
    <row r="105" spans="1:11" thickBot="1" x14ac:dyDescent="0.45">
      <c r="A105" s="84"/>
      <c r="B105" s="84"/>
      <c r="C105" s="84" t="s">
        <v>914</v>
      </c>
      <c r="D105" s="84"/>
      <c r="E105" s="84"/>
      <c r="F105" s="85"/>
      <c r="G105" s="84"/>
      <c r="H105" s="84"/>
      <c r="I105" s="84"/>
      <c r="J105" s="84"/>
      <c r="K105" s="414">
        <f>ROUND(SUM(K3:K104),5)</f>
        <v>184243.92</v>
      </c>
    </row>
    <row r="106" spans="1:11" thickBot="1" x14ac:dyDescent="0.45">
      <c r="A106" s="84"/>
      <c r="B106" s="84" t="s">
        <v>703</v>
      </c>
      <c r="C106" s="84"/>
      <c r="D106" s="84"/>
      <c r="E106" s="84"/>
      <c r="F106" s="85"/>
      <c r="G106" s="84"/>
      <c r="H106" s="84"/>
      <c r="I106" s="84"/>
      <c r="J106" s="84"/>
      <c r="K106" s="414">
        <f>K105</f>
        <v>184243.92</v>
      </c>
    </row>
    <row r="107" spans="1:11" ht="15" customHeight="1" thickBot="1" x14ac:dyDescent="0.45">
      <c r="A107" s="84" t="s">
        <v>158</v>
      </c>
      <c r="B107" s="84"/>
      <c r="C107" s="84"/>
      <c r="D107" s="84"/>
      <c r="E107" s="84"/>
      <c r="F107" s="85"/>
      <c r="G107" s="84"/>
      <c r="H107" s="84"/>
      <c r="I107" s="84"/>
      <c r="J107" s="84"/>
      <c r="K107" s="415">
        <f>K106</f>
        <v>184243.92</v>
      </c>
    </row>
    <row r="108" spans="1:11" ht="15" customHeight="1" thickTop="1" x14ac:dyDescent="0.4"/>
  </sheetData>
  <pageMargins left="0.7" right="0.7" top="0.75" bottom="0.75" header="0.1" footer="0"/>
  <pageSetup orientation="portrait" r:id="rId1"/>
  <headerFooter>
    <oddHeader>&amp;L&amp;"Arial,Bold"&amp;8 5:03 PM
&amp;"Arial,Bold"&amp;8 01/24/24
&amp;"Arial,Bold"&amp;8 Accrual Basis&amp;C&amp;"Arial,Bold"&amp;12 Williamson Central Appraisal District
&amp;"Arial,Bold"&amp;14 Account QuickReport
&amp;"Arial,Bold"&amp;10 January through December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16744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16744" r:id="rId4" name="HEADER"/>
      </mc:Fallback>
    </mc:AlternateContent>
    <mc:AlternateContent xmlns:mc="http://schemas.openxmlformats.org/markup-compatibility/2006">
      <mc:Choice Requires="x14">
        <control shapeId="116743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16743" r:id="rId6" name="FILTER"/>
      </mc:Fallback>
    </mc:AlternateContent>
  </controls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8"/>
  <dimension ref="A1:K19"/>
  <sheetViews>
    <sheetView workbookViewId="0">
      <pane xSplit="3" ySplit="1" topLeftCell="D2" activePane="bottomRight" state="frozenSplit"/>
      <selection pane="topRight" activeCell="D1" sqref="D1"/>
      <selection pane="bottomLeft" activeCell="A2" sqref="A2"/>
      <selection pane="bottomRight" activeCell="O31" sqref="O31"/>
    </sheetView>
  </sheetViews>
  <sheetFormatPr defaultColWidth="14.3828125" defaultRowHeight="15" customHeight="1" x14ac:dyDescent="0.4"/>
  <cols>
    <col min="1" max="2" width="3" customWidth="1"/>
    <col min="3" max="3" width="28.53515625" customWidth="1"/>
    <col min="4" max="4" width="2.3046875" customWidth="1"/>
    <col min="5" max="5" width="5.3046875" bestFit="1" customWidth="1"/>
    <col min="6" max="6" width="10.69140625" bestFit="1" customWidth="1"/>
    <col min="7" max="7" width="12.84375" bestFit="1" customWidth="1"/>
    <col min="8" max="9" width="30.69140625" customWidth="1"/>
    <col min="10" max="10" width="22.3046875" bestFit="1" customWidth="1"/>
    <col min="11" max="11" width="9.15234375" bestFit="1" customWidth="1"/>
  </cols>
  <sheetData>
    <row r="1" spans="1:11" s="412" customFormat="1" thickBot="1" x14ac:dyDescent="0.45">
      <c r="A1" s="416"/>
      <c r="B1" s="416"/>
      <c r="C1" s="416"/>
      <c r="D1" s="416"/>
      <c r="E1" s="417" t="s">
        <v>623</v>
      </c>
      <c r="F1" s="417" t="s">
        <v>624</v>
      </c>
      <c r="G1" s="417" t="s">
        <v>625</v>
      </c>
      <c r="H1" s="417" t="s">
        <v>626</v>
      </c>
      <c r="I1" s="417" t="s">
        <v>627</v>
      </c>
      <c r="J1" s="417" t="s">
        <v>628</v>
      </c>
      <c r="K1" s="417" t="s">
        <v>629</v>
      </c>
    </row>
    <row r="2" spans="1:11" thickTop="1" x14ac:dyDescent="0.4">
      <c r="A2" s="84"/>
      <c r="B2" s="84" t="s">
        <v>700</v>
      </c>
      <c r="C2" s="84"/>
      <c r="D2" s="84"/>
      <c r="E2" s="84"/>
      <c r="F2" s="85"/>
      <c r="G2" s="84"/>
      <c r="H2" s="84"/>
      <c r="I2" s="84"/>
      <c r="J2" s="84"/>
      <c r="K2" s="87"/>
    </row>
    <row r="3" spans="1:11" ht="15" customHeight="1" x14ac:dyDescent="0.4">
      <c r="A3" s="84"/>
      <c r="B3" s="84"/>
      <c r="C3" s="84" t="s">
        <v>3479</v>
      </c>
      <c r="D3" s="84"/>
      <c r="E3" s="84"/>
      <c r="F3" s="85"/>
      <c r="G3" s="84"/>
      <c r="H3" s="84"/>
      <c r="I3" s="84"/>
      <c r="J3" s="84"/>
      <c r="K3" s="87"/>
    </row>
    <row r="4" spans="1:11" ht="15" customHeight="1" x14ac:dyDescent="0.4">
      <c r="A4" s="84"/>
      <c r="B4" s="84"/>
      <c r="C4" s="84"/>
      <c r="D4" s="84"/>
      <c r="E4" s="84" t="s">
        <v>634</v>
      </c>
      <c r="F4" s="85">
        <v>45200</v>
      </c>
      <c r="G4" s="84" t="s">
        <v>848</v>
      </c>
      <c r="H4" s="84" t="s">
        <v>3481</v>
      </c>
      <c r="I4" s="84" t="s">
        <v>3482</v>
      </c>
      <c r="J4" s="84" t="s">
        <v>659</v>
      </c>
      <c r="K4" s="87">
        <v>244</v>
      </c>
    </row>
    <row r="5" spans="1:11" ht="15" customHeight="1" x14ac:dyDescent="0.4">
      <c r="A5" s="84"/>
      <c r="B5" s="84"/>
      <c r="C5" s="84"/>
      <c r="D5" s="84"/>
      <c r="E5" s="84" t="s">
        <v>634</v>
      </c>
      <c r="F5" s="85">
        <v>45200</v>
      </c>
      <c r="G5" s="84" t="s">
        <v>848</v>
      </c>
      <c r="H5" s="84" t="s">
        <v>3481</v>
      </c>
      <c r="I5" s="84" t="s">
        <v>3483</v>
      </c>
      <c r="J5" s="84" t="s">
        <v>659</v>
      </c>
      <c r="K5" s="87">
        <v>7167</v>
      </c>
    </row>
    <row r="6" spans="1:11" ht="15" customHeight="1" x14ac:dyDescent="0.4">
      <c r="A6" s="84"/>
      <c r="B6" s="84"/>
      <c r="C6" s="84"/>
      <c r="D6" s="84"/>
      <c r="E6" s="84" t="s">
        <v>634</v>
      </c>
      <c r="F6" s="85">
        <v>45200</v>
      </c>
      <c r="G6" s="84" t="s">
        <v>848</v>
      </c>
      <c r="H6" s="84" t="s">
        <v>3481</v>
      </c>
      <c r="I6" s="84" t="s">
        <v>3484</v>
      </c>
      <c r="J6" s="84" t="s">
        <v>659</v>
      </c>
      <c r="K6" s="87">
        <v>2822</v>
      </c>
    </row>
    <row r="7" spans="1:11" ht="15" customHeight="1" x14ac:dyDescent="0.4">
      <c r="A7" s="84"/>
      <c r="B7" s="84"/>
      <c r="C7" s="84"/>
      <c r="D7" s="84"/>
      <c r="E7" s="84" t="s">
        <v>634</v>
      </c>
      <c r="F7" s="85">
        <v>45200</v>
      </c>
      <c r="G7" s="84" t="s">
        <v>848</v>
      </c>
      <c r="H7" s="84" t="s">
        <v>3481</v>
      </c>
      <c r="I7" s="84" t="s">
        <v>3485</v>
      </c>
      <c r="J7" s="84" t="s">
        <v>659</v>
      </c>
      <c r="K7" s="87">
        <v>600</v>
      </c>
    </row>
    <row r="8" spans="1:11" ht="15" customHeight="1" x14ac:dyDescent="0.4">
      <c r="A8" s="84"/>
      <c r="B8" s="84"/>
      <c r="C8" s="84"/>
      <c r="D8" s="84"/>
      <c r="E8" s="84" t="s">
        <v>634</v>
      </c>
      <c r="F8" s="85">
        <v>45200</v>
      </c>
      <c r="G8" s="84" t="s">
        <v>848</v>
      </c>
      <c r="H8" s="84" t="s">
        <v>3481</v>
      </c>
      <c r="I8" s="84" t="s">
        <v>3486</v>
      </c>
      <c r="J8" s="84" t="s">
        <v>659</v>
      </c>
      <c r="K8" s="87">
        <v>13510</v>
      </c>
    </row>
    <row r="9" spans="1:11" ht="15" customHeight="1" x14ac:dyDescent="0.4">
      <c r="A9" s="84"/>
      <c r="B9" s="84"/>
      <c r="C9" s="84"/>
      <c r="D9" s="84"/>
      <c r="E9" s="84" t="s">
        <v>634</v>
      </c>
      <c r="F9" s="85">
        <v>45200</v>
      </c>
      <c r="G9" s="84" t="s">
        <v>848</v>
      </c>
      <c r="H9" s="84" t="s">
        <v>3481</v>
      </c>
      <c r="I9" s="84" t="s">
        <v>3487</v>
      </c>
      <c r="J9" s="84" t="s">
        <v>659</v>
      </c>
      <c r="K9" s="87">
        <v>350</v>
      </c>
    </row>
    <row r="10" spans="1:11" ht="15" customHeight="1" x14ac:dyDescent="0.4">
      <c r="A10" s="84"/>
      <c r="B10" s="84"/>
      <c r="C10" s="84"/>
      <c r="D10" s="84"/>
      <c r="E10" s="84" t="s">
        <v>634</v>
      </c>
      <c r="F10" s="85">
        <v>45200</v>
      </c>
      <c r="G10" s="84" t="s">
        <v>848</v>
      </c>
      <c r="H10" s="84" t="s">
        <v>3481</v>
      </c>
      <c r="I10" s="84" t="s">
        <v>3488</v>
      </c>
      <c r="J10" s="84" t="s">
        <v>659</v>
      </c>
      <c r="K10" s="87">
        <v>-12</v>
      </c>
    </row>
    <row r="11" spans="1:11" ht="15" customHeight="1" x14ac:dyDescent="0.4">
      <c r="A11" s="84"/>
      <c r="B11" s="84"/>
      <c r="C11" s="84"/>
      <c r="D11" s="84"/>
      <c r="E11" s="84" t="s">
        <v>634</v>
      </c>
      <c r="F11" s="85">
        <v>45200</v>
      </c>
      <c r="G11" s="84" t="s">
        <v>848</v>
      </c>
      <c r="H11" s="84" t="s">
        <v>3481</v>
      </c>
      <c r="I11" s="84" t="s">
        <v>3489</v>
      </c>
      <c r="J11" s="84" t="s">
        <v>659</v>
      </c>
      <c r="K11" s="87">
        <v>-143.34</v>
      </c>
    </row>
    <row r="12" spans="1:11" ht="15" customHeight="1" x14ac:dyDescent="0.4">
      <c r="A12" s="84"/>
      <c r="B12" s="84"/>
      <c r="C12" s="84"/>
      <c r="D12" s="84"/>
      <c r="E12" s="84" t="s">
        <v>634</v>
      </c>
      <c r="F12" s="85">
        <v>45200</v>
      </c>
      <c r="G12" s="84" t="s">
        <v>848</v>
      </c>
      <c r="H12" s="84" t="s">
        <v>3481</v>
      </c>
      <c r="I12" s="84" t="s">
        <v>3490</v>
      </c>
      <c r="J12" s="84" t="s">
        <v>659</v>
      </c>
      <c r="K12" s="87">
        <v>-4.88</v>
      </c>
    </row>
    <row r="13" spans="1:11" ht="15" customHeight="1" x14ac:dyDescent="0.4">
      <c r="A13" s="84"/>
      <c r="B13" s="84"/>
      <c r="C13" s="84"/>
      <c r="D13" s="84"/>
      <c r="E13" s="84" t="s">
        <v>634</v>
      </c>
      <c r="F13" s="85">
        <v>45200</v>
      </c>
      <c r="G13" s="84" t="s">
        <v>848</v>
      </c>
      <c r="H13" s="84" t="s">
        <v>3481</v>
      </c>
      <c r="I13" s="84" t="s">
        <v>3491</v>
      </c>
      <c r="J13" s="84" t="s">
        <v>659</v>
      </c>
      <c r="K13" s="87">
        <v>-270.2</v>
      </c>
    </row>
    <row r="14" spans="1:11" ht="15" customHeight="1" x14ac:dyDescent="0.4">
      <c r="A14" s="84"/>
      <c r="B14" s="84"/>
      <c r="C14" s="84"/>
      <c r="D14" s="84"/>
      <c r="E14" s="84" t="s">
        <v>634</v>
      </c>
      <c r="F14" s="85">
        <v>45200</v>
      </c>
      <c r="G14" s="84" t="s">
        <v>848</v>
      </c>
      <c r="H14" s="84" t="s">
        <v>3481</v>
      </c>
      <c r="I14" s="84" t="s">
        <v>3492</v>
      </c>
      <c r="J14" s="84" t="s">
        <v>659</v>
      </c>
      <c r="K14" s="87">
        <v>-56.44</v>
      </c>
    </row>
    <row r="15" spans="1:11" ht="15" customHeight="1" thickBot="1" x14ac:dyDescent="0.45">
      <c r="A15" s="84"/>
      <c r="B15" s="84"/>
      <c r="C15" s="84"/>
      <c r="D15" s="84"/>
      <c r="E15" s="84" t="s">
        <v>634</v>
      </c>
      <c r="F15" s="85">
        <v>45200</v>
      </c>
      <c r="G15" s="84" t="s">
        <v>848</v>
      </c>
      <c r="H15" s="84" t="s">
        <v>3481</v>
      </c>
      <c r="I15" s="84" t="s">
        <v>3493</v>
      </c>
      <c r="J15" s="84" t="s">
        <v>659</v>
      </c>
      <c r="K15" s="413">
        <v>-7</v>
      </c>
    </row>
    <row r="16" spans="1:11" ht="15" customHeight="1" thickBot="1" x14ac:dyDescent="0.45">
      <c r="A16" s="84"/>
      <c r="B16" s="84"/>
      <c r="C16" s="84" t="s">
        <v>3480</v>
      </c>
      <c r="D16" s="84"/>
      <c r="E16" s="84"/>
      <c r="F16" s="85"/>
      <c r="G16" s="84"/>
      <c r="H16" s="84"/>
      <c r="I16" s="84"/>
      <c r="J16" s="84"/>
      <c r="K16" s="414">
        <f>ROUND(SUM(K3:K15),5)</f>
        <v>24199.14</v>
      </c>
    </row>
    <row r="17" spans="1:11" ht="15" customHeight="1" thickBot="1" x14ac:dyDescent="0.45">
      <c r="A17" s="84"/>
      <c r="B17" s="84" t="s">
        <v>703</v>
      </c>
      <c r="C17" s="84"/>
      <c r="D17" s="84"/>
      <c r="E17" s="84"/>
      <c r="F17" s="85"/>
      <c r="G17" s="84"/>
      <c r="H17" s="84"/>
      <c r="I17" s="84"/>
      <c r="J17" s="84"/>
      <c r="K17" s="414">
        <f>K16</f>
        <v>24199.14</v>
      </c>
    </row>
    <row r="18" spans="1:11" ht="15" customHeight="1" thickBot="1" x14ac:dyDescent="0.45">
      <c r="A18" s="84" t="s">
        <v>158</v>
      </c>
      <c r="B18" s="84"/>
      <c r="C18" s="84"/>
      <c r="D18" s="84"/>
      <c r="E18" s="84"/>
      <c r="F18" s="85"/>
      <c r="G18" s="84"/>
      <c r="H18" s="84"/>
      <c r="I18" s="84"/>
      <c r="J18" s="84"/>
      <c r="K18" s="415">
        <f>K17</f>
        <v>24199.14</v>
      </c>
    </row>
    <row r="19" spans="1:11" ht="15" customHeight="1" thickTop="1" x14ac:dyDescent="0.4"/>
  </sheetData>
  <pageMargins left="0.7" right="0.7" top="0.75" bottom="0.75" header="0.1" footer="0"/>
  <pageSetup orientation="landscape" r:id="rId1"/>
  <headerFooter>
    <oddHeader>&amp;L&amp;"Arial,Bold"&amp;8 1:02 PM
&amp;"Arial,Bold"&amp;8 01/25/24
&amp;"Arial,Bold"&amp;8 Accrual Basis&amp;C&amp;"Arial,Bold"&amp;12 Williamson Central Appraisal District
&amp;"Arial,Bold"&amp;14 Account QuickReport
&amp;"Arial,Bold"&amp;10 January through December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66914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66914" r:id="rId4" name="HEADER"/>
      </mc:Fallback>
    </mc:AlternateContent>
    <mc:AlternateContent xmlns:mc="http://schemas.openxmlformats.org/markup-compatibility/2006">
      <mc:Choice Requires="x14">
        <control shapeId="166913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66913" r:id="rId6" name="FILT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0ED7F-B42F-43BF-B618-48EE152F4898}">
  <dimension ref="A1:N1002"/>
  <sheetViews>
    <sheetView topLeftCell="A23" zoomScaleNormal="100" workbookViewId="0">
      <selection activeCell="B31" sqref="B31"/>
    </sheetView>
  </sheetViews>
  <sheetFormatPr defaultColWidth="14.3828125" defaultRowHeight="14.6" x14ac:dyDescent="0.4"/>
  <cols>
    <col min="1" max="1" width="25.15234375" customWidth="1"/>
    <col min="2" max="2" width="66.15234375" customWidth="1"/>
    <col min="3" max="3" width="2.3828125" customWidth="1"/>
    <col min="4" max="4" width="13.3828125" customWidth="1"/>
    <col min="5" max="5" width="12.53515625" customWidth="1"/>
    <col min="6" max="6" width="7.3828125" hidden="1" customWidth="1"/>
    <col min="7" max="7" width="11.3828125" hidden="1" customWidth="1"/>
    <col min="8" max="8" width="11.53515625" customWidth="1"/>
    <col min="9" max="9" width="78.69140625" customWidth="1"/>
    <col min="10" max="19" width="13.3046875" customWidth="1"/>
    <col min="20" max="26" width="15.15234375" customWidth="1"/>
  </cols>
  <sheetData>
    <row r="1" spans="1:14" ht="26.15" x14ac:dyDescent="0.7">
      <c r="A1" s="940" t="s">
        <v>75</v>
      </c>
      <c r="B1" s="940"/>
      <c r="C1" s="940"/>
      <c r="D1" s="940"/>
      <c r="E1" s="940"/>
      <c r="F1" s="940"/>
      <c r="G1" s="940"/>
      <c r="H1" s="940"/>
    </row>
    <row r="2" spans="1:14" ht="45" customHeight="1" x14ac:dyDescent="0.4">
      <c r="A2" s="287" t="s">
        <v>76</v>
      </c>
      <c r="B2" s="287" t="s">
        <v>77</v>
      </c>
      <c r="C2" s="287"/>
      <c r="D2" s="290"/>
      <c r="E2" s="288" t="s">
        <v>78</v>
      </c>
      <c r="F2" s="288" t="s">
        <v>79</v>
      </c>
      <c r="G2" s="288" t="s">
        <v>80</v>
      </c>
      <c r="H2" s="288" t="s">
        <v>81</v>
      </c>
      <c r="I2" s="2"/>
    </row>
    <row r="3" spans="1:14" ht="19.5" customHeight="1" x14ac:dyDescent="0.5">
      <c r="A3" s="946" t="s">
        <v>9</v>
      </c>
      <c r="B3" s="946"/>
      <c r="C3" s="946"/>
      <c r="D3" s="946"/>
      <c r="E3" s="946"/>
      <c r="F3" s="946"/>
      <c r="G3" s="946"/>
      <c r="H3" s="946"/>
      <c r="I3" s="7"/>
    </row>
    <row r="4" spans="1:14" x14ac:dyDescent="0.4">
      <c r="A4" s="254"/>
      <c r="B4" s="8" t="s">
        <v>82</v>
      </c>
      <c r="C4" s="9"/>
      <c r="D4" s="8"/>
      <c r="E4" s="10">
        <f>(H5*2)+(H4)</f>
        <v>4541680</v>
      </c>
      <c r="F4" s="255"/>
      <c r="G4" s="255"/>
      <c r="H4" s="11">
        <v>4367000</v>
      </c>
      <c r="I4" s="12" t="s">
        <v>83</v>
      </c>
      <c r="J4" s="60"/>
    </row>
    <row r="5" spans="1:14" x14ac:dyDescent="0.4">
      <c r="A5" s="256" t="s">
        <v>84</v>
      </c>
      <c r="B5" s="257" t="s">
        <v>85</v>
      </c>
      <c r="C5" s="258"/>
      <c r="D5" s="259"/>
      <c r="E5" s="100">
        <f>(E4*1%)*50%</f>
        <v>22708.400000000001</v>
      </c>
      <c r="F5" s="260"/>
      <c r="G5" s="260"/>
      <c r="H5" s="261">
        <v>87340</v>
      </c>
      <c r="I5" s="2"/>
      <c r="M5" s="117">
        <v>3797336</v>
      </c>
      <c r="N5" t="s">
        <v>86</v>
      </c>
    </row>
    <row r="6" spans="1:14" x14ac:dyDescent="0.4">
      <c r="A6" s="13"/>
      <c r="B6" s="14" t="s">
        <v>87</v>
      </c>
      <c r="C6" s="9"/>
      <c r="D6" s="14"/>
      <c r="E6" s="10">
        <v>17000</v>
      </c>
      <c r="F6" s="15"/>
      <c r="G6" s="15"/>
      <c r="H6" s="16">
        <v>17000</v>
      </c>
      <c r="I6" s="2"/>
      <c r="M6" s="118">
        <v>0.03</v>
      </c>
      <c r="N6" t="s">
        <v>88</v>
      </c>
    </row>
    <row r="7" spans="1:14" x14ac:dyDescent="0.4">
      <c r="A7" s="169"/>
      <c r="B7" s="170" t="s">
        <v>89</v>
      </c>
      <c r="C7" s="168"/>
      <c r="D7" s="170"/>
      <c r="E7" s="100">
        <v>27500</v>
      </c>
      <c r="F7" s="171"/>
      <c r="G7" s="171"/>
      <c r="H7" s="172">
        <v>28750</v>
      </c>
      <c r="I7" s="12"/>
      <c r="M7" s="117">
        <f>M5*M6</f>
        <v>113920.08</v>
      </c>
      <c r="N7" t="s">
        <v>90</v>
      </c>
    </row>
    <row r="8" spans="1:14" x14ac:dyDescent="0.4">
      <c r="A8" s="132" t="s">
        <v>91</v>
      </c>
      <c r="B8" s="8" t="s">
        <v>92</v>
      </c>
      <c r="C8" s="9"/>
      <c r="D8" s="8"/>
      <c r="E8" s="10">
        <v>120000</v>
      </c>
      <c r="F8" s="11"/>
      <c r="G8" s="11"/>
      <c r="H8" s="11">
        <v>120000</v>
      </c>
      <c r="I8" s="2"/>
      <c r="M8" s="117">
        <f>M7*0.25</f>
        <v>28480.02</v>
      </c>
      <c r="N8" t="s">
        <v>93</v>
      </c>
    </row>
    <row r="9" spans="1:14" x14ac:dyDescent="0.4">
      <c r="A9" s="173" t="s">
        <v>94</v>
      </c>
      <c r="B9" s="174" t="s">
        <v>95</v>
      </c>
      <c r="C9" s="175"/>
      <c r="D9" s="174"/>
      <c r="E9" s="100">
        <v>30000</v>
      </c>
      <c r="F9" s="171"/>
      <c r="G9" s="171"/>
      <c r="H9" s="172">
        <v>30000</v>
      </c>
      <c r="I9" s="2"/>
      <c r="M9" s="117">
        <f>M5+M7</f>
        <v>3911256.08</v>
      </c>
      <c r="N9" t="s">
        <v>96</v>
      </c>
    </row>
    <row r="10" spans="1:14" ht="15" thickBot="1" x14ac:dyDescent="0.45">
      <c r="A10" s="17"/>
      <c r="B10" s="18" t="s">
        <v>97</v>
      </c>
      <c r="C10" s="19"/>
      <c r="D10" s="103">
        <f>SUM(Summary!D3)</f>
        <v>2.3397346293628093E-2</v>
      </c>
      <c r="E10" s="101">
        <f>(SUM(E4:E9))</f>
        <v>4758888.4000000004</v>
      </c>
      <c r="F10" s="176"/>
      <c r="G10" s="176"/>
      <c r="H10" s="177">
        <f>SUM(H4:H9)</f>
        <v>4650090</v>
      </c>
      <c r="I10" s="2"/>
      <c r="M10" s="117"/>
    </row>
    <row r="11" spans="1:14" ht="13.5" customHeight="1" thickTop="1" x14ac:dyDescent="0.4">
      <c r="A11" s="24"/>
      <c r="B11" s="24"/>
      <c r="C11" s="25"/>
      <c r="D11" s="26"/>
      <c r="E11" s="27"/>
      <c r="F11" s="27"/>
      <c r="G11" s="27"/>
      <c r="H11" s="27"/>
      <c r="I11" s="2"/>
      <c r="M11" s="117">
        <v>4239580</v>
      </c>
      <c r="N11" t="s">
        <v>98</v>
      </c>
    </row>
    <row r="12" spans="1:14" ht="19.5" customHeight="1" x14ac:dyDescent="0.5">
      <c r="A12" s="948" t="s">
        <v>10</v>
      </c>
      <c r="B12" s="948"/>
      <c r="C12" s="948"/>
      <c r="D12" s="948"/>
      <c r="E12" s="948"/>
      <c r="F12" s="948"/>
      <c r="G12" s="948"/>
      <c r="H12" s="948"/>
      <c r="I12" s="7"/>
      <c r="M12" s="117">
        <f>M11-M9</f>
        <v>328323.91999999993</v>
      </c>
      <c r="N12" t="s">
        <v>99</v>
      </c>
    </row>
    <row r="13" spans="1:14" x14ac:dyDescent="0.4">
      <c r="A13" s="13"/>
      <c r="B13" s="28" t="s">
        <v>100</v>
      </c>
      <c r="C13" s="178"/>
      <c r="D13" s="3"/>
      <c r="E13" s="3"/>
      <c r="F13" s="3"/>
      <c r="G13" s="3"/>
      <c r="H13" s="3"/>
      <c r="I13" s="2"/>
      <c r="M13" s="117">
        <v>140000</v>
      </c>
      <c r="N13" t="s">
        <v>101</v>
      </c>
    </row>
    <row r="14" spans="1:14" x14ac:dyDescent="0.4">
      <c r="A14" s="262"/>
      <c r="B14" s="257" t="s">
        <v>102</v>
      </c>
      <c r="C14" s="258"/>
      <c r="D14" s="259"/>
      <c r="E14" s="263">
        <f>((600*12)*34)*0.95</f>
        <v>232560</v>
      </c>
      <c r="F14" s="264"/>
      <c r="G14" s="264"/>
      <c r="H14" s="264">
        <v>232560</v>
      </c>
      <c r="I14" s="2"/>
      <c r="M14" s="117">
        <f>M11-M13</f>
        <v>4099580</v>
      </c>
      <c r="N14" t="s">
        <v>103</v>
      </c>
    </row>
    <row r="15" spans="1:14" x14ac:dyDescent="0.4">
      <c r="A15" s="13"/>
      <c r="B15" s="14" t="s">
        <v>104</v>
      </c>
      <c r="C15" s="9"/>
      <c r="D15" s="8"/>
      <c r="E15" s="179">
        <f>600*12</f>
        <v>7200</v>
      </c>
      <c r="F15" s="11"/>
      <c r="G15" s="11"/>
      <c r="H15" s="11">
        <v>7200</v>
      </c>
      <c r="I15" s="2"/>
      <c r="M15" s="117"/>
    </row>
    <row r="16" spans="1:14" x14ac:dyDescent="0.4">
      <c r="A16" s="166"/>
      <c r="B16" s="180" t="s">
        <v>105</v>
      </c>
      <c r="C16" s="168"/>
      <c r="D16" s="168"/>
      <c r="E16" s="102">
        <v>1000</v>
      </c>
      <c r="F16" s="181"/>
      <c r="G16" s="181"/>
      <c r="H16" s="182">
        <v>1000</v>
      </c>
      <c r="I16" s="2"/>
    </row>
    <row r="17" spans="1:14" x14ac:dyDescent="0.4">
      <c r="A17" s="24"/>
      <c r="B17" s="36" t="s">
        <v>106</v>
      </c>
      <c r="C17" s="38"/>
      <c r="E17" s="183">
        <f>SUM(E14:E16)</f>
        <v>240760</v>
      </c>
      <c r="F17" s="39"/>
      <c r="G17" s="39"/>
      <c r="H17" s="41">
        <f>SUM(H14:H16)</f>
        <v>240760</v>
      </c>
      <c r="I17" s="2"/>
    </row>
    <row r="18" spans="1:14" x14ac:dyDescent="0.4">
      <c r="A18" s="13"/>
      <c r="C18" s="412"/>
      <c r="E18" s="3"/>
      <c r="H18" s="3"/>
      <c r="I18" s="2"/>
      <c r="N18" s="52">
        <f>H4*1.03</f>
        <v>4498010</v>
      </c>
    </row>
    <row r="19" spans="1:14" x14ac:dyDescent="0.4">
      <c r="A19" s="13"/>
      <c r="B19" s="184" t="s">
        <v>107</v>
      </c>
      <c r="C19" s="185"/>
      <c r="D19" s="8"/>
      <c r="H19" s="3"/>
      <c r="I19" s="2"/>
    </row>
    <row r="20" spans="1:14" x14ac:dyDescent="0.4">
      <c r="A20" s="166"/>
      <c r="B20" s="170" t="s">
        <v>108</v>
      </c>
      <c r="C20" s="168"/>
      <c r="D20" s="186"/>
      <c r="E20" s="164">
        <f>(1*110)*12</f>
        <v>1320</v>
      </c>
      <c r="F20" s="187"/>
      <c r="G20" s="187"/>
      <c r="H20" s="187">
        <v>1320</v>
      </c>
      <c r="I20" s="2" t="s">
        <v>109</v>
      </c>
    </row>
    <row r="21" spans="1:14" x14ac:dyDescent="0.4">
      <c r="A21" s="43"/>
      <c r="B21" s="8" t="s">
        <v>110</v>
      </c>
      <c r="C21" s="9"/>
      <c r="E21" s="179">
        <f>(90*5)*12</f>
        <v>5400</v>
      </c>
      <c r="F21" s="11"/>
      <c r="G21" s="11"/>
      <c r="H21" s="11">
        <v>5400</v>
      </c>
      <c r="I21" s="2" t="s">
        <v>111</v>
      </c>
    </row>
    <row r="22" spans="1:14" x14ac:dyDescent="0.4">
      <c r="A22" s="188"/>
      <c r="B22" s="170" t="s">
        <v>112</v>
      </c>
      <c r="C22" s="168"/>
      <c r="D22" s="186"/>
      <c r="E22" s="102">
        <f>(70*11)*12</f>
        <v>9240</v>
      </c>
      <c r="F22" s="189"/>
      <c r="G22" s="189"/>
      <c r="H22" s="189">
        <v>9240</v>
      </c>
      <c r="I22" s="2" t="s">
        <v>113</v>
      </c>
    </row>
    <row r="23" spans="1:14" x14ac:dyDescent="0.4">
      <c r="A23" s="24"/>
      <c r="B23" s="36" t="s">
        <v>106</v>
      </c>
      <c r="C23" s="38"/>
      <c r="E23" s="183">
        <f>SUM(E20:E22)</f>
        <v>15960</v>
      </c>
      <c r="F23" s="41"/>
      <c r="G23" s="41"/>
      <c r="H23" s="41">
        <f>SUM(H20:H22)</f>
        <v>15960</v>
      </c>
      <c r="I23" s="2"/>
    </row>
    <row r="24" spans="1:14" x14ac:dyDescent="0.4">
      <c r="A24" s="24"/>
      <c r="B24" s="36"/>
      <c r="C24" s="38"/>
      <c r="E24" s="41"/>
      <c r="F24" s="41"/>
      <c r="G24" s="41"/>
      <c r="H24" s="41"/>
      <c r="I24" s="2"/>
    </row>
    <row r="25" spans="1:14" x14ac:dyDescent="0.4">
      <c r="A25" s="24"/>
      <c r="B25" s="44" t="s">
        <v>114</v>
      </c>
      <c r="C25" s="45"/>
      <c r="E25" s="41"/>
      <c r="F25" s="41"/>
      <c r="G25" s="41"/>
      <c r="H25" s="41"/>
      <c r="I25" s="2"/>
    </row>
    <row r="26" spans="1:14" x14ac:dyDescent="0.4">
      <c r="A26" s="190"/>
      <c r="B26" s="191" t="s">
        <v>115</v>
      </c>
      <c r="C26" s="192"/>
      <c r="D26" s="142">
        <v>1000</v>
      </c>
      <c r="E26" s="164">
        <f t="shared" ref="E26:E31" si="0">C26*D26</f>
        <v>0</v>
      </c>
      <c r="F26" s="193"/>
      <c r="G26" s="193"/>
      <c r="H26" s="187">
        <v>0</v>
      </c>
      <c r="I26" s="2"/>
    </row>
    <row r="27" spans="1:14" x14ac:dyDescent="0.4">
      <c r="A27" s="46"/>
      <c r="B27" s="14" t="s">
        <v>116</v>
      </c>
      <c r="C27" s="47">
        <v>1</v>
      </c>
      <c r="D27" s="5">
        <v>1000</v>
      </c>
      <c r="E27" s="179">
        <f t="shared" si="0"/>
        <v>1000</v>
      </c>
      <c r="F27" s="41"/>
      <c r="G27" s="41"/>
      <c r="H27" s="11">
        <v>1000</v>
      </c>
      <c r="I27" s="2" t="s">
        <v>117</v>
      </c>
    </row>
    <row r="28" spans="1:14" x14ac:dyDescent="0.4">
      <c r="A28" s="190"/>
      <c r="B28" s="191" t="s">
        <v>118</v>
      </c>
      <c r="C28" s="192"/>
      <c r="D28" s="142">
        <v>1000</v>
      </c>
      <c r="E28" s="164">
        <f t="shared" si="0"/>
        <v>0</v>
      </c>
      <c r="F28" s="193"/>
      <c r="G28" s="193"/>
      <c r="H28" s="187">
        <v>0</v>
      </c>
      <c r="I28" s="2"/>
    </row>
    <row r="29" spans="1:14" x14ac:dyDescent="0.4">
      <c r="A29" s="46"/>
      <c r="B29" s="14" t="s">
        <v>119</v>
      </c>
      <c r="C29" s="47">
        <v>1</v>
      </c>
      <c r="D29" s="5">
        <v>1500</v>
      </c>
      <c r="E29" s="179">
        <f t="shared" si="0"/>
        <v>1500</v>
      </c>
      <c r="F29" s="41"/>
      <c r="G29" s="41"/>
      <c r="H29" s="11">
        <v>0</v>
      </c>
      <c r="I29" s="2" t="s">
        <v>120</v>
      </c>
    </row>
    <row r="30" spans="1:14" x14ac:dyDescent="0.4">
      <c r="A30" s="190"/>
      <c r="B30" s="191" t="s">
        <v>121</v>
      </c>
      <c r="C30" s="192">
        <v>4</v>
      </c>
      <c r="D30" s="142">
        <v>2000</v>
      </c>
      <c r="E30" s="164">
        <f t="shared" si="0"/>
        <v>8000</v>
      </c>
      <c r="F30" s="193"/>
      <c r="G30" s="193"/>
      <c r="H30" s="187">
        <v>8000</v>
      </c>
      <c r="I30" s="2" t="s">
        <v>122</v>
      </c>
    </row>
    <row r="31" spans="1:14" x14ac:dyDescent="0.4">
      <c r="A31" s="291"/>
      <c r="B31" s="292" t="s">
        <v>123</v>
      </c>
      <c r="C31" s="293">
        <v>1</v>
      </c>
      <c r="D31" s="143">
        <v>2000</v>
      </c>
      <c r="E31" s="294">
        <f t="shared" si="0"/>
        <v>2000</v>
      </c>
      <c r="F31" s="295"/>
      <c r="G31" s="295"/>
      <c r="H31" s="296">
        <v>0</v>
      </c>
      <c r="I31" s="2" t="s">
        <v>124</v>
      </c>
    </row>
    <row r="32" spans="1:14" x14ac:dyDescent="0.4">
      <c r="A32" s="24"/>
      <c r="B32" s="14"/>
      <c r="C32" s="9"/>
      <c r="E32" s="183">
        <f>SUM(E26:E31)</f>
        <v>12500</v>
      </c>
      <c r="F32" s="41"/>
      <c r="G32" s="41"/>
      <c r="H32" s="41">
        <f>SUM(H26:H31)</f>
        <v>9000</v>
      </c>
      <c r="I32" s="2"/>
    </row>
    <row r="33" spans="1:9" x14ac:dyDescent="0.4">
      <c r="A33" s="24"/>
      <c r="B33" s="14"/>
      <c r="C33" s="9"/>
      <c r="E33" s="11"/>
      <c r="F33" s="41"/>
      <c r="G33" s="41"/>
      <c r="H33" s="11"/>
      <c r="I33" s="2"/>
    </row>
    <row r="34" spans="1:9" ht="15" thickBot="1" x14ac:dyDescent="0.45">
      <c r="A34" s="24"/>
      <c r="B34" s="18" t="s">
        <v>97</v>
      </c>
      <c r="C34" s="19"/>
      <c r="D34" s="103">
        <f>SUM(Summary!D4)</f>
        <v>1.3167795334838224E-2</v>
      </c>
      <c r="E34" s="101">
        <f>SUM(E17+E23+E32)</f>
        <v>269220</v>
      </c>
      <c r="F34" s="176"/>
      <c r="G34" s="176"/>
      <c r="H34" s="177">
        <f>SUM(H17+H23+H32)</f>
        <v>265720</v>
      </c>
      <c r="I34" s="2"/>
    </row>
    <row r="35" spans="1:9" ht="15" thickTop="1" x14ac:dyDescent="0.4">
      <c r="A35" s="13"/>
      <c r="B35" s="13"/>
      <c r="C35" s="51"/>
      <c r="D35" s="13"/>
      <c r="E35" s="13"/>
      <c r="F35" s="13"/>
      <c r="G35" s="13"/>
      <c r="H35" s="26"/>
      <c r="I35" s="2"/>
    </row>
    <row r="36" spans="1:9" ht="19.5" customHeight="1" x14ac:dyDescent="0.5">
      <c r="A36" s="948" t="s">
        <v>125</v>
      </c>
      <c r="B36" s="948"/>
      <c r="C36" s="948"/>
      <c r="D36" s="948"/>
      <c r="E36" s="948"/>
      <c r="F36" s="948"/>
      <c r="G36" s="948"/>
      <c r="H36" s="948"/>
      <c r="I36" s="7" t="s">
        <v>126</v>
      </c>
    </row>
    <row r="37" spans="1:9" x14ac:dyDescent="0.4">
      <c r="A37" s="132" t="s">
        <v>127</v>
      </c>
      <c r="B37" s="14" t="s">
        <v>128</v>
      </c>
      <c r="C37" s="9"/>
      <c r="D37" s="285"/>
      <c r="E37" s="179">
        <f>ROUND((36.51*73*8)+((36.51*105%)*73*4),0)</f>
        <v>32516</v>
      </c>
      <c r="F37" s="354"/>
      <c r="G37" s="354"/>
      <c r="H37" s="4">
        <v>29224</v>
      </c>
      <c r="I37" s="2"/>
    </row>
    <row r="38" spans="1:9" x14ac:dyDescent="0.4">
      <c r="A38" s="355" t="s">
        <v>127</v>
      </c>
      <c r="B38" s="356" t="s">
        <v>129</v>
      </c>
      <c r="C38" s="357"/>
      <c r="D38" s="358"/>
      <c r="E38" s="359">
        <f>((621.8-10)*73*8)+(((621.8-10)*115%)*73*4)</f>
        <v>562733.6399999999</v>
      </c>
      <c r="F38" s="360"/>
      <c r="G38" s="360"/>
      <c r="H38" s="361">
        <v>588602</v>
      </c>
      <c r="I38" s="2"/>
    </row>
    <row r="39" spans="1:9" x14ac:dyDescent="0.4">
      <c r="A39" s="132"/>
      <c r="B39" s="14" t="s">
        <v>130</v>
      </c>
      <c r="C39" s="9"/>
      <c r="D39" s="285"/>
      <c r="E39" s="179">
        <f>(140*20*12)</f>
        <v>33600</v>
      </c>
      <c r="F39" s="11"/>
      <c r="G39" s="11"/>
      <c r="H39" s="11">
        <v>32232</v>
      </c>
      <c r="I39" s="2"/>
    </row>
    <row r="40" spans="1:9" x14ac:dyDescent="0.4">
      <c r="A40" s="355" t="s">
        <v>127</v>
      </c>
      <c r="B40" s="356" t="s">
        <v>131</v>
      </c>
      <c r="C40" s="357"/>
      <c r="D40" s="358"/>
      <c r="E40" s="359">
        <f>((7.28*73)*8)+((7.28*105%)*73*4)</f>
        <v>6483.5680000000011</v>
      </c>
      <c r="F40" s="361"/>
      <c r="G40" s="361"/>
      <c r="H40" s="361">
        <v>5590</v>
      </c>
      <c r="I40" s="2"/>
    </row>
    <row r="41" spans="1:9" x14ac:dyDescent="0.4">
      <c r="A41" s="132" t="s">
        <v>132</v>
      </c>
      <c r="B41" s="14" t="s">
        <v>133</v>
      </c>
      <c r="C41" s="9"/>
      <c r="D41" s="285"/>
      <c r="E41" s="179">
        <f>((((4*73)*12)+2370))</f>
        <v>5874</v>
      </c>
      <c r="F41" s="11"/>
      <c r="G41" s="11"/>
      <c r="H41" s="11">
        <v>5821</v>
      </c>
    </row>
    <row r="42" spans="1:9" x14ac:dyDescent="0.4">
      <c r="A42" s="355" t="s">
        <v>132</v>
      </c>
      <c r="B42" s="362" t="s">
        <v>134</v>
      </c>
      <c r="C42" s="363"/>
      <c r="D42" s="364"/>
      <c r="E42" s="359">
        <f>(((E4+E5)*0.331%))</f>
        <v>15108.125604000001</v>
      </c>
      <c r="F42" s="361"/>
      <c r="G42" s="361"/>
      <c r="H42" s="361">
        <v>14031</v>
      </c>
      <c r="I42" s="2"/>
    </row>
    <row r="43" spans="1:9" ht="15" thickBot="1" x14ac:dyDescent="0.45">
      <c r="A43" s="194"/>
      <c r="B43" s="18" t="s">
        <v>97</v>
      </c>
      <c r="C43" s="19"/>
      <c r="D43" s="103">
        <f>SUM(Summary!D5)</f>
        <v>-2.8419182948490232E-2</v>
      </c>
      <c r="E43" s="101">
        <f>SUM(E37:E42)</f>
        <v>656315.33360399981</v>
      </c>
      <c r="F43" s="176"/>
      <c r="G43" s="176"/>
      <c r="H43" s="195">
        <f>SUM(H37:H42)</f>
        <v>675500</v>
      </c>
      <c r="I43" s="58"/>
    </row>
    <row r="44" spans="1:9" ht="19.75" thickTop="1" x14ac:dyDescent="0.5">
      <c r="A44" s="196"/>
      <c r="B44" s="197"/>
      <c r="C44" s="198"/>
      <c r="D44" s="286"/>
      <c r="E44" s="197"/>
      <c r="F44" s="197"/>
      <c r="G44" s="197"/>
      <c r="H44" s="197"/>
      <c r="I44" s="2"/>
    </row>
    <row r="45" spans="1:9" ht="20.25" customHeight="1" x14ac:dyDescent="0.5">
      <c r="A45" s="948" t="s">
        <v>12</v>
      </c>
      <c r="B45" s="948"/>
      <c r="C45" s="948"/>
      <c r="D45" s="948"/>
      <c r="E45" s="948"/>
      <c r="F45" s="948"/>
      <c r="G45" s="948"/>
      <c r="H45" s="948"/>
      <c r="I45" s="199"/>
    </row>
    <row r="46" spans="1:9" x14ac:dyDescent="0.4">
      <c r="A46" s="121" t="s">
        <v>135</v>
      </c>
      <c r="B46" s="14" t="s">
        <v>136</v>
      </c>
      <c r="C46" s="9"/>
      <c r="D46" s="9"/>
      <c r="E46" s="179">
        <f>SUM(E4:E7)*0.97</f>
        <v>4470621.7480000006</v>
      </c>
      <c r="F46" s="255"/>
      <c r="G46" s="255"/>
      <c r="H46" s="60">
        <v>4365087</v>
      </c>
      <c r="I46" s="7"/>
    </row>
    <row r="47" spans="1:9" x14ac:dyDescent="0.4">
      <c r="A47" s="265"/>
      <c r="B47" s="259" t="s">
        <v>137</v>
      </c>
      <c r="C47" s="258"/>
      <c r="D47" s="266"/>
      <c r="E47" s="267">
        <f>SUM(E14+E15+E32)</f>
        <v>252260</v>
      </c>
      <c r="F47" s="268"/>
      <c r="G47" s="268"/>
      <c r="H47" s="268">
        <v>248760</v>
      </c>
      <c r="I47" s="2"/>
    </row>
    <row r="48" spans="1:9" x14ac:dyDescent="0.4">
      <c r="A48" s="120"/>
      <c r="B48" s="14"/>
      <c r="C48" s="9"/>
      <c r="D48" s="3"/>
      <c r="E48" s="179">
        <f>SUM(E46:E47)</f>
        <v>4722881.7480000006</v>
      </c>
      <c r="F48" s="39"/>
      <c r="G48" s="39"/>
      <c r="H48" s="41">
        <f>SUM(H46:H47)</f>
        <v>4613847</v>
      </c>
      <c r="I48" s="2"/>
    </row>
    <row r="49" spans="1:9" x14ac:dyDescent="0.4">
      <c r="A49" s="121"/>
      <c r="B49" s="8"/>
      <c r="C49" s="9"/>
      <c r="D49" s="9"/>
      <c r="E49" s="11"/>
      <c r="F49" s="11"/>
      <c r="G49" s="11"/>
      <c r="H49" s="11"/>
      <c r="I49" s="2"/>
    </row>
    <row r="50" spans="1:9" x14ac:dyDescent="0.4">
      <c r="A50" s="200" t="s">
        <v>138</v>
      </c>
      <c r="B50" s="201" t="s">
        <v>139</v>
      </c>
      <c r="C50" s="202"/>
      <c r="D50" s="203"/>
      <c r="E50" s="102">
        <f>E48*0.12%</f>
        <v>5667.4580976000007</v>
      </c>
      <c r="F50" s="204"/>
      <c r="G50" s="204"/>
      <c r="H50" s="205">
        <v>5537</v>
      </c>
      <c r="I50" s="2"/>
    </row>
    <row r="51" spans="1:9" ht="15" thickBot="1" x14ac:dyDescent="0.45">
      <c r="A51" s="121"/>
      <c r="B51" s="18"/>
      <c r="C51" s="19"/>
      <c r="E51" s="179">
        <f>SUM(E50)</f>
        <v>5667.4580976000007</v>
      </c>
      <c r="F51" s="206"/>
      <c r="G51" s="206"/>
      <c r="H51" s="108">
        <f>SUM(H50)</f>
        <v>5537</v>
      </c>
      <c r="I51" s="2"/>
    </row>
    <row r="52" spans="1:9" ht="15" thickTop="1" x14ac:dyDescent="0.4">
      <c r="A52" s="121"/>
      <c r="B52" s="13"/>
      <c r="C52" s="51"/>
      <c r="D52" s="13"/>
      <c r="E52" s="13"/>
      <c r="F52" s="13"/>
      <c r="G52" s="13"/>
      <c r="H52" s="27"/>
      <c r="I52" s="2"/>
    </row>
    <row r="53" spans="1:9" x14ac:dyDescent="0.4">
      <c r="A53" s="121" t="s">
        <v>140</v>
      </c>
      <c r="B53" s="207" t="s">
        <v>141</v>
      </c>
      <c r="C53" s="61"/>
      <c r="D53" s="13"/>
      <c r="E53" s="179">
        <f>E48*16.75%</f>
        <v>791082.69279000012</v>
      </c>
      <c r="F53" s="63"/>
      <c r="G53" s="63"/>
      <c r="H53" s="27">
        <v>825417</v>
      </c>
      <c r="I53" s="7"/>
    </row>
    <row r="54" spans="1:9" x14ac:dyDescent="0.4">
      <c r="A54" s="269" t="s">
        <v>138</v>
      </c>
      <c r="B54" s="201" t="s">
        <v>142</v>
      </c>
      <c r="C54" s="202"/>
      <c r="D54" s="166"/>
      <c r="E54" s="102">
        <f>E48*0.13%</f>
        <v>6139.7462724000006</v>
      </c>
      <c r="F54" s="208"/>
      <c r="G54" s="208"/>
      <c r="H54" s="209">
        <v>5537</v>
      </c>
      <c r="I54" s="7"/>
    </row>
    <row r="55" spans="1:9" x14ac:dyDescent="0.4">
      <c r="A55" s="122"/>
      <c r="B55" s="18"/>
      <c r="C55" s="68"/>
      <c r="D55" s="103">
        <f>(E55-H55)/H55</f>
        <v>-4.0593776475713293E-2</v>
      </c>
      <c r="E55" s="179">
        <f>SUM(E53:E54)</f>
        <v>797222.43906240014</v>
      </c>
      <c r="F55" s="63"/>
      <c r="G55" s="63"/>
      <c r="H55" s="109">
        <f>SUM(H53:H54)</f>
        <v>830954</v>
      </c>
      <c r="I55" s="7"/>
    </row>
    <row r="56" spans="1:9" x14ac:dyDescent="0.4">
      <c r="A56" s="120"/>
      <c r="B56" s="63"/>
      <c r="C56" s="68"/>
      <c r="D56" s="20"/>
      <c r="E56" s="72"/>
      <c r="F56" s="63"/>
      <c r="G56" s="63"/>
      <c r="H56" s="27"/>
      <c r="I56" s="7"/>
    </row>
    <row r="57" spans="1:9" x14ac:dyDescent="0.4">
      <c r="A57" s="200" t="s">
        <v>143</v>
      </c>
      <c r="B57" s="208" t="s">
        <v>144</v>
      </c>
      <c r="C57" s="210"/>
      <c r="D57" s="203"/>
      <c r="E57" s="164">
        <f>E48*19.13%</f>
        <v>903487.27839240013</v>
      </c>
      <c r="F57" s="208"/>
      <c r="G57" s="208"/>
      <c r="H57" s="209">
        <v>882168</v>
      </c>
      <c r="I57" s="7"/>
    </row>
    <row r="58" spans="1:9" x14ac:dyDescent="0.4">
      <c r="A58" s="121" t="s">
        <v>145</v>
      </c>
      <c r="B58" s="63" t="s">
        <v>146</v>
      </c>
      <c r="C58" s="68"/>
      <c r="D58" s="20"/>
      <c r="E58" s="72"/>
      <c r="F58" s="63"/>
      <c r="G58" s="63"/>
      <c r="H58" s="27"/>
      <c r="I58" s="7"/>
    </row>
    <row r="59" spans="1:9" ht="15" thickBot="1" x14ac:dyDescent="0.45">
      <c r="A59" s="120"/>
      <c r="B59" s="18" t="s">
        <v>97</v>
      </c>
      <c r="C59" s="68"/>
      <c r="D59" s="103">
        <f>SUM(Summary!$D$6)</f>
        <v>2.414418499206529E-2</v>
      </c>
      <c r="E59" s="101">
        <f>SUM(E57:E58)</f>
        <v>903487.27839240013</v>
      </c>
      <c r="F59" s="74"/>
      <c r="G59" s="74"/>
      <c r="H59" s="211">
        <f>SUM(H57:H58)</f>
        <v>882168</v>
      </c>
      <c r="I59" s="7"/>
    </row>
    <row r="60" spans="1:9" ht="15" thickTop="1" x14ac:dyDescent="0.4">
      <c r="A60" s="13"/>
      <c r="B60" s="63"/>
      <c r="C60" s="68"/>
      <c r="D60" s="13"/>
      <c r="E60" s="63"/>
      <c r="F60" s="63"/>
      <c r="G60" s="63"/>
      <c r="H60" s="26"/>
      <c r="I60" s="7"/>
    </row>
    <row r="61" spans="1:9" ht="19.5" customHeight="1" x14ac:dyDescent="0.5">
      <c r="A61" s="946" t="s">
        <v>147</v>
      </c>
      <c r="B61" s="947"/>
      <c r="C61" s="947"/>
      <c r="D61" s="947"/>
      <c r="E61" s="947"/>
      <c r="F61" s="947"/>
      <c r="G61" s="947"/>
      <c r="H61" s="947"/>
      <c r="I61" s="7"/>
    </row>
    <row r="62" spans="1:9" x14ac:dyDescent="0.4">
      <c r="A62" s="13"/>
      <c r="B62" t="s">
        <v>148</v>
      </c>
      <c r="C62" s="412"/>
      <c r="E62" s="179">
        <f>(2003*4)*110%</f>
        <v>8813.2000000000007</v>
      </c>
      <c r="F62" s="75"/>
      <c r="G62" s="75"/>
      <c r="H62" s="60">
        <v>8813.2000000000007</v>
      </c>
      <c r="I62" s="2"/>
    </row>
    <row r="63" spans="1:9" ht="15" thickBot="1" x14ac:dyDescent="0.45">
      <c r="A63" s="212"/>
      <c r="B63" s="213" t="s">
        <v>97</v>
      </c>
      <c r="C63" s="214"/>
      <c r="D63" s="104">
        <f>SUM(Summary!$D$7)</f>
        <v>0</v>
      </c>
      <c r="E63" s="107">
        <f>SUM(E62)</f>
        <v>8813.2000000000007</v>
      </c>
      <c r="F63" s="76"/>
      <c r="G63" s="76"/>
      <c r="H63" s="110">
        <f>SUM(H62)</f>
        <v>8813.2000000000007</v>
      </c>
      <c r="I63" s="2"/>
    </row>
    <row r="64" spans="1:9" ht="15" thickTop="1" x14ac:dyDescent="0.4">
      <c r="A64" s="13"/>
      <c r="B64" s="13"/>
      <c r="C64" s="51"/>
      <c r="D64" s="13"/>
      <c r="E64" s="13"/>
      <c r="F64" s="13"/>
      <c r="G64" s="13"/>
      <c r="H64" s="26"/>
      <c r="I64" s="2"/>
    </row>
    <row r="65" spans="1:9" ht="19.5" customHeight="1" x14ac:dyDescent="0.5">
      <c r="A65" s="946" t="s">
        <v>149</v>
      </c>
      <c r="B65" s="947"/>
      <c r="C65" s="947"/>
      <c r="D65" s="947"/>
      <c r="E65" s="947"/>
      <c r="F65" s="947"/>
      <c r="G65" s="947"/>
      <c r="H65" s="947"/>
      <c r="I65" s="7"/>
    </row>
    <row r="66" spans="1:9" x14ac:dyDescent="0.4">
      <c r="A66" s="13"/>
      <c r="B66" s="215" t="s">
        <v>150</v>
      </c>
      <c r="C66" s="185"/>
      <c r="D66" s="8"/>
      <c r="E66" s="8"/>
      <c r="F66" s="8"/>
      <c r="G66" s="8"/>
      <c r="H66" s="8"/>
      <c r="I66" s="2"/>
    </row>
    <row r="67" spans="1:9" x14ac:dyDescent="0.4">
      <c r="A67" s="13"/>
      <c r="B67" s="14" t="s">
        <v>151</v>
      </c>
      <c r="C67" s="9"/>
      <c r="D67" s="14"/>
      <c r="E67" s="179">
        <f>SUM(E4+E5+E6+E7+E8+E14+E15+E32)</f>
        <v>4981148.4000000004</v>
      </c>
      <c r="F67" s="77"/>
      <c r="G67" s="77"/>
      <c r="H67" s="60">
        <f>SUM(H4+H5+H6+H7+H8+H14+H15+H32)</f>
        <v>4868850</v>
      </c>
      <c r="I67" s="2"/>
    </row>
    <row r="68" spans="1:9" x14ac:dyDescent="0.4">
      <c r="A68" s="166"/>
      <c r="B68" s="167" t="s">
        <v>152</v>
      </c>
      <c r="C68" s="168"/>
      <c r="D68" s="168"/>
      <c r="E68" s="216">
        <v>1.4500000000000001E-2</v>
      </c>
      <c r="F68" s="217"/>
      <c r="G68" s="217"/>
      <c r="H68" s="216">
        <v>1.4500000000000001E-2</v>
      </c>
      <c r="I68" s="2"/>
    </row>
    <row r="69" spans="1:9" x14ac:dyDescent="0.4">
      <c r="A69" s="13"/>
      <c r="B69" s="36" t="s">
        <v>153</v>
      </c>
      <c r="C69" s="38"/>
      <c r="D69" s="8"/>
      <c r="E69" s="179">
        <f>(E67*E68)</f>
        <v>72226.651800000007</v>
      </c>
      <c r="F69" s="77"/>
      <c r="G69" s="77"/>
      <c r="H69" s="11">
        <f>H67*H68</f>
        <v>70598.324999999997</v>
      </c>
      <c r="I69" s="2"/>
    </row>
    <row r="70" spans="1:9" x14ac:dyDescent="0.4">
      <c r="A70" s="13"/>
      <c r="B70" s="215"/>
      <c r="C70" s="185"/>
      <c r="D70" s="8"/>
      <c r="E70" s="73"/>
      <c r="F70" s="73"/>
      <c r="G70" s="73"/>
      <c r="H70" s="73"/>
      <c r="I70" s="2"/>
    </row>
    <row r="71" spans="1:9" x14ac:dyDescent="0.4">
      <c r="A71" s="13"/>
      <c r="B71" s="215"/>
      <c r="C71" s="185"/>
      <c r="D71" s="8"/>
      <c r="E71" s="73"/>
      <c r="F71" s="73"/>
      <c r="G71" s="73"/>
      <c r="H71" s="73"/>
      <c r="I71" s="2"/>
    </row>
    <row r="72" spans="1:9" x14ac:dyDescent="0.4">
      <c r="A72" s="13"/>
      <c r="B72" s="215" t="s">
        <v>154</v>
      </c>
      <c r="C72" s="185"/>
      <c r="D72" s="8"/>
      <c r="E72" s="8"/>
      <c r="F72" s="8"/>
      <c r="G72" s="8"/>
      <c r="H72" s="8"/>
      <c r="I72" s="2"/>
    </row>
    <row r="73" spans="1:9" x14ac:dyDescent="0.4">
      <c r="A73" s="121" t="s">
        <v>155</v>
      </c>
      <c r="B73" s="14" t="s">
        <v>156</v>
      </c>
      <c r="C73" s="9"/>
      <c r="D73" s="14"/>
      <c r="E73" s="218">
        <v>5000</v>
      </c>
      <c r="F73" s="11"/>
      <c r="G73" s="11"/>
      <c r="H73" s="11">
        <v>5000</v>
      </c>
      <c r="I73" s="2"/>
    </row>
    <row r="74" spans="1:9" x14ac:dyDescent="0.4">
      <c r="A74" s="166"/>
      <c r="B74" s="167" t="s">
        <v>157</v>
      </c>
      <c r="C74" s="168"/>
      <c r="D74" s="167"/>
      <c r="E74" s="105">
        <v>6.2E-2</v>
      </c>
      <c r="F74" s="217"/>
      <c r="G74" s="217"/>
      <c r="H74" s="216">
        <v>6.2E-2</v>
      </c>
      <c r="I74" s="2"/>
    </row>
    <row r="75" spans="1:9" x14ac:dyDescent="0.4">
      <c r="A75" s="24"/>
      <c r="B75" s="36" t="s">
        <v>153</v>
      </c>
      <c r="C75" s="38"/>
      <c r="D75" s="8"/>
      <c r="E75" s="179">
        <f>E73*E74</f>
        <v>310</v>
      </c>
      <c r="F75" s="73"/>
      <c r="G75" s="73"/>
      <c r="H75" s="11">
        <f>H73*H74</f>
        <v>310</v>
      </c>
      <c r="I75" s="2"/>
    </row>
    <row r="76" spans="1:9" x14ac:dyDescent="0.4">
      <c r="A76" s="13"/>
      <c r="C76" s="412"/>
      <c r="E76" s="3"/>
      <c r="F76" s="3"/>
      <c r="G76" s="3"/>
      <c r="H76" s="3"/>
      <c r="I76" s="2"/>
    </row>
    <row r="77" spans="1:9" ht="15" thickBot="1" x14ac:dyDescent="0.45">
      <c r="A77" s="13"/>
      <c r="B77" s="18" t="s">
        <v>97</v>
      </c>
      <c r="C77" s="19"/>
      <c r="D77" s="103">
        <f>SUM(Summary!$D$8)</f>
        <v>2.2535211267605635E-2</v>
      </c>
      <c r="E77" s="101">
        <f>SUM(E69+E75)</f>
        <v>72536.651800000007</v>
      </c>
      <c r="F77" s="219"/>
      <c r="G77" s="219"/>
      <c r="H77" s="177">
        <f>SUM(H69+H75)</f>
        <v>70908.324999999997</v>
      </c>
      <c r="I77" s="2"/>
    </row>
    <row r="78" spans="1:9" ht="15.45" thickTop="1" thickBot="1" x14ac:dyDescent="0.45">
      <c r="A78" s="13"/>
      <c r="C78" s="412"/>
      <c r="H78" s="3"/>
      <c r="I78" s="2"/>
    </row>
    <row r="79" spans="1:9" ht="15" thickBot="1" x14ac:dyDescent="0.45">
      <c r="A79" s="13"/>
      <c r="B79" s="62" t="s">
        <v>158</v>
      </c>
      <c r="C79" s="319"/>
      <c r="D79" s="103">
        <f>(E79-H79)/H79</f>
        <v>1.7710637125213965E-2</v>
      </c>
      <c r="E79" s="106">
        <f>SUM(E10+E34+E43+E59+E63+E77)</f>
        <v>6669260.8637963999</v>
      </c>
      <c r="F79" s="78"/>
      <c r="G79" s="78"/>
      <c r="H79" s="79">
        <f>SUM(H10+H34+H43+H59+H63+H77)</f>
        <v>6553199.5250000004</v>
      </c>
      <c r="I79" s="2"/>
    </row>
    <row r="80" spans="1:9" ht="13.5" customHeight="1" x14ac:dyDescent="0.4">
      <c r="A80" s="13"/>
      <c r="B80" s="13"/>
      <c r="C80" s="51"/>
      <c r="D80" s="80"/>
      <c r="E80" s="13"/>
      <c r="F80" s="13"/>
      <c r="G80" s="13"/>
      <c r="H80" s="26"/>
      <c r="I80" s="2"/>
    </row>
    <row r="81" spans="3:9" x14ac:dyDescent="0.4">
      <c r="C81" s="412"/>
      <c r="I81" s="58"/>
    </row>
    <row r="82" spans="3:9" x14ac:dyDescent="0.4">
      <c r="C82" s="412"/>
      <c r="I82" s="58"/>
    </row>
    <row r="83" spans="3:9" x14ac:dyDescent="0.4">
      <c r="I83" s="58"/>
    </row>
    <row r="84" spans="3:9" x14ac:dyDescent="0.4">
      <c r="I84" s="58"/>
    </row>
    <row r="85" spans="3:9" x14ac:dyDescent="0.4">
      <c r="I85" s="58"/>
    </row>
    <row r="86" spans="3:9" x14ac:dyDescent="0.4">
      <c r="I86" s="58"/>
    </row>
    <row r="87" spans="3:9" x14ac:dyDescent="0.4">
      <c r="I87" s="58"/>
    </row>
    <row r="88" spans="3:9" x14ac:dyDescent="0.4">
      <c r="I88" s="58"/>
    </row>
    <row r="89" spans="3:9" x14ac:dyDescent="0.4">
      <c r="I89" s="58"/>
    </row>
    <row r="90" spans="3:9" x14ac:dyDescent="0.4">
      <c r="I90" s="58"/>
    </row>
    <row r="91" spans="3:9" x14ac:dyDescent="0.4">
      <c r="I91" s="58"/>
    </row>
    <row r="92" spans="3:9" x14ac:dyDescent="0.4">
      <c r="I92" s="58"/>
    </row>
    <row r="93" spans="3:9" x14ac:dyDescent="0.4">
      <c r="I93" s="58"/>
    </row>
    <row r="94" spans="3:9" x14ac:dyDescent="0.4">
      <c r="I94" s="58"/>
    </row>
    <row r="95" spans="3:9" x14ac:dyDescent="0.4">
      <c r="I95" s="58"/>
    </row>
    <row r="96" spans="3:9" x14ac:dyDescent="0.4">
      <c r="I96" s="58"/>
    </row>
    <row r="97" spans="9:9" x14ac:dyDescent="0.4">
      <c r="I97" s="58"/>
    </row>
    <row r="98" spans="9:9" x14ac:dyDescent="0.4">
      <c r="I98" s="58"/>
    </row>
    <row r="99" spans="9:9" x14ac:dyDescent="0.4">
      <c r="I99" s="58"/>
    </row>
    <row r="100" spans="9:9" x14ac:dyDescent="0.4">
      <c r="I100" s="58"/>
    </row>
    <row r="101" spans="9:9" x14ac:dyDescent="0.4">
      <c r="I101" s="58"/>
    </row>
    <row r="102" spans="9:9" x14ac:dyDescent="0.4">
      <c r="I102" s="58"/>
    </row>
    <row r="103" spans="9:9" x14ac:dyDescent="0.4">
      <c r="I103" s="58"/>
    </row>
    <row r="104" spans="9:9" x14ac:dyDescent="0.4">
      <c r="I104" s="58"/>
    </row>
    <row r="105" spans="9:9" x14ac:dyDescent="0.4">
      <c r="I105" s="58"/>
    </row>
    <row r="106" spans="9:9" x14ac:dyDescent="0.4">
      <c r="I106" s="58"/>
    </row>
    <row r="107" spans="9:9" x14ac:dyDescent="0.4">
      <c r="I107" s="58"/>
    </row>
    <row r="108" spans="9:9" x14ac:dyDescent="0.4">
      <c r="I108" s="58"/>
    </row>
    <row r="109" spans="9:9" x14ac:dyDescent="0.4">
      <c r="I109" s="58"/>
    </row>
    <row r="110" spans="9:9" x14ac:dyDescent="0.4">
      <c r="I110" s="58"/>
    </row>
    <row r="111" spans="9:9" x14ac:dyDescent="0.4">
      <c r="I111" s="58"/>
    </row>
    <row r="112" spans="9:9" x14ac:dyDescent="0.4">
      <c r="I112" s="58"/>
    </row>
    <row r="113" spans="9:9" x14ac:dyDescent="0.4">
      <c r="I113" s="58"/>
    </row>
    <row r="114" spans="9:9" x14ac:dyDescent="0.4">
      <c r="I114" s="58"/>
    </row>
    <row r="115" spans="9:9" x14ac:dyDescent="0.4">
      <c r="I115" s="58"/>
    </row>
    <row r="116" spans="9:9" x14ac:dyDescent="0.4">
      <c r="I116" s="58"/>
    </row>
    <row r="117" spans="9:9" x14ac:dyDescent="0.4">
      <c r="I117" s="58"/>
    </row>
    <row r="118" spans="9:9" x14ac:dyDescent="0.4">
      <c r="I118" s="58"/>
    </row>
    <row r="119" spans="9:9" x14ac:dyDescent="0.4">
      <c r="I119" s="58"/>
    </row>
    <row r="120" spans="9:9" x14ac:dyDescent="0.4">
      <c r="I120" s="58"/>
    </row>
    <row r="121" spans="9:9" x14ac:dyDescent="0.4">
      <c r="I121" s="58"/>
    </row>
    <row r="122" spans="9:9" x14ac:dyDescent="0.4">
      <c r="I122" s="58"/>
    </row>
    <row r="123" spans="9:9" x14ac:dyDescent="0.4">
      <c r="I123" s="58"/>
    </row>
    <row r="124" spans="9:9" x14ac:dyDescent="0.4">
      <c r="I124" s="58"/>
    </row>
    <row r="125" spans="9:9" x14ac:dyDescent="0.4">
      <c r="I125" s="58"/>
    </row>
    <row r="126" spans="9:9" x14ac:dyDescent="0.4">
      <c r="I126" s="58"/>
    </row>
    <row r="127" spans="9:9" x14ac:dyDescent="0.4">
      <c r="I127" s="58"/>
    </row>
    <row r="128" spans="9:9" x14ac:dyDescent="0.4">
      <c r="I128" s="58"/>
    </row>
    <row r="129" spans="9:9" x14ac:dyDescent="0.4">
      <c r="I129" s="58"/>
    </row>
    <row r="130" spans="9:9" x14ac:dyDescent="0.4">
      <c r="I130" s="58"/>
    </row>
    <row r="131" spans="9:9" x14ac:dyDescent="0.4">
      <c r="I131" s="58"/>
    </row>
    <row r="132" spans="9:9" x14ac:dyDescent="0.4">
      <c r="I132" s="58"/>
    </row>
    <row r="133" spans="9:9" x14ac:dyDescent="0.4">
      <c r="I133" s="58"/>
    </row>
    <row r="134" spans="9:9" x14ac:dyDescent="0.4">
      <c r="I134" s="58"/>
    </row>
    <row r="135" spans="9:9" x14ac:dyDescent="0.4">
      <c r="I135" s="58"/>
    </row>
    <row r="136" spans="9:9" x14ac:dyDescent="0.4">
      <c r="I136" s="58"/>
    </row>
    <row r="137" spans="9:9" x14ac:dyDescent="0.4">
      <c r="I137" s="58"/>
    </row>
    <row r="138" spans="9:9" x14ac:dyDescent="0.4">
      <c r="I138" s="58"/>
    </row>
    <row r="139" spans="9:9" x14ac:dyDescent="0.4">
      <c r="I139" s="58"/>
    </row>
    <row r="140" spans="9:9" x14ac:dyDescent="0.4">
      <c r="I140" s="58"/>
    </row>
    <row r="141" spans="9:9" x14ac:dyDescent="0.4">
      <c r="I141" s="58"/>
    </row>
    <row r="142" spans="9:9" x14ac:dyDescent="0.4">
      <c r="I142" s="58"/>
    </row>
    <row r="143" spans="9:9" x14ac:dyDescent="0.4">
      <c r="I143" s="58"/>
    </row>
    <row r="144" spans="9:9" x14ac:dyDescent="0.4">
      <c r="I144" s="58"/>
    </row>
    <row r="145" spans="9:9" x14ac:dyDescent="0.4">
      <c r="I145" s="58"/>
    </row>
    <row r="146" spans="9:9" x14ac:dyDescent="0.4">
      <c r="I146" s="58"/>
    </row>
    <row r="147" spans="9:9" x14ac:dyDescent="0.4">
      <c r="I147" s="58"/>
    </row>
    <row r="148" spans="9:9" x14ac:dyDescent="0.4">
      <c r="I148" s="58"/>
    </row>
    <row r="149" spans="9:9" x14ac:dyDescent="0.4">
      <c r="I149" s="58"/>
    </row>
    <row r="150" spans="9:9" x14ac:dyDescent="0.4">
      <c r="I150" s="58"/>
    </row>
    <row r="151" spans="9:9" x14ac:dyDescent="0.4">
      <c r="I151" s="58"/>
    </row>
    <row r="152" spans="9:9" x14ac:dyDescent="0.4">
      <c r="I152" s="58"/>
    </row>
    <row r="153" spans="9:9" x14ac:dyDescent="0.4">
      <c r="I153" s="58"/>
    </row>
    <row r="154" spans="9:9" x14ac:dyDescent="0.4">
      <c r="I154" s="58"/>
    </row>
    <row r="155" spans="9:9" x14ac:dyDescent="0.4">
      <c r="I155" s="58"/>
    </row>
    <row r="156" spans="9:9" x14ac:dyDescent="0.4">
      <c r="I156" s="58"/>
    </row>
    <row r="157" spans="9:9" x14ac:dyDescent="0.4">
      <c r="I157" s="58"/>
    </row>
    <row r="158" spans="9:9" x14ac:dyDescent="0.4">
      <c r="I158" s="58"/>
    </row>
    <row r="159" spans="9:9" x14ac:dyDescent="0.4">
      <c r="I159" s="58"/>
    </row>
    <row r="160" spans="9:9" x14ac:dyDescent="0.4">
      <c r="I160" s="58"/>
    </row>
    <row r="161" spans="9:9" x14ac:dyDescent="0.4">
      <c r="I161" s="58"/>
    </row>
    <row r="162" spans="9:9" x14ac:dyDescent="0.4">
      <c r="I162" s="58"/>
    </row>
    <row r="163" spans="9:9" x14ac:dyDescent="0.4">
      <c r="I163" s="58"/>
    </row>
    <row r="164" spans="9:9" x14ac:dyDescent="0.4">
      <c r="I164" s="58"/>
    </row>
    <row r="165" spans="9:9" x14ac:dyDescent="0.4">
      <c r="I165" s="58"/>
    </row>
    <row r="166" spans="9:9" x14ac:dyDescent="0.4">
      <c r="I166" s="58"/>
    </row>
    <row r="167" spans="9:9" x14ac:dyDescent="0.4">
      <c r="I167" s="58"/>
    </row>
    <row r="168" spans="9:9" x14ac:dyDescent="0.4">
      <c r="I168" s="58"/>
    </row>
    <row r="169" spans="9:9" x14ac:dyDescent="0.4">
      <c r="I169" s="58"/>
    </row>
    <row r="170" spans="9:9" x14ac:dyDescent="0.4">
      <c r="I170" s="58"/>
    </row>
    <row r="171" spans="9:9" x14ac:dyDescent="0.4">
      <c r="I171" s="58"/>
    </row>
    <row r="172" spans="9:9" x14ac:dyDescent="0.4">
      <c r="I172" s="58"/>
    </row>
    <row r="173" spans="9:9" x14ac:dyDescent="0.4">
      <c r="I173" s="58"/>
    </row>
    <row r="174" spans="9:9" x14ac:dyDescent="0.4">
      <c r="I174" s="58"/>
    </row>
    <row r="175" spans="9:9" x14ac:dyDescent="0.4">
      <c r="I175" s="58"/>
    </row>
    <row r="176" spans="9:9" x14ac:dyDescent="0.4">
      <c r="I176" s="58"/>
    </row>
    <row r="177" spans="9:9" x14ac:dyDescent="0.4">
      <c r="I177" s="58"/>
    </row>
    <row r="178" spans="9:9" x14ac:dyDescent="0.4">
      <c r="I178" s="58"/>
    </row>
    <row r="179" spans="9:9" x14ac:dyDescent="0.4">
      <c r="I179" s="58"/>
    </row>
    <row r="180" spans="9:9" x14ac:dyDescent="0.4">
      <c r="I180" s="58"/>
    </row>
    <row r="181" spans="9:9" x14ac:dyDescent="0.4">
      <c r="I181" s="58"/>
    </row>
    <row r="182" spans="9:9" x14ac:dyDescent="0.4">
      <c r="I182" s="58"/>
    </row>
    <row r="183" spans="9:9" x14ac:dyDescent="0.4">
      <c r="I183" s="58"/>
    </row>
    <row r="184" spans="9:9" x14ac:dyDescent="0.4">
      <c r="I184" s="58"/>
    </row>
    <row r="185" spans="9:9" x14ac:dyDescent="0.4">
      <c r="I185" s="58"/>
    </row>
    <row r="186" spans="9:9" x14ac:dyDescent="0.4">
      <c r="I186" s="58"/>
    </row>
    <row r="187" spans="9:9" x14ac:dyDescent="0.4">
      <c r="I187" s="58"/>
    </row>
    <row r="188" spans="9:9" x14ac:dyDescent="0.4">
      <c r="I188" s="58"/>
    </row>
    <row r="189" spans="9:9" x14ac:dyDescent="0.4">
      <c r="I189" s="58"/>
    </row>
    <row r="190" spans="9:9" x14ac:dyDescent="0.4">
      <c r="I190" s="58"/>
    </row>
    <row r="191" spans="9:9" x14ac:dyDescent="0.4">
      <c r="I191" s="58"/>
    </row>
    <row r="192" spans="9:9" x14ac:dyDescent="0.4">
      <c r="I192" s="58"/>
    </row>
    <row r="193" spans="9:9" x14ac:dyDescent="0.4">
      <c r="I193" s="58"/>
    </row>
    <row r="194" spans="9:9" x14ac:dyDescent="0.4">
      <c r="I194" s="58"/>
    </row>
    <row r="195" spans="9:9" x14ac:dyDescent="0.4">
      <c r="I195" s="58"/>
    </row>
    <row r="196" spans="9:9" x14ac:dyDescent="0.4">
      <c r="I196" s="58"/>
    </row>
    <row r="197" spans="9:9" x14ac:dyDescent="0.4">
      <c r="I197" s="58"/>
    </row>
    <row r="198" spans="9:9" x14ac:dyDescent="0.4">
      <c r="I198" s="58"/>
    </row>
    <row r="199" spans="9:9" x14ac:dyDescent="0.4">
      <c r="I199" s="58"/>
    </row>
    <row r="200" spans="9:9" x14ac:dyDescent="0.4">
      <c r="I200" s="58"/>
    </row>
    <row r="201" spans="9:9" x14ac:dyDescent="0.4">
      <c r="I201" s="58"/>
    </row>
    <row r="202" spans="9:9" x14ac:dyDescent="0.4">
      <c r="I202" s="58"/>
    </row>
    <row r="203" spans="9:9" x14ac:dyDescent="0.4">
      <c r="I203" s="58"/>
    </row>
    <row r="204" spans="9:9" x14ac:dyDescent="0.4">
      <c r="I204" s="58"/>
    </row>
    <row r="205" spans="9:9" x14ac:dyDescent="0.4">
      <c r="I205" s="58"/>
    </row>
    <row r="206" spans="9:9" x14ac:dyDescent="0.4">
      <c r="I206" s="58"/>
    </row>
    <row r="207" spans="9:9" x14ac:dyDescent="0.4">
      <c r="I207" s="58"/>
    </row>
    <row r="208" spans="9:9" x14ac:dyDescent="0.4">
      <c r="I208" s="58"/>
    </row>
    <row r="209" spans="9:9" x14ac:dyDescent="0.4">
      <c r="I209" s="58"/>
    </row>
    <row r="210" spans="9:9" x14ac:dyDescent="0.4">
      <c r="I210" s="58"/>
    </row>
    <row r="211" spans="9:9" x14ac:dyDescent="0.4">
      <c r="I211" s="58"/>
    </row>
    <row r="212" spans="9:9" x14ac:dyDescent="0.4">
      <c r="I212" s="58"/>
    </row>
    <row r="213" spans="9:9" x14ac:dyDescent="0.4">
      <c r="I213" s="58"/>
    </row>
    <row r="214" spans="9:9" x14ac:dyDescent="0.4">
      <c r="I214" s="58"/>
    </row>
    <row r="215" spans="9:9" x14ac:dyDescent="0.4">
      <c r="I215" s="58"/>
    </row>
    <row r="216" spans="9:9" x14ac:dyDescent="0.4">
      <c r="I216" s="58"/>
    </row>
    <row r="217" spans="9:9" x14ac:dyDescent="0.4">
      <c r="I217" s="58"/>
    </row>
    <row r="218" spans="9:9" x14ac:dyDescent="0.4">
      <c r="I218" s="58"/>
    </row>
    <row r="219" spans="9:9" x14ac:dyDescent="0.4">
      <c r="I219" s="58"/>
    </row>
    <row r="220" spans="9:9" x14ac:dyDescent="0.4">
      <c r="I220" s="58"/>
    </row>
    <row r="221" spans="9:9" x14ac:dyDescent="0.4">
      <c r="I221" s="58"/>
    </row>
    <row r="222" spans="9:9" x14ac:dyDescent="0.4">
      <c r="I222" s="58"/>
    </row>
    <row r="223" spans="9:9" x14ac:dyDescent="0.4">
      <c r="I223" s="58"/>
    </row>
    <row r="224" spans="9:9" x14ac:dyDescent="0.4">
      <c r="I224" s="58"/>
    </row>
    <row r="225" spans="9:9" x14ac:dyDescent="0.4">
      <c r="I225" s="58"/>
    </row>
    <row r="226" spans="9:9" x14ac:dyDescent="0.4">
      <c r="I226" s="58"/>
    </row>
    <row r="227" spans="9:9" x14ac:dyDescent="0.4">
      <c r="I227" s="58"/>
    </row>
    <row r="228" spans="9:9" x14ac:dyDescent="0.4">
      <c r="I228" s="58"/>
    </row>
    <row r="229" spans="9:9" x14ac:dyDescent="0.4">
      <c r="I229" s="58"/>
    </row>
    <row r="230" spans="9:9" x14ac:dyDescent="0.4">
      <c r="I230" s="58"/>
    </row>
    <row r="231" spans="9:9" x14ac:dyDescent="0.4">
      <c r="I231" s="58"/>
    </row>
    <row r="232" spans="9:9" x14ac:dyDescent="0.4">
      <c r="I232" s="58"/>
    </row>
    <row r="233" spans="9:9" x14ac:dyDescent="0.4">
      <c r="I233" s="58"/>
    </row>
    <row r="234" spans="9:9" x14ac:dyDescent="0.4">
      <c r="I234" s="58"/>
    </row>
    <row r="235" spans="9:9" x14ac:dyDescent="0.4">
      <c r="I235" s="58"/>
    </row>
    <row r="236" spans="9:9" x14ac:dyDescent="0.4">
      <c r="I236" s="58"/>
    </row>
    <row r="237" spans="9:9" x14ac:dyDescent="0.4">
      <c r="I237" s="58"/>
    </row>
    <row r="238" spans="9:9" x14ac:dyDescent="0.4">
      <c r="I238" s="58"/>
    </row>
    <row r="239" spans="9:9" x14ac:dyDescent="0.4">
      <c r="I239" s="58"/>
    </row>
    <row r="240" spans="9:9" x14ac:dyDescent="0.4">
      <c r="I240" s="58"/>
    </row>
    <row r="241" spans="9:9" x14ac:dyDescent="0.4">
      <c r="I241" s="58"/>
    </row>
    <row r="242" spans="9:9" x14ac:dyDescent="0.4">
      <c r="I242" s="58"/>
    </row>
    <row r="243" spans="9:9" x14ac:dyDescent="0.4">
      <c r="I243" s="58"/>
    </row>
    <row r="244" spans="9:9" x14ac:dyDescent="0.4">
      <c r="I244" s="58"/>
    </row>
    <row r="245" spans="9:9" x14ac:dyDescent="0.4">
      <c r="I245" s="58"/>
    </row>
    <row r="246" spans="9:9" x14ac:dyDescent="0.4">
      <c r="I246" s="58"/>
    </row>
    <row r="247" spans="9:9" x14ac:dyDescent="0.4">
      <c r="I247" s="58"/>
    </row>
    <row r="248" spans="9:9" x14ac:dyDescent="0.4">
      <c r="I248" s="58"/>
    </row>
    <row r="249" spans="9:9" x14ac:dyDescent="0.4">
      <c r="I249" s="58"/>
    </row>
    <row r="250" spans="9:9" x14ac:dyDescent="0.4">
      <c r="I250" s="58"/>
    </row>
    <row r="251" spans="9:9" x14ac:dyDescent="0.4">
      <c r="I251" s="58"/>
    </row>
    <row r="252" spans="9:9" x14ac:dyDescent="0.4">
      <c r="I252" s="58"/>
    </row>
    <row r="253" spans="9:9" x14ac:dyDescent="0.4">
      <c r="I253" s="58"/>
    </row>
    <row r="254" spans="9:9" x14ac:dyDescent="0.4">
      <c r="I254" s="58"/>
    </row>
    <row r="255" spans="9:9" x14ac:dyDescent="0.4">
      <c r="I255" s="58"/>
    </row>
    <row r="256" spans="9:9" x14ac:dyDescent="0.4">
      <c r="I256" s="58"/>
    </row>
    <row r="257" spans="9:9" x14ac:dyDescent="0.4">
      <c r="I257" s="58"/>
    </row>
    <row r="258" spans="9:9" x14ac:dyDescent="0.4">
      <c r="I258" s="58"/>
    </row>
    <row r="259" spans="9:9" x14ac:dyDescent="0.4">
      <c r="I259" s="58"/>
    </row>
    <row r="260" spans="9:9" x14ac:dyDescent="0.4">
      <c r="I260" s="58"/>
    </row>
    <row r="261" spans="9:9" x14ac:dyDescent="0.4">
      <c r="I261" s="58"/>
    </row>
    <row r="262" spans="9:9" x14ac:dyDescent="0.4">
      <c r="I262" s="58"/>
    </row>
    <row r="263" spans="9:9" x14ac:dyDescent="0.4">
      <c r="I263" s="58"/>
    </row>
    <row r="264" spans="9:9" x14ac:dyDescent="0.4">
      <c r="I264" s="58"/>
    </row>
    <row r="265" spans="9:9" x14ac:dyDescent="0.4">
      <c r="I265" s="58"/>
    </row>
    <row r="266" spans="9:9" x14ac:dyDescent="0.4">
      <c r="I266" s="58"/>
    </row>
    <row r="267" spans="9:9" x14ac:dyDescent="0.4">
      <c r="I267" s="58"/>
    </row>
    <row r="268" spans="9:9" x14ac:dyDescent="0.4">
      <c r="I268" s="58"/>
    </row>
    <row r="269" spans="9:9" x14ac:dyDescent="0.4">
      <c r="I269" s="58"/>
    </row>
    <row r="270" spans="9:9" x14ac:dyDescent="0.4">
      <c r="I270" s="58"/>
    </row>
    <row r="271" spans="9:9" x14ac:dyDescent="0.4">
      <c r="I271" s="58"/>
    </row>
    <row r="272" spans="9:9" x14ac:dyDescent="0.4">
      <c r="I272" s="58"/>
    </row>
    <row r="273" spans="9:9" x14ac:dyDescent="0.4">
      <c r="I273" s="58"/>
    </row>
    <row r="274" spans="9:9" x14ac:dyDescent="0.4">
      <c r="I274" s="58"/>
    </row>
    <row r="275" spans="9:9" x14ac:dyDescent="0.4">
      <c r="I275" s="58"/>
    </row>
    <row r="276" spans="9:9" x14ac:dyDescent="0.4">
      <c r="I276" s="58"/>
    </row>
    <row r="277" spans="9:9" x14ac:dyDescent="0.4">
      <c r="I277" s="58"/>
    </row>
    <row r="278" spans="9:9" x14ac:dyDescent="0.4">
      <c r="I278" s="58"/>
    </row>
    <row r="279" spans="9:9" x14ac:dyDescent="0.4">
      <c r="I279" s="58"/>
    </row>
    <row r="280" spans="9:9" x14ac:dyDescent="0.4">
      <c r="I280" s="58"/>
    </row>
    <row r="281" spans="9:9" x14ac:dyDescent="0.4">
      <c r="I281" s="58"/>
    </row>
    <row r="282" spans="9:9" x14ac:dyDescent="0.4">
      <c r="I282" s="58"/>
    </row>
    <row r="283" spans="9:9" x14ac:dyDescent="0.4">
      <c r="I283" s="58"/>
    </row>
    <row r="284" spans="9:9" x14ac:dyDescent="0.4">
      <c r="I284" s="58"/>
    </row>
    <row r="285" spans="9:9" x14ac:dyDescent="0.4">
      <c r="I285" s="58"/>
    </row>
    <row r="286" spans="9:9" x14ac:dyDescent="0.4">
      <c r="I286" s="58"/>
    </row>
    <row r="287" spans="9:9" x14ac:dyDescent="0.4">
      <c r="I287" s="58"/>
    </row>
    <row r="288" spans="9:9" x14ac:dyDescent="0.4">
      <c r="I288" s="58"/>
    </row>
    <row r="289" spans="9:9" x14ac:dyDescent="0.4">
      <c r="I289" s="58"/>
    </row>
    <row r="290" spans="9:9" x14ac:dyDescent="0.4">
      <c r="I290" s="58"/>
    </row>
    <row r="291" spans="9:9" x14ac:dyDescent="0.4">
      <c r="I291" s="58"/>
    </row>
    <row r="292" spans="9:9" x14ac:dyDescent="0.4">
      <c r="I292" s="58"/>
    </row>
    <row r="293" spans="9:9" x14ac:dyDescent="0.4">
      <c r="I293" s="58"/>
    </row>
    <row r="294" spans="9:9" x14ac:dyDescent="0.4">
      <c r="I294" s="58"/>
    </row>
    <row r="295" spans="9:9" x14ac:dyDescent="0.4">
      <c r="I295" s="58"/>
    </row>
    <row r="296" spans="9:9" x14ac:dyDescent="0.4">
      <c r="I296" s="58"/>
    </row>
    <row r="297" spans="9:9" x14ac:dyDescent="0.4">
      <c r="I297" s="58"/>
    </row>
    <row r="298" spans="9:9" x14ac:dyDescent="0.4">
      <c r="I298" s="58"/>
    </row>
    <row r="299" spans="9:9" x14ac:dyDescent="0.4">
      <c r="I299" s="58"/>
    </row>
    <row r="300" spans="9:9" x14ac:dyDescent="0.4">
      <c r="I300" s="58"/>
    </row>
    <row r="301" spans="9:9" x14ac:dyDescent="0.4">
      <c r="I301" s="58"/>
    </row>
    <row r="302" spans="9:9" x14ac:dyDescent="0.4">
      <c r="I302" s="58"/>
    </row>
    <row r="303" spans="9:9" x14ac:dyDescent="0.4">
      <c r="I303" s="58"/>
    </row>
    <row r="304" spans="9:9" x14ac:dyDescent="0.4">
      <c r="I304" s="58"/>
    </row>
    <row r="305" spans="9:9" x14ac:dyDescent="0.4">
      <c r="I305" s="58"/>
    </row>
    <row r="306" spans="9:9" x14ac:dyDescent="0.4">
      <c r="I306" s="58"/>
    </row>
    <row r="307" spans="9:9" x14ac:dyDescent="0.4">
      <c r="I307" s="58"/>
    </row>
    <row r="308" spans="9:9" x14ac:dyDescent="0.4">
      <c r="I308" s="58"/>
    </row>
    <row r="309" spans="9:9" x14ac:dyDescent="0.4">
      <c r="I309" s="58"/>
    </row>
    <row r="310" spans="9:9" x14ac:dyDescent="0.4">
      <c r="I310" s="58"/>
    </row>
    <row r="311" spans="9:9" x14ac:dyDescent="0.4">
      <c r="I311" s="58"/>
    </row>
    <row r="312" spans="9:9" x14ac:dyDescent="0.4">
      <c r="I312" s="58"/>
    </row>
    <row r="313" spans="9:9" x14ac:dyDescent="0.4">
      <c r="I313" s="58"/>
    </row>
    <row r="314" spans="9:9" x14ac:dyDescent="0.4">
      <c r="I314" s="58"/>
    </row>
    <row r="315" spans="9:9" x14ac:dyDescent="0.4">
      <c r="I315" s="58"/>
    </row>
    <row r="316" spans="9:9" x14ac:dyDescent="0.4">
      <c r="I316" s="58"/>
    </row>
    <row r="317" spans="9:9" x14ac:dyDescent="0.4">
      <c r="I317" s="58"/>
    </row>
    <row r="318" spans="9:9" x14ac:dyDescent="0.4">
      <c r="I318" s="58"/>
    </row>
    <row r="319" spans="9:9" x14ac:dyDescent="0.4">
      <c r="I319" s="58"/>
    </row>
    <row r="320" spans="9:9" x14ac:dyDescent="0.4">
      <c r="I320" s="58"/>
    </row>
    <row r="321" spans="9:9" x14ac:dyDescent="0.4">
      <c r="I321" s="58"/>
    </row>
    <row r="322" spans="9:9" x14ac:dyDescent="0.4">
      <c r="I322" s="58"/>
    </row>
    <row r="323" spans="9:9" x14ac:dyDescent="0.4">
      <c r="I323" s="58"/>
    </row>
    <row r="324" spans="9:9" x14ac:dyDescent="0.4">
      <c r="I324" s="58"/>
    </row>
    <row r="325" spans="9:9" x14ac:dyDescent="0.4">
      <c r="I325" s="58"/>
    </row>
    <row r="326" spans="9:9" x14ac:dyDescent="0.4">
      <c r="I326" s="58"/>
    </row>
    <row r="327" spans="9:9" x14ac:dyDescent="0.4">
      <c r="I327" s="58"/>
    </row>
    <row r="328" spans="9:9" x14ac:dyDescent="0.4">
      <c r="I328" s="58"/>
    </row>
    <row r="329" spans="9:9" x14ac:dyDescent="0.4">
      <c r="I329" s="58"/>
    </row>
    <row r="330" spans="9:9" x14ac:dyDescent="0.4">
      <c r="I330" s="58"/>
    </row>
    <row r="331" spans="9:9" x14ac:dyDescent="0.4">
      <c r="I331" s="58"/>
    </row>
    <row r="332" spans="9:9" x14ac:dyDescent="0.4">
      <c r="I332" s="58"/>
    </row>
    <row r="333" spans="9:9" x14ac:dyDescent="0.4">
      <c r="I333" s="58"/>
    </row>
    <row r="334" spans="9:9" x14ac:dyDescent="0.4">
      <c r="I334" s="58"/>
    </row>
    <row r="335" spans="9:9" x14ac:dyDescent="0.4">
      <c r="I335" s="58"/>
    </row>
    <row r="336" spans="9:9" x14ac:dyDescent="0.4">
      <c r="I336" s="58"/>
    </row>
    <row r="337" spans="9:9" x14ac:dyDescent="0.4">
      <c r="I337" s="58"/>
    </row>
    <row r="338" spans="9:9" x14ac:dyDescent="0.4">
      <c r="I338" s="58"/>
    </row>
    <row r="339" spans="9:9" x14ac:dyDescent="0.4">
      <c r="I339" s="58"/>
    </row>
    <row r="340" spans="9:9" x14ac:dyDescent="0.4">
      <c r="I340" s="58"/>
    </row>
    <row r="341" spans="9:9" x14ac:dyDescent="0.4">
      <c r="I341" s="58"/>
    </row>
    <row r="342" spans="9:9" x14ac:dyDescent="0.4">
      <c r="I342" s="58"/>
    </row>
    <row r="343" spans="9:9" x14ac:dyDescent="0.4">
      <c r="I343" s="58"/>
    </row>
    <row r="344" spans="9:9" x14ac:dyDescent="0.4">
      <c r="I344" s="58"/>
    </row>
    <row r="345" spans="9:9" x14ac:dyDescent="0.4">
      <c r="I345" s="58"/>
    </row>
    <row r="346" spans="9:9" x14ac:dyDescent="0.4">
      <c r="I346" s="58"/>
    </row>
    <row r="347" spans="9:9" x14ac:dyDescent="0.4">
      <c r="I347" s="58"/>
    </row>
    <row r="348" spans="9:9" x14ac:dyDescent="0.4">
      <c r="I348" s="58"/>
    </row>
    <row r="349" spans="9:9" x14ac:dyDescent="0.4">
      <c r="I349" s="58"/>
    </row>
    <row r="350" spans="9:9" x14ac:dyDescent="0.4">
      <c r="I350" s="58"/>
    </row>
    <row r="351" spans="9:9" x14ac:dyDescent="0.4">
      <c r="I351" s="58"/>
    </row>
    <row r="352" spans="9:9" x14ac:dyDescent="0.4">
      <c r="I352" s="58"/>
    </row>
    <row r="353" spans="9:9" x14ac:dyDescent="0.4">
      <c r="I353" s="58"/>
    </row>
    <row r="354" spans="9:9" x14ac:dyDescent="0.4">
      <c r="I354" s="58"/>
    </row>
    <row r="355" spans="9:9" x14ac:dyDescent="0.4">
      <c r="I355" s="58"/>
    </row>
    <row r="356" spans="9:9" x14ac:dyDescent="0.4">
      <c r="I356" s="58"/>
    </row>
    <row r="357" spans="9:9" x14ac:dyDescent="0.4">
      <c r="I357" s="58"/>
    </row>
    <row r="358" spans="9:9" x14ac:dyDescent="0.4">
      <c r="I358" s="58"/>
    </row>
    <row r="359" spans="9:9" x14ac:dyDescent="0.4">
      <c r="I359" s="58"/>
    </row>
    <row r="360" spans="9:9" x14ac:dyDescent="0.4">
      <c r="I360" s="58"/>
    </row>
    <row r="361" spans="9:9" x14ac:dyDescent="0.4">
      <c r="I361" s="58"/>
    </row>
    <row r="362" spans="9:9" x14ac:dyDescent="0.4">
      <c r="I362" s="58"/>
    </row>
    <row r="363" spans="9:9" x14ac:dyDescent="0.4">
      <c r="I363" s="58"/>
    </row>
    <row r="364" spans="9:9" x14ac:dyDescent="0.4">
      <c r="I364" s="58"/>
    </row>
    <row r="365" spans="9:9" x14ac:dyDescent="0.4">
      <c r="I365" s="58"/>
    </row>
    <row r="366" spans="9:9" x14ac:dyDescent="0.4">
      <c r="I366" s="58"/>
    </row>
    <row r="367" spans="9:9" x14ac:dyDescent="0.4">
      <c r="I367" s="58"/>
    </row>
    <row r="368" spans="9:9" x14ac:dyDescent="0.4">
      <c r="I368" s="58"/>
    </row>
    <row r="369" spans="9:9" x14ac:dyDescent="0.4">
      <c r="I369" s="58"/>
    </row>
    <row r="370" spans="9:9" x14ac:dyDescent="0.4">
      <c r="I370" s="58"/>
    </row>
    <row r="371" spans="9:9" x14ac:dyDescent="0.4">
      <c r="I371" s="58"/>
    </row>
    <row r="372" spans="9:9" x14ac:dyDescent="0.4">
      <c r="I372" s="58"/>
    </row>
    <row r="373" spans="9:9" x14ac:dyDescent="0.4">
      <c r="I373" s="58"/>
    </row>
    <row r="374" spans="9:9" x14ac:dyDescent="0.4">
      <c r="I374" s="58"/>
    </row>
    <row r="375" spans="9:9" x14ac:dyDescent="0.4">
      <c r="I375" s="58"/>
    </row>
    <row r="376" spans="9:9" x14ac:dyDescent="0.4">
      <c r="I376" s="58"/>
    </row>
    <row r="377" spans="9:9" x14ac:dyDescent="0.4">
      <c r="I377" s="58"/>
    </row>
    <row r="378" spans="9:9" x14ac:dyDescent="0.4">
      <c r="I378" s="58"/>
    </row>
    <row r="379" spans="9:9" x14ac:dyDescent="0.4">
      <c r="I379" s="58"/>
    </row>
    <row r="380" spans="9:9" x14ac:dyDescent="0.4">
      <c r="I380" s="58"/>
    </row>
    <row r="381" spans="9:9" x14ac:dyDescent="0.4">
      <c r="I381" s="58"/>
    </row>
    <row r="382" spans="9:9" x14ac:dyDescent="0.4">
      <c r="I382" s="58"/>
    </row>
    <row r="383" spans="9:9" x14ac:dyDescent="0.4">
      <c r="I383" s="58"/>
    </row>
    <row r="384" spans="9:9" x14ac:dyDescent="0.4">
      <c r="I384" s="58"/>
    </row>
    <row r="385" spans="9:9" x14ac:dyDescent="0.4">
      <c r="I385" s="58"/>
    </row>
    <row r="386" spans="9:9" x14ac:dyDescent="0.4">
      <c r="I386" s="58"/>
    </row>
    <row r="387" spans="9:9" x14ac:dyDescent="0.4">
      <c r="I387" s="58"/>
    </row>
    <row r="388" spans="9:9" x14ac:dyDescent="0.4">
      <c r="I388" s="58"/>
    </row>
    <row r="389" spans="9:9" x14ac:dyDescent="0.4">
      <c r="I389" s="58"/>
    </row>
    <row r="390" spans="9:9" x14ac:dyDescent="0.4">
      <c r="I390" s="58"/>
    </row>
    <row r="391" spans="9:9" x14ac:dyDescent="0.4">
      <c r="I391" s="58"/>
    </row>
    <row r="392" spans="9:9" x14ac:dyDescent="0.4">
      <c r="I392" s="58"/>
    </row>
    <row r="393" spans="9:9" x14ac:dyDescent="0.4">
      <c r="I393" s="58"/>
    </row>
    <row r="394" spans="9:9" x14ac:dyDescent="0.4">
      <c r="I394" s="58"/>
    </row>
    <row r="395" spans="9:9" x14ac:dyDescent="0.4">
      <c r="I395" s="58"/>
    </row>
    <row r="396" spans="9:9" x14ac:dyDescent="0.4">
      <c r="I396" s="58"/>
    </row>
    <row r="397" spans="9:9" x14ac:dyDescent="0.4">
      <c r="I397" s="58"/>
    </row>
    <row r="398" spans="9:9" x14ac:dyDescent="0.4">
      <c r="I398" s="58"/>
    </row>
    <row r="399" spans="9:9" x14ac:dyDescent="0.4">
      <c r="I399" s="58"/>
    </row>
    <row r="400" spans="9:9" x14ac:dyDescent="0.4">
      <c r="I400" s="58"/>
    </row>
    <row r="401" spans="9:9" x14ac:dyDescent="0.4">
      <c r="I401" s="58"/>
    </row>
    <row r="402" spans="9:9" x14ac:dyDescent="0.4">
      <c r="I402" s="58"/>
    </row>
    <row r="403" spans="9:9" x14ac:dyDescent="0.4">
      <c r="I403" s="58"/>
    </row>
    <row r="404" spans="9:9" x14ac:dyDescent="0.4">
      <c r="I404" s="58"/>
    </row>
    <row r="405" spans="9:9" x14ac:dyDescent="0.4">
      <c r="I405" s="58"/>
    </row>
    <row r="406" spans="9:9" x14ac:dyDescent="0.4">
      <c r="I406" s="58"/>
    </row>
    <row r="407" spans="9:9" x14ac:dyDescent="0.4">
      <c r="I407" s="58"/>
    </row>
    <row r="408" spans="9:9" x14ac:dyDescent="0.4">
      <c r="I408" s="58"/>
    </row>
    <row r="409" spans="9:9" x14ac:dyDescent="0.4">
      <c r="I409" s="58"/>
    </row>
    <row r="410" spans="9:9" x14ac:dyDescent="0.4">
      <c r="I410" s="58"/>
    </row>
    <row r="411" spans="9:9" x14ac:dyDescent="0.4">
      <c r="I411" s="58"/>
    </row>
    <row r="412" spans="9:9" x14ac:dyDescent="0.4">
      <c r="I412" s="58"/>
    </row>
    <row r="413" spans="9:9" x14ac:dyDescent="0.4">
      <c r="I413" s="58"/>
    </row>
    <row r="414" spans="9:9" x14ac:dyDescent="0.4">
      <c r="I414" s="58"/>
    </row>
    <row r="415" spans="9:9" x14ac:dyDescent="0.4">
      <c r="I415" s="58"/>
    </row>
    <row r="416" spans="9:9" x14ac:dyDescent="0.4">
      <c r="I416" s="58"/>
    </row>
    <row r="417" spans="9:9" x14ac:dyDescent="0.4">
      <c r="I417" s="58"/>
    </row>
    <row r="418" spans="9:9" x14ac:dyDescent="0.4">
      <c r="I418" s="58"/>
    </row>
    <row r="419" spans="9:9" x14ac:dyDescent="0.4">
      <c r="I419" s="58"/>
    </row>
    <row r="420" spans="9:9" x14ac:dyDescent="0.4">
      <c r="I420" s="58"/>
    </row>
    <row r="421" spans="9:9" x14ac:dyDescent="0.4">
      <c r="I421" s="58"/>
    </row>
    <row r="422" spans="9:9" x14ac:dyDescent="0.4">
      <c r="I422" s="58"/>
    </row>
    <row r="423" spans="9:9" x14ac:dyDescent="0.4">
      <c r="I423" s="58"/>
    </row>
    <row r="424" spans="9:9" x14ac:dyDescent="0.4">
      <c r="I424" s="58"/>
    </row>
    <row r="425" spans="9:9" x14ac:dyDescent="0.4">
      <c r="I425" s="58"/>
    </row>
    <row r="426" spans="9:9" x14ac:dyDescent="0.4">
      <c r="I426" s="58"/>
    </row>
    <row r="427" spans="9:9" x14ac:dyDescent="0.4">
      <c r="I427" s="58"/>
    </row>
    <row r="428" spans="9:9" x14ac:dyDescent="0.4">
      <c r="I428" s="58"/>
    </row>
    <row r="429" spans="9:9" x14ac:dyDescent="0.4">
      <c r="I429" s="58"/>
    </row>
    <row r="430" spans="9:9" x14ac:dyDescent="0.4">
      <c r="I430" s="58"/>
    </row>
    <row r="431" spans="9:9" x14ac:dyDescent="0.4">
      <c r="I431" s="58"/>
    </row>
    <row r="432" spans="9:9" x14ac:dyDescent="0.4">
      <c r="I432" s="58"/>
    </row>
    <row r="433" spans="9:9" x14ac:dyDescent="0.4">
      <c r="I433" s="58"/>
    </row>
    <row r="434" spans="9:9" x14ac:dyDescent="0.4">
      <c r="I434" s="58"/>
    </row>
    <row r="435" spans="9:9" x14ac:dyDescent="0.4">
      <c r="I435" s="58"/>
    </row>
    <row r="436" spans="9:9" x14ac:dyDescent="0.4">
      <c r="I436" s="58"/>
    </row>
    <row r="437" spans="9:9" x14ac:dyDescent="0.4">
      <c r="I437" s="58"/>
    </row>
    <row r="438" spans="9:9" x14ac:dyDescent="0.4">
      <c r="I438" s="58"/>
    </row>
    <row r="439" spans="9:9" x14ac:dyDescent="0.4">
      <c r="I439" s="58"/>
    </row>
    <row r="440" spans="9:9" x14ac:dyDescent="0.4">
      <c r="I440" s="58"/>
    </row>
    <row r="441" spans="9:9" x14ac:dyDescent="0.4">
      <c r="I441" s="58"/>
    </row>
    <row r="442" spans="9:9" x14ac:dyDescent="0.4">
      <c r="I442" s="58"/>
    </row>
    <row r="443" spans="9:9" x14ac:dyDescent="0.4">
      <c r="I443" s="58"/>
    </row>
    <row r="444" spans="9:9" x14ac:dyDescent="0.4">
      <c r="I444" s="58"/>
    </row>
    <row r="445" spans="9:9" x14ac:dyDescent="0.4">
      <c r="I445" s="58"/>
    </row>
    <row r="446" spans="9:9" x14ac:dyDescent="0.4">
      <c r="I446" s="58"/>
    </row>
    <row r="447" spans="9:9" x14ac:dyDescent="0.4">
      <c r="I447" s="58"/>
    </row>
    <row r="448" spans="9:9" x14ac:dyDescent="0.4">
      <c r="I448" s="58"/>
    </row>
    <row r="449" spans="9:9" x14ac:dyDescent="0.4">
      <c r="I449" s="58"/>
    </row>
    <row r="450" spans="9:9" x14ac:dyDescent="0.4">
      <c r="I450" s="58"/>
    </row>
    <row r="451" spans="9:9" x14ac:dyDescent="0.4">
      <c r="I451" s="58"/>
    </row>
    <row r="452" spans="9:9" x14ac:dyDescent="0.4">
      <c r="I452" s="58"/>
    </row>
    <row r="453" spans="9:9" x14ac:dyDescent="0.4">
      <c r="I453" s="58"/>
    </row>
    <row r="454" spans="9:9" x14ac:dyDescent="0.4">
      <c r="I454" s="58"/>
    </row>
    <row r="455" spans="9:9" x14ac:dyDescent="0.4">
      <c r="I455" s="58"/>
    </row>
    <row r="456" spans="9:9" x14ac:dyDescent="0.4">
      <c r="I456" s="58"/>
    </row>
    <row r="457" spans="9:9" x14ac:dyDescent="0.4">
      <c r="I457" s="58"/>
    </row>
    <row r="458" spans="9:9" x14ac:dyDescent="0.4">
      <c r="I458" s="58"/>
    </row>
    <row r="459" spans="9:9" x14ac:dyDescent="0.4">
      <c r="I459" s="58"/>
    </row>
    <row r="460" spans="9:9" x14ac:dyDescent="0.4">
      <c r="I460" s="58"/>
    </row>
    <row r="461" spans="9:9" x14ac:dyDescent="0.4">
      <c r="I461" s="58"/>
    </row>
    <row r="462" spans="9:9" x14ac:dyDescent="0.4">
      <c r="I462" s="58"/>
    </row>
    <row r="463" spans="9:9" x14ac:dyDescent="0.4">
      <c r="I463" s="58"/>
    </row>
    <row r="464" spans="9:9" x14ac:dyDescent="0.4">
      <c r="I464" s="58"/>
    </row>
    <row r="465" spans="9:9" x14ac:dyDescent="0.4">
      <c r="I465" s="58"/>
    </row>
    <row r="466" spans="9:9" x14ac:dyDescent="0.4">
      <c r="I466" s="58"/>
    </row>
    <row r="467" spans="9:9" x14ac:dyDescent="0.4">
      <c r="I467" s="58"/>
    </row>
    <row r="468" spans="9:9" x14ac:dyDescent="0.4">
      <c r="I468" s="58"/>
    </row>
    <row r="469" spans="9:9" x14ac:dyDescent="0.4">
      <c r="I469" s="58"/>
    </row>
    <row r="470" spans="9:9" x14ac:dyDescent="0.4">
      <c r="I470" s="58"/>
    </row>
    <row r="471" spans="9:9" x14ac:dyDescent="0.4">
      <c r="I471" s="58"/>
    </row>
    <row r="472" spans="9:9" x14ac:dyDescent="0.4">
      <c r="I472" s="58"/>
    </row>
    <row r="473" spans="9:9" x14ac:dyDescent="0.4">
      <c r="I473" s="58"/>
    </row>
    <row r="474" spans="9:9" x14ac:dyDescent="0.4">
      <c r="I474" s="58"/>
    </row>
    <row r="475" spans="9:9" x14ac:dyDescent="0.4">
      <c r="I475" s="58"/>
    </row>
    <row r="476" spans="9:9" x14ac:dyDescent="0.4">
      <c r="I476" s="58"/>
    </row>
    <row r="477" spans="9:9" x14ac:dyDescent="0.4">
      <c r="I477" s="58"/>
    </row>
    <row r="478" spans="9:9" x14ac:dyDescent="0.4">
      <c r="I478" s="58"/>
    </row>
    <row r="479" spans="9:9" x14ac:dyDescent="0.4">
      <c r="I479" s="58"/>
    </row>
    <row r="480" spans="9:9" x14ac:dyDescent="0.4">
      <c r="I480" s="58"/>
    </row>
    <row r="481" spans="9:9" x14ac:dyDescent="0.4">
      <c r="I481" s="58"/>
    </row>
    <row r="482" spans="9:9" x14ac:dyDescent="0.4">
      <c r="I482" s="58"/>
    </row>
    <row r="483" spans="9:9" x14ac:dyDescent="0.4">
      <c r="I483" s="58"/>
    </row>
    <row r="484" spans="9:9" x14ac:dyDescent="0.4">
      <c r="I484" s="58"/>
    </row>
    <row r="485" spans="9:9" x14ac:dyDescent="0.4">
      <c r="I485" s="58"/>
    </row>
    <row r="486" spans="9:9" x14ac:dyDescent="0.4">
      <c r="I486" s="58"/>
    </row>
    <row r="487" spans="9:9" x14ac:dyDescent="0.4">
      <c r="I487" s="58"/>
    </row>
    <row r="488" spans="9:9" x14ac:dyDescent="0.4">
      <c r="I488" s="58"/>
    </row>
    <row r="489" spans="9:9" x14ac:dyDescent="0.4">
      <c r="I489" s="58"/>
    </row>
    <row r="490" spans="9:9" x14ac:dyDescent="0.4">
      <c r="I490" s="58"/>
    </row>
    <row r="491" spans="9:9" x14ac:dyDescent="0.4">
      <c r="I491" s="58"/>
    </row>
    <row r="492" spans="9:9" x14ac:dyDescent="0.4">
      <c r="I492" s="58"/>
    </row>
    <row r="493" spans="9:9" x14ac:dyDescent="0.4">
      <c r="I493" s="58"/>
    </row>
    <row r="494" spans="9:9" x14ac:dyDescent="0.4">
      <c r="I494" s="58"/>
    </row>
    <row r="495" spans="9:9" x14ac:dyDescent="0.4">
      <c r="I495" s="58"/>
    </row>
    <row r="496" spans="9:9" x14ac:dyDescent="0.4">
      <c r="I496" s="58"/>
    </row>
    <row r="497" spans="9:9" x14ac:dyDescent="0.4">
      <c r="I497" s="58"/>
    </row>
    <row r="498" spans="9:9" x14ac:dyDescent="0.4">
      <c r="I498" s="58"/>
    </row>
    <row r="499" spans="9:9" x14ac:dyDescent="0.4">
      <c r="I499" s="58"/>
    </row>
    <row r="500" spans="9:9" x14ac:dyDescent="0.4">
      <c r="I500" s="58"/>
    </row>
    <row r="501" spans="9:9" x14ac:dyDescent="0.4">
      <c r="I501" s="58"/>
    </row>
    <row r="502" spans="9:9" x14ac:dyDescent="0.4">
      <c r="I502" s="58"/>
    </row>
    <row r="503" spans="9:9" x14ac:dyDescent="0.4">
      <c r="I503" s="58"/>
    </row>
    <row r="504" spans="9:9" x14ac:dyDescent="0.4">
      <c r="I504" s="58"/>
    </row>
    <row r="505" spans="9:9" x14ac:dyDescent="0.4">
      <c r="I505" s="58"/>
    </row>
    <row r="506" spans="9:9" x14ac:dyDescent="0.4">
      <c r="I506" s="58"/>
    </row>
    <row r="507" spans="9:9" x14ac:dyDescent="0.4">
      <c r="I507" s="58"/>
    </row>
    <row r="508" spans="9:9" x14ac:dyDescent="0.4">
      <c r="I508" s="58"/>
    </row>
    <row r="509" spans="9:9" x14ac:dyDescent="0.4">
      <c r="I509" s="58"/>
    </row>
    <row r="510" spans="9:9" x14ac:dyDescent="0.4">
      <c r="I510" s="58"/>
    </row>
    <row r="511" spans="9:9" x14ac:dyDescent="0.4">
      <c r="I511" s="58"/>
    </row>
    <row r="512" spans="9:9" x14ac:dyDescent="0.4">
      <c r="I512" s="58"/>
    </row>
    <row r="513" spans="9:9" x14ac:dyDescent="0.4">
      <c r="I513" s="58"/>
    </row>
    <row r="514" spans="9:9" x14ac:dyDescent="0.4">
      <c r="I514" s="58"/>
    </row>
    <row r="515" spans="9:9" x14ac:dyDescent="0.4">
      <c r="I515" s="58"/>
    </row>
    <row r="516" spans="9:9" x14ac:dyDescent="0.4">
      <c r="I516" s="58"/>
    </row>
    <row r="517" spans="9:9" x14ac:dyDescent="0.4">
      <c r="I517" s="58"/>
    </row>
    <row r="518" spans="9:9" x14ac:dyDescent="0.4">
      <c r="I518" s="58"/>
    </row>
    <row r="519" spans="9:9" x14ac:dyDescent="0.4">
      <c r="I519" s="58"/>
    </row>
    <row r="520" spans="9:9" x14ac:dyDescent="0.4">
      <c r="I520" s="58"/>
    </row>
    <row r="521" spans="9:9" x14ac:dyDescent="0.4">
      <c r="I521" s="58"/>
    </row>
    <row r="522" spans="9:9" x14ac:dyDescent="0.4">
      <c r="I522" s="58"/>
    </row>
    <row r="523" spans="9:9" x14ac:dyDescent="0.4">
      <c r="I523" s="58"/>
    </row>
    <row r="524" spans="9:9" x14ac:dyDescent="0.4">
      <c r="I524" s="58"/>
    </row>
    <row r="525" spans="9:9" x14ac:dyDescent="0.4">
      <c r="I525" s="58"/>
    </row>
    <row r="526" spans="9:9" x14ac:dyDescent="0.4">
      <c r="I526" s="58"/>
    </row>
    <row r="527" spans="9:9" x14ac:dyDescent="0.4">
      <c r="I527" s="58"/>
    </row>
    <row r="528" spans="9:9" x14ac:dyDescent="0.4">
      <c r="I528" s="58"/>
    </row>
    <row r="529" spans="9:9" x14ac:dyDescent="0.4">
      <c r="I529" s="58"/>
    </row>
    <row r="530" spans="9:9" x14ac:dyDescent="0.4">
      <c r="I530" s="58"/>
    </row>
    <row r="531" spans="9:9" x14ac:dyDescent="0.4">
      <c r="I531" s="58"/>
    </row>
    <row r="532" spans="9:9" x14ac:dyDescent="0.4">
      <c r="I532" s="58"/>
    </row>
    <row r="533" spans="9:9" x14ac:dyDescent="0.4">
      <c r="I533" s="58"/>
    </row>
    <row r="534" spans="9:9" x14ac:dyDescent="0.4">
      <c r="I534" s="58"/>
    </row>
    <row r="535" spans="9:9" x14ac:dyDescent="0.4">
      <c r="I535" s="58"/>
    </row>
    <row r="536" spans="9:9" x14ac:dyDescent="0.4">
      <c r="I536" s="58"/>
    </row>
    <row r="537" spans="9:9" x14ac:dyDescent="0.4">
      <c r="I537" s="58"/>
    </row>
    <row r="538" spans="9:9" x14ac:dyDescent="0.4">
      <c r="I538" s="58"/>
    </row>
    <row r="539" spans="9:9" x14ac:dyDescent="0.4">
      <c r="I539" s="58"/>
    </row>
    <row r="540" spans="9:9" x14ac:dyDescent="0.4">
      <c r="I540" s="58"/>
    </row>
    <row r="541" spans="9:9" x14ac:dyDescent="0.4">
      <c r="I541" s="58"/>
    </row>
    <row r="542" spans="9:9" x14ac:dyDescent="0.4">
      <c r="I542" s="58"/>
    </row>
    <row r="543" spans="9:9" x14ac:dyDescent="0.4">
      <c r="I543" s="58"/>
    </row>
    <row r="544" spans="9:9" x14ac:dyDescent="0.4">
      <c r="I544" s="58"/>
    </row>
    <row r="545" spans="9:9" x14ac:dyDescent="0.4">
      <c r="I545" s="58"/>
    </row>
    <row r="546" spans="9:9" x14ac:dyDescent="0.4">
      <c r="I546" s="58"/>
    </row>
    <row r="547" spans="9:9" x14ac:dyDescent="0.4">
      <c r="I547" s="58"/>
    </row>
    <row r="548" spans="9:9" x14ac:dyDescent="0.4">
      <c r="I548" s="58"/>
    </row>
    <row r="549" spans="9:9" x14ac:dyDescent="0.4">
      <c r="I549" s="58"/>
    </row>
    <row r="550" spans="9:9" x14ac:dyDescent="0.4">
      <c r="I550" s="58"/>
    </row>
    <row r="551" spans="9:9" x14ac:dyDescent="0.4">
      <c r="I551" s="58"/>
    </row>
    <row r="552" spans="9:9" x14ac:dyDescent="0.4">
      <c r="I552" s="58"/>
    </row>
    <row r="553" spans="9:9" x14ac:dyDescent="0.4">
      <c r="I553" s="58"/>
    </row>
    <row r="554" spans="9:9" x14ac:dyDescent="0.4">
      <c r="I554" s="58"/>
    </row>
    <row r="555" spans="9:9" x14ac:dyDescent="0.4">
      <c r="I555" s="58"/>
    </row>
    <row r="556" spans="9:9" x14ac:dyDescent="0.4">
      <c r="I556" s="58"/>
    </row>
    <row r="557" spans="9:9" x14ac:dyDescent="0.4">
      <c r="I557" s="58"/>
    </row>
    <row r="558" spans="9:9" x14ac:dyDescent="0.4">
      <c r="I558" s="58"/>
    </row>
    <row r="559" spans="9:9" x14ac:dyDescent="0.4">
      <c r="I559" s="58"/>
    </row>
    <row r="560" spans="9:9" x14ac:dyDescent="0.4">
      <c r="I560" s="58"/>
    </row>
    <row r="561" spans="9:9" x14ac:dyDescent="0.4">
      <c r="I561" s="58"/>
    </row>
    <row r="562" spans="9:9" x14ac:dyDescent="0.4">
      <c r="I562" s="58"/>
    </row>
    <row r="563" spans="9:9" x14ac:dyDescent="0.4">
      <c r="I563" s="58"/>
    </row>
    <row r="564" spans="9:9" x14ac:dyDescent="0.4">
      <c r="I564" s="58"/>
    </row>
    <row r="565" spans="9:9" x14ac:dyDescent="0.4">
      <c r="I565" s="58"/>
    </row>
    <row r="566" spans="9:9" x14ac:dyDescent="0.4">
      <c r="I566" s="58"/>
    </row>
    <row r="567" spans="9:9" x14ac:dyDescent="0.4">
      <c r="I567" s="58"/>
    </row>
    <row r="568" spans="9:9" x14ac:dyDescent="0.4">
      <c r="I568" s="58"/>
    </row>
    <row r="569" spans="9:9" x14ac:dyDescent="0.4">
      <c r="I569" s="58"/>
    </row>
    <row r="570" spans="9:9" x14ac:dyDescent="0.4">
      <c r="I570" s="58"/>
    </row>
    <row r="571" spans="9:9" x14ac:dyDescent="0.4">
      <c r="I571" s="58"/>
    </row>
    <row r="572" spans="9:9" x14ac:dyDescent="0.4">
      <c r="I572" s="58"/>
    </row>
    <row r="573" spans="9:9" x14ac:dyDescent="0.4">
      <c r="I573" s="58"/>
    </row>
    <row r="574" spans="9:9" x14ac:dyDescent="0.4">
      <c r="I574" s="58"/>
    </row>
    <row r="575" spans="9:9" x14ac:dyDescent="0.4">
      <c r="I575" s="58"/>
    </row>
    <row r="576" spans="9:9" x14ac:dyDescent="0.4">
      <c r="I576" s="58"/>
    </row>
    <row r="577" spans="9:9" x14ac:dyDescent="0.4">
      <c r="I577" s="58"/>
    </row>
    <row r="578" spans="9:9" x14ac:dyDescent="0.4">
      <c r="I578" s="58"/>
    </row>
    <row r="579" spans="9:9" x14ac:dyDescent="0.4">
      <c r="I579" s="58"/>
    </row>
    <row r="580" spans="9:9" x14ac:dyDescent="0.4">
      <c r="I580" s="58"/>
    </row>
    <row r="581" spans="9:9" x14ac:dyDescent="0.4">
      <c r="I581" s="58"/>
    </row>
    <row r="582" spans="9:9" x14ac:dyDescent="0.4">
      <c r="I582" s="58"/>
    </row>
    <row r="583" spans="9:9" x14ac:dyDescent="0.4">
      <c r="I583" s="58"/>
    </row>
    <row r="584" spans="9:9" x14ac:dyDescent="0.4">
      <c r="I584" s="58"/>
    </row>
    <row r="585" spans="9:9" x14ac:dyDescent="0.4">
      <c r="I585" s="58"/>
    </row>
    <row r="586" spans="9:9" x14ac:dyDescent="0.4">
      <c r="I586" s="58"/>
    </row>
    <row r="587" spans="9:9" x14ac:dyDescent="0.4">
      <c r="I587" s="58"/>
    </row>
    <row r="588" spans="9:9" x14ac:dyDescent="0.4">
      <c r="I588" s="58"/>
    </row>
    <row r="589" spans="9:9" x14ac:dyDescent="0.4">
      <c r="I589" s="58"/>
    </row>
    <row r="590" spans="9:9" x14ac:dyDescent="0.4">
      <c r="I590" s="58"/>
    </row>
    <row r="591" spans="9:9" x14ac:dyDescent="0.4">
      <c r="I591" s="58"/>
    </row>
    <row r="592" spans="9:9" x14ac:dyDescent="0.4">
      <c r="I592" s="58"/>
    </row>
    <row r="593" spans="9:9" x14ac:dyDescent="0.4">
      <c r="I593" s="58"/>
    </row>
    <row r="594" spans="9:9" x14ac:dyDescent="0.4">
      <c r="I594" s="58"/>
    </row>
    <row r="595" spans="9:9" x14ac:dyDescent="0.4">
      <c r="I595" s="58"/>
    </row>
    <row r="596" spans="9:9" x14ac:dyDescent="0.4">
      <c r="I596" s="58"/>
    </row>
    <row r="597" spans="9:9" x14ac:dyDescent="0.4">
      <c r="I597" s="58"/>
    </row>
    <row r="598" spans="9:9" x14ac:dyDescent="0.4">
      <c r="I598" s="58"/>
    </row>
    <row r="599" spans="9:9" x14ac:dyDescent="0.4">
      <c r="I599" s="58"/>
    </row>
    <row r="600" spans="9:9" x14ac:dyDescent="0.4">
      <c r="I600" s="58"/>
    </row>
    <row r="601" spans="9:9" x14ac:dyDescent="0.4">
      <c r="I601" s="58"/>
    </row>
    <row r="602" spans="9:9" x14ac:dyDescent="0.4">
      <c r="I602" s="58"/>
    </row>
    <row r="603" spans="9:9" x14ac:dyDescent="0.4">
      <c r="I603" s="58"/>
    </row>
    <row r="604" spans="9:9" x14ac:dyDescent="0.4">
      <c r="I604" s="58"/>
    </row>
    <row r="605" spans="9:9" x14ac:dyDescent="0.4">
      <c r="I605" s="58"/>
    </row>
    <row r="606" spans="9:9" x14ac:dyDescent="0.4">
      <c r="I606" s="58"/>
    </row>
    <row r="607" spans="9:9" x14ac:dyDescent="0.4">
      <c r="I607" s="58"/>
    </row>
    <row r="608" spans="9:9" x14ac:dyDescent="0.4">
      <c r="I608" s="58"/>
    </row>
    <row r="609" spans="9:9" x14ac:dyDescent="0.4">
      <c r="I609" s="58"/>
    </row>
    <row r="610" spans="9:9" x14ac:dyDescent="0.4">
      <c r="I610" s="58"/>
    </row>
    <row r="611" spans="9:9" x14ac:dyDescent="0.4">
      <c r="I611" s="58"/>
    </row>
    <row r="612" spans="9:9" x14ac:dyDescent="0.4">
      <c r="I612" s="58"/>
    </row>
    <row r="613" spans="9:9" x14ac:dyDescent="0.4">
      <c r="I613" s="58"/>
    </row>
    <row r="614" spans="9:9" x14ac:dyDescent="0.4">
      <c r="I614" s="58"/>
    </row>
    <row r="615" spans="9:9" x14ac:dyDescent="0.4">
      <c r="I615" s="58"/>
    </row>
    <row r="616" spans="9:9" x14ac:dyDescent="0.4">
      <c r="I616" s="58"/>
    </row>
    <row r="617" spans="9:9" x14ac:dyDescent="0.4">
      <c r="I617" s="58"/>
    </row>
    <row r="618" spans="9:9" x14ac:dyDescent="0.4">
      <c r="I618" s="58"/>
    </row>
    <row r="619" spans="9:9" x14ac:dyDescent="0.4">
      <c r="I619" s="58"/>
    </row>
    <row r="620" spans="9:9" x14ac:dyDescent="0.4">
      <c r="I620" s="58"/>
    </row>
    <row r="621" spans="9:9" x14ac:dyDescent="0.4">
      <c r="I621" s="58"/>
    </row>
    <row r="622" spans="9:9" x14ac:dyDescent="0.4">
      <c r="I622" s="58"/>
    </row>
    <row r="623" spans="9:9" x14ac:dyDescent="0.4">
      <c r="I623" s="58"/>
    </row>
    <row r="624" spans="9:9" x14ac:dyDescent="0.4">
      <c r="I624" s="58"/>
    </row>
    <row r="625" spans="9:9" x14ac:dyDescent="0.4">
      <c r="I625" s="58"/>
    </row>
    <row r="626" spans="9:9" x14ac:dyDescent="0.4">
      <c r="I626" s="58"/>
    </row>
    <row r="627" spans="9:9" x14ac:dyDescent="0.4">
      <c r="I627" s="58"/>
    </row>
    <row r="628" spans="9:9" x14ac:dyDescent="0.4">
      <c r="I628" s="58"/>
    </row>
    <row r="629" spans="9:9" x14ac:dyDescent="0.4">
      <c r="I629" s="58"/>
    </row>
    <row r="630" spans="9:9" x14ac:dyDescent="0.4">
      <c r="I630" s="58"/>
    </row>
    <row r="631" spans="9:9" x14ac:dyDescent="0.4">
      <c r="I631" s="58"/>
    </row>
    <row r="632" spans="9:9" x14ac:dyDescent="0.4">
      <c r="I632" s="58"/>
    </row>
    <row r="633" spans="9:9" x14ac:dyDescent="0.4">
      <c r="I633" s="58"/>
    </row>
    <row r="634" spans="9:9" x14ac:dyDescent="0.4">
      <c r="I634" s="58"/>
    </row>
    <row r="635" spans="9:9" x14ac:dyDescent="0.4">
      <c r="I635" s="58"/>
    </row>
    <row r="636" spans="9:9" x14ac:dyDescent="0.4">
      <c r="I636" s="58"/>
    </row>
    <row r="637" spans="9:9" x14ac:dyDescent="0.4">
      <c r="I637" s="58"/>
    </row>
    <row r="638" spans="9:9" x14ac:dyDescent="0.4">
      <c r="I638" s="58"/>
    </row>
    <row r="639" spans="9:9" x14ac:dyDescent="0.4">
      <c r="I639" s="58"/>
    </row>
    <row r="640" spans="9:9" x14ac:dyDescent="0.4">
      <c r="I640" s="58"/>
    </row>
    <row r="641" spans="9:9" x14ac:dyDescent="0.4">
      <c r="I641" s="58"/>
    </row>
    <row r="642" spans="9:9" x14ac:dyDescent="0.4">
      <c r="I642" s="58"/>
    </row>
    <row r="643" spans="9:9" x14ac:dyDescent="0.4">
      <c r="I643" s="58"/>
    </row>
    <row r="644" spans="9:9" x14ac:dyDescent="0.4">
      <c r="I644" s="58"/>
    </row>
    <row r="645" spans="9:9" x14ac:dyDescent="0.4">
      <c r="I645" s="58"/>
    </row>
    <row r="646" spans="9:9" x14ac:dyDescent="0.4">
      <c r="I646" s="58"/>
    </row>
    <row r="647" spans="9:9" x14ac:dyDescent="0.4">
      <c r="I647" s="58"/>
    </row>
    <row r="648" spans="9:9" x14ac:dyDescent="0.4">
      <c r="I648" s="58"/>
    </row>
    <row r="649" spans="9:9" x14ac:dyDescent="0.4">
      <c r="I649" s="58"/>
    </row>
    <row r="650" spans="9:9" x14ac:dyDescent="0.4">
      <c r="I650" s="58"/>
    </row>
    <row r="651" spans="9:9" x14ac:dyDescent="0.4">
      <c r="I651" s="58"/>
    </row>
    <row r="652" spans="9:9" x14ac:dyDescent="0.4">
      <c r="I652" s="58"/>
    </row>
    <row r="653" spans="9:9" x14ac:dyDescent="0.4">
      <c r="I653" s="58"/>
    </row>
    <row r="654" spans="9:9" x14ac:dyDescent="0.4">
      <c r="I654" s="58"/>
    </row>
    <row r="655" spans="9:9" x14ac:dyDescent="0.4">
      <c r="I655" s="58"/>
    </row>
    <row r="656" spans="9:9" x14ac:dyDescent="0.4">
      <c r="I656" s="58"/>
    </row>
    <row r="657" spans="9:9" x14ac:dyDescent="0.4">
      <c r="I657" s="58"/>
    </row>
    <row r="658" spans="9:9" x14ac:dyDescent="0.4">
      <c r="I658" s="58"/>
    </row>
    <row r="659" spans="9:9" x14ac:dyDescent="0.4">
      <c r="I659" s="58"/>
    </row>
    <row r="660" spans="9:9" x14ac:dyDescent="0.4">
      <c r="I660" s="58"/>
    </row>
    <row r="661" spans="9:9" x14ac:dyDescent="0.4">
      <c r="I661" s="58"/>
    </row>
    <row r="662" spans="9:9" x14ac:dyDescent="0.4">
      <c r="I662" s="58"/>
    </row>
    <row r="663" spans="9:9" x14ac:dyDescent="0.4">
      <c r="I663" s="58"/>
    </row>
    <row r="664" spans="9:9" x14ac:dyDescent="0.4">
      <c r="I664" s="58"/>
    </row>
    <row r="665" spans="9:9" x14ac:dyDescent="0.4">
      <c r="I665" s="58"/>
    </row>
    <row r="666" spans="9:9" x14ac:dyDescent="0.4">
      <c r="I666" s="58"/>
    </row>
    <row r="667" spans="9:9" x14ac:dyDescent="0.4">
      <c r="I667" s="58"/>
    </row>
    <row r="668" spans="9:9" x14ac:dyDescent="0.4">
      <c r="I668" s="58"/>
    </row>
    <row r="669" spans="9:9" x14ac:dyDescent="0.4">
      <c r="I669" s="58"/>
    </row>
    <row r="670" spans="9:9" x14ac:dyDescent="0.4">
      <c r="I670" s="58"/>
    </row>
    <row r="671" spans="9:9" x14ac:dyDescent="0.4">
      <c r="I671" s="58"/>
    </row>
    <row r="672" spans="9:9" x14ac:dyDescent="0.4">
      <c r="I672" s="58"/>
    </row>
    <row r="673" spans="9:9" x14ac:dyDescent="0.4">
      <c r="I673" s="58"/>
    </row>
    <row r="674" spans="9:9" x14ac:dyDescent="0.4">
      <c r="I674" s="58"/>
    </row>
    <row r="675" spans="9:9" x14ac:dyDescent="0.4">
      <c r="I675" s="58"/>
    </row>
    <row r="676" spans="9:9" x14ac:dyDescent="0.4">
      <c r="I676" s="58"/>
    </row>
    <row r="677" spans="9:9" x14ac:dyDescent="0.4">
      <c r="I677" s="58"/>
    </row>
    <row r="678" spans="9:9" x14ac:dyDescent="0.4">
      <c r="I678" s="58"/>
    </row>
    <row r="679" spans="9:9" x14ac:dyDescent="0.4">
      <c r="I679" s="58"/>
    </row>
    <row r="680" spans="9:9" x14ac:dyDescent="0.4">
      <c r="I680" s="58"/>
    </row>
    <row r="681" spans="9:9" x14ac:dyDescent="0.4">
      <c r="I681" s="58"/>
    </row>
    <row r="682" spans="9:9" x14ac:dyDescent="0.4">
      <c r="I682" s="58"/>
    </row>
    <row r="683" spans="9:9" x14ac:dyDescent="0.4">
      <c r="I683" s="58"/>
    </row>
    <row r="684" spans="9:9" x14ac:dyDescent="0.4">
      <c r="I684" s="58"/>
    </row>
    <row r="685" spans="9:9" x14ac:dyDescent="0.4">
      <c r="I685" s="58"/>
    </row>
    <row r="686" spans="9:9" x14ac:dyDescent="0.4">
      <c r="I686" s="58"/>
    </row>
    <row r="687" spans="9:9" x14ac:dyDescent="0.4">
      <c r="I687" s="58"/>
    </row>
    <row r="688" spans="9:9" x14ac:dyDescent="0.4">
      <c r="I688" s="58"/>
    </row>
    <row r="689" spans="9:9" x14ac:dyDescent="0.4">
      <c r="I689" s="58"/>
    </row>
    <row r="690" spans="9:9" x14ac:dyDescent="0.4">
      <c r="I690" s="58"/>
    </row>
    <row r="691" spans="9:9" x14ac:dyDescent="0.4">
      <c r="I691" s="58"/>
    </row>
    <row r="692" spans="9:9" x14ac:dyDescent="0.4">
      <c r="I692" s="58"/>
    </row>
    <row r="693" spans="9:9" x14ac:dyDescent="0.4">
      <c r="I693" s="58"/>
    </row>
    <row r="694" spans="9:9" x14ac:dyDescent="0.4">
      <c r="I694" s="58"/>
    </row>
    <row r="695" spans="9:9" x14ac:dyDescent="0.4">
      <c r="I695" s="58"/>
    </row>
    <row r="696" spans="9:9" x14ac:dyDescent="0.4">
      <c r="I696" s="58"/>
    </row>
    <row r="697" spans="9:9" x14ac:dyDescent="0.4">
      <c r="I697" s="58"/>
    </row>
    <row r="698" spans="9:9" x14ac:dyDescent="0.4">
      <c r="I698" s="58"/>
    </row>
    <row r="699" spans="9:9" x14ac:dyDescent="0.4">
      <c r="I699" s="58"/>
    </row>
    <row r="700" spans="9:9" x14ac:dyDescent="0.4">
      <c r="I700" s="58"/>
    </row>
    <row r="701" spans="9:9" x14ac:dyDescent="0.4">
      <c r="I701" s="58"/>
    </row>
    <row r="702" spans="9:9" x14ac:dyDescent="0.4">
      <c r="I702" s="58"/>
    </row>
    <row r="703" spans="9:9" x14ac:dyDescent="0.4">
      <c r="I703" s="58"/>
    </row>
    <row r="704" spans="9:9" x14ac:dyDescent="0.4">
      <c r="I704" s="58"/>
    </row>
    <row r="705" spans="9:9" x14ac:dyDescent="0.4">
      <c r="I705" s="58"/>
    </row>
    <row r="706" spans="9:9" x14ac:dyDescent="0.4">
      <c r="I706" s="58"/>
    </row>
    <row r="707" spans="9:9" x14ac:dyDescent="0.4">
      <c r="I707" s="58"/>
    </row>
    <row r="708" spans="9:9" x14ac:dyDescent="0.4">
      <c r="I708" s="58"/>
    </row>
    <row r="709" spans="9:9" x14ac:dyDescent="0.4">
      <c r="I709" s="58"/>
    </row>
    <row r="710" spans="9:9" x14ac:dyDescent="0.4">
      <c r="I710" s="58"/>
    </row>
    <row r="711" spans="9:9" x14ac:dyDescent="0.4">
      <c r="I711" s="58"/>
    </row>
    <row r="712" spans="9:9" x14ac:dyDescent="0.4">
      <c r="I712" s="58"/>
    </row>
    <row r="713" spans="9:9" x14ac:dyDescent="0.4">
      <c r="I713" s="58"/>
    </row>
    <row r="714" spans="9:9" x14ac:dyDescent="0.4">
      <c r="I714" s="58"/>
    </row>
    <row r="715" spans="9:9" x14ac:dyDescent="0.4">
      <c r="I715" s="58"/>
    </row>
    <row r="716" spans="9:9" x14ac:dyDescent="0.4">
      <c r="I716" s="58"/>
    </row>
    <row r="717" spans="9:9" x14ac:dyDescent="0.4">
      <c r="I717" s="58"/>
    </row>
    <row r="718" spans="9:9" x14ac:dyDescent="0.4">
      <c r="I718" s="58"/>
    </row>
    <row r="719" spans="9:9" x14ac:dyDescent="0.4">
      <c r="I719" s="58"/>
    </row>
    <row r="720" spans="9:9" x14ac:dyDescent="0.4">
      <c r="I720" s="58"/>
    </row>
    <row r="721" spans="9:9" x14ac:dyDescent="0.4">
      <c r="I721" s="58"/>
    </row>
    <row r="722" spans="9:9" x14ac:dyDescent="0.4">
      <c r="I722" s="58"/>
    </row>
    <row r="723" spans="9:9" x14ac:dyDescent="0.4">
      <c r="I723" s="58"/>
    </row>
    <row r="724" spans="9:9" x14ac:dyDescent="0.4">
      <c r="I724" s="58"/>
    </row>
    <row r="725" spans="9:9" x14ac:dyDescent="0.4">
      <c r="I725" s="58"/>
    </row>
    <row r="726" spans="9:9" x14ac:dyDescent="0.4">
      <c r="I726" s="58"/>
    </row>
    <row r="727" spans="9:9" x14ac:dyDescent="0.4">
      <c r="I727" s="58"/>
    </row>
    <row r="728" spans="9:9" x14ac:dyDescent="0.4">
      <c r="I728" s="58"/>
    </row>
    <row r="729" spans="9:9" x14ac:dyDescent="0.4">
      <c r="I729" s="58"/>
    </row>
    <row r="730" spans="9:9" x14ac:dyDescent="0.4">
      <c r="I730" s="58"/>
    </row>
    <row r="731" spans="9:9" x14ac:dyDescent="0.4">
      <c r="I731" s="58"/>
    </row>
    <row r="732" spans="9:9" x14ac:dyDescent="0.4">
      <c r="I732" s="58"/>
    </row>
    <row r="733" spans="9:9" x14ac:dyDescent="0.4">
      <c r="I733" s="58"/>
    </row>
    <row r="734" spans="9:9" x14ac:dyDescent="0.4">
      <c r="I734" s="58"/>
    </row>
    <row r="735" spans="9:9" x14ac:dyDescent="0.4">
      <c r="I735" s="58"/>
    </row>
    <row r="736" spans="9:9" x14ac:dyDescent="0.4">
      <c r="I736" s="58"/>
    </row>
    <row r="737" spans="9:9" x14ac:dyDescent="0.4">
      <c r="I737" s="58"/>
    </row>
    <row r="738" spans="9:9" x14ac:dyDescent="0.4">
      <c r="I738" s="58"/>
    </row>
    <row r="739" spans="9:9" x14ac:dyDescent="0.4">
      <c r="I739" s="58"/>
    </row>
    <row r="740" spans="9:9" x14ac:dyDescent="0.4">
      <c r="I740" s="58"/>
    </row>
    <row r="741" spans="9:9" x14ac:dyDescent="0.4">
      <c r="I741" s="58"/>
    </row>
    <row r="742" spans="9:9" x14ac:dyDescent="0.4">
      <c r="I742" s="58"/>
    </row>
    <row r="743" spans="9:9" x14ac:dyDescent="0.4">
      <c r="I743" s="58"/>
    </row>
    <row r="744" spans="9:9" x14ac:dyDescent="0.4">
      <c r="I744" s="58"/>
    </row>
    <row r="745" spans="9:9" x14ac:dyDescent="0.4">
      <c r="I745" s="58"/>
    </row>
    <row r="746" spans="9:9" x14ac:dyDescent="0.4">
      <c r="I746" s="58"/>
    </row>
    <row r="747" spans="9:9" x14ac:dyDescent="0.4">
      <c r="I747" s="58"/>
    </row>
    <row r="748" spans="9:9" x14ac:dyDescent="0.4">
      <c r="I748" s="58"/>
    </row>
    <row r="749" spans="9:9" x14ac:dyDescent="0.4">
      <c r="I749" s="58"/>
    </row>
    <row r="750" spans="9:9" x14ac:dyDescent="0.4">
      <c r="I750" s="58"/>
    </row>
    <row r="751" spans="9:9" x14ac:dyDescent="0.4">
      <c r="I751" s="58"/>
    </row>
    <row r="752" spans="9:9" x14ac:dyDescent="0.4">
      <c r="I752" s="58"/>
    </row>
    <row r="753" spans="9:9" x14ac:dyDescent="0.4">
      <c r="I753" s="58"/>
    </row>
    <row r="754" spans="9:9" x14ac:dyDescent="0.4">
      <c r="I754" s="58"/>
    </row>
    <row r="755" spans="9:9" x14ac:dyDescent="0.4">
      <c r="I755" s="58"/>
    </row>
    <row r="756" spans="9:9" x14ac:dyDescent="0.4">
      <c r="I756" s="58"/>
    </row>
    <row r="757" spans="9:9" x14ac:dyDescent="0.4">
      <c r="I757" s="58"/>
    </row>
    <row r="758" spans="9:9" x14ac:dyDescent="0.4">
      <c r="I758" s="58"/>
    </row>
    <row r="759" spans="9:9" x14ac:dyDescent="0.4">
      <c r="I759" s="58"/>
    </row>
    <row r="760" spans="9:9" x14ac:dyDescent="0.4">
      <c r="I760" s="58"/>
    </row>
    <row r="761" spans="9:9" x14ac:dyDescent="0.4">
      <c r="I761" s="58"/>
    </row>
    <row r="762" spans="9:9" x14ac:dyDescent="0.4">
      <c r="I762" s="58"/>
    </row>
    <row r="763" spans="9:9" x14ac:dyDescent="0.4">
      <c r="I763" s="58"/>
    </row>
    <row r="764" spans="9:9" x14ac:dyDescent="0.4">
      <c r="I764" s="58"/>
    </row>
    <row r="765" spans="9:9" x14ac:dyDescent="0.4">
      <c r="I765" s="58"/>
    </row>
    <row r="766" spans="9:9" x14ac:dyDescent="0.4">
      <c r="I766" s="58"/>
    </row>
    <row r="767" spans="9:9" x14ac:dyDescent="0.4">
      <c r="I767" s="58"/>
    </row>
    <row r="768" spans="9:9" x14ac:dyDescent="0.4">
      <c r="I768" s="58"/>
    </row>
    <row r="769" spans="9:9" x14ac:dyDescent="0.4">
      <c r="I769" s="58"/>
    </row>
    <row r="770" spans="9:9" x14ac:dyDescent="0.4">
      <c r="I770" s="58"/>
    </row>
    <row r="771" spans="9:9" x14ac:dyDescent="0.4">
      <c r="I771" s="58"/>
    </row>
    <row r="772" spans="9:9" x14ac:dyDescent="0.4">
      <c r="I772" s="58"/>
    </row>
    <row r="773" spans="9:9" x14ac:dyDescent="0.4">
      <c r="I773" s="58"/>
    </row>
    <row r="774" spans="9:9" x14ac:dyDescent="0.4">
      <c r="I774" s="58"/>
    </row>
    <row r="775" spans="9:9" x14ac:dyDescent="0.4">
      <c r="I775" s="58"/>
    </row>
    <row r="776" spans="9:9" x14ac:dyDescent="0.4">
      <c r="I776" s="58"/>
    </row>
    <row r="777" spans="9:9" x14ac:dyDescent="0.4">
      <c r="I777" s="58"/>
    </row>
    <row r="778" spans="9:9" x14ac:dyDescent="0.4">
      <c r="I778" s="58"/>
    </row>
    <row r="779" spans="9:9" x14ac:dyDescent="0.4">
      <c r="I779" s="58"/>
    </row>
    <row r="780" spans="9:9" x14ac:dyDescent="0.4">
      <c r="I780" s="58"/>
    </row>
    <row r="781" spans="9:9" x14ac:dyDescent="0.4">
      <c r="I781" s="58"/>
    </row>
    <row r="782" spans="9:9" x14ac:dyDescent="0.4">
      <c r="I782" s="58"/>
    </row>
    <row r="783" spans="9:9" x14ac:dyDescent="0.4">
      <c r="I783" s="58"/>
    </row>
    <row r="784" spans="9:9" x14ac:dyDescent="0.4">
      <c r="I784" s="58"/>
    </row>
    <row r="785" spans="9:9" x14ac:dyDescent="0.4">
      <c r="I785" s="58"/>
    </row>
    <row r="786" spans="9:9" x14ac:dyDescent="0.4">
      <c r="I786" s="58"/>
    </row>
    <row r="787" spans="9:9" x14ac:dyDescent="0.4">
      <c r="I787" s="58"/>
    </row>
    <row r="788" spans="9:9" x14ac:dyDescent="0.4">
      <c r="I788" s="58"/>
    </row>
    <row r="789" spans="9:9" x14ac:dyDescent="0.4">
      <c r="I789" s="58"/>
    </row>
    <row r="790" spans="9:9" x14ac:dyDescent="0.4">
      <c r="I790" s="58"/>
    </row>
    <row r="791" spans="9:9" x14ac:dyDescent="0.4">
      <c r="I791" s="58"/>
    </row>
    <row r="792" spans="9:9" x14ac:dyDescent="0.4">
      <c r="I792" s="58"/>
    </row>
    <row r="793" spans="9:9" x14ac:dyDescent="0.4">
      <c r="I793" s="58"/>
    </row>
    <row r="794" spans="9:9" x14ac:dyDescent="0.4">
      <c r="I794" s="58"/>
    </row>
    <row r="795" spans="9:9" x14ac:dyDescent="0.4">
      <c r="I795" s="58"/>
    </row>
    <row r="796" spans="9:9" x14ac:dyDescent="0.4">
      <c r="I796" s="58"/>
    </row>
    <row r="797" spans="9:9" x14ac:dyDescent="0.4">
      <c r="I797" s="58"/>
    </row>
    <row r="798" spans="9:9" x14ac:dyDescent="0.4">
      <c r="I798" s="58"/>
    </row>
    <row r="799" spans="9:9" x14ac:dyDescent="0.4">
      <c r="I799" s="58"/>
    </row>
    <row r="800" spans="9:9" x14ac:dyDescent="0.4">
      <c r="I800" s="58"/>
    </row>
    <row r="801" spans="9:9" x14ac:dyDescent="0.4">
      <c r="I801" s="58"/>
    </row>
    <row r="802" spans="9:9" x14ac:dyDescent="0.4">
      <c r="I802" s="58"/>
    </row>
    <row r="803" spans="9:9" x14ac:dyDescent="0.4">
      <c r="I803" s="58"/>
    </row>
    <row r="804" spans="9:9" x14ac:dyDescent="0.4">
      <c r="I804" s="58"/>
    </row>
    <row r="805" spans="9:9" x14ac:dyDescent="0.4">
      <c r="I805" s="58"/>
    </row>
    <row r="806" spans="9:9" x14ac:dyDescent="0.4">
      <c r="I806" s="58"/>
    </row>
    <row r="807" spans="9:9" x14ac:dyDescent="0.4">
      <c r="I807" s="58"/>
    </row>
    <row r="808" spans="9:9" x14ac:dyDescent="0.4">
      <c r="I808" s="58"/>
    </row>
    <row r="809" spans="9:9" x14ac:dyDescent="0.4">
      <c r="I809" s="58"/>
    </row>
    <row r="810" spans="9:9" x14ac:dyDescent="0.4">
      <c r="I810" s="58"/>
    </row>
    <row r="811" spans="9:9" x14ac:dyDescent="0.4">
      <c r="I811" s="58"/>
    </row>
    <row r="812" spans="9:9" x14ac:dyDescent="0.4">
      <c r="I812" s="58"/>
    </row>
    <row r="813" spans="9:9" x14ac:dyDescent="0.4">
      <c r="I813" s="58"/>
    </row>
    <row r="814" spans="9:9" x14ac:dyDescent="0.4">
      <c r="I814" s="58"/>
    </row>
    <row r="815" spans="9:9" x14ac:dyDescent="0.4">
      <c r="I815" s="58"/>
    </row>
    <row r="816" spans="9:9" x14ac:dyDescent="0.4">
      <c r="I816" s="58"/>
    </row>
    <row r="817" spans="9:9" x14ac:dyDescent="0.4">
      <c r="I817" s="58"/>
    </row>
    <row r="818" spans="9:9" x14ac:dyDescent="0.4">
      <c r="I818" s="58"/>
    </row>
    <row r="819" spans="9:9" x14ac:dyDescent="0.4">
      <c r="I819" s="58"/>
    </row>
    <row r="820" spans="9:9" x14ac:dyDescent="0.4">
      <c r="I820" s="58"/>
    </row>
    <row r="821" spans="9:9" x14ac:dyDescent="0.4">
      <c r="I821" s="58"/>
    </row>
    <row r="822" spans="9:9" x14ac:dyDescent="0.4">
      <c r="I822" s="58"/>
    </row>
    <row r="823" spans="9:9" x14ac:dyDescent="0.4">
      <c r="I823" s="58"/>
    </row>
    <row r="824" spans="9:9" x14ac:dyDescent="0.4">
      <c r="I824" s="58"/>
    </row>
    <row r="825" spans="9:9" x14ac:dyDescent="0.4">
      <c r="I825" s="58"/>
    </row>
    <row r="826" spans="9:9" x14ac:dyDescent="0.4">
      <c r="I826" s="58"/>
    </row>
    <row r="827" spans="9:9" x14ac:dyDescent="0.4">
      <c r="I827" s="58"/>
    </row>
    <row r="828" spans="9:9" x14ac:dyDescent="0.4">
      <c r="I828" s="58"/>
    </row>
    <row r="829" spans="9:9" x14ac:dyDescent="0.4">
      <c r="I829" s="58"/>
    </row>
    <row r="830" spans="9:9" x14ac:dyDescent="0.4">
      <c r="I830" s="58"/>
    </row>
    <row r="831" spans="9:9" x14ac:dyDescent="0.4">
      <c r="I831" s="58"/>
    </row>
    <row r="832" spans="9:9" x14ac:dyDescent="0.4">
      <c r="I832" s="58"/>
    </row>
    <row r="833" spans="9:9" x14ac:dyDescent="0.4">
      <c r="I833" s="58"/>
    </row>
    <row r="834" spans="9:9" x14ac:dyDescent="0.4">
      <c r="I834" s="58"/>
    </row>
    <row r="835" spans="9:9" x14ac:dyDescent="0.4">
      <c r="I835" s="58"/>
    </row>
    <row r="836" spans="9:9" x14ac:dyDescent="0.4">
      <c r="I836" s="58"/>
    </row>
    <row r="837" spans="9:9" x14ac:dyDescent="0.4">
      <c r="I837" s="58"/>
    </row>
    <row r="838" spans="9:9" x14ac:dyDescent="0.4">
      <c r="I838" s="58"/>
    </row>
    <row r="839" spans="9:9" x14ac:dyDescent="0.4">
      <c r="I839" s="58"/>
    </row>
    <row r="840" spans="9:9" x14ac:dyDescent="0.4">
      <c r="I840" s="58"/>
    </row>
    <row r="841" spans="9:9" x14ac:dyDescent="0.4">
      <c r="I841" s="58"/>
    </row>
    <row r="842" spans="9:9" x14ac:dyDescent="0.4">
      <c r="I842" s="58"/>
    </row>
    <row r="843" spans="9:9" x14ac:dyDescent="0.4">
      <c r="I843" s="58"/>
    </row>
    <row r="844" spans="9:9" x14ac:dyDescent="0.4">
      <c r="I844" s="58"/>
    </row>
    <row r="845" spans="9:9" x14ac:dyDescent="0.4">
      <c r="I845" s="58"/>
    </row>
    <row r="846" spans="9:9" x14ac:dyDescent="0.4">
      <c r="I846" s="58"/>
    </row>
    <row r="847" spans="9:9" x14ac:dyDescent="0.4">
      <c r="I847" s="58"/>
    </row>
    <row r="848" spans="9:9" x14ac:dyDescent="0.4">
      <c r="I848" s="58"/>
    </row>
    <row r="849" spans="9:9" x14ac:dyDescent="0.4">
      <c r="I849" s="58"/>
    </row>
    <row r="850" spans="9:9" x14ac:dyDescent="0.4">
      <c r="I850" s="58"/>
    </row>
    <row r="851" spans="9:9" x14ac:dyDescent="0.4">
      <c r="I851" s="58"/>
    </row>
    <row r="852" spans="9:9" x14ac:dyDescent="0.4">
      <c r="I852" s="58"/>
    </row>
    <row r="853" spans="9:9" x14ac:dyDescent="0.4">
      <c r="I853" s="58"/>
    </row>
    <row r="854" spans="9:9" x14ac:dyDescent="0.4">
      <c r="I854" s="58"/>
    </row>
    <row r="855" spans="9:9" x14ac:dyDescent="0.4">
      <c r="I855" s="58"/>
    </row>
    <row r="856" spans="9:9" x14ac:dyDescent="0.4">
      <c r="I856" s="58"/>
    </row>
    <row r="857" spans="9:9" x14ac:dyDescent="0.4">
      <c r="I857" s="58"/>
    </row>
    <row r="858" spans="9:9" x14ac:dyDescent="0.4">
      <c r="I858" s="58"/>
    </row>
    <row r="859" spans="9:9" x14ac:dyDescent="0.4">
      <c r="I859" s="58"/>
    </row>
    <row r="860" spans="9:9" x14ac:dyDescent="0.4">
      <c r="I860" s="58"/>
    </row>
    <row r="861" spans="9:9" x14ac:dyDescent="0.4">
      <c r="I861" s="58"/>
    </row>
    <row r="862" spans="9:9" x14ac:dyDescent="0.4">
      <c r="I862" s="58"/>
    </row>
    <row r="863" spans="9:9" x14ac:dyDescent="0.4">
      <c r="I863" s="58"/>
    </row>
    <row r="864" spans="9:9" x14ac:dyDescent="0.4">
      <c r="I864" s="58"/>
    </row>
    <row r="865" spans="9:9" x14ac:dyDescent="0.4">
      <c r="I865" s="58"/>
    </row>
    <row r="866" spans="9:9" x14ac:dyDescent="0.4">
      <c r="I866" s="58"/>
    </row>
    <row r="867" spans="9:9" x14ac:dyDescent="0.4">
      <c r="I867" s="58"/>
    </row>
    <row r="868" spans="9:9" x14ac:dyDescent="0.4">
      <c r="I868" s="58"/>
    </row>
    <row r="869" spans="9:9" x14ac:dyDescent="0.4">
      <c r="I869" s="58"/>
    </row>
    <row r="870" spans="9:9" x14ac:dyDescent="0.4">
      <c r="I870" s="58"/>
    </row>
    <row r="871" spans="9:9" x14ac:dyDescent="0.4">
      <c r="I871" s="58"/>
    </row>
    <row r="872" spans="9:9" x14ac:dyDescent="0.4">
      <c r="I872" s="58"/>
    </row>
    <row r="873" spans="9:9" x14ac:dyDescent="0.4">
      <c r="I873" s="58"/>
    </row>
    <row r="874" spans="9:9" x14ac:dyDescent="0.4">
      <c r="I874" s="58"/>
    </row>
    <row r="875" spans="9:9" x14ac:dyDescent="0.4">
      <c r="I875" s="58"/>
    </row>
    <row r="876" spans="9:9" x14ac:dyDescent="0.4">
      <c r="I876" s="58"/>
    </row>
    <row r="877" spans="9:9" x14ac:dyDescent="0.4">
      <c r="I877" s="58"/>
    </row>
    <row r="878" spans="9:9" x14ac:dyDescent="0.4">
      <c r="I878" s="58"/>
    </row>
    <row r="879" spans="9:9" x14ac:dyDescent="0.4">
      <c r="I879" s="58"/>
    </row>
    <row r="880" spans="9:9" x14ac:dyDescent="0.4">
      <c r="I880" s="58"/>
    </row>
    <row r="881" spans="9:9" x14ac:dyDescent="0.4">
      <c r="I881" s="58"/>
    </row>
    <row r="882" spans="9:9" x14ac:dyDescent="0.4">
      <c r="I882" s="58"/>
    </row>
    <row r="883" spans="9:9" x14ac:dyDescent="0.4">
      <c r="I883" s="58"/>
    </row>
    <row r="884" spans="9:9" x14ac:dyDescent="0.4">
      <c r="I884" s="58"/>
    </row>
    <row r="885" spans="9:9" x14ac:dyDescent="0.4">
      <c r="I885" s="58"/>
    </row>
    <row r="886" spans="9:9" x14ac:dyDescent="0.4">
      <c r="I886" s="58"/>
    </row>
    <row r="887" spans="9:9" x14ac:dyDescent="0.4">
      <c r="I887" s="58"/>
    </row>
    <row r="888" spans="9:9" x14ac:dyDescent="0.4">
      <c r="I888" s="58"/>
    </row>
    <row r="889" spans="9:9" x14ac:dyDescent="0.4">
      <c r="I889" s="58"/>
    </row>
    <row r="890" spans="9:9" x14ac:dyDescent="0.4">
      <c r="I890" s="58"/>
    </row>
    <row r="891" spans="9:9" x14ac:dyDescent="0.4">
      <c r="I891" s="58"/>
    </row>
    <row r="892" spans="9:9" x14ac:dyDescent="0.4">
      <c r="I892" s="58"/>
    </row>
    <row r="893" spans="9:9" x14ac:dyDescent="0.4">
      <c r="I893" s="58"/>
    </row>
    <row r="894" spans="9:9" x14ac:dyDescent="0.4">
      <c r="I894" s="58"/>
    </row>
    <row r="895" spans="9:9" x14ac:dyDescent="0.4">
      <c r="I895" s="58"/>
    </row>
    <row r="896" spans="9:9" x14ac:dyDescent="0.4">
      <c r="I896" s="58"/>
    </row>
    <row r="897" spans="9:9" x14ac:dyDescent="0.4">
      <c r="I897" s="58"/>
    </row>
    <row r="898" spans="9:9" x14ac:dyDescent="0.4">
      <c r="I898" s="58"/>
    </row>
    <row r="899" spans="9:9" x14ac:dyDescent="0.4">
      <c r="I899" s="58"/>
    </row>
    <row r="900" spans="9:9" x14ac:dyDescent="0.4">
      <c r="I900" s="58"/>
    </row>
    <row r="901" spans="9:9" x14ac:dyDescent="0.4">
      <c r="I901" s="58"/>
    </row>
    <row r="902" spans="9:9" x14ac:dyDescent="0.4">
      <c r="I902" s="58"/>
    </row>
    <row r="903" spans="9:9" x14ac:dyDescent="0.4">
      <c r="I903" s="58"/>
    </row>
    <row r="904" spans="9:9" x14ac:dyDescent="0.4">
      <c r="I904" s="58"/>
    </row>
    <row r="905" spans="9:9" x14ac:dyDescent="0.4">
      <c r="I905" s="58"/>
    </row>
    <row r="906" spans="9:9" x14ac:dyDescent="0.4">
      <c r="I906" s="58"/>
    </row>
    <row r="907" spans="9:9" x14ac:dyDescent="0.4">
      <c r="I907" s="58"/>
    </row>
    <row r="908" spans="9:9" x14ac:dyDescent="0.4">
      <c r="I908" s="58"/>
    </row>
    <row r="909" spans="9:9" x14ac:dyDescent="0.4">
      <c r="I909" s="58"/>
    </row>
    <row r="910" spans="9:9" x14ac:dyDescent="0.4">
      <c r="I910" s="58"/>
    </row>
    <row r="911" spans="9:9" x14ac:dyDescent="0.4">
      <c r="I911" s="58"/>
    </row>
    <row r="912" spans="9:9" x14ac:dyDescent="0.4">
      <c r="I912" s="58"/>
    </row>
    <row r="913" spans="9:9" x14ac:dyDescent="0.4">
      <c r="I913" s="58"/>
    </row>
    <row r="914" spans="9:9" x14ac:dyDescent="0.4">
      <c r="I914" s="58"/>
    </row>
    <row r="915" spans="9:9" x14ac:dyDescent="0.4">
      <c r="I915" s="58"/>
    </row>
    <row r="916" spans="9:9" x14ac:dyDescent="0.4">
      <c r="I916" s="58"/>
    </row>
    <row r="917" spans="9:9" x14ac:dyDescent="0.4">
      <c r="I917" s="58"/>
    </row>
    <row r="918" spans="9:9" x14ac:dyDescent="0.4">
      <c r="I918" s="58"/>
    </row>
    <row r="919" spans="9:9" x14ac:dyDescent="0.4">
      <c r="I919" s="58"/>
    </row>
    <row r="920" spans="9:9" x14ac:dyDescent="0.4">
      <c r="I920" s="58"/>
    </row>
    <row r="921" spans="9:9" x14ac:dyDescent="0.4">
      <c r="I921" s="58"/>
    </row>
    <row r="922" spans="9:9" x14ac:dyDescent="0.4">
      <c r="I922" s="58"/>
    </row>
    <row r="923" spans="9:9" x14ac:dyDescent="0.4">
      <c r="I923" s="58"/>
    </row>
    <row r="924" spans="9:9" x14ac:dyDescent="0.4">
      <c r="I924" s="58"/>
    </row>
    <row r="925" spans="9:9" x14ac:dyDescent="0.4">
      <c r="I925" s="58"/>
    </row>
    <row r="926" spans="9:9" x14ac:dyDescent="0.4">
      <c r="I926" s="58"/>
    </row>
    <row r="927" spans="9:9" x14ac:dyDescent="0.4">
      <c r="I927" s="58"/>
    </row>
    <row r="928" spans="9:9" x14ac:dyDescent="0.4">
      <c r="I928" s="58"/>
    </row>
    <row r="929" spans="9:9" x14ac:dyDescent="0.4">
      <c r="I929" s="58"/>
    </row>
    <row r="930" spans="9:9" x14ac:dyDescent="0.4">
      <c r="I930" s="58"/>
    </row>
    <row r="931" spans="9:9" x14ac:dyDescent="0.4">
      <c r="I931" s="58"/>
    </row>
    <row r="932" spans="9:9" x14ac:dyDescent="0.4">
      <c r="I932" s="58"/>
    </row>
    <row r="933" spans="9:9" x14ac:dyDescent="0.4">
      <c r="I933" s="58"/>
    </row>
    <row r="934" spans="9:9" x14ac:dyDescent="0.4">
      <c r="I934" s="58"/>
    </row>
    <row r="935" spans="9:9" x14ac:dyDescent="0.4">
      <c r="I935" s="58"/>
    </row>
    <row r="936" spans="9:9" x14ac:dyDescent="0.4">
      <c r="I936" s="58"/>
    </row>
    <row r="937" spans="9:9" x14ac:dyDescent="0.4">
      <c r="I937" s="58"/>
    </row>
    <row r="938" spans="9:9" x14ac:dyDescent="0.4">
      <c r="I938" s="58"/>
    </row>
    <row r="939" spans="9:9" x14ac:dyDescent="0.4">
      <c r="I939" s="58"/>
    </row>
    <row r="940" spans="9:9" x14ac:dyDescent="0.4">
      <c r="I940" s="58"/>
    </row>
    <row r="941" spans="9:9" x14ac:dyDescent="0.4">
      <c r="I941" s="58"/>
    </row>
    <row r="942" spans="9:9" x14ac:dyDescent="0.4">
      <c r="I942" s="58"/>
    </row>
    <row r="943" spans="9:9" x14ac:dyDescent="0.4">
      <c r="I943" s="58"/>
    </row>
    <row r="944" spans="9:9" x14ac:dyDescent="0.4">
      <c r="I944" s="58"/>
    </row>
    <row r="945" spans="9:9" x14ac:dyDescent="0.4">
      <c r="I945" s="58"/>
    </row>
    <row r="946" spans="9:9" x14ac:dyDescent="0.4">
      <c r="I946" s="58"/>
    </row>
    <row r="947" spans="9:9" x14ac:dyDescent="0.4">
      <c r="I947" s="58"/>
    </row>
    <row r="948" spans="9:9" x14ac:dyDescent="0.4">
      <c r="I948" s="58"/>
    </row>
    <row r="949" spans="9:9" x14ac:dyDescent="0.4">
      <c r="I949" s="58"/>
    </row>
    <row r="950" spans="9:9" x14ac:dyDescent="0.4">
      <c r="I950" s="58"/>
    </row>
    <row r="951" spans="9:9" x14ac:dyDescent="0.4">
      <c r="I951" s="58"/>
    </row>
    <row r="952" spans="9:9" x14ac:dyDescent="0.4">
      <c r="I952" s="58"/>
    </row>
    <row r="953" spans="9:9" x14ac:dyDescent="0.4">
      <c r="I953" s="58"/>
    </row>
    <row r="954" spans="9:9" x14ac:dyDescent="0.4">
      <c r="I954" s="58"/>
    </row>
    <row r="955" spans="9:9" x14ac:dyDescent="0.4">
      <c r="I955" s="58"/>
    </row>
    <row r="956" spans="9:9" x14ac:dyDescent="0.4">
      <c r="I956" s="58"/>
    </row>
    <row r="957" spans="9:9" x14ac:dyDescent="0.4">
      <c r="I957" s="58"/>
    </row>
    <row r="958" spans="9:9" x14ac:dyDescent="0.4">
      <c r="I958" s="58"/>
    </row>
    <row r="959" spans="9:9" x14ac:dyDescent="0.4">
      <c r="I959" s="58"/>
    </row>
    <row r="960" spans="9:9" x14ac:dyDescent="0.4">
      <c r="I960" s="58"/>
    </row>
    <row r="961" spans="9:9" x14ac:dyDescent="0.4">
      <c r="I961" s="58"/>
    </row>
    <row r="962" spans="9:9" x14ac:dyDescent="0.4">
      <c r="I962" s="58"/>
    </row>
    <row r="963" spans="9:9" x14ac:dyDescent="0.4">
      <c r="I963" s="58"/>
    </row>
    <row r="964" spans="9:9" x14ac:dyDescent="0.4">
      <c r="I964" s="58"/>
    </row>
    <row r="965" spans="9:9" x14ac:dyDescent="0.4">
      <c r="I965" s="58"/>
    </row>
    <row r="966" spans="9:9" x14ac:dyDescent="0.4">
      <c r="I966" s="58"/>
    </row>
    <row r="967" spans="9:9" x14ac:dyDescent="0.4">
      <c r="I967" s="58"/>
    </row>
    <row r="968" spans="9:9" x14ac:dyDescent="0.4">
      <c r="I968" s="58"/>
    </row>
    <row r="969" spans="9:9" x14ac:dyDescent="0.4">
      <c r="I969" s="58"/>
    </row>
    <row r="970" spans="9:9" x14ac:dyDescent="0.4">
      <c r="I970" s="58"/>
    </row>
    <row r="971" spans="9:9" x14ac:dyDescent="0.4">
      <c r="I971" s="58"/>
    </row>
    <row r="972" spans="9:9" x14ac:dyDescent="0.4">
      <c r="I972" s="58"/>
    </row>
    <row r="973" spans="9:9" x14ac:dyDescent="0.4">
      <c r="I973" s="58"/>
    </row>
    <row r="974" spans="9:9" x14ac:dyDescent="0.4">
      <c r="I974" s="58"/>
    </row>
    <row r="975" spans="9:9" x14ac:dyDescent="0.4">
      <c r="I975" s="58"/>
    </row>
    <row r="976" spans="9:9" x14ac:dyDescent="0.4">
      <c r="I976" s="58"/>
    </row>
    <row r="977" spans="9:9" x14ac:dyDescent="0.4">
      <c r="I977" s="58"/>
    </row>
    <row r="978" spans="9:9" x14ac:dyDescent="0.4">
      <c r="I978" s="58"/>
    </row>
    <row r="979" spans="9:9" x14ac:dyDescent="0.4">
      <c r="I979" s="58"/>
    </row>
    <row r="980" spans="9:9" x14ac:dyDescent="0.4">
      <c r="I980" s="58"/>
    </row>
    <row r="981" spans="9:9" x14ac:dyDescent="0.4">
      <c r="I981" s="58"/>
    </row>
    <row r="982" spans="9:9" x14ac:dyDescent="0.4">
      <c r="I982" s="58"/>
    </row>
    <row r="983" spans="9:9" x14ac:dyDescent="0.4">
      <c r="I983" s="58"/>
    </row>
    <row r="984" spans="9:9" x14ac:dyDescent="0.4">
      <c r="I984" s="58"/>
    </row>
    <row r="985" spans="9:9" x14ac:dyDescent="0.4">
      <c r="I985" s="58"/>
    </row>
    <row r="986" spans="9:9" x14ac:dyDescent="0.4">
      <c r="I986" s="58"/>
    </row>
    <row r="987" spans="9:9" x14ac:dyDescent="0.4">
      <c r="I987" s="58"/>
    </row>
    <row r="988" spans="9:9" x14ac:dyDescent="0.4">
      <c r="I988" s="58"/>
    </row>
    <row r="989" spans="9:9" x14ac:dyDescent="0.4">
      <c r="I989" s="58"/>
    </row>
    <row r="990" spans="9:9" x14ac:dyDescent="0.4">
      <c r="I990" s="58"/>
    </row>
    <row r="991" spans="9:9" x14ac:dyDescent="0.4">
      <c r="I991" s="58"/>
    </row>
    <row r="992" spans="9:9" x14ac:dyDescent="0.4">
      <c r="I992" s="58"/>
    </row>
    <row r="993" spans="9:9" x14ac:dyDescent="0.4">
      <c r="I993" s="58"/>
    </row>
    <row r="994" spans="9:9" x14ac:dyDescent="0.4">
      <c r="I994" s="58"/>
    </row>
    <row r="995" spans="9:9" x14ac:dyDescent="0.4">
      <c r="I995" s="58"/>
    </row>
    <row r="996" spans="9:9" x14ac:dyDescent="0.4">
      <c r="I996" s="58"/>
    </row>
    <row r="997" spans="9:9" x14ac:dyDescent="0.4">
      <c r="I997" s="58"/>
    </row>
    <row r="998" spans="9:9" x14ac:dyDescent="0.4">
      <c r="I998" s="58"/>
    </row>
    <row r="999" spans="9:9" x14ac:dyDescent="0.4">
      <c r="I999" s="58"/>
    </row>
    <row r="1000" spans="9:9" x14ac:dyDescent="0.4">
      <c r="I1000" s="58"/>
    </row>
    <row r="1001" spans="9:9" x14ac:dyDescent="0.4">
      <c r="I1001" s="58"/>
    </row>
    <row r="1002" spans="9:9" x14ac:dyDescent="0.4">
      <c r="I1002" s="58"/>
    </row>
  </sheetData>
  <mergeCells count="7">
    <mergeCell ref="A1:H1"/>
    <mergeCell ref="A65:H65"/>
    <mergeCell ref="A3:H3"/>
    <mergeCell ref="A12:H12"/>
    <mergeCell ref="A36:H36"/>
    <mergeCell ref="A45:H45"/>
    <mergeCell ref="A61:H61"/>
  </mergeCells>
  <conditionalFormatting sqref="D10">
    <cfRule type="cellIs" dxfId="163" priority="13" operator="lessThan">
      <formula>0</formula>
    </cfRule>
    <cfRule type="cellIs" dxfId="162" priority="14" operator="greaterThan">
      <formula>0</formula>
    </cfRule>
    <cfRule type="cellIs" dxfId="161" priority="15" operator="equal">
      <formula>0</formula>
    </cfRule>
  </conditionalFormatting>
  <conditionalFormatting sqref="D34">
    <cfRule type="cellIs" dxfId="160" priority="10" operator="lessThan">
      <formula>0</formula>
    </cfRule>
    <cfRule type="cellIs" dxfId="159" priority="11" operator="greaterThan">
      <formula>0</formula>
    </cfRule>
    <cfRule type="cellIs" dxfId="158" priority="12" operator="equal">
      <formula>0</formula>
    </cfRule>
  </conditionalFormatting>
  <conditionalFormatting sqref="D43 D55 D59 D63 D77 D79">
    <cfRule type="cellIs" dxfId="157" priority="7" operator="lessThan">
      <formula>0</formula>
    </cfRule>
    <cfRule type="cellIs" dxfId="156" priority="8" operator="greaterThan">
      <formula>0</formula>
    </cfRule>
    <cfRule type="cellIs" dxfId="155" priority="9" operator="equal">
      <formula>0</formula>
    </cfRule>
  </conditionalFormatting>
  <conditionalFormatting sqref="E4">
    <cfRule type="expression" dxfId="154" priority="1">
      <formula>"if(e3&lt;h3)"</formula>
    </cfRule>
    <cfRule type="expression" dxfId="153" priority="3" stopIfTrue="1">
      <formula>"if(E3&gt;H3)"</formula>
    </cfRule>
  </conditionalFormatting>
  <conditionalFormatting sqref="E4:E11 E13:E35 E37:E44 E46:E1048576">
    <cfRule type="expression" dxfId="152" priority="4">
      <formula>E4&lt;H4</formula>
    </cfRule>
    <cfRule type="expression" dxfId="151" priority="5">
      <formula>E4&gt;H4</formula>
    </cfRule>
    <cfRule type="expression" dxfId="150" priority="6">
      <formula>E4=H4</formula>
    </cfRule>
  </conditionalFormatting>
  <printOptions horizontalCentered="1"/>
  <pageMargins left="0.25" right="0.25" top="0.75" bottom="0.75" header="0.3" footer="0.3"/>
  <pageSetup scale="92" orientation="landscape" r:id="rId1"/>
  <rowBreaks count="2" manualBreakCount="2">
    <brk id="34" max="7" man="1"/>
    <brk id="64" max="7" man="1"/>
  </rowBreaks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A149A-E399-4733-A665-F20D4967C63D}">
  <dimension ref="A1:AK64"/>
  <sheetViews>
    <sheetView workbookViewId="0">
      <selection sqref="A1:AK64"/>
    </sheetView>
  </sheetViews>
  <sheetFormatPr defaultColWidth="9.15234375" defaultRowHeight="12.45" x14ac:dyDescent="0.3"/>
  <cols>
    <col min="1" max="16384" width="9.15234375" style="933"/>
  </cols>
  <sheetData>
    <row r="1" spans="1:37" x14ac:dyDescent="0.3">
      <c r="A1" s="957"/>
      <c r="B1" s="957"/>
      <c r="C1" s="957"/>
      <c r="D1" s="957"/>
      <c r="E1" s="957"/>
      <c r="F1" s="957"/>
      <c r="G1" s="957"/>
      <c r="H1" s="957"/>
      <c r="I1" s="957"/>
      <c r="J1" s="957"/>
      <c r="K1" s="957"/>
      <c r="L1" s="957"/>
      <c r="M1" s="957"/>
      <c r="N1" s="957"/>
      <c r="O1" s="957"/>
      <c r="P1" s="957"/>
      <c r="Q1" s="957"/>
      <c r="R1" s="957"/>
      <c r="S1" s="957"/>
      <c r="T1" s="957"/>
      <c r="U1" s="957"/>
      <c r="V1" s="957"/>
      <c r="W1" s="957"/>
      <c r="X1" s="957"/>
      <c r="Y1" s="957"/>
      <c r="Z1" s="957"/>
      <c r="AA1" s="957"/>
      <c r="AB1" s="957"/>
      <c r="AC1" s="957"/>
      <c r="AD1" s="957"/>
      <c r="AE1" s="957"/>
      <c r="AF1" s="957"/>
      <c r="AG1" s="957"/>
      <c r="AH1" s="957"/>
      <c r="AI1" s="957"/>
      <c r="AJ1" s="957"/>
      <c r="AK1" s="957"/>
    </row>
    <row r="2" spans="1:37" x14ac:dyDescent="0.3">
      <c r="A2" s="957"/>
      <c r="B2" s="957"/>
      <c r="C2" s="957"/>
      <c r="D2" s="957"/>
      <c r="E2" s="957"/>
      <c r="F2" s="957"/>
      <c r="G2" s="957"/>
      <c r="H2" s="957"/>
      <c r="I2" s="957"/>
      <c r="J2" s="957"/>
      <c r="K2" s="957"/>
      <c r="L2" s="957"/>
      <c r="M2" s="957"/>
      <c r="N2" s="957"/>
      <c r="O2" s="957"/>
      <c r="P2" s="957"/>
      <c r="Q2" s="957"/>
      <c r="R2" s="957"/>
      <c r="S2" s="957"/>
      <c r="T2" s="957"/>
      <c r="U2" s="957"/>
      <c r="V2" s="957"/>
      <c r="W2" s="957"/>
      <c r="X2" s="957"/>
      <c r="Y2" s="957"/>
      <c r="Z2" s="957"/>
      <c r="AA2" s="957"/>
      <c r="AB2" s="957"/>
      <c r="AC2" s="957"/>
      <c r="AD2" s="957"/>
      <c r="AE2" s="957"/>
      <c r="AF2" s="957"/>
      <c r="AG2" s="957"/>
      <c r="AH2" s="957"/>
      <c r="AI2" s="957"/>
      <c r="AJ2" s="957"/>
      <c r="AK2" s="957"/>
    </row>
    <row r="3" spans="1:37" x14ac:dyDescent="0.3">
      <c r="A3" s="957"/>
      <c r="B3" s="957"/>
      <c r="C3" s="957"/>
      <c r="D3" s="957"/>
      <c r="E3" s="957"/>
      <c r="F3" s="957"/>
      <c r="G3" s="957"/>
      <c r="H3" s="957"/>
      <c r="I3" s="957"/>
      <c r="J3" s="957"/>
      <c r="K3" s="957"/>
      <c r="L3" s="957"/>
      <c r="M3" s="957"/>
      <c r="N3" s="957"/>
      <c r="O3" s="957"/>
      <c r="P3" s="957"/>
      <c r="Q3" s="957"/>
      <c r="R3" s="957"/>
      <c r="S3" s="957"/>
      <c r="T3" s="957"/>
      <c r="U3" s="957"/>
      <c r="V3" s="957"/>
      <c r="W3" s="957"/>
      <c r="X3" s="957"/>
      <c r="Y3" s="957"/>
      <c r="Z3" s="957"/>
      <c r="AA3" s="957"/>
      <c r="AB3" s="957"/>
      <c r="AC3" s="957"/>
      <c r="AD3" s="957"/>
      <c r="AE3" s="957"/>
      <c r="AF3" s="957"/>
      <c r="AG3" s="957"/>
      <c r="AH3" s="957"/>
      <c r="AI3" s="957"/>
      <c r="AJ3" s="957"/>
      <c r="AK3" s="957"/>
    </row>
    <row r="4" spans="1:37" x14ac:dyDescent="0.3">
      <c r="A4" s="957"/>
      <c r="B4" s="957"/>
      <c r="C4" s="957"/>
      <c r="D4" s="957"/>
      <c r="E4" s="957"/>
      <c r="F4" s="957"/>
      <c r="G4" s="957"/>
      <c r="H4" s="957"/>
      <c r="I4" s="957"/>
      <c r="J4" s="957"/>
      <c r="K4" s="957"/>
      <c r="L4" s="957"/>
      <c r="M4" s="957"/>
      <c r="N4" s="957"/>
      <c r="O4" s="957"/>
      <c r="P4" s="957"/>
      <c r="Q4" s="957"/>
      <c r="R4" s="957"/>
      <c r="S4" s="957"/>
      <c r="T4" s="957"/>
      <c r="U4" s="957"/>
      <c r="V4" s="957"/>
      <c r="W4" s="957"/>
      <c r="X4" s="957"/>
      <c r="Y4" s="957"/>
      <c r="Z4" s="957"/>
      <c r="AA4" s="957"/>
      <c r="AB4" s="957"/>
      <c r="AC4" s="957"/>
      <c r="AD4" s="957"/>
      <c r="AE4" s="957"/>
      <c r="AF4" s="957"/>
      <c r="AG4" s="957"/>
      <c r="AH4" s="957"/>
      <c r="AI4" s="957"/>
      <c r="AJ4" s="957"/>
      <c r="AK4" s="957"/>
    </row>
    <row r="5" spans="1:37" x14ac:dyDescent="0.3">
      <c r="A5" s="957"/>
      <c r="B5" s="957"/>
      <c r="C5" s="957"/>
      <c r="D5" s="957"/>
      <c r="E5" s="957"/>
      <c r="F5" s="957"/>
      <c r="G5" s="957"/>
      <c r="H5" s="957"/>
      <c r="I5" s="957"/>
      <c r="J5" s="957"/>
      <c r="K5" s="957"/>
      <c r="L5" s="957"/>
      <c r="M5" s="957"/>
      <c r="N5" s="957"/>
      <c r="O5" s="957"/>
      <c r="P5" s="957"/>
      <c r="Q5" s="957"/>
      <c r="R5" s="957"/>
      <c r="S5" s="957"/>
      <c r="T5" s="957"/>
      <c r="U5" s="957"/>
      <c r="V5" s="957"/>
      <c r="W5" s="957"/>
      <c r="X5" s="957"/>
      <c r="Y5" s="957"/>
      <c r="Z5" s="957"/>
      <c r="AA5" s="957"/>
      <c r="AB5" s="957"/>
      <c r="AC5" s="957"/>
      <c r="AD5" s="957"/>
      <c r="AE5" s="957"/>
      <c r="AF5" s="957"/>
      <c r="AG5" s="957"/>
      <c r="AH5" s="957"/>
      <c r="AI5" s="957"/>
      <c r="AJ5" s="957"/>
      <c r="AK5" s="957"/>
    </row>
    <row r="6" spans="1:37" x14ac:dyDescent="0.3">
      <c r="A6" s="957"/>
      <c r="B6" s="957"/>
      <c r="C6" s="957"/>
      <c r="D6" s="957"/>
      <c r="E6" s="957"/>
      <c r="F6" s="957"/>
      <c r="G6" s="957"/>
      <c r="H6" s="957"/>
      <c r="I6" s="957"/>
      <c r="J6" s="957"/>
      <c r="K6" s="957"/>
      <c r="L6" s="957"/>
      <c r="M6" s="957"/>
      <c r="N6" s="957"/>
      <c r="O6" s="957"/>
      <c r="P6" s="957"/>
      <c r="Q6" s="957"/>
      <c r="R6" s="957"/>
      <c r="S6" s="957"/>
      <c r="T6" s="957"/>
      <c r="U6" s="957"/>
      <c r="V6" s="957"/>
      <c r="W6" s="957"/>
      <c r="X6" s="957"/>
      <c r="Y6" s="957"/>
      <c r="Z6" s="957"/>
      <c r="AA6" s="957"/>
      <c r="AB6" s="957"/>
      <c r="AC6" s="957"/>
      <c r="AD6" s="957"/>
      <c r="AE6" s="957"/>
      <c r="AF6" s="957"/>
      <c r="AG6" s="957"/>
      <c r="AH6" s="957"/>
      <c r="AI6" s="957"/>
      <c r="AJ6" s="957"/>
      <c r="AK6" s="957"/>
    </row>
    <row r="7" spans="1:37" x14ac:dyDescent="0.3">
      <c r="A7" s="957"/>
      <c r="B7" s="957"/>
      <c r="C7" s="957"/>
      <c r="D7" s="957"/>
      <c r="E7" s="957"/>
      <c r="F7" s="957"/>
      <c r="G7" s="957"/>
      <c r="H7" s="957"/>
      <c r="I7" s="957"/>
      <c r="J7" s="957"/>
      <c r="K7" s="957"/>
      <c r="L7" s="957"/>
      <c r="M7" s="957"/>
      <c r="N7" s="957"/>
      <c r="O7" s="957"/>
      <c r="P7" s="957"/>
      <c r="Q7" s="957"/>
      <c r="R7" s="957"/>
      <c r="S7" s="957"/>
      <c r="T7" s="957"/>
      <c r="U7" s="957"/>
      <c r="V7" s="957"/>
      <c r="W7" s="957"/>
      <c r="X7" s="957"/>
      <c r="Y7" s="957"/>
      <c r="Z7" s="957"/>
      <c r="AA7" s="957"/>
      <c r="AB7" s="957"/>
      <c r="AC7" s="957"/>
      <c r="AD7" s="957"/>
      <c r="AE7" s="957"/>
      <c r="AF7" s="957"/>
      <c r="AG7" s="957"/>
      <c r="AH7" s="957"/>
      <c r="AI7" s="957"/>
      <c r="AJ7" s="957"/>
      <c r="AK7" s="957"/>
    </row>
    <row r="8" spans="1:37" x14ac:dyDescent="0.3">
      <c r="A8" s="957"/>
      <c r="B8" s="957"/>
      <c r="C8" s="957"/>
      <c r="D8" s="957"/>
      <c r="E8" s="957"/>
      <c r="F8" s="957"/>
      <c r="G8" s="957"/>
      <c r="H8" s="957"/>
      <c r="I8" s="957"/>
      <c r="J8" s="957"/>
      <c r="K8" s="957"/>
      <c r="L8" s="957"/>
      <c r="M8" s="957"/>
      <c r="N8" s="957"/>
      <c r="O8" s="957"/>
      <c r="P8" s="957"/>
      <c r="Q8" s="957"/>
      <c r="R8" s="957"/>
      <c r="S8" s="957"/>
      <c r="T8" s="957"/>
      <c r="U8" s="957"/>
      <c r="V8" s="957"/>
      <c r="W8" s="957"/>
      <c r="X8" s="957"/>
      <c r="Y8" s="957"/>
      <c r="Z8" s="957"/>
      <c r="AA8" s="957"/>
      <c r="AB8" s="957"/>
      <c r="AC8" s="957"/>
      <c r="AD8" s="957"/>
      <c r="AE8" s="957"/>
      <c r="AF8" s="957"/>
      <c r="AG8" s="957"/>
      <c r="AH8" s="957"/>
      <c r="AI8" s="957"/>
      <c r="AJ8" s="957"/>
      <c r="AK8" s="957"/>
    </row>
    <row r="9" spans="1:37" x14ac:dyDescent="0.3">
      <c r="A9" s="957"/>
      <c r="B9" s="957"/>
      <c r="C9" s="957"/>
      <c r="D9" s="957"/>
      <c r="E9" s="957"/>
      <c r="F9" s="957"/>
      <c r="G9" s="957"/>
      <c r="H9" s="957"/>
      <c r="I9" s="957"/>
      <c r="J9" s="957"/>
      <c r="K9" s="957"/>
      <c r="L9" s="957"/>
      <c r="M9" s="957"/>
      <c r="N9" s="957"/>
      <c r="O9" s="957"/>
      <c r="P9" s="957"/>
      <c r="Q9" s="957"/>
      <c r="R9" s="957"/>
      <c r="S9" s="957"/>
      <c r="T9" s="957"/>
      <c r="U9" s="957"/>
      <c r="V9" s="957"/>
      <c r="W9" s="957"/>
      <c r="X9" s="957"/>
      <c r="Y9" s="957"/>
      <c r="Z9" s="957"/>
      <c r="AA9" s="957"/>
      <c r="AB9" s="957"/>
      <c r="AC9" s="957"/>
      <c r="AD9" s="957"/>
      <c r="AE9" s="957"/>
      <c r="AF9" s="957"/>
      <c r="AG9" s="957"/>
      <c r="AH9" s="957"/>
      <c r="AI9" s="957"/>
      <c r="AJ9" s="957"/>
      <c r="AK9" s="957"/>
    </row>
    <row r="10" spans="1:37" x14ac:dyDescent="0.3">
      <c r="A10" s="957"/>
      <c r="B10" s="957"/>
      <c r="C10" s="957"/>
      <c r="D10" s="957"/>
      <c r="E10" s="957"/>
      <c r="F10" s="957"/>
      <c r="G10" s="957"/>
      <c r="H10" s="957"/>
      <c r="I10" s="957"/>
      <c r="J10" s="957"/>
      <c r="K10" s="957"/>
      <c r="L10" s="957"/>
      <c r="M10" s="957"/>
      <c r="N10" s="957"/>
      <c r="O10" s="957"/>
      <c r="P10" s="957"/>
      <c r="Q10" s="957"/>
      <c r="R10" s="957"/>
      <c r="S10" s="957"/>
      <c r="T10" s="957"/>
      <c r="U10" s="957"/>
      <c r="V10" s="957"/>
      <c r="W10" s="957"/>
      <c r="X10" s="957"/>
      <c r="Y10" s="957"/>
      <c r="Z10" s="957"/>
      <c r="AA10" s="957"/>
      <c r="AB10" s="957"/>
      <c r="AC10" s="957"/>
      <c r="AD10" s="957"/>
      <c r="AE10" s="957"/>
      <c r="AF10" s="957"/>
      <c r="AG10" s="957"/>
      <c r="AH10" s="957"/>
      <c r="AI10" s="957"/>
      <c r="AJ10" s="957"/>
      <c r="AK10" s="957"/>
    </row>
    <row r="11" spans="1:37" x14ac:dyDescent="0.3">
      <c r="A11" s="957"/>
      <c r="B11" s="957"/>
      <c r="C11" s="957"/>
      <c r="D11" s="957"/>
      <c r="E11" s="957"/>
      <c r="F11" s="957"/>
      <c r="G11" s="957"/>
      <c r="H11" s="957"/>
      <c r="I11" s="957"/>
      <c r="J11" s="957"/>
      <c r="K11" s="957"/>
      <c r="L11" s="957"/>
      <c r="M11" s="957"/>
      <c r="N11" s="957"/>
      <c r="O11" s="957"/>
      <c r="P11" s="957"/>
      <c r="Q11" s="957"/>
      <c r="R11" s="957"/>
      <c r="S11" s="957"/>
      <c r="T11" s="957"/>
      <c r="U11" s="957"/>
      <c r="V11" s="957"/>
      <c r="W11" s="957"/>
      <c r="X11" s="957"/>
      <c r="Y11" s="957"/>
      <c r="Z11" s="957"/>
      <c r="AA11" s="957"/>
      <c r="AB11" s="957"/>
      <c r="AC11" s="957"/>
      <c r="AD11" s="957"/>
      <c r="AE11" s="957"/>
      <c r="AF11" s="957"/>
      <c r="AG11" s="957"/>
      <c r="AH11" s="957"/>
      <c r="AI11" s="957"/>
      <c r="AJ11" s="957"/>
      <c r="AK11" s="957"/>
    </row>
    <row r="12" spans="1:37" x14ac:dyDescent="0.3">
      <c r="A12" s="957"/>
      <c r="B12" s="957"/>
      <c r="C12" s="957"/>
      <c r="D12" s="957"/>
      <c r="E12" s="957"/>
      <c r="F12" s="957"/>
      <c r="G12" s="957"/>
      <c r="H12" s="957"/>
      <c r="I12" s="957"/>
      <c r="J12" s="957"/>
      <c r="K12" s="957"/>
      <c r="L12" s="957"/>
      <c r="M12" s="957"/>
      <c r="N12" s="957"/>
      <c r="O12" s="957"/>
      <c r="P12" s="957"/>
      <c r="Q12" s="957"/>
      <c r="R12" s="957"/>
      <c r="S12" s="957"/>
      <c r="T12" s="957"/>
      <c r="U12" s="957"/>
      <c r="V12" s="957"/>
      <c r="W12" s="957"/>
      <c r="X12" s="957"/>
      <c r="Y12" s="957"/>
      <c r="Z12" s="957"/>
      <c r="AA12" s="957"/>
      <c r="AB12" s="957"/>
      <c r="AC12" s="957"/>
      <c r="AD12" s="957"/>
      <c r="AE12" s="957"/>
      <c r="AF12" s="957"/>
      <c r="AG12" s="957"/>
      <c r="AH12" s="957"/>
      <c r="AI12" s="957"/>
      <c r="AJ12" s="957"/>
      <c r="AK12" s="957"/>
    </row>
    <row r="13" spans="1:37" x14ac:dyDescent="0.3">
      <c r="A13" s="957"/>
      <c r="B13" s="957"/>
      <c r="C13" s="957"/>
      <c r="D13" s="957"/>
      <c r="E13" s="957"/>
      <c r="F13" s="957"/>
      <c r="G13" s="957"/>
      <c r="H13" s="957"/>
      <c r="I13" s="957"/>
      <c r="J13" s="957"/>
      <c r="K13" s="957"/>
      <c r="L13" s="957"/>
      <c r="M13" s="957"/>
      <c r="N13" s="957"/>
      <c r="O13" s="957"/>
      <c r="P13" s="957"/>
      <c r="Q13" s="957"/>
      <c r="R13" s="957"/>
      <c r="S13" s="957"/>
      <c r="T13" s="957"/>
      <c r="U13" s="957"/>
      <c r="V13" s="957"/>
      <c r="W13" s="957"/>
      <c r="X13" s="957"/>
      <c r="Y13" s="957"/>
      <c r="Z13" s="957"/>
      <c r="AA13" s="957"/>
      <c r="AB13" s="957"/>
      <c r="AC13" s="957"/>
      <c r="AD13" s="957"/>
      <c r="AE13" s="957"/>
      <c r="AF13" s="957"/>
      <c r="AG13" s="957"/>
      <c r="AH13" s="957"/>
      <c r="AI13" s="957"/>
      <c r="AJ13" s="957"/>
      <c r="AK13" s="957"/>
    </row>
    <row r="14" spans="1:37" x14ac:dyDescent="0.3">
      <c r="A14" s="957"/>
      <c r="B14" s="957"/>
      <c r="C14" s="957"/>
      <c r="D14" s="957"/>
      <c r="E14" s="957"/>
      <c r="F14" s="957"/>
      <c r="G14" s="957"/>
      <c r="H14" s="957"/>
      <c r="I14" s="957"/>
      <c r="J14" s="957"/>
      <c r="K14" s="957"/>
      <c r="L14" s="957"/>
      <c r="M14" s="957"/>
      <c r="N14" s="957"/>
      <c r="O14" s="957"/>
      <c r="P14" s="957"/>
      <c r="Q14" s="957"/>
      <c r="R14" s="957"/>
      <c r="S14" s="957"/>
      <c r="T14" s="957"/>
      <c r="U14" s="957"/>
      <c r="V14" s="957"/>
      <c r="W14" s="957"/>
      <c r="X14" s="957"/>
      <c r="Y14" s="957"/>
      <c r="Z14" s="957"/>
      <c r="AA14" s="957"/>
      <c r="AB14" s="957"/>
      <c r="AC14" s="957"/>
      <c r="AD14" s="957"/>
      <c r="AE14" s="957"/>
      <c r="AF14" s="957"/>
      <c r="AG14" s="957"/>
      <c r="AH14" s="957"/>
      <c r="AI14" s="957"/>
      <c r="AJ14" s="957"/>
      <c r="AK14" s="957"/>
    </row>
    <row r="15" spans="1:37" x14ac:dyDescent="0.3">
      <c r="A15" s="957"/>
      <c r="B15" s="957"/>
      <c r="C15" s="957"/>
      <c r="D15" s="957"/>
      <c r="E15" s="957"/>
      <c r="F15" s="957"/>
      <c r="G15" s="957"/>
      <c r="H15" s="957"/>
      <c r="I15" s="957"/>
      <c r="J15" s="957"/>
      <c r="K15" s="957"/>
      <c r="L15" s="957"/>
      <c r="M15" s="957"/>
      <c r="N15" s="957"/>
      <c r="O15" s="957"/>
      <c r="P15" s="957"/>
      <c r="Q15" s="957"/>
      <c r="R15" s="957"/>
      <c r="S15" s="957"/>
      <c r="T15" s="957"/>
      <c r="U15" s="957"/>
      <c r="V15" s="957"/>
      <c r="W15" s="957"/>
      <c r="X15" s="957"/>
      <c r="Y15" s="957"/>
      <c r="Z15" s="957"/>
      <c r="AA15" s="957"/>
      <c r="AB15" s="957"/>
      <c r="AC15" s="957"/>
      <c r="AD15" s="957"/>
      <c r="AE15" s="957"/>
      <c r="AF15" s="957"/>
      <c r="AG15" s="957"/>
      <c r="AH15" s="957"/>
      <c r="AI15" s="957"/>
      <c r="AJ15" s="957"/>
      <c r="AK15" s="957"/>
    </row>
    <row r="16" spans="1:37" x14ac:dyDescent="0.3">
      <c r="A16" s="957"/>
      <c r="B16" s="957"/>
      <c r="C16" s="957"/>
      <c r="D16" s="957"/>
      <c r="E16" s="957"/>
      <c r="F16" s="957"/>
      <c r="G16" s="957"/>
      <c r="H16" s="957"/>
      <c r="I16" s="957"/>
      <c r="J16" s="957"/>
      <c r="K16" s="957"/>
      <c r="L16" s="957"/>
      <c r="M16" s="957"/>
      <c r="N16" s="957"/>
      <c r="O16" s="957"/>
      <c r="P16" s="957"/>
      <c r="Q16" s="957"/>
      <c r="R16" s="957"/>
      <c r="S16" s="957"/>
      <c r="T16" s="957"/>
      <c r="U16" s="957"/>
      <c r="V16" s="957"/>
      <c r="W16" s="957"/>
      <c r="X16" s="957"/>
      <c r="Y16" s="957"/>
      <c r="Z16" s="957"/>
      <c r="AA16" s="957"/>
      <c r="AB16" s="957"/>
      <c r="AC16" s="957"/>
      <c r="AD16" s="957"/>
      <c r="AE16" s="957"/>
      <c r="AF16" s="957"/>
      <c r="AG16" s="957"/>
      <c r="AH16" s="957"/>
      <c r="AI16" s="957"/>
      <c r="AJ16" s="957"/>
      <c r="AK16" s="957"/>
    </row>
    <row r="17" spans="1:37" x14ac:dyDescent="0.3">
      <c r="A17" s="957"/>
      <c r="B17" s="957"/>
      <c r="C17" s="957"/>
      <c r="D17" s="957"/>
      <c r="E17" s="957"/>
      <c r="F17" s="957"/>
      <c r="G17" s="957"/>
      <c r="H17" s="957"/>
      <c r="I17" s="957"/>
      <c r="J17" s="957"/>
      <c r="K17" s="957"/>
      <c r="L17" s="957"/>
      <c r="M17" s="957"/>
      <c r="N17" s="957"/>
      <c r="O17" s="957"/>
      <c r="P17" s="957"/>
      <c r="Q17" s="957"/>
      <c r="R17" s="957"/>
      <c r="S17" s="957"/>
      <c r="T17" s="957"/>
      <c r="U17" s="957"/>
      <c r="V17" s="957"/>
      <c r="W17" s="957"/>
      <c r="X17" s="957"/>
      <c r="Y17" s="957"/>
      <c r="Z17" s="957"/>
      <c r="AA17" s="957"/>
      <c r="AB17" s="957"/>
      <c r="AC17" s="957"/>
      <c r="AD17" s="957"/>
      <c r="AE17" s="957"/>
      <c r="AF17" s="957"/>
      <c r="AG17" s="957"/>
      <c r="AH17" s="957"/>
      <c r="AI17" s="957"/>
      <c r="AJ17" s="957"/>
      <c r="AK17" s="957"/>
    </row>
    <row r="18" spans="1:37" x14ac:dyDescent="0.3">
      <c r="A18" s="957"/>
      <c r="B18" s="957"/>
      <c r="C18" s="957"/>
      <c r="D18" s="957"/>
      <c r="E18" s="957"/>
      <c r="F18" s="957"/>
      <c r="G18" s="957"/>
      <c r="H18" s="957"/>
      <c r="I18" s="957"/>
      <c r="J18" s="957"/>
      <c r="K18" s="957"/>
      <c r="L18" s="957"/>
      <c r="M18" s="957"/>
      <c r="N18" s="957"/>
      <c r="O18" s="957"/>
      <c r="P18" s="957"/>
      <c r="Q18" s="957"/>
      <c r="R18" s="957"/>
      <c r="S18" s="957"/>
      <c r="T18" s="957"/>
      <c r="U18" s="957"/>
      <c r="V18" s="957"/>
      <c r="W18" s="957"/>
      <c r="X18" s="957"/>
      <c r="Y18" s="957"/>
      <c r="Z18" s="957"/>
      <c r="AA18" s="957"/>
      <c r="AB18" s="957"/>
      <c r="AC18" s="957"/>
      <c r="AD18" s="957"/>
      <c r="AE18" s="957"/>
      <c r="AF18" s="957"/>
      <c r="AG18" s="957"/>
      <c r="AH18" s="957"/>
      <c r="AI18" s="957"/>
      <c r="AJ18" s="957"/>
      <c r="AK18" s="957"/>
    </row>
    <row r="19" spans="1:37" x14ac:dyDescent="0.3">
      <c r="A19" s="957"/>
      <c r="B19" s="957"/>
      <c r="C19" s="957"/>
      <c r="D19" s="957"/>
      <c r="E19" s="957"/>
      <c r="F19" s="957"/>
      <c r="G19" s="957"/>
      <c r="H19" s="957"/>
      <c r="I19" s="957"/>
      <c r="J19" s="957"/>
      <c r="K19" s="957"/>
      <c r="L19" s="957"/>
      <c r="M19" s="957"/>
      <c r="N19" s="957"/>
      <c r="O19" s="957"/>
      <c r="P19" s="957"/>
      <c r="Q19" s="957"/>
      <c r="R19" s="957"/>
      <c r="S19" s="957"/>
      <c r="T19" s="957"/>
      <c r="U19" s="957"/>
      <c r="V19" s="957"/>
      <c r="W19" s="957"/>
      <c r="X19" s="957"/>
      <c r="Y19" s="957"/>
      <c r="Z19" s="957"/>
      <c r="AA19" s="957"/>
      <c r="AB19" s="957"/>
      <c r="AC19" s="957"/>
      <c r="AD19" s="957"/>
      <c r="AE19" s="957"/>
      <c r="AF19" s="957"/>
      <c r="AG19" s="957"/>
      <c r="AH19" s="957"/>
      <c r="AI19" s="957"/>
      <c r="AJ19" s="957"/>
      <c r="AK19" s="957"/>
    </row>
    <row r="20" spans="1:37" x14ac:dyDescent="0.3">
      <c r="A20" s="957"/>
      <c r="B20" s="957"/>
      <c r="C20" s="957"/>
      <c r="D20" s="957"/>
      <c r="E20" s="957"/>
      <c r="F20" s="957"/>
      <c r="G20" s="957"/>
      <c r="H20" s="957"/>
      <c r="I20" s="957"/>
      <c r="J20" s="957"/>
      <c r="K20" s="957"/>
      <c r="L20" s="957"/>
      <c r="M20" s="957"/>
      <c r="N20" s="957"/>
      <c r="O20" s="957"/>
      <c r="P20" s="957"/>
      <c r="Q20" s="957"/>
      <c r="R20" s="957"/>
      <c r="S20" s="957"/>
      <c r="T20" s="957"/>
      <c r="U20" s="957"/>
      <c r="V20" s="957"/>
      <c r="W20" s="957"/>
      <c r="X20" s="957"/>
      <c r="Y20" s="957"/>
      <c r="Z20" s="957"/>
      <c r="AA20" s="957"/>
      <c r="AB20" s="957"/>
      <c r="AC20" s="957"/>
      <c r="AD20" s="957"/>
      <c r="AE20" s="957"/>
      <c r="AF20" s="957"/>
      <c r="AG20" s="957"/>
      <c r="AH20" s="957"/>
      <c r="AI20" s="957"/>
      <c r="AJ20" s="957"/>
      <c r="AK20" s="957"/>
    </row>
    <row r="21" spans="1:37" x14ac:dyDescent="0.3">
      <c r="A21" s="957"/>
      <c r="B21" s="957"/>
      <c r="C21" s="957"/>
      <c r="D21" s="957"/>
      <c r="E21" s="957"/>
      <c r="F21" s="957"/>
      <c r="G21" s="957"/>
      <c r="H21" s="957"/>
      <c r="I21" s="957"/>
      <c r="J21" s="957"/>
      <c r="K21" s="957"/>
      <c r="L21" s="957"/>
      <c r="M21" s="957"/>
      <c r="N21" s="957"/>
      <c r="O21" s="957"/>
      <c r="P21" s="957"/>
      <c r="Q21" s="957"/>
      <c r="R21" s="957"/>
      <c r="S21" s="957"/>
      <c r="T21" s="957"/>
      <c r="U21" s="957"/>
      <c r="V21" s="957"/>
      <c r="W21" s="957"/>
      <c r="X21" s="957"/>
      <c r="Y21" s="957"/>
      <c r="Z21" s="957"/>
      <c r="AA21" s="957"/>
      <c r="AB21" s="957"/>
      <c r="AC21" s="957"/>
      <c r="AD21" s="957"/>
      <c r="AE21" s="957"/>
      <c r="AF21" s="957"/>
      <c r="AG21" s="957"/>
      <c r="AH21" s="957"/>
      <c r="AI21" s="957"/>
      <c r="AJ21" s="957"/>
      <c r="AK21" s="957"/>
    </row>
    <row r="22" spans="1:37" x14ac:dyDescent="0.3">
      <c r="A22" s="957"/>
      <c r="B22" s="957"/>
      <c r="C22" s="957"/>
      <c r="D22" s="957"/>
      <c r="E22" s="957"/>
      <c r="F22" s="957"/>
      <c r="G22" s="957"/>
      <c r="H22" s="957"/>
      <c r="I22" s="957"/>
      <c r="J22" s="957"/>
      <c r="K22" s="957"/>
      <c r="L22" s="957"/>
      <c r="M22" s="957"/>
      <c r="N22" s="957"/>
      <c r="O22" s="957"/>
      <c r="P22" s="957"/>
      <c r="Q22" s="957"/>
      <c r="R22" s="957"/>
      <c r="S22" s="957"/>
      <c r="T22" s="957"/>
      <c r="U22" s="957"/>
      <c r="V22" s="957"/>
      <c r="W22" s="957"/>
      <c r="X22" s="957"/>
      <c r="Y22" s="957"/>
      <c r="Z22" s="957"/>
      <c r="AA22" s="957"/>
      <c r="AB22" s="957"/>
      <c r="AC22" s="957"/>
      <c r="AD22" s="957"/>
      <c r="AE22" s="957"/>
      <c r="AF22" s="957"/>
      <c r="AG22" s="957"/>
      <c r="AH22" s="957"/>
      <c r="AI22" s="957"/>
      <c r="AJ22" s="957"/>
      <c r="AK22" s="957"/>
    </row>
    <row r="23" spans="1:37" x14ac:dyDescent="0.3">
      <c r="A23" s="957"/>
      <c r="B23" s="957"/>
      <c r="C23" s="957"/>
      <c r="D23" s="957"/>
      <c r="E23" s="957"/>
      <c r="F23" s="957"/>
      <c r="G23" s="957"/>
      <c r="H23" s="957"/>
      <c r="I23" s="957"/>
      <c r="J23" s="957"/>
      <c r="K23" s="957"/>
      <c r="L23" s="957"/>
      <c r="M23" s="957"/>
      <c r="N23" s="957"/>
      <c r="O23" s="957"/>
      <c r="P23" s="957"/>
      <c r="Q23" s="957"/>
      <c r="R23" s="957"/>
      <c r="S23" s="957"/>
      <c r="T23" s="957"/>
      <c r="U23" s="957"/>
      <c r="V23" s="957"/>
      <c r="W23" s="957"/>
      <c r="X23" s="957"/>
      <c r="Y23" s="957"/>
      <c r="Z23" s="957"/>
      <c r="AA23" s="957"/>
      <c r="AB23" s="957"/>
      <c r="AC23" s="957"/>
      <c r="AD23" s="957"/>
      <c r="AE23" s="957"/>
      <c r="AF23" s="957"/>
      <c r="AG23" s="957"/>
      <c r="AH23" s="957"/>
      <c r="AI23" s="957"/>
      <c r="AJ23" s="957"/>
      <c r="AK23" s="957"/>
    </row>
    <row r="24" spans="1:37" x14ac:dyDescent="0.3">
      <c r="A24" s="957"/>
      <c r="B24" s="957"/>
      <c r="C24" s="957"/>
      <c r="D24" s="957"/>
      <c r="E24" s="957"/>
      <c r="F24" s="957"/>
      <c r="G24" s="957"/>
      <c r="H24" s="957"/>
      <c r="I24" s="957"/>
      <c r="J24" s="957"/>
      <c r="K24" s="957"/>
      <c r="L24" s="957"/>
      <c r="M24" s="957"/>
      <c r="N24" s="957"/>
      <c r="O24" s="957"/>
      <c r="P24" s="957"/>
      <c r="Q24" s="957"/>
      <c r="R24" s="957"/>
      <c r="S24" s="957"/>
      <c r="T24" s="957"/>
      <c r="U24" s="957"/>
      <c r="V24" s="957"/>
      <c r="W24" s="957"/>
      <c r="X24" s="957"/>
      <c r="Y24" s="957"/>
      <c r="Z24" s="957"/>
      <c r="AA24" s="957"/>
      <c r="AB24" s="957"/>
      <c r="AC24" s="957"/>
      <c r="AD24" s="957"/>
      <c r="AE24" s="957"/>
      <c r="AF24" s="957"/>
      <c r="AG24" s="957"/>
      <c r="AH24" s="957"/>
      <c r="AI24" s="957"/>
      <c r="AJ24" s="957"/>
      <c r="AK24" s="957"/>
    </row>
    <row r="25" spans="1:37" x14ac:dyDescent="0.3">
      <c r="A25" s="957"/>
      <c r="B25" s="957"/>
      <c r="C25" s="957"/>
      <c r="D25" s="957"/>
      <c r="E25" s="957"/>
      <c r="F25" s="957"/>
      <c r="G25" s="957"/>
      <c r="H25" s="957"/>
      <c r="I25" s="957"/>
      <c r="J25" s="957"/>
      <c r="K25" s="957"/>
      <c r="L25" s="957"/>
      <c r="M25" s="957"/>
      <c r="N25" s="957"/>
      <c r="O25" s="957"/>
      <c r="P25" s="957"/>
      <c r="Q25" s="957"/>
      <c r="R25" s="957"/>
      <c r="S25" s="957"/>
      <c r="T25" s="957"/>
      <c r="U25" s="957"/>
      <c r="V25" s="957"/>
      <c r="W25" s="957"/>
      <c r="X25" s="957"/>
      <c r="Y25" s="957"/>
      <c r="Z25" s="957"/>
      <c r="AA25" s="957"/>
      <c r="AB25" s="957"/>
      <c r="AC25" s="957"/>
      <c r="AD25" s="957"/>
      <c r="AE25" s="957"/>
      <c r="AF25" s="957"/>
      <c r="AG25" s="957"/>
      <c r="AH25" s="957"/>
      <c r="AI25" s="957"/>
      <c r="AJ25" s="957"/>
      <c r="AK25" s="957"/>
    </row>
    <row r="26" spans="1:37" x14ac:dyDescent="0.3">
      <c r="A26" s="957"/>
      <c r="B26" s="957"/>
      <c r="C26" s="957"/>
      <c r="D26" s="957"/>
      <c r="E26" s="957"/>
      <c r="F26" s="957"/>
      <c r="G26" s="957"/>
      <c r="H26" s="957"/>
      <c r="I26" s="957"/>
      <c r="J26" s="957"/>
      <c r="K26" s="957"/>
      <c r="L26" s="957"/>
      <c r="M26" s="957"/>
      <c r="N26" s="957"/>
      <c r="O26" s="957"/>
      <c r="P26" s="957"/>
      <c r="Q26" s="957"/>
      <c r="R26" s="957"/>
      <c r="S26" s="957"/>
      <c r="T26" s="957"/>
      <c r="U26" s="957"/>
      <c r="V26" s="957"/>
      <c r="W26" s="957"/>
      <c r="X26" s="957"/>
      <c r="Y26" s="957"/>
      <c r="Z26" s="957"/>
      <c r="AA26" s="957"/>
      <c r="AB26" s="957"/>
      <c r="AC26" s="957"/>
      <c r="AD26" s="957"/>
      <c r="AE26" s="957"/>
      <c r="AF26" s="957"/>
      <c r="AG26" s="957"/>
      <c r="AH26" s="957"/>
      <c r="AI26" s="957"/>
      <c r="AJ26" s="957"/>
      <c r="AK26" s="957"/>
    </row>
    <row r="27" spans="1:37" x14ac:dyDescent="0.3">
      <c r="A27" s="957"/>
      <c r="B27" s="957"/>
      <c r="C27" s="957"/>
      <c r="D27" s="957"/>
      <c r="E27" s="957"/>
      <c r="F27" s="957"/>
      <c r="G27" s="957"/>
      <c r="H27" s="957"/>
      <c r="I27" s="957"/>
      <c r="J27" s="957"/>
      <c r="K27" s="957"/>
      <c r="L27" s="957"/>
      <c r="M27" s="957"/>
      <c r="N27" s="957"/>
      <c r="O27" s="957"/>
      <c r="P27" s="957"/>
      <c r="Q27" s="957"/>
      <c r="R27" s="957"/>
      <c r="S27" s="957"/>
      <c r="T27" s="957"/>
      <c r="U27" s="957"/>
      <c r="V27" s="957"/>
      <c r="W27" s="957"/>
      <c r="X27" s="957"/>
      <c r="Y27" s="957"/>
      <c r="Z27" s="957"/>
      <c r="AA27" s="957"/>
      <c r="AB27" s="957"/>
      <c r="AC27" s="957"/>
      <c r="AD27" s="957"/>
      <c r="AE27" s="957"/>
      <c r="AF27" s="957"/>
      <c r="AG27" s="957"/>
      <c r="AH27" s="957"/>
      <c r="AI27" s="957"/>
      <c r="AJ27" s="957"/>
      <c r="AK27" s="957"/>
    </row>
    <row r="28" spans="1:37" x14ac:dyDescent="0.3">
      <c r="A28" s="957"/>
      <c r="B28" s="957"/>
      <c r="C28" s="957"/>
      <c r="D28" s="957"/>
      <c r="E28" s="957"/>
      <c r="F28" s="957"/>
      <c r="G28" s="957"/>
      <c r="H28" s="957"/>
      <c r="I28" s="957"/>
      <c r="J28" s="957"/>
      <c r="K28" s="957"/>
      <c r="L28" s="957"/>
      <c r="M28" s="957"/>
      <c r="N28" s="957"/>
      <c r="O28" s="957"/>
      <c r="P28" s="957"/>
      <c r="Q28" s="957"/>
      <c r="R28" s="957"/>
      <c r="S28" s="957"/>
      <c r="T28" s="957"/>
      <c r="U28" s="957"/>
      <c r="V28" s="957"/>
      <c r="W28" s="957"/>
      <c r="X28" s="957"/>
      <c r="Y28" s="957"/>
      <c r="Z28" s="957"/>
      <c r="AA28" s="957"/>
      <c r="AB28" s="957"/>
      <c r="AC28" s="957"/>
      <c r="AD28" s="957"/>
      <c r="AE28" s="957"/>
      <c r="AF28" s="957"/>
      <c r="AG28" s="957"/>
      <c r="AH28" s="957"/>
      <c r="AI28" s="957"/>
      <c r="AJ28" s="957"/>
      <c r="AK28" s="957"/>
    </row>
    <row r="29" spans="1:37" x14ac:dyDescent="0.3">
      <c r="A29" s="957"/>
      <c r="B29" s="957"/>
      <c r="C29" s="957"/>
      <c r="D29" s="957"/>
      <c r="E29" s="957"/>
      <c r="F29" s="957"/>
      <c r="G29" s="957"/>
      <c r="H29" s="957"/>
      <c r="I29" s="957"/>
      <c r="J29" s="957"/>
      <c r="K29" s="957"/>
      <c r="L29" s="957"/>
      <c r="M29" s="957"/>
      <c r="N29" s="957"/>
      <c r="O29" s="957"/>
      <c r="P29" s="957"/>
      <c r="Q29" s="957"/>
      <c r="R29" s="957"/>
      <c r="S29" s="957"/>
      <c r="T29" s="957"/>
      <c r="U29" s="957"/>
      <c r="V29" s="957"/>
      <c r="W29" s="957"/>
      <c r="X29" s="957"/>
      <c r="Y29" s="957"/>
      <c r="Z29" s="957"/>
      <c r="AA29" s="957"/>
      <c r="AB29" s="957"/>
      <c r="AC29" s="957"/>
      <c r="AD29" s="957"/>
      <c r="AE29" s="957"/>
      <c r="AF29" s="957"/>
      <c r="AG29" s="957"/>
      <c r="AH29" s="957"/>
      <c r="AI29" s="957"/>
      <c r="AJ29" s="957"/>
      <c r="AK29" s="957"/>
    </row>
    <row r="30" spans="1:37" x14ac:dyDescent="0.3">
      <c r="A30" s="957"/>
      <c r="B30" s="957"/>
      <c r="C30" s="957"/>
      <c r="D30" s="957"/>
      <c r="E30" s="957"/>
      <c r="F30" s="957"/>
      <c r="G30" s="957"/>
      <c r="H30" s="957"/>
      <c r="I30" s="957"/>
      <c r="J30" s="957"/>
      <c r="K30" s="957"/>
      <c r="L30" s="957"/>
      <c r="M30" s="957"/>
      <c r="N30" s="957"/>
      <c r="O30" s="957"/>
      <c r="P30" s="957"/>
      <c r="Q30" s="957"/>
      <c r="R30" s="957"/>
      <c r="S30" s="957"/>
      <c r="T30" s="957"/>
      <c r="U30" s="957"/>
      <c r="V30" s="957"/>
      <c r="W30" s="957"/>
      <c r="X30" s="957"/>
      <c r="Y30" s="957"/>
      <c r="Z30" s="957"/>
      <c r="AA30" s="957"/>
      <c r="AB30" s="957"/>
      <c r="AC30" s="957"/>
      <c r="AD30" s="957"/>
      <c r="AE30" s="957"/>
      <c r="AF30" s="957"/>
      <c r="AG30" s="957"/>
      <c r="AH30" s="957"/>
      <c r="AI30" s="957"/>
      <c r="AJ30" s="957"/>
      <c r="AK30" s="957"/>
    </row>
    <row r="31" spans="1:37" x14ac:dyDescent="0.3">
      <c r="A31" s="957"/>
      <c r="B31" s="957"/>
      <c r="C31" s="957"/>
      <c r="D31" s="957"/>
      <c r="E31" s="957"/>
      <c r="F31" s="957"/>
      <c r="G31" s="957"/>
      <c r="H31" s="957"/>
      <c r="I31" s="957"/>
      <c r="J31" s="957"/>
      <c r="K31" s="957"/>
      <c r="L31" s="957"/>
      <c r="M31" s="957"/>
      <c r="N31" s="957"/>
      <c r="O31" s="957"/>
      <c r="P31" s="957"/>
      <c r="Q31" s="957"/>
      <c r="R31" s="957"/>
      <c r="S31" s="957"/>
      <c r="T31" s="957"/>
      <c r="U31" s="957"/>
      <c r="V31" s="957"/>
      <c r="W31" s="957"/>
      <c r="X31" s="957"/>
      <c r="Y31" s="957"/>
      <c r="Z31" s="957"/>
      <c r="AA31" s="957"/>
      <c r="AB31" s="957"/>
      <c r="AC31" s="957"/>
      <c r="AD31" s="957"/>
      <c r="AE31" s="957"/>
      <c r="AF31" s="957"/>
      <c r="AG31" s="957"/>
      <c r="AH31" s="957"/>
      <c r="AI31" s="957"/>
      <c r="AJ31" s="957"/>
      <c r="AK31" s="957"/>
    </row>
    <row r="32" spans="1:37" x14ac:dyDescent="0.3">
      <c r="A32" s="957"/>
      <c r="B32" s="957"/>
      <c r="C32" s="957"/>
      <c r="D32" s="957"/>
      <c r="E32" s="957"/>
      <c r="F32" s="957"/>
      <c r="G32" s="957"/>
      <c r="H32" s="957"/>
      <c r="I32" s="957"/>
      <c r="J32" s="957"/>
      <c r="K32" s="957"/>
      <c r="L32" s="957"/>
      <c r="M32" s="957"/>
      <c r="N32" s="957"/>
      <c r="O32" s="957"/>
      <c r="P32" s="957"/>
      <c r="Q32" s="957"/>
      <c r="R32" s="957"/>
      <c r="S32" s="957"/>
      <c r="T32" s="957"/>
      <c r="U32" s="957"/>
      <c r="V32" s="957"/>
      <c r="W32" s="957"/>
      <c r="X32" s="957"/>
      <c r="Y32" s="957"/>
      <c r="Z32" s="957"/>
      <c r="AA32" s="957"/>
      <c r="AB32" s="957"/>
      <c r="AC32" s="957"/>
      <c r="AD32" s="957"/>
      <c r="AE32" s="957"/>
      <c r="AF32" s="957"/>
      <c r="AG32" s="957"/>
      <c r="AH32" s="957"/>
      <c r="AI32" s="957"/>
      <c r="AJ32" s="957"/>
      <c r="AK32" s="957"/>
    </row>
    <row r="33" spans="1:37" x14ac:dyDescent="0.3">
      <c r="A33" s="957"/>
      <c r="B33" s="957"/>
      <c r="C33" s="957"/>
      <c r="D33" s="957"/>
      <c r="E33" s="957"/>
      <c r="F33" s="957"/>
      <c r="G33" s="957"/>
      <c r="H33" s="957"/>
      <c r="I33" s="957"/>
      <c r="J33" s="957"/>
      <c r="K33" s="957"/>
      <c r="L33" s="957"/>
      <c r="M33" s="957"/>
      <c r="N33" s="957"/>
      <c r="O33" s="957"/>
      <c r="P33" s="957"/>
      <c r="Q33" s="957"/>
      <c r="R33" s="957"/>
      <c r="S33" s="957"/>
      <c r="T33" s="957"/>
      <c r="U33" s="957"/>
      <c r="V33" s="957"/>
      <c r="W33" s="957"/>
      <c r="X33" s="957"/>
      <c r="Y33" s="957"/>
      <c r="Z33" s="957"/>
      <c r="AA33" s="957"/>
      <c r="AB33" s="957"/>
      <c r="AC33" s="957"/>
      <c r="AD33" s="957"/>
      <c r="AE33" s="957"/>
      <c r="AF33" s="957"/>
      <c r="AG33" s="957"/>
      <c r="AH33" s="957"/>
      <c r="AI33" s="957"/>
      <c r="AJ33" s="957"/>
      <c r="AK33" s="957"/>
    </row>
    <row r="34" spans="1:37" x14ac:dyDescent="0.3">
      <c r="A34" s="957"/>
      <c r="B34" s="957"/>
      <c r="C34" s="957"/>
      <c r="D34" s="957"/>
      <c r="E34" s="957"/>
      <c r="F34" s="957"/>
      <c r="G34" s="957"/>
      <c r="H34" s="957"/>
      <c r="I34" s="957"/>
      <c r="J34" s="957"/>
      <c r="K34" s="957"/>
      <c r="L34" s="957"/>
      <c r="M34" s="957"/>
      <c r="N34" s="957"/>
      <c r="O34" s="957"/>
      <c r="P34" s="957"/>
      <c r="Q34" s="957"/>
      <c r="R34" s="957"/>
      <c r="S34" s="957"/>
      <c r="T34" s="957"/>
      <c r="U34" s="957"/>
      <c r="V34" s="957"/>
      <c r="W34" s="957"/>
      <c r="X34" s="957"/>
      <c r="Y34" s="957"/>
      <c r="Z34" s="957"/>
      <c r="AA34" s="957"/>
      <c r="AB34" s="957"/>
      <c r="AC34" s="957"/>
      <c r="AD34" s="957"/>
      <c r="AE34" s="957"/>
      <c r="AF34" s="957"/>
      <c r="AG34" s="957"/>
      <c r="AH34" s="957"/>
      <c r="AI34" s="957"/>
      <c r="AJ34" s="957"/>
      <c r="AK34" s="957"/>
    </row>
    <row r="35" spans="1:37" x14ac:dyDescent="0.3">
      <c r="A35" s="957"/>
      <c r="B35" s="957"/>
      <c r="C35" s="957"/>
      <c r="D35" s="957"/>
      <c r="E35" s="957"/>
      <c r="F35" s="957"/>
      <c r="G35" s="957"/>
      <c r="H35" s="957"/>
      <c r="I35" s="957"/>
      <c r="J35" s="957"/>
      <c r="K35" s="957"/>
      <c r="L35" s="957"/>
      <c r="M35" s="957"/>
      <c r="N35" s="957"/>
      <c r="O35" s="957"/>
      <c r="P35" s="957"/>
      <c r="Q35" s="957"/>
      <c r="R35" s="957"/>
      <c r="S35" s="957"/>
      <c r="T35" s="957"/>
      <c r="U35" s="957"/>
      <c r="V35" s="957"/>
      <c r="W35" s="957"/>
      <c r="X35" s="957"/>
      <c r="Y35" s="957"/>
      <c r="Z35" s="957"/>
      <c r="AA35" s="957"/>
      <c r="AB35" s="957"/>
      <c r="AC35" s="957"/>
      <c r="AD35" s="957"/>
      <c r="AE35" s="957"/>
      <c r="AF35" s="957"/>
      <c r="AG35" s="957"/>
      <c r="AH35" s="957"/>
      <c r="AI35" s="957"/>
      <c r="AJ35" s="957"/>
      <c r="AK35" s="957"/>
    </row>
    <row r="36" spans="1:37" x14ac:dyDescent="0.3">
      <c r="A36" s="957"/>
      <c r="B36" s="957"/>
      <c r="C36" s="957"/>
      <c r="D36" s="957"/>
      <c r="E36" s="957"/>
      <c r="F36" s="957"/>
      <c r="G36" s="957"/>
      <c r="H36" s="957"/>
      <c r="I36" s="957"/>
      <c r="J36" s="957"/>
      <c r="K36" s="957"/>
      <c r="L36" s="957"/>
      <c r="M36" s="957"/>
      <c r="N36" s="957"/>
      <c r="O36" s="957"/>
      <c r="P36" s="957"/>
      <c r="Q36" s="957"/>
      <c r="R36" s="957"/>
      <c r="S36" s="957"/>
      <c r="T36" s="957"/>
      <c r="U36" s="957"/>
      <c r="V36" s="957"/>
      <c r="W36" s="957"/>
      <c r="X36" s="957"/>
      <c r="Y36" s="957"/>
      <c r="Z36" s="957"/>
      <c r="AA36" s="957"/>
      <c r="AB36" s="957"/>
      <c r="AC36" s="957"/>
      <c r="AD36" s="957"/>
      <c r="AE36" s="957"/>
      <c r="AF36" s="957"/>
      <c r="AG36" s="957"/>
      <c r="AH36" s="957"/>
      <c r="AI36" s="957"/>
      <c r="AJ36" s="957"/>
      <c r="AK36" s="957"/>
    </row>
    <row r="37" spans="1:37" x14ac:dyDescent="0.3">
      <c r="A37" s="957"/>
      <c r="B37" s="957"/>
      <c r="C37" s="957"/>
      <c r="D37" s="957"/>
      <c r="E37" s="957"/>
      <c r="F37" s="957"/>
      <c r="G37" s="957"/>
      <c r="H37" s="957"/>
      <c r="I37" s="957"/>
      <c r="J37" s="957"/>
      <c r="K37" s="957"/>
      <c r="L37" s="957"/>
      <c r="M37" s="957"/>
      <c r="N37" s="957"/>
      <c r="O37" s="957"/>
      <c r="P37" s="957"/>
      <c r="Q37" s="957"/>
      <c r="R37" s="957"/>
      <c r="S37" s="957"/>
      <c r="T37" s="957"/>
      <c r="U37" s="957"/>
      <c r="V37" s="957"/>
      <c r="W37" s="957"/>
      <c r="X37" s="957"/>
      <c r="Y37" s="957"/>
      <c r="Z37" s="957"/>
      <c r="AA37" s="957"/>
      <c r="AB37" s="957"/>
      <c r="AC37" s="957"/>
      <c r="AD37" s="957"/>
      <c r="AE37" s="957"/>
      <c r="AF37" s="957"/>
      <c r="AG37" s="957"/>
      <c r="AH37" s="957"/>
      <c r="AI37" s="957"/>
      <c r="AJ37" s="957"/>
      <c r="AK37" s="957"/>
    </row>
    <row r="38" spans="1:37" x14ac:dyDescent="0.3">
      <c r="A38" s="957"/>
      <c r="B38" s="957"/>
      <c r="C38" s="957"/>
      <c r="D38" s="957"/>
      <c r="E38" s="957"/>
      <c r="F38" s="957"/>
      <c r="G38" s="957"/>
      <c r="H38" s="957"/>
      <c r="I38" s="957"/>
      <c r="J38" s="957"/>
      <c r="K38" s="957"/>
      <c r="L38" s="957"/>
      <c r="M38" s="957"/>
      <c r="N38" s="957"/>
      <c r="O38" s="957"/>
      <c r="P38" s="957"/>
      <c r="Q38" s="957"/>
      <c r="R38" s="957"/>
      <c r="S38" s="957"/>
      <c r="T38" s="957"/>
      <c r="U38" s="957"/>
      <c r="V38" s="957"/>
      <c r="W38" s="957"/>
      <c r="X38" s="957"/>
      <c r="Y38" s="957"/>
      <c r="Z38" s="957"/>
      <c r="AA38" s="957"/>
      <c r="AB38" s="957"/>
      <c r="AC38" s="957"/>
      <c r="AD38" s="957"/>
      <c r="AE38" s="957"/>
      <c r="AF38" s="957"/>
      <c r="AG38" s="957"/>
      <c r="AH38" s="957"/>
      <c r="AI38" s="957"/>
      <c r="AJ38" s="957"/>
      <c r="AK38" s="957"/>
    </row>
    <row r="39" spans="1:37" x14ac:dyDescent="0.3">
      <c r="A39" s="957"/>
      <c r="B39" s="957"/>
      <c r="C39" s="957"/>
      <c r="D39" s="957"/>
      <c r="E39" s="957"/>
      <c r="F39" s="957"/>
      <c r="G39" s="957"/>
      <c r="H39" s="957"/>
      <c r="I39" s="957"/>
      <c r="J39" s="957"/>
      <c r="K39" s="957"/>
      <c r="L39" s="957"/>
      <c r="M39" s="957"/>
      <c r="N39" s="957"/>
      <c r="O39" s="957"/>
      <c r="P39" s="957"/>
      <c r="Q39" s="957"/>
      <c r="R39" s="957"/>
      <c r="S39" s="957"/>
      <c r="T39" s="957"/>
      <c r="U39" s="957"/>
      <c r="V39" s="957"/>
      <c r="W39" s="957"/>
      <c r="X39" s="957"/>
      <c r="Y39" s="957"/>
      <c r="Z39" s="957"/>
      <c r="AA39" s="957"/>
      <c r="AB39" s="957"/>
      <c r="AC39" s="957"/>
      <c r="AD39" s="957"/>
      <c r="AE39" s="957"/>
      <c r="AF39" s="957"/>
      <c r="AG39" s="957"/>
      <c r="AH39" s="957"/>
      <c r="AI39" s="957"/>
      <c r="AJ39" s="957"/>
      <c r="AK39" s="957"/>
    </row>
    <row r="40" spans="1:37" x14ac:dyDescent="0.3">
      <c r="A40" s="957"/>
      <c r="B40" s="957"/>
      <c r="C40" s="957"/>
      <c r="D40" s="957"/>
      <c r="E40" s="957"/>
      <c r="F40" s="957"/>
      <c r="G40" s="957"/>
      <c r="H40" s="957"/>
      <c r="I40" s="957"/>
      <c r="J40" s="957"/>
      <c r="K40" s="957"/>
      <c r="L40" s="957"/>
      <c r="M40" s="957"/>
      <c r="N40" s="957"/>
      <c r="O40" s="957"/>
      <c r="P40" s="957"/>
      <c r="Q40" s="957"/>
      <c r="R40" s="957"/>
      <c r="S40" s="957"/>
      <c r="T40" s="957"/>
      <c r="U40" s="957"/>
      <c r="V40" s="957"/>
      <c r="W40" s="957"/>
      <c r="X40" s="957"/>
      <c r="Y40" s="957"/>
      <c r="Z40" s="957"/>
      <c r="AA40" s="957"/>
      <c r="AB40" s="957"/>
      <c r="AC40" s="957"/>
      <c r="AD40" s="957"/>
      <c r="AE40" s="957"/>
      <c r="AF40" s="957"/>
      <c r="AG40" s="957"/>
      <c r="AH40" s="957"/>
      <c r="AI40" s="957"/>
      <c r="AJ40" s="957"/>
      <c r="AK40" s="957"/>
    </row>
    <row r="41" spans="1:37" x14ac:dyDescent="0.3">
      <c r="A41" s="957"/>
      <c r="B41" s="957"/>
      <c r="C41" s="957"/>
      <c r="D41" s="957"/>
      <c r="E41" s="957"/>
      <c r="F41" s="957"/>
      <c r="G41" s="957"/>
      <c r="H41" s="957"/>
      <c r="I41" s="957"/>
      <c r="J41" s="957"/>
      <c r="K41" s="957"/>
      <c r="L41" s="957"/>
      <c r="M41" s="957"/>
      <c r="N41" s="957"/>
      <c r="O41" s="957"/>
      <c r="P41" s="957"/>
      <c r="Q41" s="957"/>
      <c r="R41" s="957"/>
      <c r="S41" s="957"/>
      <c r="T41" s="957"/>
      <c r="U41" s="957"/>
      <c r="V41" s="957"/>
      <c r="W41" s="957"/>
      <c r="X41" s="957"/>
      <c r="Y41" s="957"/>
      <c r="Z41" s="957"/>
      <c r="AA41" s="957"/>
      <c r="AB41" s="957"/>
      <c r="AC41" s="957"/>
      <c r="AD41" s="957"/>
      <c r="AE41" s="957"/>
      <c r="AF41" s="957"/>
      <c r="AG41" s="957"/>
      <c r="AH41" s="957"/>
      <c r="AI41" s="957"/>
      <c r="AJ41" s="957"/>
      <c r="AK41" s="957"/>
    </row>
    <row r="42" spans="1:37" x14ac:dyDescent="0.3">
      <c r="A42" s="957"/>
      <c r="B42" s="957"/>
      <c r="C42" s="957"/>
      <c r="D42" s="957"/>
      <c r="E42" s="957"/>
      <c r="F42" s="957"/>
      <c r="G42" s="957"/>
      <c r="H42" s="957"/>
      <c r="I42" s="957"/>
      <c r="J42" s="957"/>
      <c r="K42" s="957"/>
      <c r="L42" s="957"/>
      <c r="M42" s="957"/>
      <c r="N42" s="957"/>
      <c r="O42" s="957"/>
      <c r="P42" s="957"/>
      <c r="Q42" s="957"/>
      <c r="R42" s="957"/>
      <c r="S42" s="957"/>
      <c r="T42" s="957"/>
      <c r="U42" s="957"/>
      <c r="V42" s="957"/>
      <c r="W42" s="957"/>
      <c r="X42" s="957"/>
      <c r="Y42" s="957"/>
      <c r="Z42" s="957"/>
      <c r="AA42" s="957"/>
      <c r="AB42" s="957"/>
      <c r="AC42" s="957"/>
      <c r="AD42" s="957"/>
      <c r="AE42" s="957"/>
      <c r="AF42" s="957"/>
      <c r="AG42" s="957"/>
      <c r="AH42" s="957"/>
      <c r="AI42" s="957"/>
      <c r="AJ42" s="957"/>
      <c r="AK42" s="957"/>
    </row>
    <row r="43" spans="1:37" x14ac:dyDescent="0.3">
      <c r="A43" s="957"/>
      <c r="B43" s="957"/>
      <c r="C43" s="957"/>
      <c r="D43" s="957"/>
      <c r="E43" s="957"/>
      <c r="F43" s="957"/>
      <c r="G43" s="957"/>
      <c r="H43" s="957"/>
      <c r="I43" s="957"/>
      <c r="J43" s="957"/>
      <c r="K43" s="957"/>
      <c r="L43" s="957"/>
      <c r="M43" s="957"/>
      <c r="N43" s="957"/>
      <c r="O43" s="957"/>
      <c r="P43" s="957"/>
      <c r="Q43" s="957"/>
      <c r="R43" s="957"/>
      <c r="S43" s="957"/>
      <c r="T43" s="957"/>
      <c r="U43" s="957"/>
      <c r="V43" s="957"/>
      <c r="W43" s="957"/>
      <c r="X43" s="957"/>
      <c r="Y43" s="957"/>
      <c r="Z43" s="957"/>
      <c r="AA43" s="957"/>
      <c r="AB43" s="957"/>
      <c r="AC43" s="957"/>
      <c r="AD43" s="957"/>
      <c r="AE43" s="957"/>
      <c r="AF43" s="957"/>
      <c r="AG43" s="957"/>
      <c r="AH43" s="957"/>
      <c r="AI43" s="957"/>
      <c r="AJ43" s="957"/>
      <c r="AK43" s="957"/>
    </row>
    <row r="44" spans="1:37" x14ac:dyDescent="0.3">
      <c r="A44" s="957"/>
      <c r="B44" s="957"/>
      <c r="C44" s="957"/>
      <c r="D44" s="957"/>
      <c r="E44" s="957"/>
      <c r="F44" s="957"/>
      <c r="G44" s="957"/>
      <c r="H44" s="957"/>
      <c r="I44" s="957"/>
      <c r="J44" s="957"/>
      <c r="K44" s="957"/>
      <c r="L44" s="957"/>
      <c r="M44" s="957"/>
      <c r="N44" s="957"/>
      <c r="O44" s="957"/>
      <c r="P44" s="957"/>
      <c r="Q44" s="957"/>
      <c r="R44" s="957"/>
      <c r="S44" s="957"/>
      <c r="T44" s="957"/>
      <c r="U44" s="957"/>
      <c r="V44" s="957"/>
      <c r="W44" s="957"/>
      <c r="X44" s="957"/>
      <c r="Y44" s="957"/>
      <c r="Z44" s="957"/>
      <c r="AA44" s="957"/>
      <c r="AB44" s="957"/>
      <c r="AC44" s="957"/>
      <c r="AD44" s="957"/>
      <c r="AE44" s="957"/>
      <c r="AF44" s="957"/>
      <c r="AG44" s="957"/>
      <c r="AH44" s="957"/>
      <c r="AI44" s="957"/>
      <c r="AJ44" s="957"/>
      <c r="AK44" s="957"/>
    </row>
    <row r="45" spans="1:37" x14ac:dyDescent="0.3">
      <c r="A45" s="957"/>
      <c r="B45" s="957"/>
      <c r="C45" s="957"/>
      <c r="D45" s="957"/>
      <c r="E45" s="957"/>
      <c r="F45" s="957"/>
      <c r="G45" s="957"/>
      <c r="H45" s="957"/>
      <c r="I45" s="957"/>
      <c r="J45" s="957"/>
      <c r="K45" s="957"/>
      <c r="L45" s="957"/>
      <c r="M45" s="957"/>
      <c r="N45" s="957"/>
      <c r="O45" s="957"/>
      <c r="P45" s="957"/>
      <c r="Q45" s="957"/>
      <c r="R45" s="957"/>
      <c r="S45" s="957"/>
      <c r="T45" s="957"/>
      <c r="U45" s="957"/>
      <c r="V45" s="957"/>
      <c r="W45" s="957"/>
      <c r="X45" s="957"/>
      <c r="Y45" s="957"/>
      <c r="Z45" s="957"/>
      <c r="AA45" s="957"/>
      <c r="AB45" s="957"/>
      <c r="AC45" s="957"/>
      <c r="AD45" s="957"/>
      <c r="AE45" s="957"/>
      <c r="AF45" s="957"/>
      <c r="AG45" s="957"/>
      <c r="AH45" s="957"/>
      <c r="AI45" s="957"/>
      <c r="AJ45" s="957"/>
      <c r="AK45" s="957"/>
    </row>
    <row r="46" spans="1:37" x14ac:dyDescent="0.3">
      <c r="A46" s="957"/>
      <c r="B46" s="957"/>
      <c r="C46" s="957"/>
      <c r="D46" s="957"/>
      <c r="E46" s="957"/>
      <c r="F46" s="957"/>
      <c r="G46" s="957"/>
      <c r="H46" s="957"/>
      <c r="I46" s="957"/>
      <c r="J46" s="957"/>
      <c r="K46" s="957"/>
      <c r="L46" s="957"/>
      <c r="M46" s="957"/>
      <c r="N46" s="957"/>
      <c r="O46" s="957"/>
      <c r="P46" s="957"/>
      <c r="Q46" s="957"/>
      <c r="R46" s="957"/>
      <c r="S46" s="957"/>
      <c r="T46" s="957"/>
      <c r="U46" s="957"/>
      <c r="V46" s="957"/>
      <c r="W46" s="957"/>
      <c r="X46" s="957"/>
      <c r="Y46" s="957"/>
      <c r="Z46" s="957"/>
      <c r="AA46" s="957"/>
      <c r="AB46" s="957"/>
      <c r="AC46" s="957"/>
      <c r="AD46" s="957"/>
      <c r="AE46" s="957"/>
      <c r="AF46" s="957"/>
      <c r="AG46" s="957"/>
      <c r="AH46" s="957"/>
      <c r="AI46" s="957"/>
      <c r="AJ46" s="957"/>
      <c r="AK46" s="957"/>
    </row>
    <row r="47" spans="1:37" x14ac:dyDescent="0.3">
      <c r="A47" s="957"/>
      <c r="B47" s="957"/>
      <c r="C47" s="957"/>
      <c r="D47" s="957"/>
      <c r="E47" s="957"/>
      <c r="F47" s="957"/>
      <c r="G47" s="957"/>
      <c r="H47" s="957"/>
      <c r="I47" s="957"/>
      <c r="J47" s="957"/>
      <c r="K47" s="957"/>
      <c r="L47" s="957"/>
      <c r="M47" s="957"/>
      <c r="N47" s="957"/>
      <c r="O47" s="957"/>
      <c r="P47" s="957"/>
      <c r="Q47" s="957"/>
      <c r="R47" s="957"/>
      <c r="S47" s="957"/>
      <c r="T47" s="957"/>
      <c r="U47" s="957"/>
      <c r="V47" s="957"/>
      <c r="W47" s="957"/>
      <c r="X47" s="957"/>
      <c r="Y47" s="957"/>
      <c r="Z47" s="957"/>
      <c r="AA47" s="957"/>
      <c r="AB47" s="957"/>
      <c r="AC47" s="957"/>
      <c r="AD47" s="957"/>
      <c r="AE47" s="957"/>
      <c r="AF47" s="957"/>
      <c r="AG47" s="957"/>
      <c r="AH47" s="957"/>
      <c r="AI47" s="957"/>
      <c r="AJ47" s="957"/>
      <c r="AK47" s="957"/>
    </row>
    <row r="48" spans="1:37" x14ac:dyDescent="0.3">
      <c r="A48" s="957"/>
      <c r="B48" s="957"/>
      <c r="C48" s="957"/>
      <c r="D48" s="957"/>
      <c r="E48" s="957"/>
      <c r="F48" s="957"/>
      <c r="G48" s="957"/>
      <c r="H48" s="957"/>
      <c r="I48" s="957"/>
      <c r="J48" s="957"/>
      <c r="K48" s="957"/>
      <c r="L48" s="957"/>
      <c r="M48" s="957"/>
      <c r="N48" s="957"/>
      <c r="O48" s="957"/>
      <c r="P48" s="957"/>
      <c r="Q48" s="957"/>
      <c r="R48" s="957"/>
      <c r="S48" s="957"/>
      <c r="T48" s="957"/>
      <c r="U48" s="957"/>
      <c r="V48" s="957"/>
      <c r="W48" s="957"/>
      <c r="X48" s="957"/>
      <c r="Y48" s="957"/>
      <c r="Z48" s="957"/>
      <c r="AA48" s="957"/>
      <c r="AB48" s="957"/>
      <c r="AC48" s="957"/>
      <c r="AD48" s="957"/>
      <c r="AE48" s="957"/>
      <c r="AF48" s="957"/>
      <c r="AG48" s="957"/>
      <c r="AH48" s="957"/>
      <c r="AI48" s="957"/>
      <c r="AJ48" s="957"/>
      <c r="AK48" s="957"/>
    </row>
    <row r="49" spans="1:37" x14ac:dyDescent="0.3">
      <c r="A49" s="957"/>
      <c r="B49" s="957"/>
      <c r="C49" s="957"/>
      <c r="D49" s="957"/>
      <c r="E49" s="957"/>
      <c r="F49" s="957"/>
      <c r="G49" s="957"/>
      <c r="H49" s="957"/>
      <c r="I49" s="957"/>
      <c r="J49" s="957"/>
      <c r="K49" s="957"/>
      <c r="L49" s="957"/>
      <c r="M49" s="957"/>
      <c r="N49" s="957"/>
      <c r="O49" s="957"/>
      <c r="P49" s="957"/>
      <c r="Q49" s="957"/>
      <c r="R49" s="957"/>
      <c r="S49" s="957"/>
      <c r="T49" s="957"/>
      <c r="U49" s="957"/>
      <c r="V49" s="957"/>
      <c r="W49" s="957"/>
      <c r="X49" s="957"/>
      <c r="Y49" s="957"/>
      <c r="Z49" s="957"/>
      <c r="AA49" s="957"/>
      <c r="AB49" s="957"/>
      <c r="AC49" s="957"/>
      <c r="AD49" s="957"/>
      <c r="AE49" s="957"/>
      <c r="AF49" s="957"/>
      <c r="AG49" s="957"/>
      <c r="AH49" s="957"/>
      <c r="AI49" s="957"/>
      <c r="AJ49" s="957"/>
      <c r="AK49" s="957"/>
    </row>
    <row r="50" spans="1:37" x14ac:dyDescent="0.3">
      <c r="A50" s="957"/>
      <c r="B50" s="957"/>
      <c r="C50" s="957"/>
      <c r="D50" s="957"/>
      <c r="E50" s="957"/>
      <c r="F50" s="957"/>
      <c r="G50" s="957"/>
      <c r="H50" s="957"/>
      <c r="I50" s="957"/>
      <c r="J50" s="957"/>
      <c r="K50" s="957"/>
      <c r="L50" s="957"/>
      <c r="M50" s="957"/>
      <c r="N50" s="957"/>
      <c r="O50" s="957"/>
      <c r="P50" s="957"/>
      <c r="Q50" s="957"/>
      <c r="R50" s="957"/>
      <c r="S50" s="957"/>
      <c r="T50" s="957"/>
      <c r="U50" s="957"/>
      <c r="V50" s="957"/>
      <c r="W50" s="957"/>
      <c r="X50" s="957"/>
      <c r="Y50" s="957"/>
      <c r="Z50" s="957"/>
      <c r="AA50" s="957"/>
      <c r="AB50" s="957"/>
      <c r="AC50" s="957"/>
      <c r="AD50" s="957"/>
      <c r="AE50" s="957"/>
      <c r="AF50" s="957"/>
      <c r="AG50" s="957"/>
      <c r="AH50" s="957"/>
      <c r="AI50" s="957"/>
      <c r="AJ50" s="957"/>
      <c r="AK50" s="957"/>
    </row>
    <row r="51" spans="1:37" x14ac:dyDescent="0.3">
      <c r="A51" s="957"/>
      <c r="B51" s="957"/>
      <c r="C51" s="957"/>
      <c r="D51" s="957"/>
      <c r="E51" s="957"/>
      <c r="F51" s="957"/>
      <c r="G51" s="957"/>
      <c r="H51" s="957"/>
      <c r="I51" s="957"/>
      <c r="J51" s="957"/>
      <c r="K51" s="957"/>
      <c r="L51" s="957"/>
      <c r="M51" s="957"/>
      <c r="N51" s="957"/>
      <c r="O51" s="957"/>
      <c r="P51" s="957"/>
      <c r="Q51" s="957"/>
      <c r="R51" s="957"/>
      <c r="S51" s="957"/>
      <c r="T51" s="957"/>
      <c r="U51" s="957"/>
      <c r="V51" s="957"/>
      <c r="W51" s="957"/>
      <c r="X51" s="957"/>
      <c r="Y51" s="957"/>
      <c r="Z51" s="957"/>
      <c r="AA51" s="957"/>
      <c r="AB51" s="957"/>
      <c r="AC51" s="957"/>
      <c r="AD51" s="957"/>
      <c r="AE51" s="957"/>
      <c r="AF51" s="957"/>
      <c r="AG51" s="957"/>
      <c r="AH51" s="957"/>
      <c r="AI51" s="957"/>
      <c r="AJ51" s="957"/>
      <c r="AK51" s="957"/>
    </row>
    <row r="52" spans="1:37" x14ac:dyDescent="0.3">
      <c r="A52" s="957"/>
      <c r="B52" s="957"/>
      <c r="C52" s="957"/>
      <c r="D52" s="957"/>
      <c r="E52" s="957"/>
      <c r="F52" s="957"/>
      <c r="G52" s="957"/>
      <c r="H52" s="957"/>
      <c r="I52" s="957"/>
      <c r="J52" s="957"/>
      <c r="K52" s="957"/>
      <c r="L52" s="957"/>
      <c r="M52" s="957"/>
      <c r="N52" s="957"/>
      <c r="O52" s="957"/>
      <c r="P52" s="957"/>
      <c r="Q52" s="957"/>
      <c r="R52" s="957"/>
      <c r="S52" s="957"/>
      <c r="T52" s="957"/>
      <c r="U52" s="957"/>
      <c r="V52" s="957"/>
      <c r="W52" s="957"/>
      <c r="X52" s="957"/>
      <c r="Y52" s="957"/>
      <c r="Z52" s="957"/>
      <c r="AA52" s="957"/>
      <c r="AB52" s="957"/>
      <c r="AC52" s="957"/>
      <c r="AD52" s="957"/>
      <c r="AE52" s="957"/>
      <c r="AF52" s="957"/>
      <c r="AG52" s="957"/>
      <c r="AH52" s="957"/>
      <c r="AI52" s="957"/>
      <c r="AJ52" s="957"/>
      <c r="AK52" s="957"/>
    </row>
    <row r="53" spans="1:37" x14ac:dyDescent="0.3">
      <c r="A53" s="957"/>
      <c r="B53" s="957"/>
      <c r="C53" s="957"/>
      <c r="D53" s="957"/>
      <c r="E53" s="957"/>
      <c r="F53" s="957"/>
      <c r="G53" s="957"/>
      <c r="H53" s="957"/>
      <c r="I53" s="957"/>
      <c r="J53" s="957"/>
      <c r="K53" s="957"/>
      <c r="L53" s="957"/>
      <c r="M53" s="957"/>
      <c r="N53" s="957"/>
      <c r="O53" s="957"/>
      <c r="P53" s="957"/>
      <c r="Q53" s="957"/>
      <c r="R53" s="957"/>
      <c r="S53" s="957"/>
      <c r="T53" s="957"/>
      <c r="U53" s="957"/>
      <c r="V53" s="957"/>
      <c r="W53" s="957"/>
      <c r="X53" s="957"/>
      <c r="Y53" s="957"/>
      <c r="Z53" s="957"/>
      <c r="AA53" s="957"/>
      <c r="AB53" s="957"/>
      <c r="AC53" s="957"/>
      <c r="AD53" s="957"/>
      <c r="AE53" s="957"/>
      <c r="AF53" s="957"/>
      <c r="AG53" s="957"/>
      <c r="AH53" s="957"/>
      <c r="AI53" s="957"/>
      <c r="AJ53" s="957"/>
      <c r="AK53" s="957"/>
    </row>
    <row r="54" spans="1:37" x14ac:dyDescent="0.3">
      <c r="A54" s="957"/>
      <c r="B54" s="957"/>
      <c r="C54" s="957"/>
      <c r="D54" s="957"/>
      <c r="E54" s="957"/>
      <c r="F54" s="957"/>
      <c r="G54" s="957"/>
      <c r="H54" s="957"/>
      <c r="I54" s="957"/>
      <c r="J54" s="957"/>
      <c r="K54" s="957"/>
      <c r="L54" s="957"/>
      <c r="M54" s="957"/>
      <c r="N54" s="957"/>
      <c r="O54" s="957"/>
      <c r="P54" s="957"/>
      <c r="Q54" s="957"/>
      <c r="R54" s="957"/>
      <c r="S54" s="957"/>
      <c r="T54" s="957"/>
      <c r="U54" s="957"/>
      <c r="V54" s="957"/>
      <c r="W54" s="957"/>
      <c r="X54" s="957"/>
      <c r="Y54" s="957"/>
      <c r="Z54" s="957"/>
      <c r="AA54" s="957"/>
      <c r="AB54" s="957"/>
      <c r="AC54" s="957"/>
      <c r="AD54" s="957"/>
      <c r="AE54" s="957"/>
      <c r="AF54" s="957"/>
      <c r="AG54" s="957"/>
      <c r="AH54" s="957"/>
      <c r="AI54" s="957"/>
      <c r="AJ54" s="957"/>
      <c r="AK54" s="957"/>
    </row>
    <row r="55" spans="1:37" x14ac:dyDescent="0.3">
      <c r="A55" s="957"/>
      <c r="B55" s="957"/>
      <c r="C55" s="957"/>
      <c r="D55" s="957"/>
      <c r="E55" s="957"/>
      <c r="F55" s="957"/>
      <c r="G55" s="957"/>
      <c r="H55" s="957"/>
      <c r="I55" s="957"/>
      <c r="J55" s="957"/>
      <c r="K55" s="957"/>
      <c r="L55" s="957"/>
      <c r="M55" s="957"/>
      <c r="N55" s="957"/>
      <c r="O55" s="957"/>
      <c r="P55" s="957"/>
      <c r="Q55" s="957"/>
      <c r="R55" s="957"/>
      <c r="S55" s="957"/>
      <c r="T55" s="957"/>
      <c r="U55" s="957"/>
      <c r="V55" s="957"/>
      <c r="W55" s="957"/>
      <c r="X55" s="957"/>
      <c r="Y55" s="957"/>
      <c r="Z55" s="957"/>
      <c r="AA55" s="957"/>
      <c r="AB55" s="957"/>
      <c r="AC55" s="957"/>
      <c r="AD55" s="957"/>
      <c r="AE55" s="957"/>
      <c r="AF55" s="957"/>
      <c r="AG55" s="957"/>
      <c r="AH55" s="957"/>
      <c r="AI55" s="957"/>
      <c r="AJ55" s="957"/>
      <c r="AK55" s="957"/>
    </row>
    <row r="56" spans="1:37" x14ac:dyDescent="0.3">
      <c r="A56" s="957"/>
      <c r="B56" s="957"/>
      <c r="C56" s="957"/>
      <c r="D56" s="957"/>
      <c r="E56" s="957"/>
      <c r="F56" s="957"/>
      <c r="G56" s="957"/>
      <c r="H56" s="957"/>
      <c r="I56" s="957"/>
      <c r="J56" s="957"/>
      <c r="K56" s="957"/>
      <c r="L56" s="957"/>
      <c r="M56" s="957"/>
      <c r="N56" s="957"/>
      <c r="O56" s="957"/>
      <c r="P56" s="957"/>
      <c r="Q56" s="957"/>
      <c r="R56" s="957"/>
      <c r="S56" s="957"/>
      <c r="T56" s="957"/>
      <c r="U56" s="957"/>
      <c r="V56" s="957"/>
      <c r="W56" s="957"/>
      <c r="X56" s="957"/>
      <c r="Y56" s="957"/>
      <c r="Z56" s="957"/>
      <c r="AA56" s="957"/>
      <c r="AB56" s="957"/>
      <c r="AC56" s="957"/>
      <c r="AD56" s="957"/>
      <c r="AE56" s="957"/>
      <c r="AF56" s="957"/>
      <c r="AG56" s="957"/>
      <c r="AH56" s="957"/>
      <c r="AI56" s="957"/>
      <c r="AJ56" s="957"/>
      <c r="AK56" s="957"/>
    </row>
    <row r="57" spans="1:37" x14ac:dyDescent="0.3">
      <c r="A57" s="957"/>
      <c r="B57" s="957"/>
      <c r="C57" s="957"/>
      <c r="D57" s="957"/>
      <c r="E57" s="957"/>
      <c r="F57" s="957"/>
      <c r="G57" s="957"/>
      <c r="H57" s="957"/>
      <c r="I57" s="957"/>
      <c r="J57" s="957"/>
      <c r="K57" s="957"/>
      <c r="L57" s="957"/>
      <c r="M57" s="957"/>
      <c r="N57" s="957"/>
      <c r="O57" s="957"/>
      <c r="P57" s="957"/>
      <c r="Q57" s="957"/>
      <c r="R57" s="957"/>
      <c r="S57" s="957"/>
      <c r="T57" s="957"/>
      <c r="U57" s="957"/>
      <c r="V57" s="957"/>
      <c r="W57" s="957"/>
      <c r="X57" s="957"/>
      <c r="Y57" s="957"/>
      <c r="Z57" s="957"/>
      <c r="AA57" s="957"/>
      <c r="AB57" s="957"/>
      <c r="AC57" s="957"/>
      <c r="AD57" s="957"/>
      <c r="AE57" s="957"/>
      <c r="AF57" s="957"/>
      <c r="AG57" s="957"/>
      <c r="AH57" s="957"/>
      <c r="AI57" s="957"/>
      <c r="AJ57" s="957"/>
      <c r="AK57" s="957"/>
    </row>
    <row r="58" spans="1:37" x14ac:dyDescent="0.3">
      <c r="A58" s="957"/>
      <c r="B58" s="957"/>
      <c r="C58" s="957"/>
      <c r="D58" s="957"/>
      <c r="E58" s="957"/>
      <c r="F58" s="957"/>
      <c r="G58" s="957"/>
      <c r="H58" s="957"/>
      <c r="I58" s="957"/>
      <c r="J58" s="957"/>
      <c r="K58" s="957"/>
      <c r="L58" s="957"/>
      <c r="M58" s="957"/>
      <c r="N58" s="957"/>
      <c r="O58" s="957"/>
      <c r="P58" s="957"/>
      <c r="Q58" s="957"/>
      <c r="R58" s="957"/>
      <c r="S58" s="957"/>
      <c r="T58" s="957"/>
      <c r="U58" s="957"/>
      <c r="V58" s="957"/>
      <c r="W58" s="957"/>
      <c r="X58" s="957"/>
      <c r="Y58" s="957"/>
      <c r="Z58" s="957"/>
      <c r="AA58" s="957"/>
      <c r="AB58" s="957"/>
      <c r="AC58" s="957"/>
      <c r="AD58" s="957"/>
      <c r="AE58" s="957"/>
      <c r="AF58" s="957"/>
      <c r="AG58" s="957"/>
      <c r="AH58" s="957"/>
      <c r="AI58" s="957"/>
      <c r="AJ58" s="957"/>
      <c r="AK58" s="957"/>
    </row>
    <row r="59" spans="1:37" x14ac:dyDescent="0.3">
      <c r="A59" s="957"/>
      <c r="B59" s="957"/>
      <c r="C59" s="957"/>
      <c r="D59" s="957"/>
      <c r="E59" s="957"/>
      <c r="F59" s="957"/>
      <c r="G59" s="957"/>
      <c r="H59" s="957"/>
      <c r="I59" s="957"/>
      <c r="J59" s="957"/>
      <c r="K59" s="957"/>
      <c r="L59" s="957"/>
      <c r="M59" s="957"/>
      <c r="N59" s="957"/>
      <c r="O59" s="957"/>
      <c r="P59" s="957"/>
      <c r="Q59" s="957"/>
      <c r="R59" s="957"/>
      <c r="S59" s="957"/>
      <c r="T59" s="957"/>
      <c r="U59" s="957"/>
      <c r="V59" s="957"/>
      <c r="W59" s="957"/>
      <c r="X59" s="957"/>
      <c r="Y59" s="957"/>
      <c r="Z59" s="957"/>
      <c r="AA59" s="957"/>
      <c r="AB59" s="957"/>
      <c r="AC59" s="957"/>
      <c r="AD59" s="957"/>
      <c r="AE59" s="957"/>
      <c r="AF59" s="957"/>
      <c r="AG59" s="957"/>
      <c r="AH59" s="957"/>
      <c r="AI59" s="957"/>
      <c r="AJ59" s="957"/>
      <c r="AK59" s="957"/>
    </row>
    <row r="60" spans="1:37" x14ac:dyDescent="0.3">
      <c r="A60" s="957"/>
      <c r="B60" s="957"/>
      <c r="C60" s="957"/>
      <c r="D60" s="957"/>
      <c r="E60" s="957"/>
      <c r="F60" s="957"/>
      <c r="G60" s="957"/>
      <c r="H60" s="957"/>
      <c r="I60" s="957"/>
      <c r="J60" s="957"/>
      <c r="K60" s="957"/>
      <c r="L60" s="957"/>
      <c r="M60" s="957"/>
      <c r="N60" s="957"/>
      <c r="O60" s="957"/>
      <c r="P60" s="957"/>
      <c r="Q60" s="957"/>
      <c r="R60" s="957"/>
      <c r="S60" s="957"/>
      <c r="T60" s="957"/>
      <c r="U60" s="957"/>
      <c r="V60" s="957"/>
      <c r="W60" s="957"/>
      <c r="X60" s="957"/>
      <c r="Y60" s="957"/>
      <c r="Z60" s="957"/>
      <c r="AA60" s="957"/>
      <c r="AB60" s="957"/>
      <c r="AC60" s="957"/>
      <c r="AD60" s="957"/>
      <c r="AE60" s="957"/>
      <c r="AF60" s="957"/>
      <c r="AG60" s="957"/>
      <c r="AH60" s="957"/>
      <c r="AI60" s="957"/>
      <c r="AJ60" s="957"/>
      <c r="AK60" s="957"/>
    </row>
    <row r="61" spans="1:37" x14ac:dyDescent="0.3">
      <c r="A61" s="957"/>
      <c r="B61" s="957"/>
      <c r="C61" s="957"/>
      <c r="D61" s="957"/>
      <c r="E61" s="957"/>
      <c r="F61" s="957"/>
      <c r="G61" s="957"/>
      <c r="H61" s="957"/>
      <c r="I61" s="957"/>
      <c r="J61" s="957"/>
      <c r="K61" s="957"/>
      <c r="L61" s="957"/>
      <c r="M61" s="957"/>
      <c r="N61" s="957"/>
      <c r="O61" s="957"/>
      <c r="P61" s="957"/>
      <c r="Q61" s="957"/>
      <c r="R61" s="957"/>
      <c r="S61" s="957"/>
      <c r="T61" s="957"/>
      <c r="U61" s="957"/>
      <c r="V61" s="957"/>
      <c r="W61" s="957"/>
      <c r="X61" s="957"/>
      <c r="Y61" s="957"/>
      <c r="Z61" s="957"/>
      <c r="AA61" s="957"/>
      <c r="AB61" s="957"/>
      <c r="AC61" s="957"/>
      <c r="AD61" s="957"/>
      <c r="AE61" s="957"/>
      <c r="AF61" s="957"/>
      <c r="AG61" s="957"/>
      <c r="AH61" s="957"/>
      <c r="AI61" s="957"/>
      <c r="AJ61" s="957"/>
      <c r="AK61" s="957"/>
    </row>
    <row r="62" spans="1:37" x14ac:dyDescent="0.3">
      <c r="A62" s="957"/>
      <c r="B62" s="957"/>
      <c r="C62" s="957"/>
      <c r="D62" s="957"/>
      <c r="E62" s="957"/>
      <c r="F62" s="957"/>
      <c r="G62" s="957"/>
      <c r="H62" s="957"/>
      <c r="I62" s="957"/>
      <c r="J62" s="957"/>
      <c r="K62" s="957"/>
      <c r="L62" s="957"/>
      <c r="M62" s="957"/>
      <c r="N62" s="957"/>
      <c r="O62" s="957"/>
      <c r="P62" s="957"/>
      <c r="Q62" s="957"/>
      <c r="R62" s="957"/>
      <c r="S62" s="957"/>
      <c r="T62" s="957"/>
      <c r="U62" s="957"/>
      <c r="V62" s="957"/>
      <c r="W62" s="957"/>
      <c r="X62" s="957"/>
      <c r="Y62" s="957"/>
      <c r="Z62" s="957"/>
      <c r="AA62" s="957"/>
      <c r="AB62" s="957"/>
      <c r="AC62" s="957"/>
      <c r="AD62" s="957"/>
      <c r="AE62" s="957"/>
      <c r="AF62" s="957"/>
      <c r="AG62" s="957"/>
      <c r="AH62" s="957"/>
      <c r="AI62" s="957"/>
      <c r="AJ62" s="957"/>
      <c r="AK62" s="957"/>
    </row>
    <row r="63" spans="1:37" x14ac:dyDescent="0.3">
      <c r="A63" s="957"/>
      <c r="B63" s="957"/>
      <c r="C63" s="957"/>
      <c r="D63" s="957"/>
      <c r="E63" s="957"/>
      <c r="F63" s="957"/>
      <c r="G63" s="957"/>
      <c r="H63" s="957"/>
      <c r="I63" s="957"/>
      <c r="J63" s="957"/>
      <c r="K63" s="957"/>
      <c r="L63" s="957"/>
      <c r="M63" s="957"/>
      <c r="N63" s="957"/>
      <c r="O63" s="957"/>
      <c r="P63" s="957"/>
      <c r="Q63" s="957"/>
      <c r="R63" s="957"/>
      <c r="S63" s="957"/>
      <c r="T63" s="957"/>
      <c r="U63" s="957"/>
      <c r="V63" s="957"/>
      <c r="W63" s="957"/>
      <c r="X63" s="957"/>
      <c r="Y63" s="957"/>
      <c r="Z63" s="957"/>
      <c r="AA63" s="957"/>
      <c r="AB63" s="957"/>
      <c r="AC63" s="957"/>
      <c r="AD63" s="957"/>
      <c r="AE63" s="957"/>
      <c r="AF63" s="957"/>
      <c r="AG63" s="957"/>
      <c r="AH63" s="957"/>
      <c r="AI63" s="957"/>
      <c r="AJ63" s="957"/>
      <c r="AK63" s="957"/>
    </row>
    <row r="64" spans="1:37" x14ac:dyDescent="0.3">
      <c r="A64" s="957"/>
      <c r="B64" s="957"/>
      <c r="C64" s="957"/>
      <c r="D64" s="957"/>
      <c r="E64" s="957"/>
      <c r="F64" s="957"/>
      <c r="G64" s="957"/>
      <c r="H64" s="957"/>
      <c r="I64" s="957"/>
      <c r="J64" s="957"/>
      <c r="K64" s="957"/>
      <c r="L64" s="957"/>
      <c r="M64" s="957"/>
      <c r="N64" s="957"/>
      <c r="O64" s="957"/>
      <c r="P64" s="957"/>
      <c r="Q64" s="957"/>
      <c r="R64" s="957"/>
      <c r="S64" s="957"/>
      <c r="T64" s="957"/>
      <c r="U64" s="957"/>
      <c r="V64" s="957"/>
      <c r="W64" s="957"/>
      <c r="X64" s="957"/>
      <c r="Y64" s="957"/>
      <c r="Z64" s="957"/>
      <c r="AA64" s="957"/>
      <c r="AB64" s="957"/>
      <c r="AC64" s="957"/>
      <c r="AD64" s="957"/>
      <c r="AE64" s="957"/>
      <c r="AF64" s="957"/>
      <c r="AG64" s="957"/>
      <c r="AH64" s="957"/>
      <c r="AI64" s="957"/>
      <c r="AJ64" s="957"/>
      <c r="AK64" s="957"/>
    </row>
  </sheetData>
  <mergeCells count="1">
    <mergeCell ref="A1:AK64"/>
  </mergeCells>
  <pageMargins left="0.75" right="0.75" top="1" bottom="1" header="0.5" footer="0.5"/>
  <pageSetup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5"/>
  <dimension ref="A1:K157"/>
  <sheetViews>
    <sheetView workbookViewId="0">
      <pane xSplit="3" ySplit="1" topLeftCell="D2" activePane="bottomRight" state="frozenSplit"/>
      <selection pane="topRight" activeCell="D1" sqref="D1"/>
      <selection pane="bottomLeft" activeCell="A2" sqref="A2"/>
      <selection pane="bottomRight"/>
    </sheetView>
  </sheetViews>
  <sheetFormatPr defaultColWidth="14.3828125" defaultRowHeight="15" customHeight="1" x14ac:dyDescent="0.4"/>
  <cols>
    <col min="1" max="2" width="3" customWidth="1"/>
    <col min="3" max="3" width="28.53515625" customWidth="1"/>
    <col min="4" max="4" width="2.3046875" customWidth="1"/>
    <col min="5" max="5" width="5.3046875" bestFit="1" customWidth="1"/>
    <col min="6" max="6" width="10.69140625" bestFit="1" customWidth="1"/>
    <col min="7" max="7" width="7.53515625" bestFit="1" customWidth="1"/>
    <col min="8" max="8" width="24.53515625" bestFit="1" customWidth="1"/>
    <col min="9" max="9" width="25.53515625" bestFit="1" customWidth="1"/>
    <col min="10" max="10" width="22.3046875" bestFit="1" customWidth="1"/>
    <col min="11" max="11" width="10.15234375" bestFit="1" customWidth="1"/>
  </cols>
  <sheetData>
    <row r="1" spans="1:11" s="412" customFormat="1" thickBot="1" x14ac:dyDescent="0.45">
      <c r="A1" s="416"/>
      <c r="B1" s="416"/>
      <c r="C1" s="416"/>
      <c r="D1" s="416"/>
      <c r="E1" s="417" t="s">
        <v>623</v>
      </c>
      <c r="F1" s="417" t="s">
        <v>624</v>
      </c>
      <c r="G1" s="417" t="s">
        <v>625</v>
      </c>
      <c r="H1" s="417" t="s">
        <v>626</v>
      </c>
      <c r="I1" s="417" t="s">
        <v>627</v>
      </c>
      <c r="J1" s="417" t="s">
        <v>628</v>
      </c>
      <c r="K1" s="417" t="s">
        <v>629</v>
      </c>
    </row>
    <row r="2" spans="1:11" thickTop="1" x14ac:dyDescent="0.4">
      <c r="A2" s="84"/>
      <c r="B2" s="84" t="s">
        <v>936</v>
      </c>
      <c r="C2" s="84"/>
      <c r="D2" s="84"/>
      <c r="E2" s="84"/>
      <c r="F2" s="85"/>
      <c r="G2" s="84"/>
      <c r="H2" s="84"/>
      <c r="I2" s="84"/>
      <c r="J2" s="84"/>
      <c r="K2" s="87"/>
    </row>
    <row r="3" spans="1:11" ht="14.6" x14ac:dyDescent="0.4">
      <c r="A3" s="84"/>
      <c r="B3" s="84"/>
      <c r="C3" s="84" t="s">
        <v>2264</v>
      </c>
      <c r="D3" s="84"/>
      <c r="E3" s="84"/>
      <c r="F3" s="85"/>
      <c r="G3" s="84"/>
      <c r="H3" s="84"/>
      <c r="I3" s="84"/>
      <c r="J3" s="84"/>
      <c r="K3" s="87"/>
    </row>
    <row r="4" spans="1:11" ht="14.6" x14ac:dyDescent="0.4">
      <c r="A4" s="84"/>
      <c r="B4" s="84"/>
      <c r="C4" s="84"/>
      <c r="D4" s="84"/>
      <c r="E4" s="84" t="s">
        <v>634</v>
      </c>
      <c r="F4" s="85">
        <v>44986</v>
      </c>
      <c r="G4" s="84" t="s">
        <v>789</v>
      </c>
      <c r="H4" s="84" t="s">
        <v>2268</v>
      </c>
      <c r="I4" s="84" t="s">
        <v>2301</v>
      </c>
      <c r="J4" s="84" t="s">
        <v>659</v>
      </c>
      <c r="K4" s="87">
        <v>125</v>
      </c>
    </row>
    <row r="5" spans="1:11" ht="14.6" x14ac:dyDescent="0.4">
      <c r="A5" s="84"/>
      <c r="B5" s="84"/>
      <c r="C5" s="84"/>
      <c r="D5" s="84"/>
      <c r="E5" s="84" t="s">
        <v>634</v>
      </c>
      <c r="F5" s="85">
        <v>44986</v>
      </c>
      <c r="G5" s="84" t="s">
        <v>789</v>
      </c>
      <c r="H5" s="84" t="s">
        <v>2269</v>
      </c>
      <c r="I5" s="84" t="s">
        <v>2291</v>
      </c>
      <c r="J5" s="84" t="s">
        <v>659</v>
      </c>
      <c r="K5" s="87">
        <v>95</v>
      </c>
    </row>
    <row r="6" spans="1:11" ht="14.6" x14ac:dyDescent="0.4">
      <c r="A6" s="84"/>
      <c r="B6" s="84"/>
      <c r="C6" s="84"/>
      <c r="D6" s="84"/>
      <c r="E6" s="84" t="s">
        <v>634</v>
      </c>
      <c r="F6" s="85">
        <v>44986</v>
      </c>
      <c r="G6" s="84" t="s">
        <v>789</v>
      </c>
      <c r="H6" s="84" t="s">
        <v>2270</v>
      </c>
      <c r="I6" s="84" t="s">
        <v>2292</v>
      </c>
      <c r="J6" s="84" t="s">
        <v>659</v>
      </c>
      <c r="K6" s="87">
        <v>95</v>
      </c>
    </row>
    <row r="7" spans="1:11" ht="14.6" x14ac:dyDescent="0.4">
      <c r="A7" s="84"/>
      <c r="B7" s="84"/>
      <c r="C7" s="84"/>
      <c r="D7" s="84"/>
      <c r="E7" s="84" t="s">
        <v>634</v>
      </c>
      <c r="F7" s="85">
        <v>44986</v>
      </c>
      <c r="G7" s="84" t="s">
        <v>789</v>
      </c>
      <c r="H7" s="84" t="s">
        <v>2271</v>
      </c>
      <c r="I7" s="84" t="s">
        <v>2305</v>
      </c>
      <c r="J7" s="84" t="s">
        <v>659</v>
      </c>
      <c r="K7" s="87">
        <v>95</v>
      </c>
    </row>
    <row r="8" spans="1:11" ht="14.6" x14ac:dyDescent="0.4">
      <c r="A8" s="84"/>
      <c r="B8" s="84"/>
      <c r="C8" s="84"/>
      <c r="D8" s="84"/>
      <c r="E8" s="84" t="s">
        <v>634</v>
      </c>
      <c r="F8" s="85">
        <v>44986</v>
      </c>
      <c r="G8" s="84" t="s">
        <v>789</v>
      </c>
      <c r="H8" s="84" t="s">
        <v>2272</v>
      </c>
      <c r="I8" s="84" t="s">
        <v>2292</v>
      </c>
      <c r="J8" s="84" t="s">
        <v>659</v>
      </c>
      <c r="K8" s="87">
        <v>95</v>
      </c>
    </row>
    <row r="9" spans="1:11" ht="14.6" x14ac:dyDescent="0.4">
      <c r="A9" s="84"/>
      <c r="B9" s="84"/>
      <c r="C9" s="84"/>
      <c r="D9" s="84"/>
      <c r="E9" s="84" t="s">
        <v>634</v>
      </c>
      <c r="F9" s="85">
        <v>44986</v>
      </c>
      <c r="G9" s="84" t="s">
        <v>789</v>
      </c>
      <c r="H9" s="84" t="s">
        <v>2273</v>
      </c>
      <c r="I9" s="84" t="s">
        <v>2292</v>
      </c>
      <c r="J9" s="84" t="s">
        <v>659</v>
      </c>
      <c r="K9" s="87">
        <v>95</v>
      </c>
    </row>
    <row r="10" spans="1:11" ht="14.6" x14ac:dyDescent="0.4">
      <c r="A10" s="84"/>
      <c r="B10" s="84"/>
      <c r="C10" s="84"/>
      <c r="D10" s="84"/>
      <c r="E10" s="84" t="s">
        <v>634</v>
      </c>
      <c r="F10" s="85">
        <v>44986</v>
      </c>
      <c r="G10" s="84" t="s">
        <v>789</v>
      </c>
      <c r="H10" s="84" t="s">
        <v>2274</v>
      </c>
      <c r="I10" s="84" t="s">
        <v>2298</v>
      </c>
      <c r="J10" s="84" t="s">
        <v>659</v>
      </c>
      <c r="K10" s="87">
        <v>125</v>
      </c>
    </row>
    <row r="11" spans="1:11" ht="14.6" x14ac:dyDescent="0.4">
      <c r="A11" s="84"/>
      <c r="B11" s="84"/>
      <c r="C11" s="84"/>
      <c r="D11" s="84"/>
      <c r="E11" s="84" t="s">
        <v>634</v>
      </c>
      <c r="F11" s="85">
        <v>44986</v>
      </c>
      <c r="G11" s="84" t="s">
        <v>789</v>
      </c>
      <c r="H11" s="84" t="s">
        <v>2274</v>
      </c>
      <c r="I11" s="84" t="s">
        <v>2302</v>
      </c>
      <c r="J11" s="84" t="s">
        <v>659</v>
      </c>
      <c r="K11" s="87">
        <v>7.5</v>
      </c>
    </row>
    <row r="12" spans="1:11" ht="14.6" x14ac:dyDescent="0.4">
      <c r="A12" s="84"/>
      <c r="B12" s="84"/>
      <c r="C12" s="84"/>
      <c r="D12" s="84"/>
      <c r="E12" s="84" t="s">
        <v>634</v>
      </c>
      <c r="F12" s="85">
        <v>44986</v>
      </c>
      <c r="G12" s="84" t="s">
        <v>789</v>
      </c>
      <c r="H12" s="84" t="s">
        <v>2275</v>
      </c>
      <c r="I12" s="84" t="s">
        <v>2303</v>
      </c>
      <c r="J12" s="84" t="s">
        <v>659</v>
      </c>
      <c r="K12" s="87">
        <v>220</v>
      </c>
    </row>
    <row r="13" spans="1:11" ht="14.6" x14ac:dyDescent="0.4">
      <c r="A13" s="84"/>
      <c r="B13" s="84"/>
      <c r="C13" s="84"/>
      <c r="D13" s="84"/>
      <c r="E13" s="84" t="s">
        <v>634</v>
      </c>
      <c r="F13" s="85">
        <v>44986</v>
      </c>
      <c r="G13" s="84" t="s">
        <v>789</v>
      </c>
      <c r="H13" s="84" t="s">
        <v>2275</v>
      </c>
      <c r="I13" s="84" t="s">
        <v>2293</v>
      </c>
      <c r="J13" s="84" t="s">
        <v>659</v>
      </c>
      <c r="K13" s="87">
        <v>30</v>
      </c>
    </row>
    <row r="14" spans="1:11" ht="14.6" x14ac:dyDescent="0.4">
      <c r="A14" s="84"/>
      <c r="B14" s="84"/>
      <c r="C14" s="84"/>
      <c r="D14" s="84"/>
      <c r="E14" s="84" t="s">
        <v>634</v>
      </c>
      <c r="F14" s="85">
        <v>45014</v>
      </c>
      <c r="G14" s="84" t="s">
        <v>1122</v>
      </c>
      <c r="H14" s="84" t="s">
        <v>2276</v>
      </c>
      <c r="I14" s="84" t="s">
        <v>2304</v>
      </c>
      <c r="J14" s="84" t="s">
        <v>659</v>
      </c>
      <c r="K14" s="87">
        <v>440</v>
      </c>
    </row>
    <row r="15" spans="1:11" ht="14.6" x14ac:dyDescent="0.4">
      <c r="A15" s="84"/>
      <c r="B15" s="84"/>
      <c r="C15" s="84"/>
      <c r="D15" s="84"/>
      <c r="E15" s="84" t="s">
        <v>634</v>
      </c>
      <c r="F15" s="85">
        <v>45014</v>
      </c>
      <c r="G15" s="84" t="s">
        <v>1122</v>
      </c>
      <c r="H15" s="84" t="s">
        <v>2273</v>
      </c>
      <c r="I15" s="84" t="s">
        <v>2295</v>
      </c>
      <c r="J15" s="84" t="s">
        <v>659</v>
      </c>
      <c r="K15" s="87">
        <v>760</v>
      </c>
    </row>
    <row r="16" spans="1:11" ht="14.6" x14ac:dyDescent="0.4">
      <c r="A16" s="84"/>
      <c r="B16" s="84"/>
      <c r="C16" s="84"/>
      <c r="D16" s="84"/>
      <c r="E16" s="84" t="s">
        <v>634</v>
      </c>
      <c r="F16" s="85">
        <v>45014</v>
      </c>
      <c r="G16" s="84" t="s">
        <v>1122</v>
      </c>
      <c r="H16" s="84" t="s">
        <v>2277</v>
      </c>
      <c r="I16" s="84" t="s">
        <v>2296</v>
      </c>
      <c r="J16" s="84" t="s">
        <v>659</v>
      </c>
      <c r="K16" s="87">
        <v>660</v>
      </c>
    </row>
    <row r="17" spans="1:11" ht="14.6" x14ac:dyDescent="0.4">
      <c r="A17" s="84"/>
      <c r="B17" s="84"/>
      <c r="C17" s="84"/>
      <c r="D17" s="84"/>
      <c r="E17" s="84" t="s">
        <v>634</v>
      </c>
      <c r="F17" s="85">
        <v>45014</v>
      </c>
      <c r="G17" s="84" t="s">
        <v>1122</v>
      </c>
      <c r="H17" s="84" t="s">
        <v>2278</v>
      </c>
      <c r="I17" s="84" t="s">
        <v>2295</v>
      </c>
      <c r="J17" s="84" t="s">
        <v>659</v>
      </c>
      <c r="K17" s="87">
        <v>665</v>
      </c>
    </row>
    <row r="18" spans="1:11" ht="14.6" x14ac:dyDescent="0.4">
      <c r="A18" s="84"/>
      <c r="B18" s="84"/>
      <c r="C18" s="84"/>
      <c r="D18" s="84"/>
      <c r="E18" s="84" t="s">
        <v>634</v>
      </c>
      <c r="F18" s="85">
        <v>45014</v>
      </c>
      <c r="G18" s="84" t="s">
        <v>1122</v>
      </c>
      <c r="H18" s="84" t="s">
        <v>2279</v>
      </c>
      <c r="I18" s="84" t="s">
        <v>2299</v>
      </c>
      <c r="J18" s="84" t="s">
        <v>659</v>
      </c>
      <c r="K18" s="87">
        <v>475</v>
      </c>
    </row>
    <row r="19" spans="1:11" ht="14.6" x14ac:dyDescent="0.4">
      <c r="A19" s="84"/>
      <c r="B19" s="84"/>
      <c r="C19" s="84"/>
      <c r="D19" s="84"/>
      <c r="E19" s="84" t="s">
        <v>634</v>
      </c>
      <c r="F19" s="85">
        <v>45014</v>
      </c>
      <c r="G19" s="84" t="s">
        <v>1122</v>
      </c>
      <c r="H19" s="84" t="s">
        <v>2280</v>
      </c>
      <c r="I19" s="84" t="s">
        <v>2297</v>
      </c>
      <c r="J19" s="84" t="s">
        <v>659</v>
      </c>
      <c r="K19" s="87">
        <v>660</v>
      </c>
    </row>
    <row r="20" spans="1:11" ht="14.6" x14ac:dyDescent="0.4">
      <c r="A20" s="84"/>
      <c r="B20" s="84"/>
      <c r="C20" s="84"/>
      <c r="D20" s="84"/>
      <c r="E20" s="84" t="s">
        <v>634</v>
      </c>
      <c r="F20" s="85">
        <v>45014</v>
      </c>
      <c r="G20" s="84" t="s">
        <v>1122</v>
      </c>
      <c r="H20" s="84" t="s">
        <v>2270</v>
      </c>
      <c r="I20" s="84" t="s">
        <v>2299</v>
      </c>
      <c r="J20" s="84" t="s">
        <v>659</v>
      </c>
      <c r="K20" s="87">
        <v>760</v>
      </c>
    </row>
    <row r="21" spans="1:11" ht="14.6" x14ac:dyDescent="0.4">
      <c r="A21" s="84"/>
      <c r="B21" s="84"/>
      <c r="C21" s="84"/>
      <c r="D21" s="84"/>
      <c r="E21" s="84" t="s">
        <v>634</v>
      </c>
      <c r="F21" s="85">
        <v>45014</v>
      </c>
      <c r="G21" s="84" t="s">
        <v>1122</v>
      </c>
      <c r="H21" s="84" t="s">
        <v>2281</v>
      </c>
      <c r="I21" s="84" t="s">
        <v>2299</v>
      </c>
      <c r="J21" s="84" t="s">
        <v>659</v>
      </c>
      <c r="K21" s="87">
        <v>475</v>
      </c>
    </row>
    <row r="22" spans="1:11" ht="14.6" x14ac:dyDescent="0.4">
      <c r="A22" s="84"/>
      <c r="B22" s="84"/>
      <c r="C22" s="84"/>
      <c r="D22" s="84"/>
      <c r="E22" s="84" t="s">
        <v>634</v>
      </c>
      <c r="F22" s="85">
        <v>45014</v>
      </c>
      <c r="G22" s="84" t="s">
        <v>1122</v>
      </c>
      <c r="H22" s="84" t="s">
        <v>2282</v>
      </c>
      <c r="I22" s="84" t="s">
        <v>2301</v>
      </c>
      <c r="J22" s="84" t="s">
        <v>659</v>
      </c>
      <c r="K22" s="87">
        <v>625</v>
      </c>
    </row>
    <row r="23" spans="1:11" ht="14.6" x14ac:dyDescent="0.4">
      <c r="A23" s="84"/>
      <c r="B23" s="84"/>
      <c r="C23" s="84"/>
      <c r="D23" s="84"/>
      <c r="E23" s="84" t="s">
        <v>634</v>
      </c>
      <c r="F23" s="85">
        <v>45014</v>
      </c>
      <c r="G23" s="84" t="s">
        <v>1122</v>
      </c>
      <c r="H23" s="84" t="s">
        <v>2274</v>
      </c>
      <c r="I23" s="84" t="s">
        <v>2298</v>
      </c>
      <c r="J23" s="84" t="s">
        <v>659</v>
      </c>
      <c r="K23" s="87">
        <v>1000</v>
      </c>
    </row>
    <row r="24" spans="1:11" ht="14.6" x14ac:dyDescent="0.4">
      <c r="A24" s="84"/>
      <c r="B24" s="84"/>
      <c r="C24" s="84"/>
      <c r="D24" s="84"/>
      <c r="E24" s="84" t="s">
        <v>634</v>
      </c>
      <c r="F24" s="85">
        <v>45014</v>
      </c>
      <c r="G24" s="84" t="s">
        <v>1122</v>
      </c>
      <c r="H24" s="84" t="s">
        <v>2274</v>
      </c>
      <c r="I24" s="84" t="s">
        <v>2302</v>
      </c>
      <c r="J24" s="84" t="s">
        <v>659</v>
      </c>
      <c r="K24" s="87">
        <v>60</v>
      </c>
    </row>
    <row r="25" spans="1:11" ht="14.6" x14ac:dyDescent="0.4">
      <c r="A25" s="84"/>
      <c r="B25" s="84"/>
      <c r="C25" s="84"/>
      <c r="D25" s="84"/>
      <c r="E25" s="84" t="s">
        <v>634</v>
      </c>
      <c r="F25" s="85">
        <v>45014</v>
      </c>
      <c r="G25" s="84" t="s">
        <v>1122</v>
      </c>
      <c r="H25" s="84" t="s">
        <v>2283</v>
      </c>
      <c r="I25" s="84" t="s">
        <v>2298</v>
      </c>
      <c r="J25" s="84" t="s">
        <v>659</v>
      </c>
      <c r="K25" s="87">
        <v>500</v>
      </c>
    </row>
    <row r="26" spans="1:11" ht="14.6" x14ac:dyDescent="0.4">
      <c r="A26" s="84"/>
      <c r="B26" s="84"/>
      <c r="C26" s="84"/>
      <c r="D26" s="84"/>
      <c r="E26" s="84" t="s">
        <v>634</v>
      </c>
      <c r="F26" s="85">
        <v>45014</v>
      </c>
      <c r="G26" s="84" t="s">
        <v>1122</v>
      </c>
      <c r="H26" s="84" t="s">
        <v>2268</v>
      </c>
      <c r="I26" s="84" t="s">
        <v>2301</v>
      </c>
      <c r="J26" s="84" t="s">
        <v>659</v>
      </c>
      <c r="K26" s="87">
        <v>750</v>
      </c>
    </row>
    <row r="27" spans="1:11" ht="14.6" x14ac:dyDescent="0.4">
      <c r="A27" s="84"/>
      <c r="B27" s="84"/>
      <c r="C27" s="84"/>
      <c r="D27" s="84"/>
      <c r="E27" s="84" t="s">
        <v>634</v>
      </c>
      <c r="F27" s="85">
        <v>45014</v>
      </c>
      <c r="G27" s="84" t="s">
        <v>1122</v>
      </c>
      <c r="H27" s="84" t="s">
        <v>2284</v>
      </c>
      <c r="I27" s="84" t="s">
        <v>2297</v>
      </c>
      <c r="J27" s="84" t="s">
        <v>659</v>
      </c>
      <c r="K27" s="87">
        <v>550</v>
      </c>
    </row>
    <row r="28" spans="1:11" ht="14.6" x14ac:dyDescent="0.4">
      <c r="A28" s="84"/>
      <c r="B28" s="84"/>
      <c r="C28" s="84"/>
      <c r="D28" s="84"/>
      <c r="E28" s="84" t="s">
        <v>634</v>
      </c>
      <c r="F28" s="85">
        <v>45014</v>
      </c>
      <c r="G28" s="84" t="s">
        <v>1122</v>
      </c>
      <c r="H28" s="84" t="s">
        <v>2285</v>
      </c>
      <c r="I28" s="84" t="s">
        <v>2299</v>
      </c>
      <c r="J28" s="84" t="s">
        <v>659</v>
      </c>
      <c r="K28" s="87">
        <v>665</v>
      </c>
    </row>
    <row r="29" spans="1:11" ht="14.6" x14ac:dyDescent="0.4">
      <c r="A29" s="84"/>
      <c r="B29" s="84"/>
      <c r="C29" s="84"/>
      <c r="D29" s="84"/>
      <c r="E29" s="84" t="s">
        <v>634</v>
      </c>
      <c r="F29" s="85">
        <v>45014</v>
      </c>
      <c r="G29" s="84" t="s">
        <v>1122</v>
      </c>
      <c r="H29" s="84" t="s">
        <v>2286</v>
      </c>
      <c r="I29" s="84" t="s">
        <v>2295</v>
      </c>
      <c r="J29" s="84" t="s">
        <v>659</v>
      </c>
      <c r="K29" s="87">
        <v>220</v>
      </c>
    </row>
    <row r="30" spans="1:11" ht="14.6" x14ac:dyDescent="0.4">
      <c r="A30" s="84"/>
      <c r="B30" s="84"/>
      <c r="C30" s="84"/>
      <c r="D30" s="84"/>
      <c r="E30" s="84" t="s">
        <v>634</v>
      </c>
      <c r="F30" s="85">
        <v>45014</v>
      </c>
      <c r="G30" s="84" t="s">
        <v>1122</v>
      </c>
      <c r="H30" s="84" t="s">
        <v>2287</v>
      </c>
      <c r="I30" s="84" t="s">
        <v>2299</v>
      </c>
      <c r="J30" s="84" t="s">
        <v>659</v>
      </c>
      <c r="K30" s="87">
        <v>665</v>
      </c>
    </row>
    <row r="31" spans="1:11" ht="14.6" x14ac:dyDescent="0.4">
      <c r="A31" s="84"/>
      <c r="B31" s="84"/>
      <c r="C31" s="84"/>
      <c r="D31" s="84"/>
      <c r="E31" s="84" t="s">
        <v>634</v>
      </c>
      <c r="F31" s="85">
        <v>45014</v>
      </c>
      <c r="G31" s="84" t="s">
        <v>1122</v>
      </c>
      <c r="H31" s="84" t="s">
        <v>2269</v>
      </c>
      <c r="I31" s="84" t="s">
        <v>2299</v>
      </c>
      <c r="J31" s="84" t="s">
        <v>659</v>
      </c>
      <c r="K31" s="87">
        <v>760</v>
      </c>
    </row>
    <row r="32" spans="1:11" ht="14.6" x14ac:dyDescent="0.4">
      <c r="A32" s="84"/>
      <c r="B32" s="84"/>
      <c r="C32" s="84"/>
      <c r="D32" s="84"/>
      <c r="E32" s="84" t="s">
        <v>634</v>
      </c>
      <c r="F32" s="85">
        <v>45014</v>
      </c>
      <c r="G32" s="84" t="s">
        <v>1122</v>
      </c>
      <c r="H32" s="84" t="s">
        <v>2275</v>
      </c>
      <c r="I32" s="84" t="s">
        <v>2303</v>
      </c>
      <c r="J32" s="84" t="s">
        <v>659</v>
      </c>
      <c r="K32" s="87">
        <v>990</v>
      </c>
    </row>
    <row r="33" spans="1:11" ht="14.6" x14ac:dyDescent="0.4">
      <c r="A33" s="84"/>
      <c r="B33" s="84"/>
      <c r="C33" s="84"/>
      <c r="D33" s="84"/>
      <c r="E33" s="84" t="s">
        <v>634</v>
      </c>
      <c r="F33" s="85">
        <v>45014</v>
      </c>
      <c r="G33" s="84" t="s">
        <v>1122</v>
      </c>
      <c r="H33" s="84" t="s">
        <v>2275</v>
      </c>
      <c r="I33" s="84" t="s">
        <v>2293</v>
      </c>
      <c r="J33" s="84" t="s">
        <v>659</v>
      </c>
      <c r="K33" s="87">
        <v>135</v>
      </c>
    </row>
    <row r="34" spans="1:11" ht="14.6" x14ac:dyDescent="0.4">
      <c r="A34" s="84"/>
      <c r="B34" s="84"/>
      <c r="C34" s="84"/>
      <c r="D34" s="84"/>
      <c r="E34" s="84" t="s">
        <v>634</v>
      </c>
      <c r="F34" s="85">
        <v>45014</v>
      </c>
      <c r="G34" s="84" t="s">
        <v>1122</v>
      </c>
      <c r="H34" s="84" t="s">
        <v>2288</v>
      </c>
      <c r="I34" s="84" t="s">
        <v>2297</v>
      </c>
      <c r="J34" s="84" t="s">
        <v>659</v>
      </c>
      <c r="K34" s="87">
        <v>550</v>
      </c>
    </row>
    <row r="35" spans="1:11" ht="14.6" x14ac:dyDescent="0.4">
      <c r="A35" s="84"/>
      <c r="B35" s="84"/>
      <c r="C35" s="84"/>
      <c r="D35" s="84"/>
      <c r="E35" s="84" t="s">
        <v>634</v>
      </c>
      <c r="F35" s="85">
        <v>45014</v>
      </c>
      <c r="G35" s="84" t="s">
        <v>1122</v>
      </c>
      <c r="H35" s="84" t="s">
        <v>2289</v>
      </c>
      <c r="I35" s="84" t="s">
        <v>2301</v>
      </c>
      <c r="J35" s="84" t="s">
        <v>659</v>
      </c>
      <c r="K35" s="87">
        <v>750</v>
      </c>
    </row>
    <row r="36" spans="1:11" ht="14.6" x14ac:dyDescent="0.4">
      <c r="A36" s="84"/>
      <c r="B36" s="84"/>
      <c r="C36" s="84"/>
      <c r="D36" s="84"/>
      <c r="E36" s="84" t="s">
        <v>634</v>
      </c>
      <c r="F36" s="85">
        <v>45014</v>
      </c>
      <c r="G36" s="84" t="s">
        <v>1122</v>
      </c>
      <c r="H36" s="84" t="s">
        <v>2290</v>
      </c>
      <c r="I36" s="84" t="s">
        <v>2295</v>
      </c>
      <c r="J36" s="84" t="s">
        <v>659</v>
      </c>
      <c r="K36" s="87">
        <v>660</v>
      </c>
    </row>
    <row r="37" spans="1:11" ht="14.6" x14ac:dyDescent="0.4">
      <c r="A37" s="84"/>
      <c r="B37" s="84"/>
      <c r="C37" s="84"/>
      <c r="D37" s="84"/>
      <c r="E37" s="84" t="s">
        <v>634</v>
      </c>
      <c r="F37" s="85">
        <v>45014</v>
      </c>
      <c r="G37" s="84" t="s">
        <v>1122</v>
      </c>
      <c r="H37" s="84" t="s">
        <v>2272</v>
      </c>
      <c r="I37" s="84" t="s">
        <v>2295</v>
      </c>
      <c r="J37" s="84" t="s">
        <v>659</v>
      </c>
      <c r="K37" s="87">
        <v>760</v>
      </c>
    </row>
    <row r="38" spans="1:11" ht="14.6" x14ac:dyDescent="0.4">
      <c r="A38" s="84"/>
      <c r="B38" s="84"/>
      <c r="C38" s="84"/>
      <c r="D38" s="84"/>
      <c r="E38" s="84" t="s">
        <v>634</v>
      </c>
      <c r="F38" s="85">
        <v>45043</v>
      </c>
      <c r="G38" s="84" t="s">
        <v>1193</v>
      </c>
      <c r="H38" s="84" t="s">
        <v>2276</v>
      </c>
      <c r="I38" s="84" t="s">
        <v>2304</v>
      </c>
      <c r="J38" s="84" t="s">
        <v>659</v>
      </c>
      <c r="K38" s="87">
        <v>1210</v>
      </c>
    </row>
    <row r="39" spans="1:11" ht="14.6" x14ac:dyDescent="0.4">
      <c r="A39" s="84"/>
      <c r="B39" s="84"/>
      <c r="C39" s="84"/>
      <c r="D39" s="84"/>
      <c r="E39" s="84" t="s">
        <v>634</v>
      </c>
      <c r="F39" s="85">
        <v>45043</v>
      </c>
      <c r="G39" s="84" t="s">
        <v>1193</v>
      </c>
      <c r="H39" s="84" t="s">
        <v>2273</v>
      </c>
      <c r="I39" s="84" t="s">
        <v>2299</v>
      </c>
      <c r="J39" s="84" t="s">
        <v>659</v>
      </c>
      <c r="K39" s="87">
        <v>760</v>
      </c>
    </row>
    <row r="40" spans="1:11" ht="14.6" x14ac:dyDescent="0.4">
      <c r="A40" s="84"/>
      <c r="B40" s="84"/>
      <c r="C40" s="84"/>
      <c r="D40" s="84"/>
      <c r="E40" s="84" t="s">
        <v>634</v>
      </c>
      <c r="F40" s="85">
        <v>45043</v>
      </c>
      <c r="G40" s="84" t="s">
        <v>1193</v>
      </c>
      <c r="H40" s="84" t="s">
        <v>2277</v>
      </c>
      <c r="I40" s="84" t="s">
        <v>2303</v>
      </c>
      <c r="J40" s="84" t="s">
        <v>659</v>
      </c>
      <c r="K40" s="87">
        <v>770</v>
      </c>
    </row>
    <row r="41" spans="1:11" ht="14.6" x14ac:dyDescent="0.4">
      <c r="A41" s="84"/>
      <c r="B41" s="84"/>
      <c r="C41" s="84"/>
      <c r="D41" s="84"/>
      <c r="E41" s="84" t="s">
        <v>634</v>
      </c>
      <c r="F41" s="85">
        <v>45043</v>
      </c>
      <c r="G41" s="84" t="s">
        <v>1193</v>
      </c>
      <c r="H41" s="84" t="s">
        <v>2278</v>
      </c>
      <c r="I41" s="84" t="s">
        <v>2299</v>
      </c>
      <c r="J41" s="84" t="s">
        <v>659</v>
      </c>
      <c r="K41" s="87">
        <v>855</v>
      </c>
    </row>
    <row r="42" spans="1:11" ht="14.6" x14ac:dyDescent="0.4">
      <c r="A42" s="84"/>
      <c r="B42" s="84"/>
      <c r="C42" s="84"/>
      <c r="D42" s="84"/>
      <c r="E42" s="84" t="s">
        <v>634</v>
      </c>
      <c r="F42" s="85">
        <v>45043</v>
      </c>
      <c r="G42" s="84" t="s">
        <v>1193</v>
      </c>
      <c r="H42" s="84" t="s">
        <v>2279</v>
      </c>
      <c r="I42" s="84" t="s">
        <v>2299</v>
      </c>
      <c r="J42" s="84" t="s">
        <v>659</v>
      </c>
      <c r="K42" s="87">
        <v>950</v>
      </c>
    </row>
    <row r="43" spans="1:11" ht="14.6" x14ac:dyDescent="0.4">
      <c r="A43" s="84"/>
      <c r="B43" s="84"/>
      <c r="C43" s="84"/>
      <c r="D43" s="84"/>
      <c r="E43" s="84" t="s">
        <v>634</v>
      </c>
      <c r="F43" s="85">
        <v>45043</v>
      </c>
      <c r="G43" s="84" t="s">
        <v>1193</v>
      </c>
      <c r="H43" s="84" t="s">
        <v>2280</v>
      </c>
      <c r="I43" s="84" t="s">
        <v>2297</v>
      </c>
      <c r="J43" s="84" t="s">
        <v>659</v>
      </c>
      <c r="K43" s="87">
        <v>2200</v>
      </c>
    </row>
    <row r="44" spans="1:11" ht="14.6" x14ac:dyDescent="0.4">
      <c r="A44" s="84"/>
      <c r="B44" s="84"/>
      <c r="C44" s="84"/>
      <c r="D44" s="84"/>
      <c r="E44" s="84" t="s">
        <v>634</v>
      </c>
      <c r="F44" s="85">
        <v>45043</v>
      </c>
      <c r="G44" s="84" t="s">
        <v>1193</v>
      </c>
      <c r="H44" s="84" t="s">
        <v>2270</v>
      </c>
      <c r="I44" s="84" t="s">
        <v>2299</v>
      </c>
      <c r="J44" s="84" t="s">
        <v>659</v>
      </c>
      <c r="K44" s="87">
        <v>1520</v>
      </c>
    </row>
    <row r="45" spans="1:11" ht="14.6" x14ac:dyDescent="0.4">
      <c r="A45" s="84"/>
      <c r="B45" s="84"/>
      <c r="C45" s="84"/>
      <c r="D45" s="84"/>
      <c r="E45" s="84" t="s">
        <v>634</v>
      </c>
      <c r="F45" s="85">
        <v>45043</v>
      </c>
      <c r="G45" s="84" t="s">
        <v>1193</v>
      </c>
      <c r="H45" s="84" t="s">
        <v>2281</v>
      </c>
      <c r="I45" s="84" t="s">
        <v>2299</v>
      </c>
      <c r="J45" s="84" t="s">
        <v>659</v>
      </c>
      <c r="K45" s="87">
        <v>1330</v>
      </c>
    </row>
    <row r="46" spans="1:11" ht="14.6" x14ac:dyDescent="0.4">
      <c r="A46" s="84"/>
      <c r="B46" s="84"/>
      <c r="C46" s="84"/>
      <c r="D46" s="84"/>
      <c r="E46" s="84" t="s">
        <v>634</v>
      </c>
      <c r="F46" s="85">
        <v>45043</v>
      </c>
      <c r="G46" s="84" t="s">
        <v>1193</v>
      </c>
      <c r="H46" s="84" t="s">
        <v>2282</v>
      </c>
      <c r="I46" s="84" t="s">
        <v>2301</v>
      </c>
      <c r="J46" s="84" t="s">
        <v>659</v>
      </c>
      <c r="K46" s="87">
        <v>3000</v>
      </c>
    </row>
    <row r="47" spans="1:11" ht="14.6" x14ac:dyDescent="0.4">
      <c r="A47" s="84"/>
      <c r="B47" s="84"/>
      <c r="C47" s="84"/>
      <c r="D47" s="84"/>
      <c r="E47" s="84" t="s">
        <v>634</v>
      </c>
      <c r="F47" s="85">
        <v>45043</v>
      </c>
      <c r="G47" s="84" t="s">
        <v>1193</v>
      </c>
      <c r="H47" s="84" t="s">
        <v>2274</v>
      </c>
      <c r="I47" s="84" t="s">
        <v>2298</v>
      </c>
      <c r="J47" s="84" t="s">
        <v>659</v>
      </c>
      <c r="K47" s="87">
        <v>2875</v>
      </c>
    </row>
    <row r="48" spans="1:11" ht="14.6" x14ac:dyDescent="0.4">
      <c r="A48" s="84"/>
      <c r="B48" s="84"/>
      <c r="C48" s="84"/>
      <c r="D48" s="84"/>
      <c r="E48" s="84" t="s">
        <v>634</v>
      </c>
      <c r="F48" s="85">
        <v>45043</v>
      </c>
      <c r="G48" s="84" t="s">
        <v>1193</v>
      </c>
      <c r="H48" s="84" t="s">
        <v>2274</v>
      </c>
      <c r="I48" s="84" t="s">
        <v>2302</v>
      </c>
      <c r="J48" s="84" t="s">
        <v>659</v>
      </c>
      <c r="K48" s="87">
        <v>172.5</v>
      </c>
    </row>
    <row r="49" spans="1:11" ht="14.6" x14ac:dyDescent="0.4">
      <c r="A49" s="84"/>
      <c r="B49" s="84"/>
      <c r="C49" s="84"/>
      <c r="D49" s="84"/>
      <c r="E49" s="84" t="s">
        <v>634</v>
      </c>
      <c r="F49" s="85">
        <v>45043</v>
      </c>
      <c r="G49" s="84" t="s">
        <v>1193</v>
      </c>
      <c r="H49" s="84" t="s">
        <v>2283</v>
      </c>
      <c r="I49" s="84" t="s">
        <v>2298</v>
      </c>
      <c r="J49" s="84" t="s">
        <v>659</v>
      </c>
      <c r="K49" s="87">
        <v>2375</v>
      </c>
    </row>
    <row r="50" spans="1:11" ht="14.6" x14ac:dyDescent="0.4">
      <c r="A50" s="84"/>
      <c r="B50" s="84"/>
      <c r="C50" s="84"/>
      <c r="D50" s="84"/>
      <c r="E50" s="84" t="s">
        <v>634</v>
      </c>
      <c r="F50" s="85">
        <v>45043</v>
      </c>
      <c r="G50" s="84" t="s">
        <v>1193</v>
      </c>
      <c r="H50" s="84" t="s">
        <v>2268</v>
      </c>
      <c r="I50" s="84" t="s">
        <v>2301</v>
      </c>
      <c r="J50" s="84" t="s">
        <v>659</v>
      </c>
      <c r="K50" s="87">
        <v>3375</v>
      </c>
    </row>
    <row r="51" spans="1:11" ht="14.6" x14ac:dyDescent="0.4">
      <c r="A51" s="84"/>
      <c r="B51" s="84"/>
      <c r="C51" s="84"/>
      <c r="D51" s="84"/>
      <c r="E51" s="84" t="s">
        <v>634</v>
      </c>
      <c r="F51" s="85">
        <v>45043</v>
      </c>
      <c r="G51" s="84" t="s">
        <v>1193</v>
      </c>
      <c r="H51" s="84" t="s">
        <v>2284</v>
      </c>
      <c r="I51" s="84" t="s">
        <v>2297</v>
      </c>
      <c r="J51" s="84" t="s">
        <v>659</v>
      </c>
      <c r="K51" s="87">
        <v>1430</v>
      </c>
    </row>
    <row r="52" spans="1:11" ht="14.6" x14ac:dyDescent="0.4">
      <c r="A52" s="84"/>
      <c r="B52" s="84"/>
      <c r="C52" s="84"/>
      <c r="D52" s="84"/>
      <c r="E52" s="84" t="s">
        <v>634</v>
      </c>
      <c r="F52" s="85">
        <v>45043</v>
      </c>
      <c r="G52" s="84" t="s">
        <v>1193</v>
      </c>
      <c r="H52" s="84" t="s">
        <v>2285</v>
      </c>
      <c r="I52" s="84" t="s">
        <v>2299</v>
      </c>
      <c r="J52" s="84" t="s">
        <v>659</v>
      </c>
      <c r="K52" s="87">
        <v>1710</v>
      </c>
    </row>
    <row r="53" spans="1:11" ht="14.6" x14ac:dyDescent="0.4">
      <c r="A53" s="84"/>
      <c r="B53" s="84"/>
      <c r="C53" s="84"/>
      <c r="D53" s="84"/>
      <c r="E53" s="84" t="s">
        <v>634</v>
      </c>
      <c r="F53" s="85">
        <v>45043</v>
      </c>
      <c r="G53" s="84" t="s">
        <v>1193</v>
      </c>
      <c r="H53" s="84" t="s">
        <v>2286</v>
      </c>
      <c r="I53" s="84" t="s">
        <v>2297</v>
      </c>
      <c r="J53" s="84" t="s">
        <v>659</v>
      </c>
      <c r="K53" s="87">
        <v>660</v>
      </c>
    </row>
    <row r="54" spans="1:11" ht="14.6" x14ac:dyDescent="0.4">
      <c r="A54" s="84"/>
      <c r="B54" s="84"/>
      <c r="C54" s="84"/>
      <c r="D54" s="84"/>
      <c r="E54" s="84" t="s">
        <v>634</v>
      </c>
      <c r="F54" s="85">
        <v>45043</v>
      </c>
      <c r="G54" s="84" t="s">
        <v>1193</v>
      </c>
      <c r="H54" s="84" t="s">
        <v>2287</v>
      </c>
      <c r="I54" s="84" t="s">
        <v>2299</v>
      </c>
      <c r="J54" s="84" t="s">
        <v>659</v>
      </c>
      <c r="K54" s="87">
        <v>1235</v>
      </c>
    </row>
    <row r="55" spans="1:11" ht="14.6" x14ac:dyDescent="0.4">
      <c r="A55" s="84"/>
      <c r="B55" s="84"/>
      <c r="C55" s="84"/>
      <c r="D55" s="84"/>
      <c r="E55" s="84" t="s">
        <v>634</v>
      </c>
      <c r="F55" s="85">
        <v>45043</v>
      </c>
      <c r="G55" s="84" t="s">
        <v>1193</v>
      </c>
      <c r="H55" s="84" t="s">
        <v>2269</v>
      </c>
      <c r="I55" s="84" t="s">
        <v>2299</v>
      </c>
      <c r="J55" s="84" t="s">
        <v>659</v>
      </c>
      <c r="K55" s="87">
        <v>1425</v>
      </c>
    </row>
    <row r="56" spans="1:11" ht="14.6" x14ac:dyDescent="0.4">
      <c r="A56" s="84"/>
      <c r="B56" s="84"/>
      <c r="C56" s="84"/>
      <c r="D56" s="84"/>
      <c r="E56" s="84" t="s">
        <v>634</v>
      </c>
      <c r="F56" s="85">
        <v>45043</v>
      </c>
      <c r="G56" s="84" t="s">
        <v>1193</v>
      </c>
      <c r="H56" s="84" t="s">
        <v>2275</v>
      </c>
      <c r="I56" s="84" t="s">
        <v>2303</v>
      </c>
      <c r="J56" s="84" t="s">
        <v>659</v>
      </c>
      <c r="K56" s="87">
        <v>3190</v>
      </c>
    </row>
    <row r="57" spans="1:11" ht="14.6" x14ac:dyDescent="0.4">
      <c r="A57" s="84"/>
      <c r="B57" s="84"/>
      <c r="C57" s="84"/>
      <c r="D57" s="84"/>
      <c r="E57" s="84" t="s">
        <v>634</v>
      </c>
      <c r="F57" s="85">
        <v>45043</v>
      </c>
      <c r="G57" s="84" t="s">
        <v>1193</v>
      </c>
      <c r="H57" s="84" t="s">
        <v>2275</v>
      </c>
      <c r="I57" s="84" t="s">
        <v>2293</v>
      </c>
      <c r="J57" s="84" t="s">
        <v>659</v>
      </c>
      <c r="K57" s="87">
        <v>435</v>
      </c>
    </row>
    <row r="58" spans="1:11" ht="14.6" x14ac:dyDescent="0.4">
      <c r="A58" s="84"/>
      <c r="B58" s="84"/>
      <c r="C58" s="84"/>
      <c r="D58" s="84"/>
      <c r="E58" s="84" t="s">
        <v>634</v>
      </c>
      <c r="F58" s="85">
        <v>45043</v>
      </c>
      <c r="G58" s="84" t="s">
        <v>1193</v>
      </c>
      <c r="H58" s="84" t="s">
        <v>2288</v>
      </c>
      <c r="I58" s="84" t="s">
        <v>2297</v>
      </c>
      <c r="J58" s="84" t="s">
        <v>659</v>
      </c>
      <c r="K58" s="87">
        <v>1540</v>
      </c>
    </row>
    <row r="59" spans="1:11" ht="14.6" x14ac:dyDescent="0.4">
      <c r="A59" s="84"/>
      <c r="B59" s="84"/>
      <c r="C59" s="84"/>
      <c r="D59" s="84"/>
      <c r="E59" s="84" t="s">
        <v>634</v>
      </c>
      <c r="F59" s="85">
        <v>45043</v>
      </c>
      <c r="G59" s="84" t="s">
        <v>1193</v>
      </c>
      <c r="H59" s="84" t="s">
        <v>2289</v>
      </c>
      <c r="I59" s="84" t="s">
        <v>2301</v>
      </c>
      <c r="J59" s="84" t="s">
        <v>659</v>
      </c>
      <c r="K59" s="87">
        <v>2625</v>
      </c>
    </row>
    <row r="60" spans="1:11" ht="14.6" x14ac:dyDescent="0.4">
      <c r="A60" s="84"/>
      <c r="B60" s="84"/>
      <c r="C60" s="84"/>
      <c r="D60" s="84"/>
      <c r="E60" s="84" t="s">
        <v>634</v>
      </c>
      <c r="F60" s="85">
        <v>45043</v>
      </c>
      <c r="G60" s="84" t="s">
        <v>1193</v>
      </c>
      <c r="H60" s="84" t="s">
        <v>2290</v>
      </c>
      <c r="I60" s="84" t="s">
        <v>2297</v>
      </c>
      <c r="J60" s="84" t="s">
        <v>659</v>
      </c>
      <c r="K60" s="87">
        <v>330</v>
      </c>
    </row>
    <row r="61" spans="1:11" ht="14.6" x14ac:dyDescent="0.4">
      <c r="A61" s="84"/>
      <c r="B61" s="84"/>
      <c r="C61" s="84"/>
      <c r="D61" s="84"/>
      <c r="E61" s="84" t="s">
        <v>634</v>
      </c>
      <c r="F61" s="85">
        <v>45043</v>
      </c>
      <c r="G61" s="84" t="s">
        <v>1193</v>
      </c>
      <c r="H61" s="84" t="s">
        <v>2272</v>
      </c>
      <c r="I61" s="84" t="s">
        <v>2299</v>
      </c>
      <c r="J61" s="84" t="s">
        <v>659</v>
      </c>
      <c r="K61" s="87">
        <v>855</v>
      </c>
    </row>
    <row r="62" spans="1:11" ht="14.6" x14ac:dyDescent="0.4">
      <c r="A62" s="84"/>
      <c r="B62" s="84"/>
      <c r="C62" s="84"/>
      <c r="D62" s="84"/>
      <c r="E62" s="84" t="s">
        <v>634</v>
      </c>
      <c r="F62" s="85">
        <v>45077</v>
      </c>
      <c r="G62" s="84" t="s">
        <v>1516</v>
      </c>
      <c r="H62" s="84" t="s">
        <v>2276</v>
      </c>
      <c r="I62" s="84" t="s">
        <v>2294</v>
      </c>
      <c r="J62" s="84" t="s">
        <v>659</v>
      </c>
      <c r="K62" s="87">
        <v>2640</v>
      </c>
    </row>
    <row r="63" spans="1:11" ht="14.6" x14ac:dyDescent="0.4">
      <c r="A63" s="84"/>
      <c r="B63" s="84"/>
      <c r="C63" s="84"/>
      <c r="D63" s="84"/>
      <c r="E63" s="84" t="s">
        <v>634</v>
      </c>
      <c r="F63" s="85">
        <v>45077</v>
      </c>
      <c r="G63" s="84" t="s">
        <v>1516</v>
      </c>
      <c r="H63" s="84" t="s">
        <v>2279</v>
      </c>
      <c r="I63" s="84" t="s">
        <v>2299</v>
      </c>
      <c r="J63" s="84" t="s">
        <v>659</v>
      </c>
      <c r="K63" s="87">
        <v>1900</v>
      </c>
    </row>
    <row r="64" spans="1:11" ht="14.6" x14ac:dyDescent="0.4">
      <c r="A64" s="84"/>
      <c r="B64" s="84"/>
      <c r="C64" s="84"/>
      <c r="D64" s="84"/>
      <c r="E64" s="84" t="s">
        <v>634</v>
      </c>
      <c r="F64" s="85">
        <v>45077</v>
      </c>
      <c r="G64" s="84" t="s">
        <v>1516</v>
      </c>
      <c r="H64" s="84" t="s">
        <v>2280</v>
      </c>
      <c r="I64" s="84" t="s">
        <v>2297</v>
      </c>
      <c r="J64" s="84" t="s">
        <v>659</v>
      </c>
      <c r="K64" s="87">
        <v>2200</v>
      </c>
    </row>
    <row r="65" spans="1:11" ht="14.6" x14ac:dyDescent="0.4">
      <c r="A65" s="84"/>
      <c r="B65" s="84"/>
      <c r="C65" s="84"/>
      <c r="D65" s="84"/>
      <c r="E65" s="84" t="s">
        <v>634</v>
      </c>
      <c r="F65" s="85">
        <v>45077</v>
      </c>
      <c r="G65" s="84" t="s">
        <v>1516</v>
      </c>
      <c r="H65" s="84" t="s">
        <v>2270</v>
      </c>
      <c r="I65" s="84" t="s">
        <v>2299</v>
      </c>
      <c r="J65" s="84" t="s">
        <v>659</v>
      </c>
      <c r="K65" s="87">
        <v>1520</v>
      </c>
    </row>
    <row r="66" spans="1:11" ht="14.6" x14ac:dyDescent="0.4">
      <c r="A66" s="84"/>
      <c r="B66" s="84"/>
      <c r="C66" s="84"/>
      <c r="D66" s="84"/>
      <c r="E66" s="84" t="s">
        <v>634</v>
      </c>
      <c r="F66" s="85">
        <v>45077</v>
      </c>
      <c r="G66" s="84" t="s">
        <v>1516</v>
      </c>
      <c r="H66" s="84" t="s">
        <v>2281</v>
      </c>
      <c r="I66" s="84" t="s">
        <v>2299</v>
      </c>
      <c r="J66" s="84" t="s">
        <v>659</v>
      </c>
      <c r="K66" s="87">
        <v>2945</v>
      </c>
    </row>
    <row r="67" spans="1:11" ht="14.6" x14ac:dyDescent="0.4">
      <c r="A67" s="84"/>
      <c r="B67" s="84"/>
      <c r="C67" s="84"/>
      <c r="D67" s="84"/>
      <c r="E67" s="84" t="s">
        <v>634</v>
      </c>
      <c r="F67" s="85">
        <v>45077</v>
      </c>
      <c r="G67" s="84" t="s">
        <v>1516</v>
      </c>
      <c r="H67" s="84" t="s">
        <v>2282</v>
      </c>
      <c r="I67" s="84" t="s">
        <v>2301</v>
      </c>
      <c r="J67" s="84" t="s">
        <v>659</v>
      </c>
      <c r="K67" s="87">
        <v>4500</v>
      </c>
    </row>
    <row r="68" spans="1:11" ht="14.6" x14ac:dyDescent="0.4">
      <c r="A68" s="84"/>
      <c r="B68" s="84"/>
      <c r="C68" s="84"/>
      <c r="D68" s="84"/>
      <c r="E68" s="84" t="s">
        <v>634</v>
      </c>
      <c r="F68" s="85">
        <v>45077</v>
      </c>
      <c r="G68" s="84" t="s">
        <v>1516</v>
      </c>
      <c r="H68" s="84" t="s">
        <v>2274</v>
      </c>
      <c r="I68" s="84" t="s">
        <v>2298</v>
      </c>
      <c r="J68" s="84" t="s">
        <v>659</v>
      </c>
      <c r="K68" s="87">
        <v>3375</v>
      </c>
    </row>
    <row r="69" spans="1:11" ht="14.6" x14ac:dyDescent="0.4">
      <c r="A69" s="84"/>
      <c r="B69" s="84"/>
      <c r="C69" s="84"/>
      <c r="D69" s="84"/>
      <c r="E69" s="84" t="s">
        <v>634</v>
      </c>
      <c r="F69" s="85">
        <v>45077</v>
      </c>
      <c r="G69" s="84" t="s">
        <v>1516</v>
      </c>
      <c r="H69" s="84" t="s">
        <v>2274</v>
      </c>
      <c r="I69" s="84" t="s">
        <v>2302</v>
      </c>
      <c r="J69" s="84" t="s">
        <v>659</v>
      </c>
      <c r="K69" s="87">
        <v>202.5</v>
      </c>
    </row>
    <row r="70" spans="1:11" ht="14.6" x14ac:dyDescent="0.4">
      <c r="A70" s="84"/>
      <c r="B70" s="84"/>
      <c r="C70" s="84"/>
      <c r="D70" s="84"/>
      <c r="E70" s="84" t="s">
        <v>634</v>
      </c>
      <c r="F70" s="85">
        <v>45077</v>
      </c>
      <c r="G70" s="84" t="s">
        <v>1516</v>
      </c>
      <c r="H70" s="84" t="s">
        <v>2283</v>
      </c>
      <c r="I70" s="84" t="s">
        <v>2298</v>
      </c>
      <c r="J70" s="84" t="s">
        <v>659</v>
      </c>
      <c r="K70" s="87">
        <v>4500</v>
      </c>
    </row>
    <row r="71" spans="1:11" ht="14.6" x14ac:dyDescent="0.4">
      <c r="A71" s="84"/>
      <c r="B71" s="84"/>
      <c r="C71" s="84"/>
      <c r="D71" s="84"/>
      <c r="E71" s="84" t="s">
        <v>634</v>
      </c>
      <c r="F71" s="85">
        <v>45077</v>
      </c>
      <c r="G71" s="84" t="s">
        <v>1516</v>
      </c>
      <c r="H71" s="84" t="s">
        <v>2268</v>
      </c>
      <c r="I71" s="84" t="s">
        <v>2301</v>
      </c>
      <c r="J71" s="84" t="s">
        <v>659</v>
      </c>
      <c r="K71" s="87">
        <v>4625</v>
      </c>
    </row>
    <row r="72" spans="1:11" ht="14.6" x14ac:dyDescent="0.4">
      <c r="A72" s="84"/>
      <c r="B72" s="84"/>
      <c r="C72" s="84"/>
      <c r="D72" s="84"/>
      <c r="E72" s="84" t="s">
        <v>634</v>
      </c>
      <c r="F72" s="85">
        <v>45077</v>
      </c>
      <c r="G72" s="84" t="s">
        <v>1516</v>
      </c>
      <c r="H72" s="84" t="s">
        <v>2268</v>
      </c>
      <c r="I72" s="84" t="s">
        <v>2300</v>
      </c>
      <c r="J72" s="84" t="s">
        <v>659</v>
      </c>
      <c r="K72" s="87">
        <v>75</v>
      </c>
    </row>
    <row r="73" spans="1:11" ht="14.6" x14ac:dyDescent="0.4">
      <c r="A73" s="84"/>
      <c r="B73" s="84"/>
      <c r="C73" s="84"/>
      <c r="D73" s="84"/>
      <c r="E73" s="84" t="s">
        <v>634</v>
      </c>
      <c r="F73" s="85">
        <v>45077</v>
      </c>
      <c r="G73" s="84" t="s">
        <v>1516</v>
      </c>
      <c r="H73" s="84" t="s">
        <v>2284</v>
      </c>
      <c r="I73" s="84" t="s">
        <v>2297</v>
      </c>
      <c r="J73" s="84" t="s">
        <v>659</v>
      </c>
      <c r="K73" s="87">
        <v>2310</v>
      </c>
    </row>
    <row r="74" spans="1:11" ht="14.6" x14ac:dyDescent="0.4">
      <c r="A74" s="84"/>
      <c r="B74" s="84"/>
      <c r="C74" s="84"/>
      <c r="D74" s="84"/>
      <c r="E74" s="84" t="s">
        <v>634</v>
      </c>
      <c r="F74" s="85">
        <v>45077</v>
      </c>
      <c r="G74" s="84" t="s">
        <v>1516</v>
      </c>
      <c r="H74" s="84" t="s">
        <v>2285</v>
      </c>
      <c r="I74" s="84" t="s">
        <v>2299</v>
      </c>
      <c r="J74" s="84" t="s">
        <v>659</v>
      </c>
      <c r="K74" s="87">
        <v>950</v>
      </c>
    </row>
    <row r="75" spans="1:11" ht="14.6" x14ac:dyDescent="0.4">
      <c r="A75" s="84"/>
      <c r="B75" s="84"/>
      <c r="C75" s="84"/>
      <c r="D75" s="84"/>
      <c r="E75" s="84" t="s">
        <v>634</v>
      </c>
      <c r="F75" s="85">
        <v>45077</v>
      </c>
      <c r="G75" s="84" t="s">
        <v>1516</v>
      </c>
      <c r="H75" s="84" t="s">
        <v>2287</v>
      </c>
      <c r="I75" s="84" t="s">
        <v>2299</v>
      </c>
      <c r="J75" s="84" t="s">
        <v>659</v>
      </c>
      <c r="K75" s="87">
        <v>1140</v>
      </c>
    </row>
    <row r="76" spans="1:11" ht="14.6" x14ac:dyDescent="0.4">
      <c r="A76" s="84"/>
      <c r="B76" s="84"/>
      <c r="C76" s="84"/>
      <c r="D76" s="84"/>
      <c r="E76" s="84" t="s">
        <v>634</v>
      </c>
      <c r="F76" s="85">
        <v>45077</v>
      </c>
      <c r="G76" s="84" t="s">
        <v>1516</v>
      </c>
      <c r="H76" s="84" t="s">
        <v>2269</v>
      </c>
      <c r="I76" s="84" t="s">
        <v>2299</v>
      </c>
      <c r="J76" s="84" t="s">
        <v>659</v>
      </c>
      <c r="K76" s="87">
        <v>1520</v>
      </c>
    </row>
    <row r="77" spans="1:11" ht="14.6" x14ac:dyDescent="0.4">
      <c r="A77" s="84"/>
      <c r="B77" s="84"/>
      <c r="C77" s="84"/>
      <c r="D77" s="84"/>
      <c r="E77" s="84" t="s">
        <v>634</v>
      </c>
      <c r="F77" s="85">
        <v>45077</v>
      </c>
      <c r="G77" s="84" t="s">
        <v>1516</v>
      </c>
      <c r="H77" s="84" t="s">
        <v>2275</v>
      </c>
      <c r="I77" s="84" t="s">
        <v>2303</v>
      </c>
      <c r="J77" s="84" t="s">
        <v>659</v>
      </c>
      <c r="K77" s="87">
        <v>3520</v>
      </c>
    </row>
    <row r="78" spans="1:11" ht="14.6" x14ac:dyDescent="0.4">
      <c r="A78" s="84"/>
      <c r="B78" s="84"/>
      <c r="C78" s="84"/>
      <c r="D78" s="84"/>
      <c r="E78" s="84" t="s">
        <v>634</v>
      </c>
      <c r="F78" s="85">
        <v>45077</v>
      </c>
      <c r="G78" s="84" t="s">
        <v>1516</v>
      </c>
      <c r="H78" s="84" t="s">
        <v>2275</v>
      </c>
      <c r="I78" s="84" t="s">
        <v>2293</v>
      </c>
      <c r="J78" s="84" t="s">
        <v>659</v>
      </c>
      <c r="K78" s="87">
        <v>480</v>
      </c>
    </row>
    <row r="79" spans="1:11" ht="14.6" x14ac:dyDescent="0.4">
      <c r="A79" s="84"/>
      <c r="B79" s="84"/>
      <c r="C79" s="84"/>
      <c r="D79" s="84"/>
      <c r="E79" s="84" t="s">
        <v>634</v>
      </c>
      <c r="F79" s="85">
        <v>45077</v>
      </c>
      <c r="G79" s="84" t="s">
        <v>1516</v>
      </c>
      <c r="H79" s="84" t="s">
        <v>2288</v>
      </c>
      <c r="I79" s="84" t="s">
        <v>2297</v>
      </c>
      <c r="J79" s="84" t="s">
        <v>659</v>
      </c>
      <c r="K79" s="87">
        <v>2640</v>
      </c>
    </row>
    <row r="80" spans="1:11" ht="14.6" x14ac:dyDescent="0.4">
      <c r="A80" s="84"/>
      <c r="B80" s="84"/>
      <c r="C80" s="84"/>
      <c r="D80" s="84"/>
      <c r="E80" s="84" t="s">
        <v>634</v>
      </c>
      <c r="F80" s="85">
        <v>45077</v>
      </c>
      <c r="G80" s="84" t="s">
        <v>1516</v>
      </c>
      <c r="H80" s="84" t="s">
        <v>2289</v>
      </c>
      <c r="I80" s="84" t="s">
        <v>2301</v>
      </c>
      <c r="J80" s="84" t="s">
        <v>659</v>
      </c>
      <c r="K80" s="87">
        <v>3500</v>
      </c>
    </row>
    <row r="81" spans="1:11" ht="14.6" x14ac:dyDescent="0.4">
      <c r="A81" s="84"/>
      <c r="B81" s="84"/>
      <c r="C81" s="84"/>
      <c r="D81" s="84"/>
      <c r="E81" s="84" t="s">
        <v>634</v>
      </c>
      <c r="F81" s="85">
        <v>45077</v>
      </c>
      <c r="G81" s="84" t="s">
        <v>1516</v>
      </c>
      <c r="H81" s="84" t="s">
        <v>2290</v>
      </c>
      <c r="I81" s="84" t="s">
        <v>2297</v>
      </c>
      <c r="J81" s="84" t="s">
        <v>659</v>
      </c>
      <c r="K81" s="87">
        <v>110</v>
      </c>
    </row>
    <row r="82" spans="1:11" ht="14.6" x14ac:dyDescent="0.4">
      <c r="A82" s="84"/>
      <c r="B82" s="84"/>
      <c r="C82" s="84"/>
      <c r="D82" s="84"/>
      <c r="E82" s="84" t="s">
        <v>634</v>
      </c>
      <c r="F82" s="85">
        <v>45112</v>
      </c>
      <c r="G82" s="84" t="s">
        <v>1531</v>
      </c>
      <c r="H82" s="84" t="s">
        <v>2276</v>
      </c>
      <c r="I82" s="84" t="s">
        <v>2304</v>
      </c>
      <c r="J82" s="84" t="s">
        <v>659</v>
      </c>
      <c r="K82" s="87">
        <v>1540</v>
      </c>
    </row>
    <row r="83" spans="1:11" ht="14.6" x14ac:dyDescent="0.4">
      <c r="A83" s="84"/>
      <c r="B83" s="84"/>
      <c r="C83" s="84"/>
      <c r="D83" s="84"/>
      <c r="E83" s="84" t="s">
        <v>634</v>
      </c>
      <c r="F83" s="85">
        <v>45112</v>
      </c>
      <c r="G83" s="84" t="s">
        <v>1531</v>
      </c>
      <c r="H83" s="84" t="s">
        <v>2273</v>
      </c>
      <c r="I83" s="84" t="s">
        <v>2299</v>
      </c>
      <c r="J83" s="84" t="s">
        <v>659</v>
      </c>
      <c r="K83" s="87">
        <v>950</v>
      </c>
    </row>
    <row r="84" spans="1:11" ht="14.6" x14ac:dyDescent="0.4">
      <c r="A84" s="84"/>
      <c r="B84" s="84"/>
      <c r="C84" s="84"/>
      <c r="D84" s="84"/>
      <c r="E84" s="84" t="s">
        <v>634</v>
      </c>
      <c r="F84" s="85">
        <v>45112</v>
      </c>
      <c r="G84" s="84" t="s">
        <v>1531</v>
      </c>
      <c r="H84" s="84" t="s">
        <v>2277</v>
      </c>
      <c r="I84" s="84" t="s">
        <v>2303</v>
      </c>
      <c r="J84" s="84" t="s">
        <v>659</v>
      </c>
      <c r="K84" s="87">
        <v>110</v>
      </c>
    </row>
    <row r="85" spans="1:11" ht="14.6" x14ac:dyDescent="0.4">
      <c r="A85" s="84"/>
      <c r="B85" s="84"/>
      <c r="C85" s="84"/>
      <c r="D85" s="84"/>
      <c r="E85" s="84" t="s">
        <v>634</v>
      </c>
      <c r="F85" s="85">
        <v>45112</v>
      </c>
      <c r="G85" s="84" t="s">
        <v>1531</v>
      </c>
      <c r="H85" s="84" t="s">
        <v>2278</v>
      </c>
      <c r="I85" s="84" t="s">
        <v>2299</v>
      </c>
      <c r="J85" s="84" t="s">
        <v>659</v>
      </c>
      <c r="K85" s="87">
        <v>95</v>
      </c>
    </row>
    <row r="86" spans="1:11" ht="14.6" x14ac:dyDescent="0.4">
      <c r="A86" s="84"/>
      <c r="B86" s="84"/>
      <c r="C86" s="84"/>
      <c r="D86" s="84"/>
      <c r="E86" s="84" t="s">
        <v>634</v>
      </c>
      <c r="F86" s="85">
        <v>45112</v>
      </c>
      <c r="G86" s="84" t="s">
        <v>1531</v>
      </c>
      <c r="H86" s="84" t="s">
        <v>2279</v>
      </c>
      <c r="I86" s="84" t="s">
        <v>2299</v>
      </c>
      <c r="J86" s="84" t="s">
        <v>659</v>
      </c>
      <c r="K86" s="87">
        <v>1710</v>
      </c>
    </row>
    <row r="87" spans="1:11" ht="14.6" x14ac:dyDescent="0.4">
      <c r="A87" s="84"/>
      <c r="B87" s="84"/>
      <c r="C87" s="84"/>
      <c r="D87" s="84"/>
      <c r="E87" s="84" t="s">
        <v>634</v>
      </c>
      <c r="F87" s="85">
        <v>45112</v>
      </c>
      <c r="G87" s="84" t="s">
        <v>1531</v>
      </c>
      <c r="H87" s="84" t="s">
        <v>2280</v>
      </c>
      <c r="I87" s="84" t="s">
        <v>2297</v>
      </c>
      <c r="J87" s="84" t="s">
        <v>659</v>
      </c>
      <c r="K87" s="87">
        <v>3740</v>
      </c>
    </row>
    <row r="88" spans="1:11" ht="14.6" x14ac:dyDescent="0.4">
      <c r="A88" s="84"/>
      <c r="B88" s="84"/>
      <c r="C88" s="84"/>
      <c r="D88" s="84"/>
      <c r="E88" s="84" t="s">
        <v>634</v>
      </c>
      <c r="F88" s="85">
        <v>45112</v>
      </c>
      <c r="G88" s="84" t="s">
        <v>1531</v>
      </c>
      <c r="H88" s="84" t="s">
        <v>2270</v>
      </c>
      <c r="I88" s="84" t="s">
        <v>2299</v>
      </c>
      <c r="J88" s="84" t="s">
        <v>659</v>
      </c>
      <c r="K88" s="87">
        <v>1710</v>
      </c>
    </row>
    <row r="89" spans="1:11" ht="14.6" x14ac:dyDescent="0.4">
      <c r="A89" s="84"/>
      <c r="B89" s="84"/>
      <c r="C89" s="84"/>
      <c r="D89" s="84"/>
      <c r="E89" s="84" t="s">
        <v>634</v>
      </c>
      <c r="F89" s="85">
        <v>45112</v>
      </c>
      <c r="G89" s="84" t="s">
        <v>1531</v>
      </c>
      <c r="H89" s="84" t="s">
        <v>2281</v>
      </c>
      <c r="I89" s="84" t="s">
        <v>2299</v>
      </c>
      <c r="J89" s="84" t="s">
        <v>659</v>
      </c>
      <c r="K89" s="87">
        <v>2470</v>
      </c>
    </row>
    <row r="90" spans="1:11" ht="14.6" x14ac:dyDescent="0.4">
      <c r="A90" s="84"/>
      <c r="B90" s="84"/>
      <c r="C90" s="84"/>
      <c r="D90" s="84"/>
      <c r="E90" s="84" t="s">
        <v>634</v>
      </c>
      <c r="F90" s="85">
        <v>45112</v>
      </c>
      <c r="G90" s="84" t="s">
        <v>2266</v>
      </c>
      <c r="H90" s="84" t="s">
        <v>2282</v>
      </c>
      <c r="I90" s="84" t="s">
        <v>2301</v>
      </c>
      <c r="J90" s="84" t="s">
        <v>659</v>
      </c>
      <c r="K90" s="87">
        <v>4000</v>
      </c>
    </row>
    <row r="91" spans="1:11" ht="14.6" x14ac:dyDescent="0.4">
      <c r="A91" s="84"/>
      <c r="B91" s="84"/>
      <c r="C91" s="84"/>
      <c r="D91" s="84"/>
      <c r="E91" s="84" t="s">
        <v>634</v>
      </c>
      <c r="F91" s="85">
        <v>45112</v>
      </c>
      <c r="G91" s="84" t="s">
        <v>1531</v>
      </c>
      <c r="H91" s="84" t="s">
        <v>2274</v>
      </c>
      <c r="I91" s="84" t="s">
        <v>2298</v>
      </c>
      <c r="J91" s="84" t="s">
        <v>659</v>
      </c>
      <c r="K91" s="87">
        <v>3000</v>
      </c>
    </row>
    <row r="92" spans="1:11" ht="14.6" x14ac:dyDescent="0.4">
      <c r="A92" s="84"/>
      <c r="B92" s="84"/>
      <c r="C92" s="84"/>
      <c r="D92" s="84"/>
      <c r="E92" s="84" t="s">
        <v>634</v>
      </c>
      <c r="F92" s="85">
        <v>45112</v>
      </c>
      <c r="G92" s="84" t="s">
        <v>1531</v>
      </c>
      <c r="H92" s="84" t="s">
        <v>2274</v>
      </c>
      <c r="I92" s="84" t="s">
        <v>2302</v>
      </c>
      <c r="J92" s="84" t="s">
        <v>659</v>
      </c>
      <c r="K92" s="87">
        <v>180</v>
      </c>
    </row>
    <row r="93" spans="1:11" ht="14.6" x14ac:dyDescent="0.4">
      <c r="A93" s="84"/>
      <c r="B93" s="84"/>
      <c r="C93" s="84"/>
      <c r="D93" s="84"/>
      <c r="E93" s="84" t="s">
        <v>634</v>
      </c>
      <c r="F93" s="85">
        <v>45112</v>
      </c>
      <c r="G93" s="84" t="s">
        <v>1531</v>
      </c>
      <c r="H93" s="84" t="s">
        <v>2283</v>
      </c>
      <c r="I93" s="84" t="s">
        <v>2298</v>
      </c>
      <c r="J93" s="84" t="s">
        <v>659</v>
      </c>
      <c r="K93" s="87">
        <v>4375</v>
      </c>
    </row>
    <row r="94" spans="1:11" ht="14.6" x14ac:dyDescent="0.4">
      <c r="A94" s="84"/>
      <c r="B94" s="84"/>
      <c r="C94" s="84"/>
      <c r="D94" s="84"/>
      <c r="E94" s="84" t="s">
        <v>634</v>
      </c>
      <c r="F94" s="85">
        <v>45112</v>
      </c>
      <c r="G94" s="84" t="s">
        <v>1531</v>
      </c>
      <c r="H94" s="84" t="s">
        <v>2284</v>
      </c>
      <c r="I94" s="84" t="s">
        <v>2297</v>
      </c>
      <c r="J94" s="84" t="s">
        <v>659</v>
      </c>
      <c r="K94" s="87">
        <v>1980</v>
      </c>
    </row>
    <row r="95" spans="1:11" ht="14.6" x14ac:dyDescent="0.4">
      <c r="A95" s="84"/>
      <c r="B95" s="84"/>
      <c r="C95" s="84"/>
      <c r="D95" s="84"/>
      <c r="E95" s="84" t="s">
        <v>634</v>
      </c>
      <c r="F95" s="85">
        <v>45112</v>
      </c>
      <c r="G95" s="84" t="s">
        <v>1531</v>
      </c>
      <c r="H95" s="84" t="s">
        <v>2285</v>
      </c>
      <c r="I95" s="84" t="s">
        <v>2299</v>
      </c>
      <c r="J95" s="84" t="s">
        <v>659</v>
      </c>
      <c r="K95" s="87">
        <v>1330</v>
      </c>
    </row>
    <row r="96" spans="1:11" ht="14.6" x14ac:dyDescent="0.4">
      <c r="A96" s="84"/>
      <c r="B96" s="84"/>
      <c r="C96" s="84"/>
      <c r="D96" s="84"/>
      <c r="E96" s="84" t="s">
        <v>634</v>
      </c>
      <c r="F96" s="85">
        <v>45112</v>
      </c>
      <c r="G96" s="84" t="s">
        <v>1531</v>
      </c>
      <c r="H96" s="84" t="s">
        <v>2286</v>
      </c>
      <c r="I96" s="84" t="s">
        <v>2297</v>
      </c>
      <c r="J96" s="84" t="s">
        <v>659</v>
      </c>
      <c r="K96" s="87">
        <v>330</v>
      </c>
    </row>
    <row r="97" spans="1:11" ht="14.6" x14ac:dyDescent="0.4">
      <c r="A97" s="84"/>
      <c r="B97" s="84"/>
      <c r="C97" s="84"/>
      <c r="D97" s="84"/>
      <c r="E97" s="84" t="s">
        <v>634</v>
      </c>
      <c r="F97" s="85">
        <v>45112</v>
      </c>
      <c r="G97" s="84" t="s">
        <v>1531</v>
      </c>
      <c r="H97" s="84" t="s">
        <v>2269</v>
      </c>
      <c r="I97" s="84" t="s">
        <v>2299</v>
      </c>
      <c r="J97" s="84" t="s">
        <v>659</v>
      </c>
      <c r="K97" s="87">
        <v>2850</v>
      </c>
    </row>
    <row r="98" spans="1:11" ht="14.6" x14ac:dyDescent="0.4">
      <c r="A98" s="84"/>
      <c r="B98" s="84"/>
      <c r="C98" s="84"/>
      <c r="D98" s="84"/>
      <c r="E98" s="84" t="s">
        <v>634</v>
      </c>
      <c r="F98" s="85">
        <v>45112</v>
      </c>
      <c r="G98" s="84" t="s">
        <v>1531</v>
      </c>
      <c r="H98" s="84" t="s">
        <v>2288</v>
      </c>
      <c r="I98" s="84" t="s">
        <v>2297</v>
      </c>
      <c r="J98" s="84" t="s">
        <v>659</v>
      </c>
      <c r="K98" s="87">
        <v>1540</v>
      </c>
    </row>
    <row r="99" spans="1:11" ht="14.6" x14ac:dyDescent="0.4">
      <c r="A99" s="84"/>
      <c r="B99" s="84"/>
      <c r="C99" s="84"/>
      <c r="D99" s="84"/>
      <c r="E99" s="84" t="s">
        <v>634</v>
      </c>
      <c r="F99" s="85">
        <v>45112</v>
      </c>
      <c r="G99" s="84" t="s">
        <v>1531</v>
      </c>
      <c r="H99" s="84" t="s">
        <v>2289</v>
      </c>
      <c r="I99" s="84" t="s">
        <v>2301</v>
      </c>
      <c r="J99" s="84" t="s">
        <v>659</v>
      </c>
      <c r="K99" s="87">
        <v>4000</v>
      </c>
    </row>
    <row r="100" spans="1:11" ht="14.6" x14ac:dyDescent="0.4">
      <c r="A100" s="84"/>
      <c r="B100" s="84"/>
      <c r="C100" s="84"/>
      <c r="D100" s="84"/>
      <c r="E100" s="84" t="s">
        <v>634</v>
      </c>
      <c r="F100" s="85">
        <v>45113</v>
      </c>
      <c r="G100" s="84" t="s">
        <v>1531</v>
      </c>
      <c r="H100" s="84" t="s">
        <v>2268</v>
      </c>
      <c r="I100" s="84" t="s">
        <v>2301</v>
      </c>
      <c r="J100" s="84" t="s">
        <v>659</v>
      </c>
      <c r="K100" s="87">
        <v>3875</v>
      </c>
    </row>
    <row r="101" spans="1:11" ht="14.6" x14ac:dyDescent="0.4">
      <c r="A101" s="84"/>
      <c r="B101" s="84"/>
      <c r="C101" s="84"/>
      <c r="D101" s="84"/>
      <c r="E101" s="84" t="s">
        <v>634</v>
      </c>
      <c r="F101" s="85">
        <v>45113</v>
      </c>
      <c r="G101" s="84" t="s">
        <v>1531</v>
      </c>
      <c r="H101" s="84" t="s">
        <v>2268</v>
      </c>
      <c r="I101" s="84" t="s">
        <v>2300</v>
      </c>
      <c r="J101" s="84" t="s">
        <v>659</v>
      </c>
      <c r="K101" s="87">
        <v>30</v>
      </c>
    </row>
    <row r="102" spans="1:11" ht="14.6" x14ac:dyDescent="0.4">
      <c r="A102" s="84"/>
      <c r="B102" s="84"/>
      <c r="C102" s="84"/>
      <c r="D102" s="84"/>
      <c r="E102" s="84" t="s">
        <v>634</v>
      </c>
      <c r="F102" s="85">
        <v>45113</v>
      </c>
      <c r="G102" s="84" t="s">
        <v>1531</v>
      </c>
      <c r="H102" s="84" t="s">
        <v>2275</v>
      </c>
      <c r="I102" s="84" t="s">
        <v>2303</v>
      </c>
      <c r="J102" s="84" t="s">
        <v>659</v>
      </c>
      <c r="K102" s="87">
        <v>4180</v>
      </c>
    </row>
    <row r="103" spans="1:11" ht="14.6" x14ac:dyDescent="0.4">
      <c r="A103" s="84"/>
      <c r="B103" s="84"/>
      <c r="C103" s="84"/>
      <c r="D103" s="84"/>
      <c r="E103" s="84" t="s">
        <v>634</v>
      </c>
      <c r="F103" s="85">
        <v>45113</v>
      </c>
      <c r="G103" s="84" t="s">
        <v>1531</v>
      </c>
      <c r="H103" s="84" t="s">
        <v>2275</v>
      </c>
      <c r="I103" s="84" t="s">
        <v>2293</v>
      </c>
      <c r="J103" s="84" t="s">
        <v>659</v>
      </c>
      <c r="K103" s="87">
        <v>570</v>
      </c>
    </row>
    <row r="104" spans="1:11" ht="14.6" x14ac:dyDescent="0.4">
      <c r="A104" s="84"/>
      <c r="B104" s="84"/>
      <c r="C104" s="84"/>
      <c r="D104" s="84"/>
      <c r="E104" s="84" t="s">
        <v>634</v>
      </c>
      <c r="F104" s="85">
        <v>45138</v>
      </c>
      <c r="G104" s="84" t="s">
        <v>1496</v>
      </c>
      <c r="H104" s="84" t="s">
        <v>2276</v>
      </c>
      <c r="I104" s="84" t="s">
        <v>2304</v>
      </c>
      <c r="J104" s="84" t="s">
        <v>659</v>
      </c>
      <c r="K104" s="87">
        <v>2640</v>
      </c>
    </row>
    <row r="105" spans="1:11" ht="14.6" x14ac:dyDescent="0.4">
      <c r="A105" s="84"/>
      <c r="B105" s="84"/>
      <c r="C105" s="84"/>
      <c r="D105" s="84"/>
      <c r="E105" s="84" t="s">
        <v>634</v>
      </c>
      <c r="F105" s="85">
        <v>45138</v>
      </c>
      <c r="G105" s="84" t="s">
        <v>1496</v>
      </c>
      <c r="H105" s="84" t="s">
        <v>2273</v>
      </c>
      <c r="I105" s="84" t="s">
        <v>2299</v>
      </c>
      <c r="J105" s="84" t="s">
        <v>659</v>
      </c>
      <c r="K105" s="87">
        <v>760</v>
      </c>
    </row>
    <row r="106" spans="1:11" ht="14.6" x14ac:dyDescent="0.4">
      <c r="A106" s="84"/>
      <c r="B106" s="84"/>
      <c r="C106" s="84"/>
      <c r="D106" s="84"/>
      <c r="E106" s="84" t="s">
        <v>634</v>
      </c>
      <c r="F106" s="85">
        <v>45138</v>
      </c>
      <c r="G106" s="84" t="s">
        <v>1496</v>
      </c>
      <c r="H106" s="84" t="s">
        <v>2278</v>
      </c>
      <c r="I106" s="84" t="s">
        <v>2299</v>
      </c>
      <c r="J106" s="84" t="s">
        <v>659</v>
      </c>
      <c r="K106" s="87">
        <v>190</v>
      </c>
    </row>
    <row r="107" spans="1:11" ht="14.6" x14ac:dyDescent="0.4">
      <c r="A107" s="84"/>
      <c r="B107" s="84"/>
      <c r="C107" s="84"/>
      <c r="D107" s="84"/>
      <c r="E107" s="84" t="s">
        <v>634</v>
      </c>
      <c r="F107" s="85">
        <v>45138</v>
      </c>
      <c r="G107" s="84" t="s">
        <v>2267</v>
      </c>
      <c r="H107" s="84" t="s">
        <v>2279</v>
      </c>
      <c r="I107" s="84" t="s">
        <v>2299</v>
      </c>
      <c r="J107" s="84" t="s">
        <v>659</v>
      </c>
      <c r="K107" s="87">
        <v>1710</v>
      </c>
    </row>
    <row r="108" spans="1:11" ht="14.6" x14ac:dyDescent="0.4">
      <c r="A108" s="84"/>
      <c r="B108" s="84"/>
      <c r="C108" s="84"/>
      <c r="D108" s="84"/>
      <c r="E108" s="84" t="s">
        <v>634</v>
      </c>
      <c r="F108" s="85">
        <v>45138</v>
      </c>
      <c r="G108" s="84" t="s">
        <v>1496</v>
      </c>
      <c r="H108" s="84" t="s">
        <v>2280</v>
      </c>
      <c r="I108" s="84" t="s">
        <v>2297</v>
      </c>
      <c r="J108" s="84" t="s">
        <v>659</v>
      </c>
      <c r="K108" s="87">
        <v>3080</v>
      </c>
    </row>
    <row r="109" spans="1:11" ht="14.6" x14ac:dyDescent="0.4">
      <c r="A109" s="84"/>
      <c r="B109" s="84"/>
      <c r="C109" s="84"/>
      <c r="D109" s="84"/>
      <c r="E109" s="84" t="s">
        <v>634</v>
      </c>
      <c r="F109" s="85">
        <v>45138</v>
      </c>
      <c r="G109" s="84" t="s">
        <v>1496</v>
      </c>
      <c r="H109" s="84" t="s">
        <v>2281</v>
      </c>
      <c r="I109" s="84" t="s">
        <v>2299</v>
      </c>
      <c r="J109" s="84" t="s">
        <v>659</v>
      </c>
      <c r="K109" s="87">
        <v>2280</v>
      </c>
    </row>
    <row r="110" spans="1:11" ht="14.6" x14ac:dyDescent="0.4">
      <c r="A110" s="84"/>
      <c r="B110" s="84"/>
      <c r="C110" s="84"/>
      <c r="D110" s="84"/>
      <c r="E110" s="84" t="s">
        <v>634</v>
      </c>
      <c r="F110" s="85">
        <v>45138</v>
      </c>
      <c r="G110" s="84" t="s">
        <v>1496</v>
      </c>
      <c r="H110" s="84" t="s">
        <v>2282</v>
      </c>
      <c r="I110" s="84" t="s">
        <v>2301</v>
      </c>
      <c r="J110" s="84" t="s">
        <v>659</v>
      </c>
      <c r="K110" s="87">
        <v>3750</v>
      </c>
    </row>
    <row r="111" spans="1:11" ht="14.6" x14ac:dyDescent="0.4">
      <c r="A111" s="84"/>
      <c r="B111" s="84"/>
      <c r="C111" s="84"/>
      <c r="D111" s="84"/>
      <c r="E111" s="84" t="s">
        <v>634</v>
      </c>
      <c r="F111" s="85">
        <v>45138</v>
      </c>
      <c r="G111" s="84" t="s">
        <v>1496</v>
      </c>
      <c r="H111" s="84" t="s">
        <v>2274</v>
      </c>
      <c r="I111" s="84" t="s">
        <v>2298</v>
      </c>
      <c r="J111" s="84" t="s">
        <v>659</v>
      </c>
      <c r="K111" s="87">
        <v>2125</v>
      </c>
    </row>
    <row r="112" spans="1:11" ht="14.6" x14ac:dyDescent="0.4">
      <c r="A112" s="84"/>
      <c r="B112" s="84"/>
      <c r="C112" s="84"/>
      <c r="D112" s="84"/>
      <c r="E112" s="84" t="s">
        <v>634</v>
      </c>
      <c r="F112" s="85">
        <v>45138</v>
      </c>
      <c r="G112" s="84" t="s">
        <v>1496</v>
      </c>
      <c r="H112" s="84" t="s">
        <v>2274</v>
      </c>
      <c r="I112" s="84" t="s">
        <v>2302</v>
      </c>
      <c r="J112" s="84" t="s">
        <v>659</v>
      </c>
      <c r="K112" s="87">
        <v>127.5</v>
      </c>
    </row>
    <row r="113" spans="1:11" ht="14.6" x14ac:dyDescent="0.4">
      <c r="A113" s="84"/>
      <c r="B113" s="84"/>
      <c r="C113" s="84"/>
      <c r="D113" s="84"/>
      <c r="E113" s="84" t="s">
        <v>634</v>
      </c>
      <c r="F113" s="85">
        <v>45138</v>
      </c>
      <c r="G113" s="84" t="s">
        <v>1496</v>
      </c>
      <c r="H113" s="84" t="s">
        <v>2283</v>
      </c>
      <c r="I113" s="84" t="s">
        <v>2298</v>
      </c>
      <c r="J113" s="84" t="s">
        <v>659</v>
      </c>
      <c r="K113" s="87">
        <v>3750</v>
      </c>
    </row>
    <row r="114" spans="1:11" ht="14.6" x14ac:dyDescent="0.4">
      <c r="A114" s="84"/>
      <c r="B114" s="84"/>
      <c r="C114" s="84"/>
      <c r="D114" s="84"/>
      <c r="E114" s="84" t="s">
        <v>634</v>
      </c>
      <c r="F114" s="85">
        <v>45138</v>
      </c>
      <c r="G114" s="84" t="s">
        <v>1496</v>
      </c>
      <c r="H114" s="84" t="s">
        <v>2268</v>
      </c>
      <c r="I114" s="84" t="s">
        <v>2301</v>
      </c>
      <c r="J114" s="84" t="s">
        <v>659</v>
      </c>
      <c r="K114" s="87">
        <v>3000</v>
      </c>
    </row>
    <row r="115" spans="1:11" ht="14.6" x14ac:dyDescent="0.4">
      <c r="A115" s="84"/>
      <c r="B115" s="84"/>
      <c r="C115" s="84"/>
      <c r="D115" s="84"/>
      <c r="E115" s="84" t="s">
        <v>634</v>
      </c>
      <c r="F115" s="85">
        <v>45138</v>
      </c>
      <c r="G115" s="84" t="s">
        <v>1496</v>
      </c>
      <c r="H115" s="84" t="s">
        <v>2268</v>
      </c>
      <c r="I115" s="84" t="s">
        <v>2300</v>
      </c>
      <c r="J115" s="84" t="s">
        <v>659</v>
      </c>
      <c r="K115" s="87">
        <v>30</v>
      </c>
    </row>
    <row r="116" spans="1:11" ht="14.6" x14ac:dyDescent="0.4">
      <c r="A116" s="84"/>
      <c r="B116" s="84"/>
      <c r="C116" s="84"/>
      <c r="D116" s="84"/>
      <c r="E116" s="84" t="s">
        <v>634</v>
      </c>
      <c r="F116" s="85">
        <v>45138</v>
      </c>
      <c r="G116" s="84" t="s">
        <v>1496</v>
      </c>
      <c r="H116" s="84" t="s">
        <v>2269</v>
      </c>
      <c r="I116" s="84" t="s">
        <v>2299</v>
      </c>
      <c r="J116" s="84" t="s">
        <v>659</v>
      </c>
      <c r="K116" s="87">
        <v>1805</v>
      </c>
    </row>
    <row r="117" spans="1:11" ht="14.6" x14ac:dyDescent="0.4">
      <c r="A117" s="84"/>
      <c r="B117" s="84"/>
      <c r="C117" s="84"/>
      <c r="D117" s="84"/>
      <c r="E117" s="84" t="s">
        <v>634</v>
      </c>
      <c r="F117" s="85">
        <v>45138</v>
      </c>
      <c r="G117" s="84" t="s">
        <v>1496</v>
      </c>
      <c r="H117" s="84" t="s">
        <v>2275</v>
      </c>
      <c r="I117" s="84" t="s">
        <v>2303</v>
      </c>
      <c r="J117" s="84" t="s">
        <v>659</v>
      </c>
      <c r="K117" s="87">
        <v>3410</v>
      </c>
    </row>
    <row r="118" spans="1:11" ht="14.6" x14ac:dyDescent="0.4">
      <c r="A118" s="84"/>
      <c r="B118" s="84"/>
      <c r="C118" s="84"/>
      <c r="D118" s="84"/>
      <c r="E118" s="84" t="s">
        <v>634</v>
      </c>
      <c r="F118" s="85">
        <v>45138</v>
      </c>
      <c r="G118" s="84" t="s">
        <v>1496</v>
      </c>
      <c r="H118" s="84" t="s">
        <v>2275</v>
      </c>
      <c r="I118" s="84" t="s">
        <v>2293</v>
      </c>
      <c r="J118" s="84" t="s">
        <v>659</v>
      </c>
      <c r="K118" s="87">
        <v>465</v>
      </c>
    </row>
    <row r="119" spans="1:11" ht="14.6" x14ac:dyDescent="0.4">
      <c r="A119" s="84"/>
      <c r="B119" s="84"/>
      <c r="C119" s="84"/>
      <c r="D119" s="84"/>
      <c r="E119" s="84" t="s">
        <v>634</v>
      </c>
      <c r="F119" s="85">
        <v>45138</v>
      </c>
      <c r="G119" s="84" t="s">
        <v>1496</v>
      </c>
      <c r="H119" s="84" t="s">
        <v>2288</v>
      </c>
      <c r="I119" s="84" t="s">
        <v>2297</v>
      </c>
      <c r="J119" s="84" t="s">
        <v>659</v>
      </c>
      <c r="K119" s="87">
        <v>1540</v>
      </c>
    </row>
    <row r="120" spans="1:11" ht="14.6" x14ac:dyDescent="0.4">
      <c r="A120" s="84"/>
      <c r="B120" s="84"/>
      <c r="C120" s="84"/>
      <c r="D120" s="84"/>
      <c r="E120" s="84" t="s">
        <v>634</v>
      </c>
      <c r="F120" s="85">
        <v>45138</v>
      </c>
      <c r="G120" s="84" t="s">
        <v>1496</v>
      </c>
      <c r="H120" s="84" t="s">
        <v>2289</v>
      </c>
      <c r="I120" s="84" t="s">
        <v>2301</v>
      </c>
      <c r="J120" s="84" t="s">
        <v>659</v>
      </c>
      <c r="K120" s="87">
        <v>3750</v>
      </c>
    </row>
    <row r="121" spans="1:11" ht="14.6" x14ac:dyDescent="0.4">
      <c r="A121" s="84"/>
      <c r="B121" s="84"/>
      <c r="C121" s="84"/>
      <c r="D121" s="84"/>
      <c r="E121" s="84" t="s">
        <v>634</v>
      </c>
      <c r="F121" s="85">
        <v>45138</v>
      </c>
      <c r="G121" s="84" t="s">
        <v>1496</v>
      </c>
      <c r="H121" s="84" t="s">
        <v>2270</v>
      </c>
      <c r="I121" s="84" t="s">
        <v>2299</v>
      </c>
      <c r="J121" s="84" t="s">
        <v>659</v>
      </c>
      <c r="K121" s="87">
        <v>760</v>
      </c>
    </row>
    <row r="122" spans="1:11" ht="14.6" x14ac:dyDescent="0.4">
      <c r="A122" s="84"/>
      <c r="B122" s="84"/>
      <c r="C122" s="84"/>
      <c r="D122" s="84"/>
      <c r="E122" s="84" t="s">
        <v>634</v>
      </c>
      <c r="F122" s="85">
        <v>45154</v>
      </c>
      <c r="G122" s="84" t="s">
        <v>1496</v>
      </c>
      <c r="H122" s="84" t="s">
        <v>2284</v>
      </c>
      <c r="I122" s="84" t="s">
        <v>2297</v>
      </c>
      <c r="J122" s="84" t="s">
        <v>659</v>
      </c>
      <c r="K122" s="87">
        <v>2420</v>
      </c>
    </row>
    <row r="123" spans="1:11" ht="14.6" x14ac:dyDescent="0.4">
      <c r="A123" s="84"/>
      <c r="B123" s="84"/>
      <c r="C123" s="84"/>
      <c r="D123" s="84"/>
      <c r="E123" s="84" t="s">
        <v>634</v>
      </c>
      <c r="F123" s="85">
        <v>45166</v>
      </c>
      <c r="G123" s="84" t="s">
        <v>1489</v>
      </c>
      <c r="H123" s="84" t="s">
        <v>2268</v>
      </c>
      <c r="I123" s="84" t="s">
        <v>2301</v>
      </c>
      <c r="J123" s="84" t="s">
        <v>659</v>
      </c>
      <c r="K123" s="87">
        <v>125</v>
      </c>
    </row>
    <row r="124" spans="1:11" ht="14.6" x14ac:dyDescent="0.4">
      <c r="A124" s="84"/>
      <c r="B124" s="84"/>
      <c r="C124" s="84"/>
      <c r="D124" s="84"/>
      <c r="E124" s="84" t="s">
        <v>634</v>
      </c>
      <c r="F124" s="85">
        <v>45166</v>
      </c>
      <c r="G124" s="84" t="s">
        <v>1489</v>
      </c>
      <c r="H124" s="84" t="s">
        <v>2275</v>
      </c>
      <c r="I124" s="84" t="s">
        <v>2303</v>
      </c>
      <c r="J124" s="84" t="s">
        <v>659</v>
      </c>
      <c r="K124" s="87">
        <v>440</v>
      </c>
    </row>
    <row r="125" spans="1:11" ht="14.6" x14ac:dyDescent="0.4">
      <c r="A125" s="84"/>
      <c r="B125" s="84"/>
      <c r="C125" s="84"/>
      <c r="D125" s="84"/>
      <c r="E125" s="84" t="s">
        <v>634</v>
      </c>
      <c r="F125" s="85">
        <v>45166</v>
      </c>
      <c r="G125" s="84" t="s">
        <v>1489</v>
      </c>
      <c r="H125" s="84" t="s">
        <v>2275</v>
      </c>
      <c r="I125" s="84" t="s">
        <v>2293</v>
      </c>
      <c r="J125" s="84" t="s">
        <v>659</v>
      </c>
      <c r="K125" s="87">
        <v>60</v>
      </c>
    </row>
    <row r="126" spans="1:11" ht="15" customHeight="1" x14ac:dyDescent="0.4">
      <c r="A126" s="84"/>
      <c r="B126" s="84"/>
      <c r="C126" s="84"/>
      <c r="D126" s="84"/>
      <c r="E126" s="84" t="s">
        <v>634</v>
      </c>
      <c r="F126" s="85">
        <v>45168</v>
      </c>
      <c r="G126" s="84" t="s">
        <v>1489</v>
      </c>
      <c r="H126" s="84" t="s">
        <v>2274</v>
      </c>
      <c r="I126" s="84" t="s">
        <v>2298</v>
      </c>
      <c r="J126" s="84" t="s">
        <v>659</v>
      </c>
      <c r="K126" s="87">
        <v>750</v>
      </c>
    </row>
    <row r="127" spans="1:11" ht="15" customHeight="1" x14ac:dyDescent="0.4">
      <c r="A127" s="84"/>
      <c r="B127" s="84"/>
      <c r="C127" s="84"/>
      <c r="D127" s="84"/>
      <c r="E127" s="84" t="s">
        <v>634</v>
      </c>
      <c r="F127" s="85">
        <v>45168</v>
      </c>
      <c r="G127" s="84" t="s">
        <v>1489</v>
      </c>
      <c r="H127" s="84" t="s">
        <v>2274</v>
      </c>
      <c r="I127" s="84" t="s">
        <v>2302</v>
      </c>
      <c r="J127" s="84" t="s">
        <v>659</v>
      </c>
      <c r="K127" s="87">
        <v>45</v>
      </c>
    </row>
    <row r="128" spans="1:11" ht="15" customHeight="1" x14ac:dyDescent="0.4">
      <c r="A128" s="84"/>
      <c r="B128" s="84"/>
      <c r="C128" s="84"/>
      <c r="D128" s="84"/>
      <c r="E128" s="84" t="s">
        <v>634</v>
      </c>
      <c r="F128" s="85">
        <v>45209</v>
      </c>
      <c r="G128" s="84" t="s">
        <v>2620</v>
      </c>
      <c r="H128" s="84" t="s">
        <v>2273</v>
      </c>
      <c r="I128" s="84" t="s">
        <v>2299</v>
      </c>
      <c r="J128" s="84" t="s">
        <v>659</v>
      </c>
      <c r="K128" s="87">
        <v>190</v>
      </c>
    </row>
    <row r="129" spans="1:11" ht="15" customHeight="1" x14ac:dyDescent="0.4">
      <c r="A129" s="84"/>
      <c r="B129" s="84"/>
      <c r="C129" s="84"/>
      <c r="D129" s="84"/>
      <c r="E129" s="84" t="s">
        <v>634</v>
      </c>
      <c r="F129" s="85">
        <v>45209</v>
      </c>
      <c r="G129" s="84" t="s">
        <v>2620</v>
      </c>
      <c r="H129" s="84" t="s">
        <v>2279</v>
      </c>
      <c r="I129" s="84" t="s">
        <v>2299</v>
      </c>
      <c r="J129" s="84" t="s">
        <v>659</v>
      </c>
      <c r="K129" s="87">
        <v>570</v>
      </c>
    </row>
    <row r="130" spans="1:11" ht="15" customHeight="1" x14ac:dyDescent="0.4">
      <c r="A130" s="84"/>
      <c r="B130" s="84"/>
      <c r="C130" s="84"/>
      <c r="D130" s="84"/>
      <c r="E130" s="84" t="s">
        <v>634</v>
      </c>
      <c r="F130" s="85">
        <v>45209</v>
      </c>
      <c r="G130" s="84" t="s">
        <v>2620</v>
      </c>
      <c r="H130" s="84" t="s">
        <v>2280</v>
      </c>
      <c r="I130" s="84" t="s">
        <v>2297</v>
      </c>
      <c r="J130" s="84" t="s">
        <v>659</v>
      </c>
      <c r="K130" s="87">
        <v>660</v>
      </c>
    </row>
    <row r="131" spans="1:11" ht="15" customHeight="1" x14ac:dyDescent="0.4">
      <c r="A131" s="84"/>
      <c r="B131" s="84"/>
      <c r="C131" s="84"/>
      <c r="D131" s="84"/>
      <c r="E131" s="84" t="s">
        <v>634</v>
      </c>
      <c r="F131" s="85">
        <v>45209</v>
      </c>
      <c r="G131" s="84" t="s">
        <v>2620</v>
      </c>
      <c r="H131" s="84" t="s">
        <v>2270</v>
      </c>
      <c r="I131" s="84" t="s">
        <v>2299</v>
      </c>
      <c r="J131" s="84" t="s">
        <v>659</v>
      </c>
      <c r="K131" s="87">
        <v>570</v>
      </c>
    </row>
    <row r="132" spans="1:11" ht="15" customHeight="1" x14ac:dyDescent="0.4">
      <c r="A132" s="84"/>
      <c r="B132" s="84"/>
      <c r="C132" s="84"/>
      <c r="D132" s="84"/>
      <c r="E132" s="84" t="s">
        <v>634</v>
      </c>
      <c r="F132" s="85">
        <v>45209</v>
      </c>
      <c r="G132" s="84" t="s">
        <v>2620</v>
      </c>
      <c r="H132" s="84" t="s">
        <v>2281</v>
      </c>
      <c r="I132" s="84" t="s">
        <v>2299</v>
      </c>
      <c r="J132" s="84" t="s">
        <v>659</v>
      </c>
      <c r="K132" s="87">
        <v>570</v>
      </c>
    </row>
    <row r="133" spans="1:11" ht="15" customHeight="1" x14ac:dyDescent="0.4">
      <c r="A133" s="84"/>
      <c r="B133" s="84"/>
      <c r="C133" s="84"/>
      <c r="D133" s="84"/>
      <c r="E133" s="84" t="s">
        <v>634</v>
      </c>
      <c r="F133" s="85">
        <v>45209</v>
      </c>
      <c r="G133" s="84" t="s">
        <v>2620</v>
      </c>
      <c r="H133" s="84" t="s">
        <v>2282</v>
      </c>
      <c r="I133" s="84" t="s">
        <v>2301</v>
      </c>
      <c r="J133" s="84" t="s">
        <v>659</v>
      </c>
      <c r="K133" s="87">
        <v>750</v>
      </c>
    </row>
    <row r="134" spans="1:11" ht="15" customHeight="1" x14ac:dyDescent="0.4">
      <c r="A134" s="84"/>
      <c r="B134" s="84"/>
      <c r="C134" s="84"/>
      <c r="D134" s="84"/>
      <c r="E134" s="84" t="s">
        <v>634</v>
      </c>
      <c r="F134" s="85">
        <v>45209</v>
      </c>
      <c r="G134" s="84" t="s">
        <v>2620</v>
      </c>
      <c r="H134" s="84" t="s">
        <v>2274</v>
      </c>
      <c r="I134" s="84" t="s">
        <v>2298</v>
      </c>
      <c r="J134" s="84" t="s">
        <v>659</v>
      </c>
      <c r="K134" s="87">
        <v>750</v>
      </c>
    </row>
    <row r="135" spans="1:11" ht="15" customHeight="1" x14ac:dyDescent="0.4">
      <c r="A135" s="84"/>
      <c r="B135" s="84"/>
      <c r="C135" s="84"/>
      <c r="D135" s="84"/>
      <c r="E135" s="84" t="s">
        <v>634</v>
      </c>
      <c r="F135" s="85">
        <v>45209</v>
      </c>
      <c r="G135" s="84" t="s">
        <v>2620</v>
      </c>
      <c r="H135" s="84" t="s">
        <v>2274</v>
      </c>
      <c r="I135" s="84" t="s">
        <v>2302</v>
      </c>
      <c r="J135" s="84" t="s">
        <v>659</v>
      </c>
      <c r="K135" s="87">
        <v>45</v>
      </c>
    </row>
    <row r="136" spans="1:11" ht="15" customHeight="1" x14ac:dyDescent="0.4">
      <c r="A136" s="84"/>
      <c r="B136" s="84"/>
      <c r="C136" s="84"/>
      <c r="D136" s="84"/>
      <c r="E136" s="84" t="s">
        <v>634</v>
      </c>
      <c r="F136" s="85">
        <v>45209</v>
      </c>
      <c r="G136" s="84" t="s">
        <v>2620</v>
      </c>
      <c r="H136" s="84" t="s">
        <v>2283</v>
      </c>
      <c r="I136" s="84" t="s">
        <v>2298</v>
      </c>
      <c r="J136" s="84" t="s">
        <v>659</v>
      </c>
      <c r="K136" s="87">
        <v>500</v>
      </c>
    </row>
    <row r="137" spans="1:11" ht="15" customHeight="1" x14ac:dyDescent="0.4">
      <c r="A137" s="84"/>
      <c r="B137" s="84"/>
      <c r="C137" s="84"/>
      <c r="D137" s="84"/>
      <c r="E137" s="84" t="s">
        <v>634</v>
      </c>
      <c r="F137" s="85">
        <v>45209</v>
      </c>
      <c r="G137" s="84" t="s">
        <v>2620</v>
      </c>
      <c r="H137" s="84" t="s">
        <v>2268</v>
      </c>
      <c r="I137" s="84" t="s">
        <v>2301</v>
      </c>
      <c r="J137" s="84" t="s">
        <v>659</v>
      </c>
      <c r="K137" s="87">
        <v>500</v>
      </c>
    </row>
    <row r="138" spans="1:11" ht="15" customHeight="1" x14ac:dyDescent="0.4">
      <c r="A138" s="84"/>
      <c r="B138" s="84"/>
      <c r="C138" s="84"/>
      <c r="D138" s="84"/>
      <c r="E138" s="84" t="s">
        <v>634</v>
      </c>
      <c r="F138" s="85">
        <v>45209</v>
      </c>
      <c r="G138" s="84" t="s">
        <v>2620</v>
      </c>
      <c r="H138" s="84" t="s">
        <v>2284</v>
      </c>
      <c r="I138" s="84" t="s">
        <v>2297</v>
      </c>
      <c r="J138" s="84" t="s">
        <v>659</v>
      </c>
      <c r="K138" s="87">
        <v>660</v>
      </c>
    </row>
    <row r="139" spans="1:11" ht="15" customHeight="1" x14ac:dyDescent="0.4">
      <c r="A139" s="84"/>
      <c r="B139" s="84"/>
      <c r="C139" s="84"/>
      <c r="D139" s="84"/>
      <c r="E139" s="84" t="s">
        <v>634</v>
      </c>
      <c r="F139" s="85">
        <v>45209</v>
      </c>
      <c r="G139" s="84" t="s">
        <v>2620</v>
      </c>
      <c r="H139" s="84" t="s">
        <v>2275</v>
      </c>
      <c r="I139" s="84" t="s">
        <v>2303</v>
      </c>
      <c r="J139" s="84" t="s">
        <v>659</v>
      </c>
      <c r="K139" s="87">
        <v>880</v>
      </c>
    </row>
    <row r="140" spans="1:11" ht="15" customHeight="1" x14ac:dyDescent="0.4">
      <c r="A140" s="84"/>
      <c r="B140" s="84"/>
      <c r="C140" s="84"/>
      <c r="D140" s="84"/>
      <c r="E140" s="84" t="s">
        <v>634</v>
      </c>
      <c r="F140" s="85">
        <v>45209</v>
      </c>
      <c r="G140" s="84" t="s">
        <v>2620</v>
      </c>
      <c r="H140" s="84" t="s">
        <v>2275</v>
      </c>
      <c r="I140" s="84" t="s">
        <v>2293</v>
      </c>
      <c r="J140" s="84" t="s">
        <v>659</v>
      </c>
      <c r="K140" s="87">
        <v>120</v>
      </c>
    </row>
    <row r="141" spans="1:11" ht="15" customHeight="1" x14ac:dyDescent="0.4">
      <c r="A141" s="84"/>
      <c r="B141" s="84"/>
      <c r="C141" s="84"/>
      <c r="D141" s="84"/>
      <c r="E141" s="84" t="s">
        <v>634</v>
      </c>
      <c r="F141" s="85">
        <v>45209</v>
      </c>
      <c r="G141" s="84" t="s">
        <v>2620</v>
      </c>
      <c r="H141" s="84" t="s">
        <v>2289</v>
      </c>
      <c r="I141" s="84" t="s">
        <v>2301</v>
      </c>
      <c r="J141" s="84" t="s">
        <v>659</v>
      </c>
      <c r="K141" s="87">
        <v>750</v>
      </c>
    </row>
    <row r="142" spans="1:11" ht="15" customHeight="1" x14ac:dyDescent="0.4">
      <c r="A142" s="84"/>
      <c r="B142" s="84"/>
      <c r="C142" s="84"/>
      <c r="D142" s="84"/>
      <c r="E142" s="84" t="s">
        <v>634</v>
      </c>
      <c r="F142" s="85">
        <v>45223</v>
      </c>
      <c r="G142" s="84" t="s">
        <v>2372</v>
      </c>
      <c r="H142" s="84" t="s">
        <v>2275</v>
      </c>
      <c r="I142" s="84" t="s">
        <v>2303</v>
      </c>
      <c r="J142" s="84" t="s">
        <v>659</v>
      </c>
      <c r="K142" s="87">
        <v>330</v>
      </c>
    </row>
    <row r="143" spans="1:11" ht="15" customHeight="1" x14ac:dyDescent="0.4">
      <c r="A143" s="84"/>
      <c r="B143" s="84"/>
      <c r="C143" s="84"/>
      <c r="D143" s="84"/>
      <c r="E143" s="84" t="s">
        <v>634</v>
      </c>
      <c r="F143" s="85">
        <v>45223</v>
      </c>
      <c r="G143" s="84" t="s">
        <v>2372</v>
      </c>
      <c r="H143" s="84" t="s">
        <v>2275</v>
      </c>
      <c r="I143" s="84" t="s">
        <v>2293</v>
      </c>
      <c r="J143" s="84" t="s">
        <v>659</v>
      </c>
      <c r="K143" s="87">
        <v>45</v>
      </c>
    </row>
    <row r="144" spans="1:11" ht="15" customHeight="1" x14ac:dyDescent="0.4">
      <c r="A144" s="84"/>
      <c r="B144" s="84"/>
      <c r="C144" s="84"/>
      <c r="D144" s="84"/>
      <c r="E144" s="84" t="s">
        <v>634</v>
      </c>
      <c r="F144" s="85">
        <v>45223</v>
      </c>
      <c r="G144" s="84" t="s">
        <v>2372</v>
      </c>
      <c r="H144" s="84" t="s">
        <v>2284</v>
      </c>
      <c r="I144" s="84" t="s">
        <v>2297</v>
      </c>
      <c r="J144" s="84" t="s">
        <v>659</v>
      </c>
      <c r="K144" s="87">
        <v>220</v>
      </c>
    </row>
    <row r="145" spans="1:11" ht="15" customHeight="1" x14ac:dyDescent="0.4">
      <c r="A145" s="84"/>
      <c r="B145" s="84"/>
      <c r="C145" s="84"/>
      <c r="D145" s="84"/>
      <c r="E145" s="84" t="s">
        <v>634</v>
      </c>
      <c r="F145" s="85">
        <v>45223</v>
      </c>
      <c r="G145" s="84" t="s">
        <v>2372</v>
      </c>
      <c r="H145" s="84" t="s">
        <v>2280</v>
      </c>
      <c r="I145" s="84" t="s">
        <v>2297</v>
      </c>
      <c r="J145" s="84" t="s">
        <v>659</v>
      </c>
      <c r="K145" s="87">
        <v>220</v>
      </c>
    </row>
    <row r="146" spans="1:11" ht="15" customHeight="1" x14ac:dyDescent="0.4">
      <c r="A146" s="84"/>
      <c r="B146" s="84"/>
      <c r="C146" s="84"/>
      <c r="D146" s="84"/>
      <c r="E146" s="84" t="s">
        <v>634</v>
      </c>
      <c r="F146" s="85">
        <v>45223</v>
      </c>
      <c r="G146" s="84" t="s">
        <v>2372</v>
      </c>
      <c r="H146" s="84" t="s">
        <v>2283</v>
      </c>
      <c r="I146" s="84" t="s">
        <v>2298</v>
      </c>
      <c r="J146" s="84" t="s">
        <v>659</v>
      </c>
      <c r="K146" s="87">
        <v>250</v>
      </c>
    </row>
    <row r="147" spans="1:11" ht="15" customHeight="1" x14ac:dyDescent="0.4">
      <c r="A147" s="84"/>
      <c r="B147" s="84"/>
      <c r="C147" s="84"/>
      <c r="D147" s="84"/>
      <c r="E147" s="84" t="s">
        <v>634</v>
      </c>
      <c r="F147" s="85">
        <v>45223</v>
      </c>
      <c r="G147" s="84" t="s">
        <v>2372</v>
      </c>
      <c r="H147" s="84" t="s">
        <v>2268</v>
      </c>
      <c r="I147" s="84" t="s">
        <v>2301</v>
      </c>
      <c r="J147" s="84" t="s">
        <v>659</v>
      </c>
      <c r="K147" s="87">
        <v>250</v>
      </c>
    </row>
    <row r="148" spans="1:11" ht="15" customHeight="1" x14ac:dyDescent="0.4">
      <c r="A148" s="84"/>
      <c r="B148" s="84"/>
      <c r="C148" s="84"/>
      <c r="D148" s="84"/>
      <c r="E148" s="84" t="s">
        <v>634</v>
      </c>
      <c r="F148" s="85">
        <v>45223</v>
      </c>
      <c r="G148" s="84" t="s">
        <v>2372</v>
      </c>
      <c r="H148" s="84" t="s">
        <v>2281</v>
      </c>
      <c r="I148" s="84" t="s">
        <v>2299</v>
      </c>
      <c r="J148" s="84" t="s">
        <v>659</v>
      </c>
      <c r="K148" s="87">
        <v>190</v>
      </c>
    </row>
    <row r="149" spans="1:11" ht="15" customHeight="1" x14ac:dyDescent="0.4">
      <c r="A149" s="84"/>
      <c r="B149" s="84"/>
      <c r="C149" s="84"/>
      <c r="D149" s="84"/>
      <c r="E149" s="84" t="s">
        <v>634</v>
      </c>
      <c r="F149" s="85">
        <v>45223</v>
      </c>
      <c r="G149" s="84" t="s">
        <v>2372</v>
      </c>
      <c r="H149" s="84" t="s">
        <v>2289</v>
      </c>
      <c r="I149" s="84" t="s">
        <v>2301</v>
      </c>
      <c r="J149" s="84" t="s">
        <v>659</v>
      </c>
      <c r="K149" s="87">
        <v>250</v>
      </c>
    </row>
    <row r="150" spans="1:11" ht="15" customHeight="1" x14ac:dyDescent="0.4">
      <c r="A150" s="84"/>
      <c r="B150" s="84"/>
      <c r="C150" s="84"/>
      <c r="D150" s="84"/>
      <c r="E150" s="84" t="s">
        <v>634</v>
      </c>
      <c r="F150" s="85">
        <v>45223</v>
      </c>
      <c r="G150" s="84" t="s">
        <v>2372</v>
      </c>
      <c r="H150" s="84" t="s">
        <v>2282</v>
      </c>
      <c r="I150" s="84" t="s">
        <v>2301</v>
      </c>
      <c r="J150" s="84" t="s">
        <v>659</v>
      </c>
      <c r="K150" s="87">
        <v>250</v>
      </c>
    </row>
    <row r="151" spans="1:11" ht="15" customHeight="1" x14ac:dyDescent="0.4">
      <c r="A151" s="84"/>
      <c r="B151" s="84"/>
      <c r="C151" s="84"/>
      <c r="D151" s="84"/>
      <c r="E151" s="84" t="s">
        <v>634</v>
      </c>
      <c r="F151" s="85">
        <v>45238</v>
      </c>
      <c r="G151" s="84" t="s">
        <v>1539</v>
      </c>
      <c r="H151" s="84" t="s">
        <v>2268</v>
      </c>
      <c r="I151" s="84" t="s">
        <v>2301</v>
      </c>
      <c r="J151" s="84" t="s">
        <v>659</v>
      </c>
      <c r="K151" s="87">
        <v>125</v>
      </c>
    </row>
    <row r="152" spans="1:11" ht="15" customHeight="1" x14ac:dyDescent="0.4">
      <c r="A152" s="84"/>
      <c r="B152" s="84"/>
      <c r="C152" s="84"/>
      <c r="D152" s="84"/>
      <c r="E152" s="84" t="s">
        <v>634</v>
      </c>
      <c r="F152" s="85">
        <v>45273</v>
      </c>
      <c r="G152" s="84" t="s">
        <v>1539</v>
      </c>
      <c r="H152" s="84" t="s">
        <v>2275</v>
      </c>
      <c r="I152" s="84" t="s">
        <v>2303</v>
      </c>
      <c r="J152" s="84" t="s">
        <v>659</v>
      </c>
      <c r="K152" s="87">
        <v>220</v>
      </c>
    </row>
    <row r="153" spans="1:11" ht="15" customHeight="1" thickBot="1" x14ac:dyDescent="0.45">
      <c r="A153" s="84"/>
      <c r="B153" s="84"/>
      <c r="C153" s="84"/>
      <c r="D153" s="84"/>
      <c r="E153" s="84" t="s">
        <v>634</v>
      </c>
      <c r="F153" s="85">
        <v>45273</v>
      </c>
      <c r="G153" s="84" t="s">
        <v>1539</v>
      </c>
      <c r="H153" s="84" t="s">
        <v>2275</v>
      </c>
      <c r="I153" s="84" t="s">
        <v>2293</v>
      </c>
      <c r="J153" s="84" t="s">
        <v>659</v>
      </c>
      <c r="K153" s="413">
        <v>30</v>
      </c>
    </row>
    <row r="154" spans="1:11" ht="15" customHeight="1" thickBot="1" x14ac:dyDescent="0.45">
      <c r="A154" s="84"/>
      <c r="B154" s="84"/>
      <c r="C154" s="84" t="s">
        <v>2265</v>
      </c>
      <c r="D154" s="84"/>
      <c r="E154" s="84"/>
      <c r="F154" s="85"/>
      <c r="G154" s="84"/>
      <c r="H154" s="84"/>
      <c r="I154" s="84"/>
      <c r="J154" s="84"/>
      <c r="K154" s="414">
        <f>ROUND(SUM(K3:K153),5)</f>
        <v>190470</v>
      </c>
    </row>
    <row r="155" spans="1:11" ht="15" customHeight="1" thickBot="1" x14ac:dyDescent="0.45">
      <c r="A155" s="84"/>
      <c r="B155" s="84" t="s">
        <v>939</v>
      </c>
      <c r="C155" s="84"/>
      <c r="D155" s="84"/>
      <c r="E155" s="84"/>
      <c r="F155" s="85"/>
      <c r="G155" s="84"/>
      <c r="H155" s="84"/>
      <c r="I155" s="84"/>
      <c r="J155" s="84"/>
      <c r="K155" s="414">
        <f>K154</f>
        <v>190470</v>
      </c>
    </row>
    <row r="156" spans="1:11" ht="15" customHeight="1" thickBot="1" x14ac:dyDescent="0.45">
      <c r="A156" s="84" t="s">
        <v>158</v>
      </c>
      <c r="B156" s="84"/>
      <c r="C156" s="84"/>
      <c r="D156" s="84"/>
      <c r="E156" s="84"/>
      <c r="F156" s="85"/>
      <c r="G156" s="84"/>
      <c r="H156" s="84"/>
      <c r="I156" s="84"/>
      <c r="J156" s="84"/>
      <c r="K156" s="415">
        <f>K155</f>
        <v>190470</v>
      </c>
    </row>
    <row r="157" spans="1:11" ht="15" customHeight="1" thickTop="1" x14ac:dyDescent="0.4"/>
  </sheetData>
  <pageMargins left="0.7" right="0.7" top="0.75" bottom="0.75" header="0.1" footer="0"/>
  <pageSetup orientation="landscape" r:id="rId1"/>
  <headerFooter>
    <oddHeader>&amp;L&amp;"Arial,Bold"&amp;8 3:02 PM
&amp;"Arial,Bold"&amp;8 01/25/24
&amp;"Arial,Bold"&amp;8 Accrual Basis&amp;C&amp;"Arial,Bold"&amp;12 Williamson Central Appraisal District
&amp;"Arial,Bold"&amp;14 Account QuickReport
&amp;"Arial,Bold"&amp;10 January through December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58725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58725" r:id="rId4" name="HEADER"/>
      </mc:Fallback>
    </mc:AlternateContent>
    <mc:AlternateContent xmlns:mc="http://schemas.openxmlformats.org/markup-compatibility/2006">
      <mc:Choice Requires="x14">
        <control shapeId="158724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58724" r:id="rId6" name="FILTER"/>
      </mc:Fallback>
    </mc:AlternateContent>
  </controls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6"/>
  <dimension ref="A1:K9"/>
  <sheetViews>
    <sheetView workbookViewId="0">
      <pane xSplit="3" ySplit="1" topLeftCell="D2" activePane="bottomRight" state="frozenSplit"/>
      <selection pane="topRight" activeCell="D1" sqref="D1"/>
      <selection pane="bottomLeft" activeCell="A2" sqref="A2"/>
      <selection pane="bottomRight"/>
    </sheetView>
  </sheetViews>
  <sheetFormatPr defaultColWidth="14.3828125" defaultRowHeight="15" customHeight="1" x14ac:dyDescent="0.4"/>
  <cols>
    <col min="1" max="2" width="3" customWidth="1"/>
    <col min="3" max="3" width="23.3046875" customWidth="1"/>
    <col min="4" max="4" width="2.3046875" customWidth="1"/>
    <col min="5" max="5" width="5.3046875" bestFit="1" customWidth="1"/>
    <col min="6" max="6" width="10.69140625" bestFit="1" customWidth="1"/>
    <col min="7" max="7" width="16.3046875" bestFit="1" customWidth="1"/>
    <col min="8" max="8" width="16.53515625" bestFit="1" customWidth="1"/>
    <col min="9" max="9" width="20" bestFit="1" customWidth="1"/>
    <col min="10" max="10" width="22.3046875" bestFit="1" customWidth="1"/>
    <col min="11" max="11" width="8.15234375" bestFit="1" customWidth="1"/>
  </cols>
  <sheetData>
    <row r="1" spans="1:11" s="412" customFormat="1" thickBot="1" x14ac:dyDescent="0.45">
      <c r="A1" s="416"/>
      <c r="B1" s="416"/>
      <c r="C1" s="416"/>
      <c r="D1" s="416"/>
      <c r="E1" s="417" t="s">
        <v>623</v>
      </c>
      <c r="F1" s="417" t="s">
        <v>624</v>
      </c>
      <c r="G1" s="417" t="s">
        <v>625</v>
      </c>
      <c r="H1" s="417" t="s">
        <v>626</v>
      </c>
      <c r="I1" s="417" t="s">
        <v>627</v>
      </c>
      <c r="J1" s="417" t="s">
        <v>628</v>
      </c>
      <c r="K1" s="417" t="s">
        <v>629</v>
      </c>
    </row>
    <row r="2" spans="1:11" thickTop="1" x14ac:dyDescent="0.4">
      <c r="A2" s="84"/>
      <c r="B2" s="84" t="s">
        <v>936</v>
      </c>
      <c r="C2" s="84"/>
      <c r="D2" s="84"/>
      <c r="E2" s="84"/>
      <c r="F2" s="85"/>
      <c r="G2" s="84"/>
      <c r="H2" s="84"/>
      <c r="I2" s="84"/>
      <c r="J2" s="84"/>
      <c r="K2" s="87"/>
    </row>
    <row r="3" spans="1:11" ht="15" customHeight="1" x14ac:dyDescent="0.4">
      <c r="A3" s="84"/>
      <c r="B3" s="84"/>
      <c r="C3" s="84" t="s">
        <v>2306</v>
      </c>
      <c r="D3" s="84"/>
      <c r="E3" s="84"/>
      <c r="F3" s="85"/>
      <c r="G3" s="84"/>
      <c r="H3" s="84"/>
      <c r="I3" s="84"/>
      <c r="J3" s="84"/>
      <c r="K3" s="87"/>
    </row>
    <row r="4" spans="1:11" ht="15" customHeight="1" x14ac:dyDescent="0.4">
      <c r="A4" s="84"/>
      <c r="B4" s="84"/>
      <c r="C4" s="84"/>
      <c r="D4" s="84"/>
      <c r="E4" s="84" t="s">
        <v>634</v>
      </c>
      <c r="F4" s="85">
        <v>45007</v>
      </c>
      <c r="G4" s="84" t="s">
        <v>2308</v>
      </c>
      <c r="H4" s="84" t="s">
        <v>647</v>
      </c>
      <c r="I4" s="84" t="s">
        <v>2310</v>
      </c>
      <c r="J4" s="84" t="s">
        <v>659</v>
      </c>
      <c r="K4" s="87">
        <v>252.54</v>
      </c>
    </row>
    <row r="5" spans="1:11" ht="15" customHeight="1" thickBot="1" x14ac:dyDescent="0.45">
      <c r="A5" s="84"/>
      <c r="B5" s="84"/>
      <c r="C5" s="84"/>
      <c r="D5" s="84"/>
      <c r="E5" s="84" t="s">
        <v>634</v>
      </c>
      <c r="F5" s="85">
        <v>45013</v>
      </c>
      <c r="G5" s="84" t="s">
        <v>2309</v>
      </c>
      <c r="H5" s="84" t="s">
        <v>648</v>
      </c>
      <c r="I5" s="84" t="s">
        <v>2311</v>
      </c>
      <c r="J5" s="84" t="s">
        <v>659</v>
      </c>
      <c r="K5" s="413">
        <v>63</v>
      </c>
    </row>
    <row r="6" spans="1:11" ht="15" customHeight="1" thickBot="1" x14ac:dyDescent="0.45">
      <c r="A6" s="84"/>
      <c r="B6" s="84"/>
      <c r="C6" s="84" t="s">
        <v>2307</v>
      </c>
      <c r="D6" s="84"/>
      <c r="E6" s="84"/>
      <c r="F6" s="85"/>
      <c r="G6" s="84"/>
      <c r="H6" s="84"/>
      <c r="I6" s="84"/>
      <c r="J6" s="84"/>
      <c r="K6" s="414">
        <f>ROUND(SUM(K3:K5),5)</f>
        <v>315.54000000000002</v>
      </c>
    </row>
    <row r="7" spans="1:11" ht="15" customHeight="1" thickBot="1" x14ac:dyDescent="0.45">
      <c r="A7" s="84"/>
      <c r="B7" s="84" t="s">
        <v>939</v>
      </c>
      <c r="C7" s="84"/>
      <c r="D7" s="84"/>
      <c r="E7" s="84"/>
      <c r="F7" s="85"/>
      <c r="G7" s="84"/>
      <c r="H7" s="84"/>
      <c r="I7" s="84"/>
      <c r="J7" s="84"/>
      <c r="K7" s="414">
        <f>K6</f>
        <v>315.54000000000002</v>
      </c>
    </row>
    <row r="8" spans="1:11" ht="15" customHeight="1" thickBot="1" x14ac:dyDescent="0.45">
      <c r="A8" s="84" t="s">
        <v>158</v>
      </c>
      <c r="B8" s="84"/>
      <c r="C8" s="84"/>
      <c r="D8" s="84"/>
      <c r="E8" s="84"/>
      <c r="F8" s="85"/>
      <c r="G8" s="84"/>
      <c r="H8" s="84"/>
      <c r="I8" s="84"/>
      <c r="J8" s="84"/>
      <c r="K8" s="415">
        <f>K7</f>
        <v>315.54000000000002</v>
      </c>
    </row>
    <row r="9" spans="1:11" ht="15" customHeight="1" thickTop="1" x14ac:dyDescent="0.4"/>
  </sheetData>
  <pageMargins left="0.7" right="0.7" top="0.75" bottom="0.75" header="0.1" footer="0"/>
  <pageSetup orientation="landscape" r:id="rId1"/>
  <headerFooter>
    <oddHeader>&amp;L&amp;"Arial,Bold"&amp;8 10:22 AM
&amp;"Arial,Bold"&amp;8 08/11/23
&amp;"Arial,Bold"&amp;8 Accrual Basis&amp;C&amp;"Arial,Bold"&amp;12 Williamson Central Appraisal District
&amp;"Arial,Bold"&amp;14 Account QuickReport
&amp;"Arial,Bold"&amp;10 January 1 through August 11,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5974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59745" r:id="rId4" name="FILTER"/>
      </mc:Fallback>
    </mc:AlternateContent>
  </controls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17"/>
  <dimension ref="A1:K23"/>
  <sheetViews>
    <sheetView workbookViewId="0">
      <pane xSplit="3" ySplit="1" topLeftCell="D2" activePane="bottomRight" state="frozenSplit"/>
      <selection pane="topRight" activeCell="D1" sqref="D1"/>
      <selection pane="bottomLeft" activeCell="A2" sqref="A2"/>
      <selection pane="bottomRight"/>
    </sheetView>
  </sheetViews>
  <sheetFormatPr defaultColWidth="14.3828125" defaultRowHeight="15" customHeight="1" x14ac:dyDescent="0.4"/>
  <cols>
    <col min="1" max="2" width="3" customWidth="1"/>
    <col min="3" max="3" width="30.69140625" customWidth="1"/>
    <col min="4" max="4" width="2.3046875" customWidth="1"/>
    <col min="5" max="5" width="5.3046875" bestFit="1" customWidth="1"/>
    <col min="6" max="6" width="10.69140625" bestFit="1" customWidth="1"/>
    <col min="7" max="7" width="9" bestFit="1" customWidth="1"/>
    <col min="8" max="9" width="30.69140625" customWidth="1"/>
    <col min="10" max="10" width="22.3046875" bestFit="1" customWidth="1"/>
    <col min="11" max="11" width="9.15234375" bestFit="1" customWidth="1"/>
  </cols>
  <sheetData>
    <row r="1" spans="1:11" s="412" customFormat="1" thickBot="1" x14ac:dyDescent="0.45">
      <c r="A1" s="416"/>
      <c r="B1" s="416"/>
      <c r="C1" s="416"/>
      <c r="D1" s="416"/>
      <c r="E1" s="417" t="s">
        <v>623</v>
      </c>
      <c r="F1" s="417" t="s">
        <v>624</v>
      </c>
      <c r="G1" s="417" t="s">
        <v>625</v>
      </c>
      <c r="H1" s="417" t="s">
        <v>626</v>
      </c>
      <c r="I1" s="417" t="s">
        <v>627</v>
      </c>
      <c r="J1" s="417" t="s">
        <v>628</v>
      </c>
      <c r="K1" s="417" t="s">
        <v>629</v>
      </c>
    </row>
    <row r="2" spans="1:11" thickTop="1" x14ac:dyDescent="0.4">
      <c r="A2" s="84"/>
      <c r="B2" s="84" t="s">
        <v>936</v>
      </c>
      <c r="C2" s="84"/>
      <c r="D2" s="84"/>
      <c r="E2" s="84"/>
      <c r="F2" s="85"/>
      <c r="G2" s="84"/>
      <c r="H2" s="84"/>
      <c r="I2" s="84"/>
      <c r="J2" s="84"/>
      <c r="K2" s="87"/>
    </row>
    <row r="3" spans="1:11" ht="14.6" x14ac:dyDescent="0.4">
      <c r="A3" s="84"/>
      <c r="B3" s="84"/>
      <c r="C3" s="84" t="s">
        <v>2312</v>
      </c>
      <c r="D3" s="84"/>
      <c r="E3" s="84"/>
      <c r="F3" s="85"/>
      <c r="G3" s="84"/>
      <c r="H3" s="84"/>
      <c r="I3" s="84"/>
      <c r="J3" s="84"/>
      <c r="K3" s="87"/>
    </row>
    <row r="4" spans="1:11" ht="14.6" x14ac:dyDescent="0.4">
      <c r="A4" s="84"/>
      <c r="B4" s="84"/>
      <c r="C4" s="84"/>
      <c r="D4" s="84"/>
      <c r="E4" s="84" t="s">
        <v>634</v>
      </c>
      <c r="F4" s="85">
        <v>45005</v>
      </c>
      <c r="G4" s="84" t="s">
        <v>2314</v>
      </c>
      <c r="H4" s="84" t="s">
        <v>2316</v>
      </c>
      <c r="I4" s="84" t="s">
        <v>2317</v>
      </c>
      <c r="J4" s="84" t="s">
        <v>659</v>
      </c>
      <c r="K4" s="87">
        <v>1494.57</v>
      </c>
    </row>
    <row r="5" spans="1:11" ht="14.6" x14ac:dyDescent="0.4">
      <c r="A5" s="84"/>
      <c r="B5" s="84"/>
      <c r="C5" s="84"/>
      <c r="D5" s="84"/>
      <c r="E5" s="84" t="s">
        <v>634</v>
      </c>
      <c r="F5" s="85">
        <v>45013</v>
      </c>
      <c r="G5" s="84" t="s">
        <v>1193</v>
      </c>
      <c r="H5" s="84" t="s">
        <v>666</v>
      </c>
      <c r="I5" s="84" t="s">
        <v>2318</v>
      </c>
      <c r="J5" s="84" t="s">
        <v>659</v>
      </c>
      <c r="K5" s="87">
        <v>5000</v>
      </c>
    </row>
    <row r="6" spans="1:11" ht="14.6" x14ac:dyDescent="0.4">
      <c r="A6" s="84"/>
      <c r="B6" s="84"/>
      <c r="C6" s="84"/>
      <c r="D6" s="84"/>
      <c r="E6" s="84" t="s">
        <v>634</v>
      </c>
      <c r="F6" s="85">
        <v>45019</v>
      </c>
      <c r="G6" s="84" t="s">
        <v>1122</v>
      </c>
      <c r="H6" s="84" t="s">
        <v>945</v>
      </c>
      <c r="I6" s="84" t="s">
        <v>2319</v>
      </c>
      <c r="J6" s="84" t="s">
        <v>659</v>
      </c>
      <c r="K6" s="87">
        <v>3500</v>
      </c>
    </row>
    <row r="7" spans="1:11" ht="14.6" x14ac:dyDescent="0.4">
      <c r="A7" s="84"/>
      <c r="B7" s="84"/>
      <c r="C7" s="84"/>
      <c r="D7" s="84"/>
      <c r="E7" s="84" t="s">
        <v>634</v>
      </c>
      <c r="F7" s="85">
        <v>45069</v>
      </c>
      <c r="G7" s="84" t="s">
        <v>1516</v>
      </c>
      <c r="H7" s="84" t="s">
        <v>666</v>
      </c>
      <c r="I7" s="84" t="s">
        <v>2318</v>
      </c>
      <c r="J7" s="84" t="s">
        <v>659</v>
      </c>
      <c r="K7" s="87">
        <v>2600</v>
      </c>
    </row>
    <row r="8" spans="1:11" ht="14.6" x14ac:dyDescent="0.4">
      <c r="A8" s="84"/>
      <c r="B8" s="84"/>
      <c r="C8" s="84"/>
      <c r="D8" s="84"/>
      <c r="E8" s="84" t="s">
        <v>634</v>
      </c>
      <c r="F8" s="85">
        <v>45069</v>
      </c>
      <c r="G8" s="84" t="s">
        <v>1516</v>
      </c>
      <c r="H8" s="84" t="s">
        <v>666</v>
      </c>
      <c r="I8" s="84" t="s">
        <v>2320</v>
      </c>
      <c r="J8" s="84" t="s">
        <v>659</v>
      </c>
      <c r="K8" s="87">
        <v>5400</v>
      </c>
    </row>
    <row r="9" spans="1:11" ht="14.6" x14ac:dyDescent="0.4">
      <c r="A9" s="84"/>
      <c r="B9" s="84"/>
      <c r="C9" s="84"/>
      <c r="D9" s="84"/>
      <c r="E9" s="84" t="s">
        <v>634</v>
      </c>
      <c r="F9" s="85">
        <v>45088</v>
      </c>
      <c r="G9" s="84" t="s">
        <v>2315</v>
      </c>
      <c r="H9" s="84" t="s">
        <v>2316</v>
      </c>
      <c r="I9" s="84" t="s">
        <v>2317</v>
      </c>
      <c r="J9" s="84" t="s">
        <v>659</v>
      </c>
      <c r="K9" s="87">
        <v>1527.85</v>
      </c>
    </row>
    <row r="10" spans="1:11" ht="14.6" x14ac:dyDescent="0.4">
      <c r="A10" s="84"/>
      <c r="B10" s="84"/>
      <c r="C10" s="84"/>
      <c r="D10" s="84"/>
      <c r="E10" s="84" t="s">
        <v>634</v>
      </c>
      <c r="F10" s="85">
        <v>45154</v>
      </c>
      <c r="G10" s="84" t="s">
        <v>1489</v>
      </c>
      <c r="H10" s="84" t="s">
        <v>945</v>
      </c>
      <c r="I10" s="84" t="s">
        <v>3497</v>
      </c>
      <c r="J10" s="84" t="s">
        <v>659</v>
      </c>
      <c r="K10" s="87">
        <v>3500</v>
      </c>
    </row>
    <row r="11" spans="1:11" ht="14.6" x14ac:dyDescent="0.4">
      <c r="A11" s="84"/>
      <c r="B11" s="84"/>
      <c r="C11" s="84"/>
      <c r="D11" s="84"/>
      <c r="E11" s="84" t="s">
        <v>634</v>
      </c>
      <c r="F11" s="85">
        <v>45172</v>
      </c>
      <c r="G11" s="84" t="s">
        <v>2429</v>
      </c>
      <c r="H11" s="84" t="s">
        <v>945</v>
      </c>
      <c r="I11" s="84" t="s">
        <v>3497</v>
      </c>
      <c r="J11" s="84" t="s">
        <v>659</v>
      </c>
      <c r="K11" s="87">
        <v>1767.5</v>
      </c>
    </row>
    <row r="12" spans="1:11" ht="14.6" x14ac:dyDescent="0.4">
      <c r="A12" s="84"/>
      <c r="B12" s="84"/>
      <c r="C12" s="84"/>
      <c r="D12" s="84"/>
      <c r="E12" s="84" t="s">
        <v>634</v>
      </c>
      <c r="F12" s="85">
        <v>45176</v>
      </c>
      <c r="G12" s="84" t="s">
        <v>3494</v>
      </c>
      <c r="H12" s="84" t="s">
        <v>3496</v>
      </c>
      <c r="I12" s="84" t="s">
        <v>3498</v>
      </c>
      <c r="J12" s="84" t="s">
        <v>659</v>
      </c>
      <c r="K12" s="87">
        <v>498.75</v>
      </c>
    </row>
    <row r="13" spans="1:11" ht="14.6" x14ac:dyDescent="0.4">
      <c r="A13" s="84"/>
      <c r="B13" s="84"/>
      <c r="C13" s="84"/>
      <c r="D13" s="84"/>
      <c r="E13" s="84" t="s">
        <v>634</v>
      </c>
      <c r="F13" s="85">
        <v>45176</v>
      </c>
      <c r="G13" s="84" t="s">
        <v>3494</v>
      </c>
      <c r="H13" s="84" t="s">
        <v>3496</v>
      </c>
      <c r="I13" s="84" t="s">
        <v>3499</v>
      </c>
      <c r="J13" s="84" t="s">
        <v>659</v>
      </c>
      <c r="K13" s="87">
        <v>570</v>
      </c>
    </row>
    <row r="14" spans="1:11" ht="15" customHeight="1" x14ac:dyDescent="0.4">
      <c r="A14" s="84"/>
      <c r="B14" s="84"/>
      <c r="C14" s="84"/>
      <c r="D14" s="84"/>
      <c r="E14" s="84" t="s">
        <v>634</v>
      </c>
      <c r="F14" s="85">
        <v>45180</v>
      </c>
      <c r="G14" s="84" t="s">
        <v>3495</v>
      </c>
      <c r="H14" s="84" t="s">
        <v>3496</v>
      </c>
      <c r="I14" s="84" t="s">
        <v>3500</v>
      </c>
      <c r="J14" s="84" t="s">
        <v>659</v>
      </c>
      <c r="K14" s="87">
        <v>570</v>
      </c>
    </row>
    <row r="15" spans="1:11" ht="15" customHeight="1" x14ac:dyDescent="0.4">
      <c r="A15" s="84"/>
      <c r="B15" s="84"/>
      <c r="C15" s="84"/>
      <c r="D15" s="84"/>
      <c r="E15" s="84" t="s">
        <v>634</v>
      </c>
      <c r="F15" s="85">
        <v>45180</v>
      </c>
      <c r="G15" s="84" t="s">
        <v>3495</v>
      </c>
      <c r="H15" s="84" t="s">
        <v>3496</v>
      </c>
      <c r="I15" s="84" t="s">
        <v>3501</v>
      </c>
      <c r="J15" s="84" t="s">
        <v>659</v>
      </c>
      <c r="K15" s="87">
        <v>498.75</v>
      </c>
    </row>
    <row r="16" spans="1:11" ht="15" customHeight="1" x14ac:dyDescent="0.4">
      <c r="A16" s="84"/>
      <c r="B16" s="84"/>
      <c r="C16" s="84"/>
      <c r="D16" s="84"/>
      <c r="E16" s="84" t="s">
        <v>634</v>
      </c>
      <c r="F16" s="85">
        <v>45180</v>
      </c>
      <c r="G16" s="84" t="s">
        <v>3495</v>
      </c>
      <c r="H16" s="84" t="s">
        <v>3496</v>
      </c>
      <c r="I16" s="84" t="s">
        <v>3502</v>
      </c>
      <c r="J16" s="84" t="s">
        <v>659</v>
      </c>
      <c r="K16" s="87">
        <v>498.75</v>
      </c>
    </row>
    <row r="17" spans="1:11" ht="15" customHeight="1" x14ac:dyDescent="0.4">
      <c r="A17" s="84"/>
      <c r="B17" s="84"/>
      <c r="C17" s="84"/>
      <c r="D17" s="84"/>
      <c r="E17" s="84" t="s">
        <v>634</v>
      </c>
      <c r="F17" s="85">
        <v>45180</v>
      </c>
      <c r="G17" s="84" t="s">
        <v>3495</v>
      </c>
      <c r="H17" s="84" t="s">
        <v>3496</v>
      </c>
      <c r="I17" s="84" t="s">
        <v>3503</v>
      </c>
      <c r="J17" s="84" t="s">
        <v>659</v>
      </c>
      <c r="K17" s="87">
        <v>570</v>
      </c>
    </row>
    <row r="18" spans="1:11" ht="15" customHeight="1" x14ac:dyDescent="0.4">
      <c r="A18" s="84"/>
      <c r="B18" s="84"/>
      <c r="C18" s="84"/>
      <c r="D18" s="84"/>
      <c r="E18" s="84" t="s">
        <v>634</v>
      </c>
      <c r="F18" s="85">
        <v>45180</v>
      </c>
      <c r="G18" s="84" t="s">
        <v>3495</v>
      </c>
      <c r="H18" s="84" t="s">
        <v>3496</v>
      </c>
      <c r="I18" s="84" t="s">
        <v>3498</v>
      </c>
      <c r="J18" s="84" t="s">
        <v>659</v>
      </c>
      <c r="K18" s="87">
        <v>498.75</v>
      </c>
    </row>
    <row r="19" spans="1:11" ht="15" customHeight="1" thickBot="1" x14ac:dyDescent="0.45">
      <c r="A19" s="84"/>
      <c r="B19" s="84"/>
      <c r="C19" s="84"/>
      <c r="D19" s="84"/>
      <c r="E19" s="84" t="s">
        <v>634</v>
      </c>
      <c r="F19" s="85">
        <v>45247</v>
      </c>
      <c r="G19" s="84" t="s">
        <v>2434</v>
      </c>
      <c r="H19" s="84" t="s">
        <v>950</v>
      </c>
      <c r="I19" s="84" t="s">
        <v>3504</v>
      </c>
      <c r="J19" s="84" t="s">
        <v>659</v>
      </c>
      <c r="K19" s="413">
        <v>503.96</v>
      </c>
    </row>
    <row r="20" spans="1:11" ht="15" customHeight="1" thickBot="1" x14ac:dyDescent="0.45">
      <c r="A20" s="84"/>
      <c r="B20" s="84"/>
      <c r="C20" s="84" t="s">
        <v>2313</v>
      </c>
      <c r="D20" s="84"/>
      <c r="E20" s="84"/>
      <c r="F20" s="85"/>
      <c r="G20" s="84"/>
      <c r="H20" s="84"/>
      <c r="I20" s="84"/>
      <c r="J20" s="84"/>
      <c r="K20" s="414">
        <f>ROUND(SUM(K3:K19),5)</f>
        <v>28998.880000000001</v>
      </c>
    </row>
    <row r="21" spans="1:11" ht="15" customHeight="1" thickBot="1" x14ac:dyDescent="0.45">
      <c r="A21" s="84"/>
      <c r="B21" s="84" t="s">
        <v>939</v>
      </c>
      <c r="C21" s="84"/>
      <c r="D21" s="84"/>
      <c r="E21" s="84"/>
      <c r="F21" s="85"/>
      <c r="G21" s="84"/>
      <c r="H21" s="84"/>
      <c r="I21" s="84"/>
      <c r="J21" s="84"/>
      <c r="K21" s="414">
        <f>K20</f>
        <v>28998.880000000001</v>
      </c>
    </row>
    <row r="22" spans="1:11" ht="15" customHeight="1" thickBot="1" x14ac:dyDescent="0.45">
      <c r="A22" s="84" t="s">
        <v>158</v>
      </c>
      <c r="B22" s="84"/>
      <c r="C22" s="84"/>
      <c r="D22" s="84"/>
      <c r="E22" s="84"/>
      <c r="F22" s="85"/>
      <c r="G22" s="84"/>
      <c r="H22" s="84"/>
      <c r="I22" s="84"/>
      <c r="J22" s="84"/>
      <c r="K22" s="415">
        <f>K21</f>
        <v>28998.880000000001</v>
      </c>
    </row>
    <row r="23" spans="1:11" ht="15" customHeight="1" thickTop="1" x14ac:dyDescent="0.4"/>
  </sheetData>
  <pageMargins left="0.7" right="0.7" top="0.75" bottom="0.75" header="0.1" footer="0"/>
  <pageSetup orientation="landscape" r:id="rId1"/>
  <headerFooter>
    <oddHeader>&amp;L&amp;"Arial,Bold"&amp;8 3:04 PM
&amp;"Arial,Bold"&amp;8 01/25/24
&amp;"Arial,Bold"&amp;8 Accrual Basis&amp;C&amp;"Arial,Bold"&amp;12 Williamson Central Appraisal District
&amp;"Arial,Bold"&amp;14 Account QuickReport
&amp;"Arial,Bold"&amp;10 January through December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60771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60771" r:id="rId4" name="HEADER"/>
      </mc:Fallback>
    </mc:AlternateContent>
    <mc:AlternateContent xmlns:mc="http://schemas.openxmlformats.org/markup-compatibility/2006">
      <mc:Choice Requires="x14">
        <control shapeId="160770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60770" r:id="rId6" name="FILTER"/>
      </mc:Fallback>
    </mc:AlternateContent>
  </control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Z2"/>
  <sheetViews>
    <sheetView workbookViewId="0">
      <selection sqref="A1:XFD1048576"/>
    </sheetView>
  </sheetViews>
  <sheetFormatPr defaultColWidth="14.3828125" defaultRowHeight="15" customHeight="1" x14ac:dyDescent="0.4"/>
  <cols>
    <col min="1" max="26" width="8.69140625" customWidth="1"/>
  </cols>
  <sheetData>
    <row r="1" spans="1:26" ht="15" customHeight="1" x14ac:dyDescent="0.75">
      <c r="A1" s="958"/>
      <c r="B1" s="943"/>
      <c r="C1" s="943"/>
      <c r="D1" s="943"/>
      <c r="E1" s="943"/>
      <c r="F1" s="943"/>
      <c r="G1" s="943"/>
      <c r="H1" s="412"/>
      <c r="I1" s="412"/>
    </row>
    <row r="2" spans="1:26" ht="14.6" x14ac:dyDescent="0.4">
      <c r="A2" s="82"/>
      <c r="B2" s="82"/>
      <c r="C2" s="82"/>
      <c r="D2" s="82"/>
      <c r="E2" s="83"/>
      <c r="F2" s="82"/>
      <c r="G2" s="82"/>
      <c r="H2" s="83"/>
      <c r="I2" s="8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412"/>
      <c r="W2" s="412"/>
      <c r="X2" s="412"/>
      <c r="Y2" s="412"/>
      <c r="Z2" s="412"/>
    </row>
  </sheetData>
  <mergeCells count="1">
    <mergeCell ref="A1:G1"/>
  </mergeCells>
  <pageMargins left="0.7" right="0.7" top="0.75" bottom="0.75" header="0" footer="0"/>
  <pageSetup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13"/>
  <dimension ref="A1:K9"/>
  <sheetViews>
    <sheetView workbookViewId="0">
      <pane xSplit="3" ySplit="1" topLeftCell="D2" activePane="bottomRight" state="frozenSplit"/>
      <selection pane="topRight" activeCell="D1" sqref="D1"/>
      <selection pane="bottomLeft" activeCell="A2" sqref="A2"/>
      <selection pane="bottomRight"/>
    </sheetView>
  </sheetViews>
  <sheetFormatPr defaultColWidth="14.3828125" defaultRowHeight="15" customHeight="1" x14ac:dyDescent="0.4"/>
  <cols>
    <col min="1" max="2" width="3" customWidth="1"/>
    <col min="3" max="3" width="24" customWidth="1"/>
    <col min="4" max="4" width="2.3046875" customWidth="1"/>
    <col min="5" max="5" width="5.3046875" bestFit="1" customWidth="1"/>
    <col min="6" max="6" width="10.69140625" bestFit="1" customWidth="1"/>
    <col min="7" max="7" width="5.3046875" bestFit="1" customWidth="1"/>
    <col min="8" max="8" width="22.3046875" bestFit="1" customWidth="1"/>
    <col min="9" max="9" width="30.69140625" customWidth="1"/>
    <col min="10" max="10" width="22.3046875" bestFit="1" customWidth="1"/>
    <col min="11" max="11" width="8.15234375" bestFit="1" customWidth="1"/>
  </cols>
  <sheetData>
    <row r="1" spans="1:11" s="412" customFormat="1" thickBot="1" x14ac:dyDescent="0.45">
      <c r="A1" s="416"/>
      <c r="B1" s="416"/>
      <c r="C1" s="416"/>
      <c r="D1" s="416"/>
      <c r="E1" s="417" t="s">
        <v>623</v>
      </c>
      <c r="F1" s="417" t="s">
        <v>624</v>
      </c>
      <c r="G1" s="417" t="s">
        <v>625</v>
      </c>
      <c r="H1" s="417" t="s">
        <v>626</v>
      </c>
      <c r="I1" s="417" t="s">
        <v>627</v>
      </c>
      <c r="J1" s="417" t="s">
        <v>628</v>
      </c>
      <c r="K1" s="417" t="s">
        <v>629</v>
      </c>
    </row>
    <row r="2" spans="1:11" thickTop="1" x14ac:dyDescent="0.4">
      <c r="A2" s="84"/>
      <c r="B2" s="84" t="s">
        <v>936</v>
      </c>
      <c r="C2" s="84"/>
      <c r="D2" s="84"/>
      <c r="E2" s="84"/>
      <c r="F2" s="85"/>
      <c r="G2" s="84"/>
      <c r="H2" s="84"/>
      <c r="I2" s="84"/>
      <c r="J2" s="84"/>
      <c r="K2" s="87"/>
    </row>
    <row r="3" spans="1:11" ht="14.6" x14ac:dyDescent="0.4">
      <c r="A3" s="84"/>
      <c r="B3" s="84"/>
      <c r="C3" s="84" t="s">
        <v>937</v>
      </c>
      <c r="D3" s="84"/>
      <c r="E3" s="84"/>
      <c r="F3" s="85"/>
      <c r="G3" s="84"/>
      <c r="H3" s="84"/>
      <c r="I3" s="84"/>
      <c r="J3" s="84"/>
      <c r="K3" s="87"/>
    </row>
    <row r="4" spans="1:11" ht="14.6" x14ac:dyDescent="0.4">
      <c r="A4" s="84"/>
      <c r="B4" s="84"/>
      <c r="C4" s="84"/>
      <c r="D4" s="84"/>
      <c r="E4" s="84" t="s">
        <v>634</v>
      </c>
      <c r="F4" s="85">
        <v>44929</v>
      </c>
      <c r="G4" s="84" t="s">
        <v>940</v>
      </c>
      <c r="H4" s="84" t="s">
        <v>941</v>
      </c>
      <c r="I4" s="84" t="s">
        <v>942</v>
      </c>
      <c r="J4" s="84" t="s">
        <v>659</v>
      </c>
      <c r="K4" s="87">
        <v>1000</v>
      </c>
    </row>
    <row r="5" spans="1:11" thickBot="1" x14ac:dyDescent="0.45">
      <c r="A5" s="84"/>
      <c r="B5" s="84"/>
      <c r="C5" s="84"/>
      <c r="D5" s="84"/>
      <c r="E5" s="84" t="s">
        <v>634</v>
      </c>
      <c r="F5" s="85">
        <v>45182</v>
      </c>
      <c r="G5" s="84" t="s">
        <v>3505</v>
      </c>
      <c r="H5" s="84" t="s">
        <v>941</v>
      </c>
      <c r="I5" s="84" t="s">
        <v>3506</v>
      </c>
      <c r="J5" s="84" t="s">
        <v>659</v>
      </c>
      <c r="K5" s="413">
        <v>1200</v>
      </c>
    </row>
    <row r="6" spans="1:11" thickBot="1" x14ac:dyDescent="0.45">
      <c r="A6" s="84"/>
      <c r="B6" s="84"/>
      <c r="C6" s="84" t="s">
        <v>938</v>
      </c>
      <c r="D6" s="84"/>
      <c r="E6" s="84"/>
      <c r="F6" s="85"/>
      <c r="G6" s="84"/>
      <c r="H6" s="84"/>
      <c r="I6" s="84"/>
      <c r="J6" s="84"/>
      <c r="K6" s="414">
        <f>ROUND(SUM(K3:K5),5)</f>
        <v>2200</v>
      </c>
    </row>
    <row r="7" spans="1:11" thickBot="1" x14ac:dyDescent="0.45">
      <c r="A7" s="84"/>
      <c r="B7" s="84" t="s">
        <v>939</v>
      </c>
      <c r="C7" s="84"/>
      <c r="D7" s="84"/>
      <c r="E7" s="84"/>
      <c r="F7" s="85"/>
      <c r="G7" s="84"/>
      <c r="H7" s="84"/>
      <c r="I7" s="84"/>
      <c r="J7" s="84"/>
      <c r="K7" s="414">
        <f>K6</f>
        <v>2200</v>
      </c>
    </row>
    <row r="8" spans="1:11" thickBot="1" x14ac:dyDescent="0.45">
      <c r="A8" s="84" t="s">
        <v>158</v>
      </c>
      <c r="B8" s="84"/>
      <c r="C8" s="84"/>
      <c r="D8" s="84"/>
      <c r="E8" s="84"/>
      <c r="F8" s="85"/>
      <c r="G8" s="84"/>
      <c r="H8" s="84"/>
      <c r="I8" s="84"/>
      <c r="J8" s="84"/>
      <c r="K8" s="415">
        <f>K7</f>
        <v>2200</v>
      </c>
    </row>
    <row r="9" spans="1:11" ht="15" customHeight="1" thickTop="1" x14ac:dyDescent="0.4"/>
  </sheetData>
  <pageMargins left="0.7" right="0.7" top="0.75" bottom="0.75" header="0.1" footer="0"/>
  <pageSetup orientation="portrait" r:id="rId1"/>
  <headerFooter>
    <oddHeader>&amp;L&amp;"Arial,Bold"&amp;8 3:06 PM
&amp;"Arial,Bold"&amp;8 01/25/24
&amp;"Arial,Bold"&amp;8 Accrual Basis&amp;C&amp;"Arial,Bold"&amp;12 Williamson Central Appraisal District
&amp;"Arial,Bold"&amp;14 Account QuickReport
&amp;"Arial,Bold"&amp;10 January through December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17764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17764" r:id="rId4" name="HEADER"/>
      </mc:Fallback>
    </mc:AlternateContent>
    <mc:AlternateContent xmlns:mc="http://schemas.openxmlformats.org/markup-compatibility/2006">
      <mc:Choice Requires="x14">
        <control shapeId="117763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17763" r:id="rId6" name="FILTER"/>
      </mc:Fallback>
    </mc:AlternateContent>
  </control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14"/>
  <dimension ref="A1:K8"/>
  <sheetViews>
    <sheetView workbookViewId="0">
      <pane xSplit="3" ySplit="1" topLeftCell="D2" activePane="bottomRight" state="frozenSplit"/>
      <selection pane="topRight" activeCell="D1" sqref="D1"/>
      <selection pane="bottomLeft" activeCell="A2" sqref="A2"/>
      <selection pane="bottomRight" sqref="A1:XFD1048576"/>
    </sheetView>
  </sheetViews>
  <sheetFormatPr defaultRowHeight="14.6" x14ac:dyDescent="0.4"/>
  <cols>
    <col min="1" max="2" width="2.84375" customWidth="1"/>
    <col min="3" max="3" width="27.3828125" customWidth="1"/>
    <col min="4" max="4" width="2.15234375" customWidth="1"/>
    <col min="5" max="5" width="9.3828125" bestFit="1" customWidth="1"/>
    <col min="6" max="6" width="10.3828125" bestFit="1" customWidth="1"/>
    <col min="7" max="7" width="9.3828125" bestFit="1" customWidth="1"/>
    <col min="8" max="8" width="21.15234375" bestFit="1" customWidth="1"/>
    <col min="9" max="9" width="16.3828125" bestFit="1" customWidth="1"/>
    <col min="10" max="10" width="20.84375" bestFit="1" customWidth="1"/>
    <col min="11" max="11" width="12.15234375" bestFit="1" customWidth="1"/>
  </cols>
  <sheetData>
    <row r="1" spans="1:11" s="412" customFormat="1" ht="15" thickBot="1" x14ac:dyDescent="0.45">
      <c r="A1" s="416"/>
      <c r="B1" s="416"/>
      <c r="C1" s="416"/>
      <c r="D1" s="416"/>
      <c r="E1" s="417"/>
      <c r="F1" s="417"/>
      <c r="G1" s="417"/>
      <c r="H1" s="417"/>
      <c r="I1" s="417"/>
      <c r="J1" s="417"/>
      <c r="K1" s="417"/>
    </row>
    <row r="2" spans="1:11" ht="15" thickTop="1" x14ac:dyDescent="0.4">
      <c r="A2" s="84"/>
      <c r="B2" s="84"/>
      <c r="C2" s="84"/>
      <c r="D2" s="84"/>
      <c r="E2" s="84"/>
      <c r="F2" s="85"/>
      <c r="G2" s="84"/>
      <c r="H2" s="84"/>
      <c r="I2" s="84"/>
      <c r="J2" s="84"/>
      <c r="K2" s="87"/>
    </row>
    <row r="3" spans="1:11" x14ac:dyDescent="0.4">
      <c r="A3" s="84"/>
      <c r="B3" s="84"/>
      <c r="C3" s="84"/>
      <c r="D3" s="84"/>
      <c r="E3" s="84"/>
      <c r="F3" s="85"/>
      <c r="G3" s="84"/>
      <c r="H3" s="84"/>
      <c r="I3" s="84"/>
      <c r="J3" s="84"/>
      <c r="K3" s="87"/>
    </row>
    <row r="4" spans="1:11" ht="15" thickBot="1" x14ac:dyDescent="0.45">
      <c r="A4" s="84"/>
      <c r="B4" s="84"/>
      <c r="C4" s="84"/>
      <c r="D4" s="84"/>
      <c r="E4" s="84"/>
      <c r="F4" s="85"/>
      <c r="G4" s="84"/>
      <c r="H4" s="84"/>
      <c r="I4" s="84"/>
      <c r="J4" s="84"/>
      <c r="K4" s="413"/>
    </row>
    <row r="5" spans="1:11" ht="15" thickBot="1" x14ac:dyDescent="0.45">
      <c r="A5" s="84"/>
      <c r="B5" s="84"/>
      <c r="C5" s="84"/>
      <c r="D5" s="84"/>
      <c r="E5" s="84"/>
      <c r="F5" s="85"/>
      <c r="G5" s="84"/>
      <c r="H5" s="84"/>
      <c r="I5" s="84"/>
      <c r="J5" s="84"/>
      <c r="K5" s="414"/>
    </row>
    <row r="6" spans="1:11" ht="15" thickBot="1" x14ac:dyDescent="0.45">
      <c r="A6" s="84"/>
      <c r="B6" s="84"/>
      <c r="C6" s="84"/>
      <c r="D6" s="84"/>
      <c r="E6" s="84"/>
      <c r="F6" s="85"/>
      <c r="G6" s="84"/>
      <c r="H6" s="84"/>
      <c r="I6" s="84"/>
      <c r="J6" s="84"/>
      <c r="K6" s="414"/>
    </row>
    <row r="7" spans="1:11" ht="15" thickBot="1" x14ac:dyDescent="0.45">
      <c r="A7" s="84"/>
      <c r="B7" s="84"/>
      <c r="C7" s="84"/>
      <c r="D7" s="84"/>
      <c r="E7" s="84"/>
      <c r="F7" s="85"/>
      <c r="G7" s="84"/>
      <c r="H7" s="84"/>
      <c r="I7" s="84"/>
      <c r="J7" s="84"/>
      <c r="K7" s="415"/>
    </row>
    <row r="8" spans="1:11" ht="15" thickTop="1" x14ac:dyDescent="0.4"/>
  </sheetData>
  <pageMargins left="0.7" right="0.7" top="0.75" bottom="0.75" header="0.1" footer="0.3"/>
  <pageSetup orientation="portrait" verticalDpi="0" r:id="rId1"/>
  <headerFooter>
    <oddHeader>&amp;L&amp;"Arial,Bold"&amp;8 4:03 PM
&amp;"Arial,Bold"&amp;8 01/25/21
&amp;"Arial,Bold"&amp;8 Accrual Basis&amp;C&amp;"Arial,Bold"&amp;12 Williamson Central Appraisal District
&amp;"Arial,Bold"&amp;14 Account QuickReport
&amp;"Arial,Bold"&amp;10 January 1 - 25, 2021</oddHeader>
    <oddFooter>&amp;R&amp;"Arial,Bold"&amp;8 Page &amp;P of &amp;N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Z4"/>
  <sheetViews>
    <sheetView workbookViewId="0">
      <selection sqref="A1:XFD1048576"/>
    </sheetView>
  </sheetViews>
  <sheetFormatPr defaultColWidth="14.3828125" defaultRowHeight="15" customHeight="1" x14ac:dyDescent="0.4"/>
  <cols>
    <col min="1" max="1" width="8.69140625" customWidth="1"/>
    <col min="2" max="2" width="10.69140625" customWidth="1"/>
    <col min="3" max="3" width="8.69140625" customWidth="1"/>
    <col min="4" max="4" width="17.84375" customWidth="1"/>
    <col min="5" max="5" width="19.84375" customWidth="1"/>
    <col min="6" max="26" width="8.69140625" customWidth="1"/>
  </cols>
  <sheetData>
    <row r="1" spans="1:26" ht="15" customHeight="1" x14ac:dyDescent="0.75">
      <c r="A1" s="958"/>
      <c r="B1" s="943"/>
      <c r="C1" s="943"/>
      <c r="D1" s="943"/>
      <c r="E1" s="943"/>
      <c r="F1" s="943"/>
      <c r="G1" s="943"/>
      <c r="H1" s="412"/>
      <c r="I1" s="412"/>
    </row>
    <row r="2" spans="1:26" ht="14.6" x14ac:dyDescent="0.4">
      <c r="A2" s="82"/>
      <c r="B2" s="82"/>
      <c r="C2" s="82"/>
      <c r="D2" s="82"/>
      <c r="E2" s="83"/>
      <c r="F2" s="82"/>
      <c r="G2" s="82"/>
      <c r="H2" s="83"/>
      <c r="I2" s="8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412"/>
      <c r="W2" s="412"/>
      <c r="X2" s="412"/>
      <c r="Y2" s="412"/>
      <c r="Z2" s="412"/>
    </row>
    <row r="3" spans="1:26" ht="14.6" x14ac:dyDescent="0.4">
      <c r="A3" s="84"/>
      <c r="B3" s="85"/>
      <c r="C3" s="84"/>
      <c r="D3" s="84"/>
      <c r="E3" s="84"/>
      <c r="F3" s="87"/>
    </row>
    <row r="4" spans="1:26" ht="14.6" x14ac:dyDescent="0.4">
      <c r="A4" s="88"/>
      <c r="B4" s="29"/>
      <c r="C4" s="29"/>
      <c r="D4" s="29"/>
      <c r="E4" s="29"/>
      <c r="F4" s="8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</sheetData>
  <mergeCells count="1">
    <mergeCell ref="A1:G1"/>
  </mergeCells>
  <pageMargins left="0.7" right="0.7" top="0.75" bottom="0.75" header="0" footer="0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115A5-E10B-436A-8BEE-BDB078C2C13A}">
  <sheetPr>
    <pageSetUpPr fitToPage="1"/>
  </sheetPr>
  <dimension ref="A1:T92"/>
  <sheetViews>
    <sheetView zoomScale="90" zoomScaleNormal="90" workbookViewId="0">
      <selection activeCell="A5" sqref="A5:K5"/>
    </sheetView>
  </sheetViews>
  <sheetFormatPr defaultColWidth="14.3828125" defaultRowHeight="14.6" x14ac:dyDescent="0.4"/>
  <cols>
    <col min="1" max="1" width="48" bestFit="1" customWidth="1"/>
    <col min="2" max="4" width="12.15234375" bestFit="1" customWidth="1"/>
    <col min="5" max="5" width="12.15234375" customWidth="1"/>
    <col min="6" max="9" width="12.53515625" customWidth="1"/>
    <col min="10" max="10" width="12.3828125" customWidth="1"/>
    <col min="11" max="11" width="9.69140625" bestFit="1" customWidth="1"/>
    <col min="12" max="12" width="7" customWidth="1"/>
    <col min="13" max="13" width="12.53515625" bestFit="1" customWidth="1"/>
    <col min="14" max="14" width="15" bestFit="1" customWidth="1"/>
    <col min="15" max="17" width="13.3046875" customWidth="1"/>
    <col min="18" max="18" width="13.53515625" bestFit="1" customWidth="1"/>
    <col min="19" max="19" width="15" bestFit="1" customWidth="1"/>
    <col min="20" max="24" width="13.3046875" customWidth="1"/>
    <col min="25" max="27" width="15.15234375" customWidth="1"/>
  </cols>
  <sheetData>
    <row r="1" spans="1:20" ht="26.15" x14ac:dyDescent="0.7">
      <c r="A1" s="944" t="s">
        <v>159</v>
      </c>
      <c r="B1" s="944"/>
      <c r="C1" s="944"/>
      <c r="D1" s="944"/>
      <c r="E1" s="944"/>
      <c r="F1" s="944"/>
      <c r="G1" s="944"/>
      <c r="H1" s="944"/>
      <c r="I1" s="944"/>
      <c r="J1" s="944"/>
      <c r="K1" s="944"/>
    </row>
    <row r="2" spans="1:20" ht="45" customHeight="1" x14ac:dyDescent="0.4">
      <c r="A2" s="297" t="s">
        <v>1</v>
      </c>
      <c r="B2" s="298" t="s">
        <v>54</v>
      </c>
      <c r="C2" s="298" t="s">
        <v>55</v>
      </c>
      <c r="D2" s="298" t="s">
        <v>56</v>
      </c>
      <c r="E2" s="298" t="s">
        <v>57</v>
      </c>
      <c r="F2" s="298" t="s">
        <v>58</v>
      </c>
      <c r="G2" s="298" t="s">
        <v>59</v>
      </c>
      <c r="H2" s="298" t="s">
        <v>60</v>
      </c>
      <c r="I2" s="298" t="s">
        <v>2</v>
      </c>
      <c r="J2" s="298" t="s">
        <v>61</v>
      </c>
      <c r="K2" s="299" t="s">
        <v>62</v>
      </c>
      <c r="L2" s="1"/>
      <c r="M2" s="1"/>
      <c r="N2" t="s">
        <v>63</v>
      </c>
    </row>
    <row r="3" spans="1:20" x14ac:dyDescent="0.4">
      <c r="A3" s="149" t="s">
        <v>9</v>
      </c>
      <c r="B3" s="141">
        <v>3942800</v>
      </c>
      <c r="C3" s="141">
        <v>3852722</v>
      </c>
      <c r="D3" s="141">
        <v>4225900</v>
      </c>
      <c r="E3" s="141">
        <v>4114339</v>
      </c>
      <c r="F3" s="141">
        <v>4348900</v>
      </c>
      <c r="G3" s="141">
        <v>4237072</v>
      </c>
      <c r="H3" s="141">
        <v>4350500</v>
      </c>
      <c r="I3" s="141">
        <v>4650100</v>
      </c>
      <c r="J3" s="150">
        <f>SUM(ROUNDUP('2% Personnel'!E10,-2))</f>
        <v>4781600</v>
      </c>
      <c r="K3" s="151">
        <f>(J3-I3)/I3</f>
        <v>2.8278961742758221E-2</v>
      </c>
      <c r="L3" s="1"/>
      <c r="M3" s="3">
        <v>2020</v>
      </c>
      <c r="N3">
        <v>2021</v>
      </c>
    </row>
    <row r="4" spans="1:20" x14ac:dyDescent="0.4">
      <c r="A4" s="3" t="s">
        <v>10</v>
      </c>
      <c r="B4" s="5">
        <v>229700</v>
      </c>
      <c r="C4" s="5">
        <v>215369</v>
      </c>
      <c r="D4" s="4">
        <v>257800</v>
      </c>
      <c r="E4" s="4">
        <v>231208</v>
      </c>
      <c r="F4" s="4">
        <v>255600</v>
      </c>
      <c r="G4" s="4">
        <v>236554</v>
      </c>
      <c r="H4" s="4">
        <v>253000</v>
      </c>
      <c r="I4" s="4">
        <v>265800</v>
      </c>
      <c r="J4" s="4">
        <f>SUM(ROUNDUP('2% Personnel'!E34,-2))</f>
        <v>269300</v>
      </c>
      <c r="K4" s="152">
        <f t="shared" ref="K4:K31" si="0">(J4-I4)/I4</f>
        <v>1.3167795334838224E-2</v>
      </c>
      <c r="L4" s="1"/>
      <c r="M4" s="945" t="s">
        <v>64</v>
      </c>
      <c r="N4" s="943"/>
    </row>
    <row r="5" spans="1:20" x14ac:dyDescent="0.4">
      <c r="A5" s="149" t="s">
        <v>11</v>
      </c>
      <c r="B5" s="141">
        <v>551200</v>
      </c>
      <c r="C5" s="141">
        <v>523428</v>
      </c>
      <c r="D5" s="141">
        <v>568800</v>
      </c>
      <c r="E5" s="141">
        <v>541872</v>
      </c>
      <c r="F5" s="141">
        <v>603100</v>
      </c>
      <c r="G5" s="141">
        <v>557116</v>
      </c>
      <c r="H5" s="141">
        <v>626700</v>
      </c>
      <c r="I5" s="141">
        <v>675600</v>
      </c>
      <c r="J5" s="150">
        <f>SUM(ROUNDUP('2% Personnel'!E43,-2))</f>
        <v>656400</v>
      </c>
      <c r="K5" s="151">
        <f t="shared" si="0"/>
        <v>-2.8419182948490232E-2</v>
      </c>
      <c r="L5" s="1"/>
      <c r="M5" s="4">
        <f>SUM(I3:I8)</f>
        <v>6553600</v>
      </c>
      <c r="N5" s="5">
        <f>SUM(J3:J8)</f>
        <v>6696900</v>
      </c>
      <c r="O5" s="129">
        <f>N5/N35</f>
        <v>0.67627693736998362</v>
      </c>
    </row>
    <row r="6" spans="1:20" x14ac:dyDescent="0.4">
      <c r="A6" s="3" t="s">
        <v>12</v>
      </c>
      <c r="B6" s="5">
        <v>674900</v>
      </c>
      <c r="C6" s="5">
        <v>715849</v>
      </c>
      <c r="D6" s="5">
        <v>751300</v>
      </c>
      <c r="E6" s="5">
        <v>678833</v>
      </c>
      <c r="F6" s="5">
        <v>752100</v>
      </c>
      <c r="G6" s="5">
        <v>697225</v>
      </c>
      <c r="H6" s="5">
        <v>717700</v>
      </c>
      <c r="I6" s="5">
        <v>882200</v>
      </c>
      <c r="J6" s="4">
        <f>SUM(ROUNDUP('2% Personnel'!E57,-2))</f>
        <v>907800</v>
      </c>
      <c r="K6" s="152">
        <f t="shared" si="0"/>
        <v>2.9018363182951711E-2</v>
      </c>
      <c r="L6" s="1"/>
      <c r="M6" s="1"/>
      <c r="O6" s="130"/>
      <c r="R6" s="282" t="s">
        <v>65</v>
      </c>
      <c r="S6" s="283" t="s">
        <v>66</v>
      </c>
      <c r="T6" s="284" t="s">
        <v>67</v>
      </c>
    </row>
    <row r="7" spans="1:20" x14ac:dyDescent="0.4">
      <c r="A7" s="153" t="s">
        <v>13</v>
      </c>
      <c r="B7" s="142">
        <v>8800</v>
      </c>
      <c r="C7" s="142">
        <v>8159</v>
      </c>
      <c r="D7" s="142">
        <v>8900</v>
      </c>
      <c r="E7" s="142">
        <v>8492</v>
      </c>
      <c r="F7" s="142">
        <v>8900</v>
      </c>
      <c r="G7" s="142">
        <v>8302</v>
      </c>
      <c r="H7" s="142">
        <v>8900</v>
      </c>
      <c r="I7" s="142">
        <v>8900</v>
      </c>
      <c r="J7" s="154">
        <f>SUM(ROUNDUP('2% Personnel'!E63,-2))</f>
        <v>8900</v>
      </c>
      <c r="K7" s="151">
        <f t="shared" si="0"/>
        <v>0</v>
      </c>
      <c r="L7" s="1"/>
      <c r="M7" s="1"/>
      <c r="O7" s="130"/>
      <c r="R7" s="270" t="s">
        <v>64</v>
      </c>
      <c r="S7" s="271">
        <f>SUM(N5)</f>
        <v>6696900</v>
      </c>
      <c r="T7" s="272">
        <f t="shared" ref="T7:T12" si="1">S7/$S$13</f>
        <v>0.67627693736998362</v>
      </c>
    </row>
    <row r="8" spans="1:20" x14ac:dyDescent="0.4">
      <c r="A8" s="3" t="s">
        <v>14</v>
      </c>
      <c r="B8" s="5">
        <v>62900</v>
      </c>
      <c r="C8" s="5">
        <v>54592</v>
      </c>
      <c r="D8" s="5">
        <v>67400</v>
      </c>
      <c r="E8" s="5">
        <v>58060</v>
      </c>
      <c r="F8" s="5">
        <v>67900</v>
      </c>
      <c r="G8" s="5">
        <v>60053</v>
      </c>
      <c r="H8" s="5">
        <v>67400</v>
      </c>
      <c r="I8" s="5">
        <v>71000</v>
      </c>
      <c r="J8" s="4">
        <f>SUM(ROUNDUP('2% Personnel'!E77,-2))</f>
        <v>72900</v>
      </c>
      <c r="K8" s="152">
        <f t="shared" si="0"/>
        <v>2.6760563380281689E-2</v>
      </c>
      <c r="L8" s="1"/>
      <c r="M8" s="1"/>
      <c r="O8" s="130"/>
      <c r="R8" s="273" t="s">
        <v>68</v>
      </c>
      <c r="S8" s="274">
        <f>SUM(N11)</f>
        <v>517200</v>
      </c>
      <c r="T8" s="275">
        <f t="shared" si="1"/>
        <v>5.2228707612142267E-2</v>
      </c>
    </row>
    <row r="9" spans="1:20" x14ac:dyDescent="0.4">
      <c r="A9" s="153" t="s">
        <v>16</v>
      </c>
      <c r="B9" s="142">
        <v>12600</v>
      </c>
      <c r="C9" s="142">
        <v>10891</v>
      </c>
      <c r="D9" s="142">
        <v>12070</v>
      </c>
      <c r="E9" s="142">
        <v>9363</v>
      </c>
      <c r="F9" s="142">
        <v>15100</v>
      </c>
      <c r="G9" s="142">
        <v>11279</v>
      </c>
      <c r="H9" s="142">
        <v>14100</v>
      </c>
      <c r="I9" s="142">
        <v>13600</v>
      </c>
      <c r="J9" s="154">
        <f>SUM(ROUNDUP('Budget-Services'!I15,-2))</f>
        <v>13500</v>
      </c>
      <c r="K9" s="151">
        <f t="shared" si="0"/>
        <v>-7.3529411764705881E-3</v>
      </c>
      <c r="L9" s="1"/>
      <c r="M9" s="1"/>
      <c r="O9" s="130"/>
      <c r="R9" s="270" t="s">
        <v>69</v>
      </c>
      <c r="S9" s="271">
        <f>SUM(N17)</f>
        <v>2336200</v>
      </c>
      <c r="T9" s="272">
        <f t="shared" si="1"/>
        <v>0.23591783975925515</v>
      </c>
    </row>
    <row r="10" spans="1:20" x14ac:dyDescent="0.4">
      <c r="A10" s="3" t="s">
        <v>18</v>
      </c>
      <c r="B10" s="5">
        <v>93900</v>
      </c>
      <c r="C10" s="5">
        <v>93900</v>
      </c>
      <c r="D10" s="5">
        <v>109400</v>
      </c>
      <c r="E10" s="5">
        <v>108514</v>
      </c>
      <c r="F10" s="5">
        <v>116900</v>
      </c>
      <c r="G10" s="5">
        <v>108342</v>
      </c>
      <c r="H10" s="5">
        <v>129900</v>
      </c>
      <c r="I10" s="5">
        <v>210900</v>
      </c>
      <c r="J10" s="4">
        <f>SUM(ROUNDUP('Budget-Services'!I38,-2))</f>
        <v>291500</v>
      </c>
      <c r="K10" s="152">
        <f t="shared" si="0"/>
        <v>0.38217164532954007</v>
      </c>
      <c r="L10" s="1"/>
      <c r="M10" s="945" t="s">
        <v>70</v>
      </c>
      <c r="N10" s="943"/>
      <c r="O10" s="130"/>
      <c r="R10" s="273" t="s">
        <v>71</v>
      </c>
      <c r="S10" s="274">
        <f>SUM(N28)</f>
        <v>0</v>
      </c>
      <c r="T10" s="275">
        <f t="shared" si="1"/>
        <v>0</v>
      </c>
    </row>
    <row r="11" spans="1:20" x14ac:dyDescent="0.4">
      <c r="A11" s="251" t="s">
        <v>20</v>
      </c>
      <c r="B11" s="252">
        <v>44200</v>
      </c>
      <c r="C11" s="252">
        <v>44200</v>
      </c>
      <c r="D11" s="252">
        <v>48400</v>
      </c>
      <c r="E11" s="252">
        <v>53093</v>
      </c>
      <c r="F11" s="252">
        <v>53400</v>
      </c>
      <c r="G11" s="252">
        <v>50379</v>
      </c>
      <c r="H11" s="252">
        <v>58800</v>
      </c>
      <c r="I11" s="252">
        <v>85000</v>
      </c>
      <c r="J11" s="253">
        <f>SUM(ROUNDUP('Budget-Services'!I62,-2))</f>
        <v>101700</v>
      </c>
      <c r="K11" s="151">
        <f t="shared" si="0"/>
        <v>0.19647058823529412</v>
      </c>
      <c r="L11" s="1"/>
      <c r="M11" s="4">
        <f>SUM(I9:I14)</f>
        <v>411000</v>
      </c>
      <c r="N11" s="5">
        <f>SUM(J9:J14)</f>
        <v>517200</v>
      </c>
      <c r="O11" s="129">
        <f>N11/N35</f>
        <v>5.2228707612142267E-2</v>
      </c>
      <c r="R11" s="270" t="s">
        <v>72</v>
      </c>
      <c r="S11" s="271">
        <f>SUM(N31)</f>
        <v>70000</v>
      </c>
      <c r="T11" s="272">
        <f t="shared" si="1"/>
        <v>7.0688506048916444E-3</v>
      </c>
    </row>
    <row r="12" spans="1:20" ht="15" thickBot="1" x14ac:dyDescent="0.45">
      <c r="A12" s="3" t="s">
        <v>22</v>
      </c>
      <c r="B12" s="5">
        <v>4800</v>
      </c>
      <c r="C12" s="5">
        <v>4800</v>
      </c>
      <c r="D12" s="5">
        <v>5830</v>
      </c>
      <c r="E12" s="5">
        <v>5827</v>
      </c>
      <c r="F12" s="5">
        <v>6000</v>
      </c>
      <c r="G12" s="5">
        <v>6243</v>
      </c>
      <c r="H12" s="5">
        <v>7200</v>
      </c>
      <c r="I12" s="5">
        <v>7200</v>
      </c>
      <c r="J12" s="4">
        <f>SUM(ROUNDUP('Budget-Services'!I66,-2))</f>
        <v>7200</v>
      </c>
      <c r="K12" s="152">
        <f t="shared" si="0"/>
        <v>0</v>
      </c>
      <c r="L12" s="1"/>
      <c r="M12" s="1"/>
      <c r="O12" s="130"/>
      <c r="R12" s="276" t="s">
        <v>73</v>
      </c>
      <c r="S12" s="277">
        <f>SUM(N34)</f>
        <v>282300</v>
      </c>
      <c r="T12" s="278">
        <f t="shared" si="1"/>
        <v>2.8507664653727303E-2</v>
      </c>
    </row>
    <row r="13" spans="1:20" ht="15" thickBot="1" x14ac:dyDescent="0.45">
      <c r="A13" s="149" t="s">
        <v>24</v>
      </c>
      <c r="B13" s="141">
        <v>61000</v>
      </c>
      <c r="C13" s="141">
        <v>109071</v>
      </c>
      <c r="D13" s="141">
        <v>72300</v>
      </c>
      <c r="E13" s="141">
        <v>68848</v>
      </c>
      <c r="F13" s="141">
        <v>72800</v>
      </c>
      <c r="G13" s="141">
        <v>76288</v>
      </c>
      <c r="H13" s="141">
        <v>78900</v>
      </c>
      <c r="I13" s="141">
        <v>80800</v>
      </c>
      <c r="J13" s="150">
        <f>SUM(ROUNDUP('Budget-Services'!I80,-2))</f>
        <v>91000</v>
      </c>
      <c r="K13" s="151">
        <f t="shared" si="0"/>
        <v>0.12623762376237624</v>
      </c>
      <c r="L13" s="1"/>
      <c r="M13" s="1"/>
      <c r="O13" s="130"/>
      <c r="R13" s="281" t="s">
        <v>74</v>
      </c>
      <c r="S13" s="279">
        <f>SUM(S7:S12)</f>
        <v>9902600</v>
      </c>
      <c r="T13" s="280">
        <f>SUM(T7:T12)</f>
        <v>1</v>
      </c>
    </row>
    <row r="14" spans="1:20" x14ac:dyDescent="0.4">
      <c r="A14" s="3" t="s">
        <v>26</v>
      </c>
      <c r="B14" s="5">
        <v>30600</v>
      </c>
      <c r="C14" s="5">
        <v>17822</v>
      </c>
      <c r="D14" s="5">
        <v>15210</v>
      </c>
      <c r="E14" s="5">
        <v>12829</v>
      </c>
      <c r="F14" s="5">
        <v>18500</v>
      </c>
      <c r="G14" s="5">
        <v>6455</v>
      </c>
      <c r="H14" s="5">
        <v>14300</v>
      </c>
      <c r="I14" s="5">
        <v>13500</v>
      </c>
      <c r="J14" s="4">
        <f>SUM(ROUNDUP('Budget-Services'!I94,-2))</f>
        <v>12300</v>
      </c>
      <c r="K14" s="152">
        <f t="shared" si="0"/>
        <v>-8.8888888888888892E-2</v>
      </c>
      <c r="L14" s="1"/>
      <c r="M14" s="1"/>
      <c r="O14" s="130"/>
    </row>
    <row r="15" spans="1:20" x14ac:dyDescent="0.4">
      <c r="A15" s="251" t="s">
        <v>28</v>
      </c>
      <c r="B15" s="252">
        <v>89800</v>
      </c>
      <c r="C15" s="252">
        <v>72828</v>
      </c>
      <c r="D15" s="252">
        <v>102500</v>
      </c>
      <c r="E15" s="252">
        <v>99861</v>
      </c>
      <c r="F15" s="252">
        <v>90100</v>
      </c>
      <c r="G15" s="252">
        <v>97252</v>
      </c>
      <c r="H15" s="252">
        <v>106900</v>
      </c>
      <c r="I15" s="252">
        <v>111700</v>
      </c>
      <c r="J15" s="253">
        <f>SUM(ROUNDUP('Budget-Services'!I132,-2))</f>
        <v>134300</v>
      </c>
      <c r="K15" s="151">
        <f t="shared" si="0"/>
        <v>0.20232766338406447</v>
      </c>
      <c r="L15" s="1"/>
      <c r="M15" s="1"/>
      <c r="O15" s="130"/>
    </row>
    <row r="16" spans="1:20" x14ac:dyDescent="0.4">
      <c r="A16" s="155" t="s">
        <v>29</v>
      </c>
      <c r="B16" s="143">
        <v>53400</v>
      </c>
      <c r="C16" s="143">
        <v>42720</v>
      </c>
      <c r="D16" s="143">
        <v>47990</v>
      </c>
      <c r="E16" s="143">
        <v>47989</v>
      </c>
      <c r="F16" s="143">
        <v>41400</v>
      </c>
      <c r="G16" s="143">
        <v>25290</v>
      </c>
      <c r="H16" s="143">
        <v>40000</v>
      </c>
      <c r="I16" s="143">
        <v>40000</v>
      </c>
      <c r="J16" s="156">
        <f>SUM(ROUNDUP('Budget-Services'!I141,-2))</f>
        <v>41100</v>
      </c>
      <c r="K16" s="152">
        <f t="shared" si="0"/>
        <v>2.75E-2</v>
      </c>
      <c r="L16" s="1"/>
      <c r="M16" s="945" t="s">
        <v>69</v>
      </c>
      <c r="N16" s="943"/>
      <c r="O16" s="130"/>
    </row>
    <row r="17" spans="1:16" x14ac:dyDescent="0.4">
      <c r="A17" s="251" t="s">
        <v>30</v>
      </c>
      <c r="B17" s="252">
        <v>156400</v>
      </c>
      <c r="C17" s="252">
        <v>145935</v>
      </c>
      <c r="D17" s="252">
        <v>157990</v>
      </c>
      <c r="E17" s="252">
        <v>157984</v>
      </c>
      <c r="F17" s="252">
        <v>155000</v>
      </c>
      <c r="G17" s="252">
        <v>156639</v>
      </c>
      <c r="H17" s="252">
        <v>158400</v>
      </c>
      <c r="I17" s="252">
        <v>167300</v>
      </c>
      <c r="J17" s="253">
        <f>SUM(ROUNDUP('Budget-Services'!I151,-2))</f>
        <v>228200</v>
      </c>
      <c r="K17" s="151">
        <f t="shared" si="0"/>
        <v>0.36401673640167365</v>
      </c>
      <c r="L17" s="1"/>
      <c r="M17" s="4">
        <f>SUM(I15:I27)</f>
        <v>1827300</v>
      </c>
      <c r="N17" s="5">
        <f>SUM(J15:J27)</f>
        <v>2336200</v>
      </c>
      <c r="O17" s="129">
        <f>N17/N35</f>
        <v>0.23591783975925515</v>
      </c>
    </row>
    <row r="18" spans="1:16" x14ac:dyDescent="0.4">
      <c r="A18" s="155" t="s">
        <v>31</v>
      </c>
      <c r="B18" s="143">
        <v>84800</v>
      </c>
      <c r="C18" s="143">
        <v>114375</v>
      </c>
      <c r="D18" s="143">
        <v>98710</v>
      </c>
      <c r="E18" s="143">
        <v>158880</v>
      </c>
      <c r="F18" s="5">
        <v>106500</v>
      </c>
      <c r="G18" s="5">
        <v>111418</v>
      </c>
      <c r="H18" s="5">
        <v>128000</v>
      </c>
      <c r="I18" s="5">
        <v>129300</v>
      </c>
      <c r="J18" s="4">
        <f>SUM(ROUNDUP('Budget-Services'!I179,-2))</f>
        <v>179500</v>
      </c>
      <c r="K18" s="152">
        <f t="shared" si="0"/>
        <v>0.38824439288476409</v>
      </c>
      <c r="L18" s="1"/>
      <c r="M18" s="1"/>
      <c r="O18" s="130"/>
    </row>
    <row r="19" spans="1:16" x14ac:dyDescent="0.4">
      <c r="A19" s="251" t="s">
        <v>32</v>
      </c>
      <c r="B19" s="252">
        <v>7800</v>
      </c>
      <c r="C19" s="252">
        <v>7800</v>
      </c>
      <c r="D19" s="252">
        <v>8250</v>
      </c>
      <c r="E19" s="252">
        <v>8250</v>
      </c>
      <c r="F19" s="252">
        <v>8400</v>
      </c>
      <c r="G19" s="252">
        <v>9300</v>
      </c>
      <c r="H19" s="252">
        <v>10100</v>
      </c>
      <c r="I19" s="252">
        <v>10200</v>
      </c>
      <c r="J19" s="253">
        <f>SUM(ROUNDUP('Budget-Services'!I185,-2))</f>
        <v>14300</v>
      </c>
      <c r="K19" s="151">
        <f t="shared" si="0"/>
        <v>0.40196078431372551</v>
      </c>
      <c r="L19" s="1"/>
      <c r="M19" s="6"/>
      <c r="N19" s="5"/>
      <c r="O19" s="130"/>
    </row>
    <row r="20" spans="1:16" x14ac:dyDescent="0.4">
      <c r="A20" s="3" t="s">
        <v>33</v>
      </c>
      <c r="B20" s="5">
        <v>4500</v>
      </c>
      <c r="C20" s="5">
        <v>4500</v>
      </c>
      <c r="D20" s="5">
        <v>6000</v>
      </c>
      <c r="E20" s="5">
        <v>4703</v>
      </c>
      <c r="F20" s="5">
        <v>6000</v>
      </c>
      <c r="G20" s="5">
        <v>5833</v>
      </c>
      <c r="H20" s="5">
        <v>6000</v>
      </c>
      <c r="I20" s="5">
        <v>6000</v>
      </c>
      <c r="J20" s="4">
        <f>SUM(ROUNDUP('Budget-Services'!I189,-2))</f>
        <v>6000</v>
      </c>
      <c r="K20" s="152">
        <f t="shared" si="0"/>
        <v>0</v>
      </c>
      <c r="L20" s="1"/>
      <c r="M20" s="1"/>
      <c r="O20" s="130"/>
    </row>
    <row r="21" spans="1:16" x14ac:dyDescent="0.4">
      <c r="A21" s="153" t="s">
        <v>34</v>
      </c>
      <c r="B21" s="142">
        <v>44600</v>
      </c>
      <c r="C21" s="142">
        <v>40997</v>
      </c>
      <c r="D21" s="142">
        <v>47100</v>
      </c>
      <c r="E21" s="142">
        <v>43537</v>
      </c>
      <c r="F21" s="142">
        <v>45700</v>
      </c>
      <c r="G21" s="142">
        <v>75711</v>
      </c>
      <c r="H21" s="142">
        <v>47200</v>
      </c>
      <c r="I21" s="142">
        <v>85300</v>
      </c>
      <c r="J21" s="154">
        <f>SUM(ROUNDUP('Budget-Services'!I230,-2))</f>
        <v>132500</v>
      </c>
      <c r="K21" s="151">
        <f t="shared" si="0"/>
        <v>0.55334114888628372</v>
      </c>
      <c r="L21" s="1"/>
      <c r="M21" s="1"/>
      <c r="O21" s="130"/>
    </row>
    <row r="22" spans="1:16" x14ac:dyDescent="0.4">
      <c r="A22" s="155" t="s">
        <v>35</v>
      </c>
      <c r="B22" s="143">
        <v>500</v>
      </c>
      <c r="C22" s="143">
        <v>0</v>
      </c>
      <c r="D22" s="143">
        <v>500</v>
      </c>
      <c r="E22" s="143">
        <v>0</v>
      </c>
      <c r="F22" s="143">
        <v>500</v>
      </c>
      <c r="G22" s="143">
        <v>0</v>
      </c>
      <c r="H22" s="143">
        <v>500</v>
      </c>
      <c r="I22" s="143">
        <v>500</v>
      </c>
      <c r="J22" s="156">
        <f>SUM(ROUNDUP('Budget-Services'!I234,-2))</f>
        <v>500</v>
      </c>
      <c r="K22" s="152">
        <f t="shared" si="0"/>
        <v>0</v>
      </c>
      <c r="L22" s="1"/>
      <c r="M22" s="1"/>
      <c r="O22" s="130"/>
    </row>
    <row r="23" spans="1:16" x14ac:dyDescent="0.4">
      <c r="A23" s="149" t="s">
        <v>36</v>
      </c>
      <c r="B23" s="141">
        <v>446500</v>
      </c>
      <c r="C23" s="141">
        <v>399678</v>
      </c>
      <c r="D23" s="141">
        <v>783300</v>
      </c>
      <c r="E23" s="141">
        <v>630893</v>
      </c>
      <c r="F23" s="141">
        <v>822700</v>
      </c>
      <c r="G23" s="141">
        <v>802957</v>
      </c>
      <c r="H23" s="141">
        <v>840700</v>
      </c>
      <c r="I23" s="141">
        <v>857700</v>
      </c>
      <c r="J23" s="150">
        <f>SUM(ROUNDUP('Budget-Services'!I255,-2))</f>
        <v>1011000</v>
      </c>
      <c r="K23" s="151">
        <f t="shared" si="0"/>
        <v>0.17873382301504023</v>
      </c>
      <c r="L23" s="1"/>
      <c r="M23" s="1"/>
      <c r="O23" s="130"/>
    </row>
    <row r="24" spans="1:16" x14ac:dyDescent="0.4">
      <c r="A24" s="155" t="s">
        <v>37</v>
      </c>
      <c r="B24" s="143">
        <v>237900</v>
      </c>
      <c r="C24" s="143">
        <v>189905</v>
      </c>
      <c r="D24" s="143">
        <v>0</v>
      </c>
      <c r="E24" s="143">
        <v>0</v>
      </c>
      <c r="F24" s="143">
        <v>0</v>
      </c>
      <c r="G24" s="143">
        <v>0</v>
      </c>
      <c r="H24" s="143">
        <v>0</v>
      </c>
      <c r="I24" s="143">
        <v>0</v>
      </c>
      <c r="J24" s="156">
        <v>0</v>
      </c>
      <c r="K24" s="152"/>
      <c r="L24" s="1"/>
      <c r="M24" s="1"/>
      <c r="O24" s="130"/>
    </row>
    <row r="25" spans="1:16" x14ac:dyDescent="0.4">
      <c r="A25" s="326" t="s">
        <v>38</v>
      </c>
      <c r="B25" s="328">
        <v>310000</v>
      </c>
      <c r="C25" s="328">
        <v>319353</v>
      </c>
      <c r="D25" s="328">
        <v>262350</v>
      </c>
      <c r="E25" s="328">
        <v>241812</v>
      </c>
      <c r="F25" s="328">
        <v>274000</v>
      </c>
      <c r="G25" s="328">
        <v>223432</v>
      </c>
      <c r="H25" s="328">
        <v>270800</v>
      </c>
      <c r="I25" s="328">
        <v>277600</v>
      </c>
      <c r="J25" s="329">
        <f>SUM(ROUNDUP('Budget-Services'!I302,-2))</f>
        <v>421300</v>
      </c>
      <c r="K25" s="327">
        <f t="shared" si="0"/>
        <v>0.51765129682997113</v>
      </c>
      <c r="L25" s="1"/>
      <c r="M25" s="1"/>
      <c r="O25" s="130"/>
    </row>
    <row r="26" spans="1:16" x14ac:dyDescent="0.4">
      <c r="A26" s="3" t="s">
        <v>39</v>
      </c>
      <c r="B26" s="5">
        <v>31300</v>
      </c>
      <c r="C26" s="5">
        <v>4110</v>
      </c>
      <c r="D26" s="5">
        <v>65700</v>
      </c>
      <c r="E26" s="5">
        <v>24540</v>
      </c>
      <c r="F26" s="5">
        <f>63700-1900</f>
        <v>61800</v>
      </c>
      <c r="G26" s="5">
        <v>81161</v>
      </c>
      <c r="H26" s="5">
        <v>96400</v>
      </c>
      <c r="I26" s="5">
        <v>123900</v>
      </c>
      <c r="J26" s="4">
        <f>SUM(ROUNDUP('Budget-Services'!I324,-2))</f>
        <v>145800</v>
      </c>
      <c r="K26" s="152">
        <f t="shared" si="0"/>
        <v>0.17675544794188863</v>
      </c>
      <c r="L26" s="1"/>
      <c r="M26" s="1"/>
      <c r="O26" s="130"/>
    </row>
    <row r="27" spans="1:16" x14ac:dyDescent="0.4">
      <c r="A27" s="153" t="s">
        <v>40</v>
      </c>
      <c r="B27" s="142">
        <v>17400</v>
      </c>
      <c r="C27" s="142">
        <v>13820</v>
      </c>
      <c r="D27" s="142">
        <v>16300</v>
      </c>
      <c r="E27" s="142">
        <v>16298</v>
      </c>
      <c r="F27" s="142">
        <v>15200</v>
      </c>
      <c r="G27" s="142">
        <v>16586</v>
      </c>
      <c r="H27" s="142">
        <v>17500</v>
      </c>
      <c r="I27" s="142">
        <v>17800</v>
      </c>
      <c r="J27" s="154">
        <f>SUM(ROUNDUP('Budget-Services'!I332,-2))</f>
        <v>21700</v>
      </c>
      <c r="K27" s="151">
        <f t="shared" si="0"/>
        <v>0.21910112359550563</v>
      </c>
      <c r="L27" s="1"/>
      <c r="M27" s="945" t="s">
        <v>71</v>
      </c>
      <c r="N27" s="943"/>
      <c r="O27" s="130"/>
    </row>
    <row r="28" spans="1:16" x14ac:dyDescent="0.4">
      <c r="A28" s="3" t="s">
        <v>41</v>
      </c>
      <c r="B28" s="5">
        <v>425600</v>
      </c>
      <c r="C28" s="5">
        <v>425517</v>
      </c>
      <c r="D28" s="5">
        <v>425600</v>
      </c>
      <c r="E28" s="5">
        <f>356665+68852</f>
        <v>425517</v>
      </c>
      <c r="F28" s="5">
        <v>425600</v>
      </c>
      <c r="G28" s="5">
        <f>369169+56348</f>
        <v>425517</v>
      </c>
      <c r="H28" s="5">
        <v>425600</v>
      </c>
      <c r="I28" s="5">
        <v>425600</v>
      </c>
      <c r="J28" s="4">
        <f>SUM(ROUNDUP('Budget-Services'!I336,-2))</f>
        <v>0</v>
      </c>
      <c r="K28" s="152">
        <f t="shared" si="0"/>
        <v>-1</v>
      </c>
      <c r="L28" s="1"/>
      <c r="M28" s="4">
        <f>SUM(I28)</f>
        <v>425600</v>
      </c>
      <c r="N28" s="5">
        <f>SUM(J28)</f>
        <v>0</v>
      </c>
      <c r="O28" s="129">
        <f>N28/N35</f>
        <v>0</v>
      </c>
    </row>
    <row r="29" spans="1:16" x14ac:dyDescent="0.4">
      <c r="A29" s="153" t="s">
        <v>42</v>
      </c>
      <c r="B29" s="142">
        <v>50000</v>
      </c>
      <c r="C29" s="142">
        <v>110591</v>
      </c>
      <c r="D29" s="142">
        <v>66500</v>
      </c>
      <c r="E29" s="142">
        <v>41191</v>
      </c>
      <c r="F29" s="142">
        <v>55000</v>
      </c>
      <c r="G29" s="142">
        <v>105866</v>
      </c>
      <c r="H29" s="142">
        <v>80000</v>
      </c>
      <c r="I29" s="142">
        <v>61200</v>
      </c>
      <c r="J29" s="154">
        <f>SUM(ROUNDUP('Budget-Services'!I342,-2))</f>
        <v>65000</v>
      </c>
      <c r="K29" s="151">
        <f t="shared" si="0"/>
        <v>6.2091503267973858E-2</v>
      </c>
      <c r="L29" s="1"/>
      <c r="M29" s="1"/>
      <c r="O29" s="130"/>
    </row>
    <row r="30" spans="1:16" x14ac:dyDescent="0.4">
      <c r="A30" s="3" t="s">
        <v>43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4">
        <f>SUM(ROUNDUP('Budget-Services'!I346,-2))</f>
        <v>0</v>
      </c>
      <c r="K30" s="152"/>
      <c r="L30" s="1"/>
      <c r="M30" s="942" t="s">
        <v>72</v>
      </c>
      <c r="N30" s="943"/>
      <c r="O30" s="130"/>
    </row>
    <row r="31" spans="1:16" x14ac:dyDescent="0.4">
      <c r="A31" s="153" t="s">
        <v>44</v>
      </c>
      <c r="B31" s="144">
        <v>5000</v>
      </c>
      <c r="C31" s="144">
        <v>0</v>
      </c>
      <c r="D31" s="144">
        <v>5000</v>
      </c>
      <c r="E31" s="144">
        <v>0</v>
      </c>
      <c r="F31" s="144">
        <v>5000</v>
      </c>
      <c r="G31" s="144">
        <v>0</v>
      </c>
      <c r="H31" s="144">
        <v>5000</v>
      </c>
      <c r="I31" s="144">
        <v>5000</v>
      </c>
      <c r="J31" s="157">
        <v>5000</v>
      </c>
      <c r="K31" s="151">
        <f t="shared" si="0"/>
        <v>0</v>
      </c>
      <c r="L31" s="1"/>
      <c r="M31" s="4">
        <f>SUM(I29:I31)</f>
        <v>66200</v>
      </c>
      <c r="N31" s="5">
        <f>SUM(J29:J31)</f>
        <v>70000</v>
      </c>
      <c r="O31" s="129">
        <f>N31/N35</f>
        <v>7.0688506048916444E-3</v>
      </c>
    </row>
    <row r="32" spans="1:16" ht="15" thickBot="1" x14ac:dyDescent="0.45">
      <c r="A32" s="21" t="s">
        <v>45</v>
      </c>
      <c r="B32" s="23">
        <f t="shared" ref="B32:F32" si="2">SUM(B3:B31)</f>
        <v>7682900</v>
      </c>
      <c r="C32" s="23">
        <f t="shared" si="2"/>
        <v>7542932</v>
      </c>
      <c r="D32" s="23">
        <f t="shared" si="2"/>
        <v>8237100</v>
      </c>
      <c r="E32" s="23">
        <f>SUM(E3:E31)</f>
        <v>7792733</v>
      </c>
      <c r="F32" s="23">
        <f t="shared" si="2"/>
        <v>8432100</v>
      </c>
      <c r="G32" s="23">
        <f>SUM(G3:G31)</f>
        <v>8192270</v>
      </c>
      <c r="H32" s="23">
        <f>SUM(H3:H31)</f>
        <v>8560500</v>
      </c>
      <c r="I32" s="23">
        <f>SUM(I3:I31)</f>
        <v>9283700</v>
      </c>
      <c r="J32" s="22">
        <f>SUM(J3:J31)</f>
        <v>9620300</v>
      </c>
      <c r="K32" s="158">
        <f>(J32-I32)/I32</f>
        <v>3.6257095770005493E-2</v>
      </c>
      <c r="L32" s="1"/>
      <c r="M32" s="148">
        <f>SUM(M31+M28+M17+M11+M5)</f>
        <v>9283700</v>
      </c>
      <c r="N32" s="116">
        <f>SUM(N31+N28+N17+N11+N5)</f>
        <v>9620300</v>
      </c>
      <c r="O32" s="130"/>
      <c r="P32" s="318">
        <f>N32-M32</f>
        <v>336600</v>
      </c>
    </row>
    <row r="33" spans="1:16" ht="15" thickTop="1" x14ac:dyDescent="0.4">
      <c r="A33" s="153"/>
      <c r="B33" s="145"/>
      <c r="C33" s="145"/>
      <c r="D33" s="145"/>
      <c r="E33" s="145"/>
      <c r="F33" s="145"/>
      <c r="G33" s="145"/>
      <c r="H33" s="145"/>
      <c r="I33" s="145"/>
      <c r="J33" s="145"/>
      <c r="K33" s="159"/>
      <c r="L33" s="1"/>
      <c r="M33" s="3"/>
      <c r="O33" s="130"/>
    </row>
    <row r="34" spans="1:16" x14ac:dyDescent="0.4">
      <c r="A34" s="3" t="s">
        <v>46</v>
      </c>
      <c r="B34" s="247">
        <v>166300</v>
      </c>
      <c r="C34" s="247">
        <v>172982</v>
      </c>
      <c r="D34" s="247">
        <v>185900</v>
      </c>
      <c r="E34" s="247">
        <v>152449</v>
      </c>
      <c r="F34" s="247">
        <v>187100</v>
      </c>
      <c r="G34" s="247">
        <v>127911</v>
      </c>
      <c r="H34" s="247">
        <v>195300</v>
      </c>
      <c r="I34" s="247">
        <v>227800</v>
      </c>
      <c r="J34" s="248">
        <f>SUM(ROUNDUP('ARB Budget'!F39,-2))</f>
        <v>282300</v>
      </c>
      <c r="K34" s="152">
        <f>(J34-I34)/I34</f>
        <v>0.23924495171202809</v>
      </c>
      <c r="L34" s="1"/>
      <c r="M34" s="4">
        <f>SUM(I34)</f>
        <v>227800</v>
      </c>
      <c r="N34" s="249">
        <f>SUM(J34)</f>
        <v>282300</v>
      </c>
      <c r="O34" s="250">
        <f>N34/N35</f>
        <v>2.8507664653727303E-2</v>
      </c>
    </row>
    <row r="35" spans="1:16" ht="15" thickBot="1" x14ac:dyDescent="0.45">
      <c r="A35" s="160" t="s">
        <v>47</v>
      </c>
      <c r="B35" s="146">
        <f t="shared" ref="B35:J35" si="3">SUM(B32:B34)</f>
        <v>7849200</v>
      </c>
      <c r="C35" s="146">
        <f t="shared" si="3"/>
        <v>7715914</v>
      </c>
      <c r="D35" s="146">
        <f t="shared" si="3"/>
        <v>8423000</v>
      </c>
      <c r="E35" s="146">
        <f>SUM(E32:E34)</f>
        <v>7945182</v>
      </c>
      <c r="F35" s="146">
        <f t="shared" si="3"/>
        <v>8619200</v>
      </c>
      <c r="G35" s="146">
        <f>SUM(G32:G34)</f>
        <v>8320181</v>
      </c>
      <c r="H35" s="146">
        <f>SUM(H32:H34)</f>
        <v>8755800</v>
      </c>
      <c r="I35" s="146">
        <f>SUM(I32:I34)</f>
        <v>9511500</v>
      </c>
      <c r="J35" s="161">
        <f t="shared" si="3"/>
        <v>9902600</v>
      </c>
      <c r="K35" s="162">
        <f>(J35-I35)/I35</f>
        <v>4.1118645849760813E-2</v>
      </c>
      <c r="L35" s="1"/>
      <c r="M35" s="116">
        <f>SUM(M32:M34)</f>
        <v>9511500</v>
      </c>
      <c r="N35" s="127">
        <f>SUM(N32:N34)</f>
        <v>9902600</v>
      </c>
      <c r="O35" s="130">
        <f>SUM(O5:O34)</f>
        <v>1</v>
      </c>
      <c r="P35" s="5">
        <f>N35-M35</f>
        <v>391100</v>
      </c>
    </row>
    <row r="36" spans="1:16" ht="15" thickTop="1" x14ac:dyDescent="0.4">
      <c r="A36" s="163" t="s">
        <v>48</v>
      </c>
      <c r="B36" s="147"/>
      <c r="C36" s="147"/>
      <c r="D36" s="147"/>
      <c r="E36" s="147"/>
      <c r="F36" s="147"/>
      <c r="G36" s="147"/>
      <c r="H36" s="147"/>
      <c r="I36" s="147"/>
      <c r="J36" s="156"/>
      <c r="K36" s="152"/>
    </row>
    <row r="37" spans="1:16" ht="15" thickBot="1" x14ac:dyDescent="0.45">
      <c r="A37" s="251" t="s">
        <v>49</v>
      </c>
      <c r="B37" s="263"/>
      <c r="C37" s="263"/>
      <c r="D37" s="348">
        <v>-247604</v>
      </c>
      <c r="E37" s="348"/>
      <c r="F37" s="348">
        <v>-200000</v>
      </c>
      <c r="G37" s="348"/>
      <c r="H37" s="348"/>
      <c r="I37" s="348">
        <v>-158000</v>
      </c>
      <c r="J37" s="349">
        <f>-(322053+50000)</f>
        <v>-372053</v>
      </c>
      <c r="K37" s="350"/>
      <c r="L37" s="1"/>
      <c r="M37" s="1"/>
    </row>
    <row r="38" spans="1:16" ht="15.45" thickTop="1" thickBot="1" x14ac:dyDescent="0.45">
      <c r="A38" s="30" t="s">
        <v>50</v>
      </c>
      <c r="B38" s="31">
        <f>SUM(B35)</f>
        <v>7849200</v>
      </c>
      <c r="C38" s="31"/>
      <c r="D38" s="31">
        <f t="shared" ref="D38:J38" si="4">SUM(D35:D37)</f>
        <v>8175396</v>
      </c>
      <c r="E38" s="31"/>
      <c r="F38" s="31">
        <f t="shared" si="4"/>
        <v>8419200</v>
      </c>
      <c r="G38" s="31"/>
      <c r="H38" s="31">
        <f>SUM(H35:H37)</f>
        <v>8755800</v>
      </c>
      <c r="I38" s="31">
        <f>SUM(I35:I37)</f>
        <v>9353500</v>
      </c>
      <c r="J38" s="32">
        <f t="shared" si="4"/>
        <v>9530547</v>
      </c>
      <c r="K38" s="165">
        <f>(J38-I38)/I38</f>
        <v>1.8928422515635857E-2</v>
      </c>
      <c r="O38" s="5"/>
    </row>
    <row r="39" spans="1:16" ht="15" thickTop="1" x14ac:dyDescent="0.4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1"/>
      <c r="M39" s="1"/>
    </row>
    <row r="40" spans="1:16" x14ac:dyDescent="0.4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1"/>
      <c r="M40" s="1"/>
    </row>
    <row r="41" spans="1:16" x14ac:dyDescent="0.4">
      <c r="A41" s="26"/>
      <c r="B41" s="33"/>
      <c r="C41" s="33"/>
      <c r="D41" s="33"/>
      <c r="E41" s="33"/>
      <c r="F41" s="33"/>
      <c r="G41" s="33"/>
      <c r="H41" s="33"/>
      <c r="I41" s="33"/>
      <c r="J41" s="33"/>
      <c r="K41" s="26"/>
      <c r="L41" s="1"/>
      <c r="M41" s="1"/>
    </row>
    <row r="42" spans="1:16" x14ac:dyDescent="0.4">
      <c r="J42" s="3"/>
      <c r="K42" s="3"/>
      <c r="L42" s="1"/>
      <c r="M42" s="1"/>
    </row>
    <row r="43" spans="1:16" x14ac:dyDescent="0.4">
      <c r="J43" s="3"/>
      <c r="K43" s="3"/>
      <c r="L43" s="1"/>
      <c r="M43" s="1"/>
    </row>
    <row r="44" spans="1:16" x14ac:dyDescent="0.4">
      <c r="J44" s="3"/>
      <c r="K44" s="3"/>
      <c r="L44" s="1"/>
      <c r="M44" s="1"/>
    </row>
    <row r="45" spans="1:16" x14ac:dyDescent="0.4">
      <c r="L45" s="1"/>
      <c r="M45" s="1"/>
    </row>
    <row r="46" spans="1:16" x14ac:dyDescent="0.4">
      <c r="L46" s="1"/>
      <c r="M46" s="1"/>
    </row>
    <row r="47" spans="1:16" x14ac:dyDescent="0.4">
      <c r="L47" s="1"/>
      <c r="M47" s="1"/>
    </row>
    <row r="48" spans="1:16" x14ac:dyDescent="0.4">
      <c r="L48" s="1"/>
      <c r="M48" s="1"/>
    </row>
    <row r="49" spans="12:13" x14ac:dyDescent="0.4">
      <c r="L49" s="1"/>
      <c r="M49" s="1"/>
    </row>
    <row r="50" spans="12:13" x14ac:dyDescent="0.4">
      <c r="L50" s="1"/>
      <c r="M50" s="1"/>
    </row>
    <row r="51" spans="12:13" x14ac:dyDescent="0.4">
      <c r="L51" s="1"/>
      <c r="M51" s="1"/>
    </row>
    <row r="52" spans="12:13" x14ac:dyDescent="0.4">
      <c r="L52" s="1"/>
      <c r="M52" s="1"/>
    </row>
    <row r="53" spans="12:13" x14ac:dyDescent="0.4">
      <c r="L53" s="1"/>
      <c r="M53" s="1"/>
    </row>
    <row r="54" spans="12:13" x14ac:dyDescent="0.4">
      <c r="L54" s="1"/>
      <c r="M54" s="1"/>
    </row>
    <row r="55" spans="12:13" x14ac:dyDescent="0.4">
      <c r="L55" s="1"/>
      <c r="M55" s="1"/>
    </row>
    <row r="56" spans="12:13" x14ac:dyDescent="0.4">
      <c r="L56" s="1"/>
      <c r="M56" s="1"/>
    </row>
    <row r="57" spans="12:13" x14ac:dyDescent="0.4">
      <c r="L57" s="1"/>
      <c r="M57" s="1"/>
    </row>
    <row r="58" spans="12:13" x14ac:dyDescent="0.4">
      <c r="L58" s="1"/>
      <c r="M58" s="1"/>
    </row>
    <row r="59" spans="12:13" x14ac:dyDescent="0.4">
      <c r="L59" s="1"/>
      <c r="M59" s="1"/>
    </row>
    <row r="60" spans="12:13" x14ac:dyDescent="0.4">
      <c r="L60" s="1"/>
      <c r="M60" s="1"/>
    </row>
    <row r="61" spans="12:13" x14ac:dyDescent="0.4">
      <c r="L61" s="1"/>
      <c r="M61" s="1"/>
    </row>
    <row r="62" spans="12:13" x14ac:dyDescent="0.4">
      <c r="L62" s="1"/>
      <c r="M62" s="1"/>
    </row>
    <row r="63" spans="12:13" x14ac:dyDescent="0.4">
      <c r="L63" s="1"/>
      <c r="M63" s="1"/>
    </row>
    <row r="64" spans="12:13" x14ac:dyDescent="0.4">
      <c r="L64" s="1"/>
      <c r="M64" s="1"/>
    </row>
    <row r="65" spans="12:13" x14ac:dyDescent="0.4">
      <c r="L65" s="1"/>
      <c r="M65" s="1"/>
    </row>
    <row r="66" spans="12:13" x14ac:dyDescent="0.4">
      <c r="L66" s="1"/>
      <c r="M66" s="1"/>
    </row>
    <row r="67" spans="12:13" x14ac:dyDescent="0.4">
      <c r="L67" s="1"/>
      <c r="M67" s="1"/>
    </row>
    <row r="68" spans="12:13" x14ac:dyDescent="0.4">
      <c r="L68" s="1"/>
      <c r="M68" s="1"/>
    </row>
    <row r="69" spans="12:13" x14ac:dyDescent="0.4">
      <c r="L69" s="1"/>
      <c r="M69" s="1"/>
    </row>
    <row r="70" spans="12:13" x14ac:dyDescent="0.4">
      <c r="L70" s="1"/>
      <c r="M70" s="1"/>
    </row>
    <row r="71" spans="12:13" x14ac:dyDescent="0.4">
      <c r="L71" s="1"/>
      <c r="M71" s="1"/>
    </row>
    <row r="72" spans="12:13" x14ac:dyDescent="0.4">
      <c r="L72" s="1"/>
      <c r="M72" s="1"/>
    </row>
    <row r="73" spans="12:13" x14ac:dyDescent="0.4">
      <c r="L73" s="1"/>
      <c r="M73" s="1"/>
    </row>
    <row r="74" spans="12:13" x14ac:dyDescent="0.4">
      <c r="L74" s="1"/>
      <c r="M74" s="1"/>
    </row>
    <row r="75" spans="12:13" x14ac:dyDescent="0.4">
      <c r="L75" s="1"/>
      <c r="M75" s="1"/>
    </row>
    <row r="76" spans="12:13" x14ac:dyDescent="0.4">
      <c r="L76" s="1"/>
      <c r="M76" s="1"/>
    </row>
    <row r="77" spans="12:13" x14ac:dyDescent="0.4">
      <c r="L77" s="1"/>
      <c r="M77" s="1"/>
    </row>
    <row r="78" spans="12:13" x14ac:dyDescent="0.4">
      <c r="L78" s="1"/>
      <c r="M78" s="1"/>
    </row>
    <row r="79" spans="12:13" x14ac:dyDescent="0.4">
      <c r="L79" s="1"/>
      <c r="M79" s="1"/>
    </row>
    <row r="80" spans="12:13" x14ac:dyDescent="0.4">
      <c r="L80" s="1"/>
      <c r="M80" s="1"/>
    </row>
    <row r="81" spans="1:13" x14ac:dyDescent="0.4">
      <c r="L81" s="1"/>
      <c r="M81" s="1"/>
    </row>
    <row r="82" spans="1:13" x14ac:dyDescent="0.4">
      <c r="L82" s="1"/>
      <c r="M82" s="1"/>
    </row>
    <row r="83" spans="1:13" x14ac:dyDescent="0.4">
      <c r="L83" s="1"/>
      <c r="M83" s="1"/>
    </row>
    <row r="84" spans="1:13" x14ac:dyDescent="0.4">
      <c r="L84" s="1"/>
      <c r="M84" s="1"/>
    </row>
    <row r="85" spans="1:13" x14ac:dyDescent="0.4">
      <c r="L85" s="1"/>
      <c r="M85" s="1"/>
    </row>
    <row r="86" spans="1:13" x14ac:dyDescent="0.4">
      <c r="L86" s="1"/>
      <c r="M86" s="1"/>
    </row>
    <row r="87" spans="1:13" x14ac:dyDescent="0.4">
      <c r="L87" s="1"/>
      <c r="M87" s="1"/>
    </row>
    <row r="88" spans="1:13" x14ac:dyDescent="0.4">
      <c r="L88" s="1"/>
      <c r="M88" s="1"/>
    </row>
    <row r="89" spans="1:13" x14ac:dyDescent="0.4">
      <c r="L89" s="1"/>
      <c r="M89" s="1"/>
    </row>
    <row r="90" spans="1:13" x14ac:dyDescent="0.4">
      <c r="L90" s="1"/>
      <c r="M90" s="1"/>
    </row>
    <row r="91" spans="1:13" x14ac:dyDescent="0.4">
      <c r="L91" s="1"/>
      <c r="M91" s="1"/>
    </row>
    <row r="92" spans="1:13" x14ac:dyDescent="0.4">
      <c r="A92" s="26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1"/>
      <c r="M92" s="1"/>
    </row>
  </sheetData>
  <mergeCells count="6">
    <mergeCell ref="M30:N30"/>
    <mergeCell ref="A1:K1"/>
    <mergeCell ref="M4:N4"/>
    <mergeCell ref="M10:N10"/>
    <mergeCell ref="M16:N16"/>
    <mergeCell ref="M27:N27"/>
  </mergeCells>
  <conditionalFormatting sqref="K3:K38">
    <cfRule type="cellIs" dxfId="149" priority="1" stopIfTrue="1" operator="lessThan">
      <formula>0</formula>
    </cfRule>
    <cfRule type="cellIs" dxfId="148" priority="2" stopIfTrue="1" operator="greaterThan">
      <formula>0</formula>
    </cfRule>
    <cfRule type="cellIs" dxfId="147" priority="3" stopIfTrue="1" operator="equal">
      <formula>0</formula>
    </cfRule>
  </conditionalFormatting>
  <printOptions horizontalCentered="1"/>
  <pageMargins left="0.25" right="0.25" top="0.75" bottom="0.75" header="0.3" footer="0.3"/>
  <pageSetup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72BEA-CB5D-4DCF-8EF0-E91196F0054C}">
  <dimension ref="A1:N1002"/>
  <sheetViews>
    <sheetView topLeftCell="A16" zoomScaleNormal="100" workbookViewId="0">
      <selection activeCell="B25" sqref="B25"/>
    </sheetView>
  </sheetViews>
  <sheetFormatPr defaultColWidth="14.3828125" defaultRowHeight="14.6" x14ac:dyDescent="0.4"/>
  <cols>
    <col min="1" max="1" width="25.15234375" customWidth="1"/>
    <col min="2" max="2" width="66.15234375" customWidth="1"/>
    <col min="3" max="3" width="2.3828125" customWidth="1"/>
    <col min="4" max="4" width="13.3828125" customWidth="1"/>
    <col min="5" max="5" width="13.15234375" customWidth="1"/>
    <col min="6" max="6" width="7.3828125" hidden="1" customWidth="1"/>
    <col min="7" max="7" width="11.3828125" hidden="1" customWidth="1"/>
    <col min="8" max="8" width="11.53515625" customWidth="1"/>
    <col min="9" max="9" width="78.69140625" customWidth="1"/>
    <col min="10" max="19" width="13.3046875" customWidth="1"/>
    <col min="20" max="26" width="15.15234375" customWidth="1"/>
  </cols>
  <sheetData>
    <row r="1" spans="1:14" ht="26.15" x14ac:dyDescent="0.7">
      <c r="A1" s="940" t="s">
        <v>160</v>
      </c>
      <c r="B1" s="940"/>
      <c r="C1" s="940"/>
      <c r="D1" s="940"/>
      <c r="E1" s="940"/>
      <c r="F1" s="940"/>
      <c r="G1" s="940"/>
      <c r="H1" s="940"/>
    </row>
    <row r="2" spans="1:14" ht="45" customHeight="1" x14ac:dyDescent="0.4">
      <c r="A2" s="287" t="s">
        <v>76</v>
      </c>
      <c r="B2" s="287" t="s">
        <v>77</v>
      </c>
      <c r="C2" s="287"/>
      <c r="D2" s="290"/>
      <c r="E2" s="288" t="s">
        <v>78</v>
      </c>
      <c r="F2" s="288" t="s">
        <v>79</v>
      </c>
      <c r="G2" s="288" t="s">
        <v>80</v>
      </c>
      <c r="H2" s="288" t="s">
        <v>81</v>
      </c>
      <c r="I2" s="2"/>
    </row>
    <row r="3" spans="1:14" ht="19.5" customHeight="1" x14ac:dyDescent="0.5">
      <c r="A3" s="946" t="s">
        <v>9</v>
      </c>
      <c r="B3" s="946"/>
      <c r="C3" s="946"/>
      <c r="D3" s="946"/>
      <c r="E3" s="946"/>
      <c r="F3" s="946"/>
      <c r="G3" s="946"/>
      <c r="H3" s="946"/>
      <c r="I3" s="7"/>
    </row>
    <row r="4" spans="1:14" x14ac:dyDescent="0.4">
      <c r="A4" s="254"/>
      <c r="B4" s="8" t="s">
        <v>82</v>
      </c>
      <c r="C4" s="9"/>
      <c r="D4" s="8"/>
      <c r="E4" s="10">
        <f>(H5*2)+(H4)</f>
        <v>4541680</v>
      </c>
      <c r="F4" s="255"/>
      <c r="G4" s="255"/>
      <c r="H4" s="11">
        <v>4367000</v>
      </c>
      <c r="I4" s="12" t="s">
        <v>83</v>
      </c>
      <c r="J4" s="60"/>
    </row>
    <row r="5" spans="1:14" x14ac:dyDescent="0.4">
      <c r="A5" s="256" t="s">
        <v>84</v>
      </c>
      <c r="B5" s="257" t="s">
        <v>161</v>
      </c>
      <c r="C5" s="258"/>
      <c r="D5" s="259"/>
      <c r="E5" s="100">
        <f>(E4*2%)*50%</f>
        <v>45416.800000000003</v>
      </c>
      <c r="F5" s="260"/>
      <c r="G5" s="260"/>
      <c r="H5" s="261">
        <v>87340</v>
      </c>
      <c r="I5" s="2"/>
      <c r="M5" s="117">
        <v>3797336</v>
      </c>
      <c r="N5" t="s">
        <v>86</v>
      </c>
    </row>
    <row r="6" spans="1:14" x14ac:dyDescent="0.4">
      <c r="A6" s="13"/>
      <c r="B6" s="14" t="s">
        <v>87</v>
      </c>
      <c r="C6" s="9"/>
      <c r="D6" s="14"/>
      <c r="E6" s="10">
        <v>17000</v>
      </c>
      <c r="F6" s="15"/>
      <c r="G6" s="15"/>
      <c r="H6" s="16">
        <v>17000</v>
      </c>
      <c r="I6" s="2"/>
      <c r="M6" s="118">
        <v>0.03</v>
      </c>
      <c r="N6" t="s">
        <v>88</v>
      </c>
    </row>
    <row r="7" spans="1:14" x14ac:dyDescent="0.4">
      <c r="A7" s="169"/>
      <c r="B7" s="170" t="s">
        <v>89</v>
      </c>
      <c r="C7" s="168"/>
      <c r="D7" s="170"/>
      <c r="E7" s="100">
        <v>27500</v>
      </c>
      <c r="F7" s="171"/>
      <c r="G7" s="171"/>
      <c r="H7" s="172">
        <v>28750</v>
      </c>
      <c r="I7" s="12"/>
      <c r="M7" s="117">
        <f>M5*M6</f>
        <v>113920.08</v>
      </c>
      <c r="N7" t="s">
        <v>90</v>
      </c>
    </row>
    <row r="8" spans="1:14" x14ac:dyDescent="0.4">
      <c r="A8" s="132" t="s">
        <v>91</v>
      </c>
      <c r="B8" s="8" t="s">
        <v>92</v>
      </c>
      <c r="C8" s="9"/>
      <c r="D8" s="8"/>
      <c r="E8" s="10">
        <v>120000</v>
      </c>
      <c r="F8" s="11"/>
      <c r="G8" s="11"/>
      <c r="H8" s="11">
        <v>120000</v>
      </c>
      <c r="I8" s="2"/>
      <c r="M8" s="117">
        <f>M7*0.25</f>
        <v>28480.02</v>
      </c>
      <c r="N8" t="s">
        <v>93</v>
      </c>
    </row>
    <row r="9" spans="1:14" x14ac:dyDescent="0.4">
      <c r="A9" s="173" t="s">
        <v>94</v>
      </c>
      <c r="B9" s="174" t="s">
        <v>95</v>
      </c>
      <c r="C9" s="175"/>
      <c r="D9" s="174"/>
      <c r="E9" s="100">
        <v>30000</v>
      </c>
      <c r="F9" s="171"/>
      <c r="G9" s="171"/>
      <c r="H9" s="172">
        <v>30000</v>
      </c>
      <c r="I9" s="2"/>
      <c r="M9" s="117">
        <f>M5+M7</f>
        <v>3911256.08</v>
      </c>
      <c r="N9" t="s">
        <v>96</v>
      </c>
    </row>
    <row r="10" spans="1:14" ht="15" thickBot="1" x14ac:dyDescent="0.45">
      <c r="A10" s="17"/>
      <c r="B10" s="18" t="s">
        <v>97</v>
      </c>
      <c r="C10" s="19"/>
      <c r="D10" s="103">
        <f>SUM(Summary!F3)</f>
        <v>2.8278961742758221E-2</v>
      </c>
      <c r="E10" s="101">
        <f>(SUM(E4:E9))</f>
        <v>4781596.8</v>
      </c>
      <c r="F10" s="176"/>
      <c r="G10" s="176"/>
      <c r="H10" s="177">
        <f>SUM(H4:H9)</f>
        <v>4650090</v>
      </c>
      <c r="I10" s="322" t="s">
        <v>162</v>
      </c>
      <c r="M10" s="117"/>
    </row>
    <row r="11" spans="1:14" ht="13.5" customHeight="1" thickTop="1" x14ac:dyDescent="0.4">
      <c r="A11" s="24"/>
      <c r="B11" s="24"/>
      <c r="C11" s="25"/>
      <c r="D11" s="26"/>
      <c r="E11" s="27"/>
      <c r="F11" s="27"/>
      <c r="G11" s="27"/>
      <c r="H11" s="27"/>
      <c r="I11" s="2"/>
      <c r="M11" s="117">
        <v>4239580</v>
      </c>
      <c r="N11" t="s">
        <v>98</v>
      </c>
    </row>
    <row r="12" spans="1:14" ht="19.5" customHeight="1" x14ac:dyDescent="0.5">
      <c r="A12" s="948" t="s">
        <v>10</v>
      </c>
      <c r="B12" s="948"/>
      <c r="C12" s="948"/>
      <c r="D12" s="948"/>
      <c r="E12" s="948"/>
      <c r="F12" s="948"/>
      <c r="G12" s="948"/>
      <c r="H12" s="948"/>
      <c r="I12" s="7"/>
      <c r="M12" s="117">
        <f>M11-M9</f>
        <v>328323.91999999993</v>
      </c>
      <c r="N12" t="s">
        <v>99</v>
      </c>
    </row>
    <row r="13" spans="1:14" x14ac:dyDescent="0.4">
      <c r="A13" s="13"/>
      <c r="B13" s="28" t="s">
        <v>100</v>
      </c>
      <c r="C13" s="178"/>
      <c r="D13" s="3"/>
      <c r="E13" s="3"/>
      <c r="F13" s="3"/>
      <c r="G13" s="3"/>
      <c r="H13" s="3"/>
      <c r="I13" s="2"/>
      <c r="M13" s="117">
        <v>140000</v>
      </c>
      <c r="N13" t="s">
        <v>101</v>
      </c>
    </row>
    <row r="14" spans="1:14" x14ac:dyDescent="0.4">
      <c r="A14" s="262"/>
      <c r="B14" s="257" t="s">
        <v>102</v>
      </c>
      <c r="C14" s="258"/>
      <c r="D14" s="259"/>
      <c r="E14" s="263">
        <f>((600*12)*34)*0.95</f>
        <v>232560</v>
      </c>
      <c r="F14" s="264"/>
      <c r="G14" s="264"/>
      <c r="H14" s="264">
        <v>232560</v>
      </c>
      <c r="I14" s="2"/>
      <c r="M14" s="117">
        <f>M11-M13</f>
        <v>4099580</v>
      </c>
      <c r="N14" t="s">
        <v>103</v>
      </c>
    </row>
    <row r="15" spans="1:14" x14ac:dyDescent="0.4">
      <c r="A15" s="13"/>
      <c r="B15" s="14" t="s">
        <v>104</v>
      </c>
      <c r="C15" s="9"/>
      <c r="D15" s="8"/>
      <c r="E15" s="179">
        <f>600*12</f>
        <v>7200</v>
      </c>
      <c r="F15" s="11"/>
      <c r="G15" s="11"/>
      <c r="H15" s="11">
        <v>7200</v>
      </c>
      <c r="I15" s="2"/>
      <c r="M15" s="117"/>
    </row>
    <row r="16" spans="1:14" x14ac:dyDescent="0.4">
      <c r="A16" s="166"/>
      <c r="B16" s="180" t="s">
        <v>105</v>
      </c>
      <c r="C16" s="168"/>
      <c r="D16" s="168"/>
      <c r="E16" s="102">
        <v>1000</v>
      </c>
      <c r="F16" s="181"/>
      <c r="G16" s="181"/>
      <c r="H16" s="182">
        <v>1000</v>
      </c>
      <c r="I16" s="2"/>
    </row>
    <row r="17" spans="1:14" x14ac:dyDescent="0.4">
      <c r="A17" s="24"/>
      <c r="B17" s="36" t="s">
        <v>106</v>
      </c>
      <c r="C17" s="38"/>
      <c r="E17" s="183">
        <f>SUM(E14:E16)</f>
        <v>240760</v>
      </c>
      <c r="F17" s="39"/>
      <c r="G17" s="39"/>
      <c r="H17" s="41">
        <f>SUM(H14:H16)</f>
        <v>240760</v>
      </c>
      <c r="I17" s="2"/>
    </row>
    <row r="18" spans="1:14" x14ac:dyDescent="0.4">
      <c r="A18" s="13"/>
      <c r="C18" s="412"/>
      <c r="E18" s="3"/>
      <c r="H18" s="3"/>
      <c r="I18" s="2"/>
      <c r="N18" s="52">
        <f>H4*1.03</f>
        <v>4498010</v>
      </c>
    </row>
    <row r="19" spans="1:14" x14ac:dyDescent="0.4">
      <c r="A19" s="13"/>
      <c r="B19" s="184" t="s">
        <v>107</v>
      </c>
      <c r="C19" s="185"/>
      <c r="D19" s="8"/>
      <c r="H19" s="3"/>
      <c r="I19" s="2"/>
    </row>
    <row r="20" spans="1:14" x14ac:dyDescent="0.4">
      <c r="A20" s="166"/>
      <c r="B20" s="170" t="s">
        <v>108</v>
      </c>
      <c r="C20" s="168"/>
      <c r="D20" s="186"/>
      <c r="E20" s="164">
        <f>(1*110)*12</f>
        <v>1320</v>
      </c>
      <c r="F20" s="187"/>
      <c r="G20" s="187"/>
      <c r="H20" s="187">
        <v>1320</v>
      </c>
      <c r="I20" s="2" t="s">
        <v>109</v>
      </c>
    </row>
    <row r="21" spans="1:14" x14ac:dyDescent="0.4">
      <c r="A21" s="43"/>
      <c r="B21" s="8" t="s">
        <v>110</v>
      </c>
      <c r="C21" s="9"/>
      <c r="E21" s="179">
        <f>(90*5)*12</f>
        <v>5400</v>
      </c>
      <c r="F21" s="11"/>
      <c r="G21" s="11"/>
      <c r="H21" s="11">
        <v>5400</v>
      </c>
      <c r="I21" s="2" t="s">
        <v>111</v>
      </c>
    </row>
    <row r="22" spans="1:14" x14ac:dyDescent="0.4">
      <c r="A22" s="188"/>
      <c r="B22" s="170" t="s">
        <v>112</v>
      </c>
      <c r="C22" s="168"/>
      <c r="D22" s="186"/>
      <c r="E22" s="102">
        <f>(70*11)*12</f>
        <v>9240</v>
      </c>
      <c r="F22" s="189"/>
      <c r="G22" s="189"/>
      <c r="H22" s="189">
        <v>9240</v>
      </c>
      <c r="I22" s="2" t="s">
        <v>113</v>
      </c>
    </row>
    <row r="23" spans="1:14" x14ac:dyDescent="0.4">
      <c r="A23" s="24"/>
      <c r="B23" s="36" t="s">
        <v>106</v>
      </c>
      <c r="C23" s="38"/>
      <c r="E23" s="183">
        <f>SUM(E20:E22)</f>
        <v>15960</v>
      </c>
      <c r="F23" s="41"/>
      <c r="G23" s="41"/>
      <c r="H23" s="41">
        <f>SUM(H20:H22)</f>
        <v>15960</v>
      </c>
      <c r="I23" s="2"/>
    </row>
    <row r="24" spans="1:14" x14ac:dyDescent="0.4">
      <c r="A24" s="24"/>
      <c r="B24" s="36"/>
      <c r="C24" s="38"/>
      <c r="E24" s="41"/>
      <c r="F24" s="41"/>
      <c r="G24" s="41"/>
      <c r="H24" s="41"/>
      <c r="I24" s="2"/>
    </row>
    <row r="25" spans="1:14" x14ac:dyDescent="0.4">
      <c r="A25" s="24"/>
      <c r="B25" s="44" t="s">
        <v>114</v>
      </c>
      <c r="C25" s="45"/>
      <c r="E25" s="41"/>
      <c r="F25" s="41"/>
      <c r="G25" s="41"/>
      <c r="H25" s="41"/>
      <c r="I25" s="2"/>
    </row>
    <row r="26" spans="1:14" x14ac:dyDescent="0.4">
      <c r="A26" s="190"/>
      <c r="B26" s="191" t="s">
        <v>115</v>
      </c>
      <c r="C26" s="192"/>
      <c r="D26" s="142">
        <v>1000</v>
      </c>
      <c r="E26" s="164">
        <f t="shared" ref="E26:E31" si="0">C26*D26</f>
        <v>0</v>
      </c>
      <c r="F26" s="193"/>
      <c r="G26" s="193"/>
      <c r="H26" s="187">
        <v>0</v>
      </c>
      <c r="I26" s="2"/>
    </row>
    <row r="27" spans="1:14" x14ac:dyDescent="0.4">
      <c r="A27" s="46"/>
      <c r="B27" s="14" t="s">
        <v>116</v>
      </c>
      <c r="C27" s="47">
        <v>1</v>
      </c>
      <c r="D27" s="5">
        <v>1000</v>
      </c>
      <c r="E27" s="179">
        <f t="shared" si="0"/>
        <v>1000</v>
      </c>
      <c r="F27" s="41"/>
      <c r="G27" s="41"/>
      <c r="H27" s="11">
        <v>1000</v>
      </c>
      <c r="I27" s="2" t="s">
        <v>117</v>
      </c>
    </row>
    <row r="28" spans="1:14" x14ac:dyDescent="0.4">
      <c r="A28" s="190"/>
      <c r="B28" s="191" t="s">
        <v>118</v>
      </c>
      <c r="C28" s="192"/>
      <c r="D28" s="142">
        <v>1000</v>
      </c>
      <c r="E28" s="164">
        <f t="shared" si="0"/>
        <v>0</v>
      </c>
      <c r="F28" s="193"/>
      <c r="G28" s="193"/>
      <c r="H28" s="187">
        <v>0</v>
      </c>
      <c r="I28" s="2"/>
    </row>
    <row r="29" spans="1:14" x14ac:dyDescent="0.4">
      <c r="A29" s="46"/>
      <c r="B29" s="14" t="s">
        <v>119</v>
      </c>
      <c r="C29" s="47">
        <v>1</v>
      </c>
      <c r="D29" s="5">
        <v>1500</v>
      </c>
      <c r="E29" s="179">
        <f t="shared" si="0"/>
        <v>1500</v>
      </c>
      <c r="F29" s="41"/>
      <c r="G29" s="41"/>
      <c r="H29" s="11">
        <v>0</v>
      </c>
      <c r="I29" s="2" t="s">
        <v>120</v>
      </c>
    </row>
    <row r="30" spans="1:14" x14ac:dyDescent="0.4">
      <c r="A30" s="190"/>
      <c r="B30" s="191" t="s">
        <v>121</v>
      </c>
      <c r="C30" s="192">
        <v>4</v>
      </c>
      <c r="D30" s="142">
        <v>2000</v>
      </c>
      <c r="E30" s="164">
        <f t="shared" si="0"/>
        <v>8000</v>
      </c>
      <c r="F30" s="193"/>
      <c r="G30" s="193"/>
      <c r="H30" s="187">
        <v>8000</v>
      </c>
      <c r="I30" s="2" t="s">
        <v>122</v>
      </c>
    </row>
    <row r="31" spans="1:14" x14ac:dyDescent="0.4">
      <c r="A31" s="291"/>
      <c r="B31" s="292" t="s">
        <v>123</v>
      </c>
      <c r="C31" s="293">
        <v>1</v>
      </c>
      <c r="D31" s="143">
        <v>2000</v>
      </c>
      <c r="E31" s="294">
        <f t="shared" si="0"/>
        <v>2000</v>
      </c>
      <c r="F31" s="295"/>
      <c r="G31" s="295"/>
      <c r="H31" s="296">
        <v>0</v>
      </c>
      <c r="I31" s="2" t="s">
        <v>163</v>
      </c>
    </row>
    <row r="32" spans="1:14" x14ac:dyDescent="0.4">
      <c r="A32" s="24"/>
      <c r="B32" s="14"/>
      <c r="C32" s="9"/>
      <c r="E32" s="183">
        <f>SUM(E26:E31)</f>
        <v>12500</v>
      </c>
      <c r="F32" s="41"/>
      <c r="G32" s="41"/>
      <c r="H32" s="41">
        <f>SUM(H26:H31)</f>
        <v>9000</v>
      </c>
      <c r="I32" s="2"/>
    </row>
    <row r="33" spans="1:9" x14ac:dyDescent="0.4">
      <c r="A33" s="24"/>
      <c r="B33" s="14"/>
      <c r="C33" s="9"/>
      <c r="E33" s="11"/>
      <c r="F33" s="41"/>
      <c r="G33" s="41"/>
      <c r="H33" s="11"/>
      <c r="I33" s="2"/>
    </row>
    <row r="34" spans="1:9" ht="15" thickBot="1" x14ac:dyDescent="0.45">
      <c r="A34" s="24"/>
      <c r="B34" s="18" t="s">
        <v>97</v>
      </c>
      <c r="C34" s="19"/>
      <c r="D34" s="103">
        <f>SUM(Summary!F4)</f>
        <v>1.3167795334838224E-2</v>
      </c>
      <c r="E34" s="101">
        <f>SUM(E17+E23+E32)</f>
        <v>269220</v>
      </c>
      <c r="F34" s="176"/>
      <c r="G34" s="176"/>
      <c r="H34" s="177">
        <f>SUM(H17+H23+H32)</f>
        <v>265720</v>
      </c>
      <c r="I34" s="2"/>
    </row>
    <row r="35" spans="1:9" ht="15" thickTop="1" x14ac:dyDescent="0.4">
      <c r="A35" s="13"/>
      <c r="B35" s="13"/>
      <c r="C35" s="51"/>
      <c r="D35" s="13"/>
      <c r="E35" s="13"/>
      <c r="F35" s="13"/>
      <c r="G35" s="13"/>
      <c r="H35" s="26"/>
      <c r="I35" s="2"/>
    </row>
    <row r="36" spans="1:9" ht="19.5" customHeight="1" x14ac:dyDescent="0.5">
      <c r="A36" s="948" t="s">
        <v>125</v>
      </c>
      <c r="B36" s="948"/>
      <c r="C36" s="948"/>
      <c r="D36" s="948"/>
      <c r="E36" s="948"/>
      <c r="F36" s="948"/>
      <c r="G36" s="948"/>
      <c r="H36" s="948"/>
      <c r="I36" s="7"/>
    </row>
    <row r="37" spans="1:9" x14ac:dyDescent="0.4">
      <c r="A37" s="132" t="s">
        <v>127</v>
      </c>
      <c r="B37" s="14" t="s">
        <v>128</v>
      </c>
      <c r="C37" s="9"/>
      <c r="D37" s="285"/>
      <c r="E37" s="179">
        <f>ROUND((36.51*73*8)+((36.51*105%)*73*4),0)</f>
        <v>32516</v>
      </c>
      <c r="F37" s="354"/>
      <c r="G37" s="354"/>
      <c r="H37" s="4">
        <v>29224</v>
      </c>
      <c r="I37" s="2"/>
    </row>
    <row r="38" spans="1:9" x14ac:dyDescent="0.4">
      <c r="A38" s="355" t="s">
        <v>127</v>
      </c>
      <c r="B38" s="356" t="s">
        <v>129</v>
      </c>
      <c r="C38" s="357"/>
      <c r="D38" s="358"/>
      <c r="E38" s="359">
        <f>((621.8-10)*73*8)+(((621.8-10)*115%)*73*4)</f>
        <v>562733.6399999999</v>
      </c>
      <c r="F38" s="360"/>
      <c r="G38" s="360"/>
      <c r="H38" s="361">
        <v>588602</v>
      </c>
      <c r="I38" s="2"/>
    </row>
    <row r="39" spans="1:9" x14ac:dyDescent="0.4">
      <c r="A39" s="132"/>
      <c r="B39" s="14" t="s">
        <v>130</v>
      </c>
      <c r="C39" s="9"/>
      <c r="D39" s="285"/>
      <c r="E39" s="179">
        <f>(140*20*12)</f>
        <v>33600</v>
      </c>
      <c r="F39" s="11"/>
      <c r="G39" s="11"/>
      <c r="H39" s="11">
        <v>32232</v>
      </c>
      <c r="I39" s="2"/>
    </row>
    <row r="40" spans="1:9" x14ac:dyDescent="0.4">
      <c r="A40" s="355" t="s">
        <v>127</v>
      </c>
      <c r="B40" s="356" t="s">
        <v>131</v>
      </c>
      <c r="C40" s="357"/>
      <c r="D40" s="358"/>
      <c r="E40" s="359">
        <f>((7.28*73)*8)+((7.28*105%)*73*4)</f>
        <v>6483.5680000000011</v>
      </c>
      <c r="F40" s="361"/>
      <c r="G40" s="361"/>
      <c r="H40" s="361">
        <v>5590</v>
      </c>
      <c r="I40" s="2"/>
    </row>
    <row r="41" spans="1:9" x14ac:dyDescent="0.4">
      <c r="A41" s="132" t="s">
        <v>132</v>
      </c>
      <c r="B41" s="14" t="s">
        <v>133</v>
      </c>
      <c r="C41" s="9"/>
      <c r="D41" s="285"/>
      <c r="E41" s="179">
        <f>((((4*73)*12)+2370))</f>
        <v>5874</v>
      </c>
      <c r="F41" s="11"/>
      <c r="G41" s="11"/>
      <c r="H41" s="11">
        <v>5821</v>
      </c>
    </row>
    <row r="42" spans="1:9" x14ac:dyDescent="0.4">
      <c r="A42" s="355" t="s">
        <v>132</v>
      </c>
      <c r="B42" s="362" t="s">
        <v>134</v>
      </c>
      <c r="C42" s="363"/>
      <c r="D42" s="364"/>
      <c r="E42" s="359">
        <f>(((E4+E5)*0.331%))</f>
        <v>15183.290407999999</v>
      </c>
      <c r="F42" s="361"/>
      <c r="G42" s="361"/>
      <c r="H42" s="361">
        <v>14031</v>
      </c>
      <c r="I42" s="2"/>
    </row>
    <row r="43" spans="1:9" ht="15" thickBot="1" x14ac:dyDescent="0.45">
      <c r="A43" s="194"/>
      <c r="B43" s="18" t="s">
        <v>97</v>
      </c>
      <c r="C43" s="19"/>
      <c r="D43" s="103">
        <f>SUM(Summary!F5)</f>
        <v>-2.8419182948490232E-2</v>
      </c>
      <c r="E43" s="101">
        <f>SUM(E37:E42)</f>
        <v>656390.49840799987</v>
      </c>
      <c r="F43" s="176"/>
      <c r="G43" s="176"/>
      <c r="H43" s="195">
        <f>SUM(H37:H42)</f>
        <v>675500</v>
      </c>
      <c r="I43" s="58"/>
    </row>
    <row r="44" spans="1:9" ht="19.75" thickTop="1" x14ac:dyDescent="0.5">
      <c r="A44" s="196"/>
      <c r="B44" s="197"/>
      <c r="C44" s="198"/>
      <c r="D44" s="286"/>
      <c r="E44" s="197"/>
      <c r="F44" s="197"/>
      <c r="G44" s="197"/>
      <c r="H44" s="197"/>
      <c r="I44" s="2"/>
    </row>
    <row r="45" spans="1:9" ht="20.25" customHeight="1" x14ac:dyDescent="0.5">
      <c r="A45" s="948" t="s">
        <v>12</v>
      </c>
      <c r="B45" s="948"/>
      <c r="C45" s="948"/>
      <c r="D45" s="948"/>
      <c r="E45" s="948"/>
      <c r="F45" s="948"/>
      <c r="G45" s="948"/>
      <c r="H45" s="948"/>
      <c r="I45" s="199"/>
    </row>
    <row r="46" spans="1:9" x14ac:dyDescent="0.4">
      <c r="A46" s="121" t="s">
        <v>135</v>
      </c>
      <c r="B46" s="14" t="s">
        <v>136</v>
      </c>
      <c r="C46" s="9"/>
      <c r="D46" s="9"/>
      <c r="E46" s="179">
        <f>SUM(E4:E7)*0.97</f>
        <v>4492648.8959999997</v>
      </c>
      <c r="F46" s="255"/>
      <c r="G46" s="255"/>
      <c r="H46" s="60">
        <v>4365087</v>
      </c>
      <c r="I46" s="7"/>
    </row>
    <row r="47" spans="1:9" x14ac:dyDescent="0.4">
      <c r="A47" s="265"/>
      <c r="B47" s="259" t="s">
        <v>137</v>
      </c>
      <c r="C47" s="258"/>
      <c r="D47" s="266"/>
      <c r="E47" s="267">
        <f>SUM(E14+E15+E32)</f>
        <v>252260</v>
      </c>
      <c r="F47" s="268"/>
      <c r="G47" s="268"/>
      <c r="H47" s="268">
        <v>248760</v>
      </c>
      <c r="I47" s="2"/>
    </row>
    <row r="48" spans="1:9" x14ac:dyDescent="0.4">
      <c r="A48" s="120"/>
      <c r="B48" s="14"/>
      <c r="C48" s="9"/>
      <c r="D48" s="3"/>
      <c r="E48" s="179">
        <f>SUM(E46:E47)</f>
        <v>4744908.8959999997</v>
      </c>
      <c r="F48" s="39"/>
      <c r="G48" s="39"/>
      <c r="H48" s="41">
        <f>SUM(H46:H47)</f>
        <v>4613847</v>
      </c>
      <c r="I48" s="2"/>
    </row>
    <row r="49" spans="1:9" x14ac:dyDescent="0.4">
      <c r="A49" s="121"/>
      <c r="B49" s="8"/>
      <c r="C49" s="9"/>
      <c r="D49" s="9"/>
      <c r="E49" s="11"/>
      <c r="F49" s="11"/>
      <c r="G49" s="11"/>
      <c r="H49" s="11"/>
      <c r="I49" s="2"/>
    </row>
    <row r="50" spans="1:9" x14ac:dyDescent="0.4">
      <c r="A50" s="200" t="s">
        <v>138</v>
      </c>
      <c r="B50" s="201" t="s">
        <v>139</v>
      </c>
      <c r="C50" s="202"/>
      <c r="D50" s="203"/>
      <c r="E50" s="102">
        <f>E48*0.12%</f>
        <v>5693.8906751999994</v>
      </c>
      <c r="F50" s="204"/>
      <c r="G50" s="204"/>
      <c r="H50" s="205">
        <v>5537</v>
      </c>
      <c r="I50" s="2"/>
    </row>
    <row r="51" spans="1:9" ht="15" thickBot="1" x14ac:dyDescent="0.45">
      <c r="A51" s="121"/>
      <c r="B51" s="18"/>
      <c r="C51" s="19"/>
      <c r="E51" s="179">
        <f>SUM(E50)</f>
        <v>5693.8906751999994</v>
      </c>
      <c r="F51" s="206"/>
      <c r="G51" s="206"/>
      <c r="H51" s="108">
        <f>SUM(H50)</f>
        <v>5537</v>
      </c>
      <c r="I51" s="2"/>
    </row>
    <row r="52" spans="1:9" ht="15" thickTop="1" x14ac:dyDescent="0.4">
      <c r="A52" s="121"/>
      <c r="B52" s="13"/>
      <c r="C52" s="51"/>
      <c r="D52" s="13"/>
      <c r="E52" s="13"/>
      <c r="F52" s="13"/>
      <c r="G52" s="13"/>
      <c r="H52" s="27"/>
      <c r="I52" s="2"/>
    </row>
    <row r="53" spans="1:9" x14ac:dyDescent="0.4">
      <c r="A53" s="121" t="s">
        <v>140</v>
      </c>
      <c r="B53" s="207" t="s">
        <v>141</v>
      </c>
      <c r="C53" s="61"/>
      <c r="D53" s="13"/>
      <c r="E53" s="179">
        <f>E48*16.75%</f>
        <v>794772.24008000002</v>
      </c>
      <c r="F53" s="63"/>
      <c r="G53" s="63"/>
      <c r="H53" s="27">
        <v>825417</v>
      </c>
      <c r="I53" s="7"/>
    </row>
    <row r="54" spans="1:9" x14ac:dyDescent="0.4">
      <c r="A54" s="269" t="s">
        <v>138</v>
      </c>
      <c r="B54" s="201" t="s">
        <v>142</v>
      </c>
      <c r="C54" s="202"/>
      <c r="D54" s="166"/>
      <c r="E54" s="102">
        <f>E48*0.13%</f>
        <v>6168.3815647999991</v>
      </c>
      <c r="F54" s="208"/>
      <c r="G54" s="208"/>
      <c r="H54" s="209">
        <v>5537</v>
      </c>
      <c r="I54" s="323" t="s">
        <v>164</v>
      </c>
    </row>
    <row r="55" spans="1:9" x14ac:dyDescent="0.4">
      <c r="A55" s="122"/>
      <c r="B55" s="18"/>
      <c r="C55" s="68"/>
      <c r="D55" s="103">
        <f>(E55-H55)/H55</f>
        <v>-3.611918151329669E-2</v>
      </c>
      <c r="E55" s="179">
        <f>SUM(E53:E54)</f>
        <v>800940.62164480006</v>
      </c>
      <c r="F55" s="63"/>
      <c r="G55" s="63"/>
      <c r="H55" s="109">
        <f>SUM(H53:H54)</f>
        <v>830954</v>
      </c>
      <c r="I55" s="7"/>
    </row>
    <row r="56" spans="1:9" x14ac:dyDescent="0.4">
      <c r="A56" s="120"/>
      <c r="B56" s="63"/>
      <c r="C56" s="68"/>
      <c r="D56" s="20"/>
      <c r="E56" s="72"/>
      <c r="F56" s="63"/>
      <c r="G56" s="63"/>
      <c r="H56" s="27"/>
      <c r="I56" s="7"/>
    </row>
    <row r="57" spans="1:9" x14ac:dyDescent="0.4">
      <c r="A57" s="200" t="s">
        <v>143</v>
      </c>
      <c r="B57" s="320" t="s">
        <v>144</v>
      </c>
      <c r="C57" s="210"/>
      <c r="D57" s="203"/>
      <c r="E57" s="164">
        <f>E48*19.13%</f>
        <v>907701.07180479995</v>
      </c>
      <c r="F57" s="208"/>
      <c r="G57" s="208"/>
      <c r="H57" s="209">
        <v>882168</v>
      </c>
      <c r="I57" s="7"/>
    </row>
    <row r="58" spans="1:9" x14ac:dyDescent="0.4">
      <c r="A58" s="121" t="s">
        <v>145</v>
      </c>
      <c r="B58" s="321" t="s">
        <v>146</v>
      </c>
      <c r="C58" s="68"/>
      <c r="D58" s="20"/>
      <c r="E58" s="72"/>
      <c r="F58" s="63"/>
      <c r="G58" s="63"/>
      <c r="H58" s="27"/>
      <c r="I58" s="7"/>
    </row>
    <row r="59" spans="1:9" ht="15" thickBot="1" x14ac:dyDescent="0.45">
      <c r="A59" s="120"/>
      <c r="B59" s="18" t="s">
        <v>97</v>
      </c>
      <c r="C59" s="68"/>
      <c r="D59" s="103">
        <f>SUM(Summary!$F$6)</f>
        <v>2.9018363182951711E-2</v>
      </c>
      <c r="E59" s="101">
        <f>SUM(E57:E58)</f>
        <v>907701.07180479995</v>
      </c>
      <c r="F59" s="74"/>
      <c r="G59" s="74"/>
      <c r="H59" s="211">
        <f>SUM(H57:H58)</f>
        <v>882168</v>
      </c>
      <c r="I59" s="7"/>
    </row>
    <row r="60" spans="1:9" ht="15" thickTop="1" x14ac:dyDescent="0.4">
      <c r="A60" s="13"/>
      <c r="B60" s="63"/>
      <c r="C60" s="68"/>
      <c r="D60" s="13"/>
      <c r="E60" s="63"/>
      <c r="F60" s="63"/>
      <c r="G60" s="63"/>
      <c r="H60" s="26"/>
      <c r="I60" s="7"/>
    </row>
    <row r="61" spans="1:9" ht="19.5" customHeight="1" x14ac:dyDescent="0.5">
      <c r="A61" s="946" t="s">
        <v>147</v>
      </c>
      <c r="B61" s="947"/>
      <c r="C61" s="947"/>
      <c r="D61" s="947"/>
      <c r="E61" s="947"/>
      <c r="F61" s="947"/>
      <c r="G61" s="947"/>
      <c r="H61" s="947"/>
      <c r="I61" s="7"/>
    </row>
    <row r="62" spans="1:9" x14ac:dyDescent="0.4">
      <c r="A62" s="13"/>
      <c r="B62" t="s">
        <v>148</v>
      </c>
      <c r="C62" s="412"/>
      <c r="E62" s="179">
        <f>(2003*4)*110%</f>
        <v>8813.2000000000007</v>
      </c>
      <c r="F62" s="75"/>
      <c r="G62" s="75"/>
      <c r="H62" s="60">
        <v>8813.2000000000007</v>
      </c>
      <c r="I62" s="2"/>
    </row>
    <row r="63" spans="1:9" ht="15" thickBot="1" x14ac:dyDescent="0.45">
      <c r="A63" s="212"/>
      <c r="B63" s="213" t="s">
        <v>97</v>
      </c>
      <c r="C63" s="214"/>
      <c r="D63" s="104" t="e">
        <f>SUM(Summary!$H$7)</f>
        <v>#REF!</v>
      </c>
      <c r="E63" s="107">
        <f>SUM(E62)</f>
        <v>8813.2000000000007</v>
      </c>
      <c r="F63" s="76"/>
      <c r="G63" s="76"/>
      <c r="H63" s="110">
        <f>SUM(H62)</f>
        <v>8813.2000000000007</v>
      </c>
      <c r="I63" s="2"/>
    </row>
    <row r="64" spans="1:9" ht="15" thickTop="1" x14ac:dyDescent="0.4">
      <c r="A64" s="13"/>
      <c r="B64" s="13"/>
      <c r="C64" s="51"/>
      <c r="D64" s="13"/>
      <c r="E64" s="13"/>
      <c r="F64" s="13"/>
      <c r="G64" s="13"/>
      <c r="H64" s="26"/>
      <c r="I64" s="2"/>
    </row>
    <row r="65" spans="1:9" ht="19.5" customHeight="1" x14ac:dyDescent="0.5">
      <c r="A65" s="946" t="s">
        <v>149</v>
      </c>
      <c r="B65" s="947"/>
      <c r="C65" s="947"/>
      <c r="D65" s="947"/>
      <c r="E65" s="947"/>
      <c r="F65" s="947"/>
      <c r="G65" s="947"/>
      <c r="H65" s="947"/>
      <c r="I65" s="7"/>
    </row>
    <row r="66" spans="1:9" x14ac:dyDescent="0.4">
      <c r="A66" s="13"/>
      <c r="B66" s="215" t="s">
        <v>150</v>
      </c>
      <c r="C66" s="185"/>
      <c r="D66" s="8"/>
      <c r="E66" s="8"/>
      <c r="F66" s="8"/>
      <c r="G66" s="8"/>
      <c r="H66" s="8"/>
      <c r="I66" s="2"/>
    </row>
    <row r="67" spans="1:9" x14ac:dyDescent="0.4">
      <c r="A67" s="13"/>
      <c r="B67" s="14" t="s">
        <v>151</v>
      </c>
      <c r="C67" s="9"/>
      <c r="D67" s="14"/>
      <c r="E67" s="179">
        <f>SUM(E4+E5+E6+E7+E8+E14+E15+E32)</f>
        <v>5003856.8</v>
      </c>
      <c r="F67" s="77"/>
      <c r="G67" s="77"/>
      <c r="H67" s="60">
        <f>SUM(H4+H5+H6+H7+H8+H14+H15+H32)</f>
        <v>4868850</v>
      </c>
      <c r="I67" s="2"/>
    </row>
    <row r="68" spans="1:9" x14ac:dyDescent="0.4">
      <c r="A68" s="166"/>
      <c r="B68" s="167" t="s">
        <v>152</v>
      </c>
      <c r="C68" s="168"/>
      <c r="D68" s="168"/>
      <c r="E68" s="216">
        <v>1.4500000000000001E-2</v>
      </c>
      <c r="F68" s="217"/>
      <c r="G68" s="217"/>
      <c r="H68" s="216">
        <v>1.4500000000000001E-2</v>
      </c>
      <c r="I68" s="2"/>
    </row>
    <row r="69" spans="1:9" x14ac:dyDescent="0.4">
      <c r="A69" s="13"/>
      <c r="B69" s="36" t="s">
        <v>153</v>
      </c>
      <c r="C69" s="38"/>
      <c r="D69" s="8"/>
      <c r="E69" s="179">
        <f>(E67*E68)</f>
        <v>72555.923599999995</v>
      </c>
      <c r="F69" s="77"/>
      <c r="G69" s="77"/>
      <c r="H69" s="11">
        <f>H67*H68</f>
        <v>70598.324999999997</v>
      </c>
      <c r="I69" s="2"/>
    </row>
    <row r="70" spans="1:9" x14ac:dyDescent="0.4">
      <c r="A70" s="13"/>
      <c r="B70" s="215"/>
      <c r="C70" s="185"/>
      <c r="D70" s="8"/>
      <c r="E70" s="73"/>
      <c r="F70" s="73"/>
      <c r="G70" s="73"/>
      <c r="H70" s="73"/>
      <c r="I70" s="2"/>
    </row>
    <row r="71" spans="1:9" x14ac:dyDescent="0.4">
      <c r="A71" s="13"/>
      <c r="B71" s="215"/>
      <c r="C71" s="185"/>
      <c r="D71" s="8"/>
      <c r="E71" s="73"/>
      <c r="F71" s="73"/>
      <c r="G71" s="73"/>
      <c r="H71" s="73"/>
      <c r="I71" s="2"/>
    </row>
    <row r="72" spans="1:9" x14ac:dyDescent="0.4">
      <c r="A72" s="13"/>
      <c r="B72" s="215" t="s">
        <v>154</v>
      </c>
      <c r="C72" s="185"/>
      <c r="D72" s="8"/>
      <c r="E72" s="8"/>
      <c r="F72" s="8"/>
      <c r="G72" s="8"/>
      <c r="H72" s="8"/>
      <c r="I72" s="2"/>
    </row>
    <row r="73" spans="1:9" x14ac:dyDescent="0.4">
      <c r="A73" s="121" t="s">
        <v>155</v>
      </c>
      <c r="B73" s="14" t="s">
        <v>156</v>
      </c>
      <c r="C73" s="9"/>
      <c r="D73" s="14"/>
      <c r="E73" s="218">
        <v>5000</v>
      </c>
      <c r="F73" s="11"/>
      <c r="G73" s="11"/>
      <c r="H73" s="11">
        <v>5000</v>
      </c>
      <c r="I73" s="2"/>
    </row>
    <row r="74" spans="1:9" x14ac:dyDescent="0.4">
      <c r="A74" s="166"/>
      <c r="B74" s="167" t="s">
        <v>157</v>
      </c>
      <c r="C74" s="168"/>
      <c r="D74" s="167"/>
      <c r="E74" s="105">
        <v>6.2E-2</v>
      </c>
      <c r="F74" s="217"/>
      <c r="G74" s="217"/>
      <c r="H74" s="216">
        <v>6.2E-2</v>
      </c>
      <c r="I74" s="2"/>
    </row>
    <row r="75" spans="1:9" x14ac:dyDescent="0.4">
      <c r="A75" s="24"/>
      <c r="B75" s="36" t="s">
        <v>153</v>
      </c>
      <c r="C75" s="38"/>
      <c r="D75" s="8"/>
      <c r="E75" s="179">
        <f>E73*E74</f>
        <v>310</v>
      </c>
      <c r="F75" s="73"/>
      <c r="G75" s="73"/>
      <c r="H75" s="11">
        <f>H73*H74</f>
        <v>310</v>
      </c>
      <c r="I75" s="2"/>
    </row>
    <row r="76" spans="1:9" x14ac:dyDescent="0.4">
      <c r="A76" s="13"/>
      <c r="C76" s="412"/>
      <c r="E76" s="3"/>
      <c r="F76" s="3"/>
      <c r="G76" s="3"/>
      <c r="H76" s="3"/>
      <c r="I76" s="2"/>
    </row>
    <row r="77" spans="1:9" ht="15" thickBot="1" x14ac:dyDescent="0.45">
      <c r="A77" s="13"/>
      <c r="B77" s="18" t="s">
        <v>97</v>
      </c>
      <c r="C77" s="19"/>
      <c r="D77" s="103">
        <f>SUM(Summary!$F$8)</f>
        <v>2.6760563380281689E-2</v>
      </c>
      <c r="E77" s="101">
        <f>SUM(E69+E75)</f>
        <v>72865.923599999995</v>
      </c>
      <c r="F77" s="219"/>
      <c r="G77" s="219"/>
      <c r="H77" s="177">
        <f>SUM(H69+H75)</f>
        <v>70908.324999999997</v>
      </c>
      <c r="I77" s="2"/>
    </row>
    <row r="78" spans="1:9" ht="15.45" thickTop="1" thickBot="1" x14ac:dyDescent="0.45">
      <c r="A78" s="13"/>
      <c r="C78" s="412"/>
      <c r="H78" s="3"/>
      <c r="I78" s="2"/>
    </row>
    <row r="79" spans="1:9" ht="15" thickBot="1" x14ac:dyDescent="0.45">
      <c r="A79" s="13"/>
      <c r="B79" s="62" t="s">
        <v>158</v>
      </c>
      <c r="C79" s="319"/>
      <c r="D79" s="103">
        <f>(E79-H79)/H79</f>
        <v>2.1880604774169456E-2</v>
      </c>
      <c r="E79" s="106">
        <f>SUM(E10+E34+E43+E59+E63+E77)</f>
        <v>6696587.4938128004</v>
      </c>
      <c r="F79" s="78"/>
      <c r="G79" s="78"/>
      <c r="H79" s="79">
        <f>SUM(H10+H34+H43+H59+H63+H77)</f>
        <v>6553199.5250000004</v>
      </c>
      <c r="I79" s="2"/>
    </row>
    <row r="80" spans="1:9" ht="13.5" customHeight="1" x14ac:dyDescent="0.4">
      <c r="A80" s="13"/>
      <c r="B80" s="13"/>
      <c r="C80" s="51"/>
      <c r="D80" s="80"/>
      <c r="E80" s="13"/>
      <c r="F80" s="13"/>
      <c r="G80" s="13"/>
      <c r="H80" s="26"/>
      <c r="I80" s="2"/>
    </row>
    <row r="81" spans="3:9" x14ac:dyDescent="0.4">
      <c r="C81" s="412"/>
      <c r="I81" s="324" t="s">
        <v>165</v>
      </c>
    </row>
    <row r="82" spans="3:9" x14ac:dyDescent="0.4">
      <c r="C82" s="412"/>
      <c r="I82" s="58"/>
    </row>
    <row r="83" spans="3:9" x14ac:dyDescent="0.4">
      <c r="I83" s="58"/>
    </row>
    <row r="84" spans="3:9" x14ac:dyDescent="0.4">
      <c r="I84" s="58"/>
    </row>
    <row r="85" spans="3:9" x14ac:dyDescent="0.4">
      <c r="I85" s="58"/>
    </row>
    <row r="86" spans="3:9" x14ac:dyDescent="0.4">
      <c r="I86" s="58"/>
    </row>
    <row r="87" spans="3:9" x14ac:dyDescent="0.4">
      <c r="I87" s="58"/>
    </row>
    <row r="88" spans="3:9" x14ac:dyDescent="0.4">
      <c r="I88" s="58"/>
    </row>
    <row r="89" spans="3:9" x14ac:dyDescent="0.4">
      <c r="I89" s="58"/>
    </row>
    <row r="90" spans="3:9" x14ac:dyDescent="0.4">
      <c r="I90" s="58"/>
    </row>
    <row r="91" spans="3:9" x14ac:dyDescent="0.4">
      <c r="I91" s="58"/>
    </row>
    <row r="92" spans="3:9" x14ac:dyDescent="0.4">
      <c r="I92" s="58"/>
    </row>
    <row r="93" spans="3:9" x14ac:dyDescent="0.4">
      <c r="I93" s="58"/>
    </row>
    <row r="94" spans="3:9" x14ac:dyDescent="0.4">
      <c r="I94" s="58"/>
    </row>
    <row r="95" spans="3:9" x14ac:dyDescent="0.4">
      <c r="I95" s="58"/>
    </row>
    <row r="96" spans="3:9" x14ac:dyDescent="0.4">
      <c r="I96" s="58"/>
    </row>
    <row r="97" spans="9:9" x14ac:dyDescent="0.4">
      <c r="I97" s="58"/>
    </row>
    <row r="98" spans="9:9" x14ac:dyDescent="0.4">
      <c r="I98" s="58"/>
    </row>
    <row r="99" spans="9:9" x14ac:dyDescent="0.4">
      <c r="I99" s="58"/>
    </row>
    <row r="100" spans="9:9" x14ac:dyDescent="0.4">
      <c r="I100" s="58"/>
    </row>
    <row r="101" spans="9:9" x14ac:dyDescent="0.4">
      <c r="I101" s="58"/>
    </row>
    <row r="102" spans="9:9" x14ac:dyDescent="0.4">
      <c r="I102" s="58"/>
    </row>
    <row r="103" spans="9:9" x14ac:dyDescent="0.4">
      <c r="I103" s="58"/>
    </row>
    <row r="104" spans="9:9" x14ac:dyDescent="0.4">
      <c r="I104" s="58"/>
    </row>
    <row r="105" spans="9:9" x14ac:dyDescent="0.4">
      <c r="I105" s="58"/>
    </row>
    <row r="106" spans="9:9" x14ac:dyDescent="0.4">
      <c r="I106" s="58"/>
    </row>
    <row r="107" spans="9:9" x14ac:dyDescent="0.4">
      <c r="I107" s="58"/>
    </row>
    <row r="108" spans="9:9" x14ac:dyDescent="0.4">
      <c r="I108" s="58"/>
    </row>
    <row r="109" spans="9:9" x14ac:dyDescent="0.4">
      <c r="I109" s="58"/>
    </row>
    <row r="110" spans="9:9" x14ac:dyDescent="0.4">
      <c r="I110" s="58"/>
    </row>
    <row r="111" spans="9:9" x14ac:dyDescent="0.4">
      <c r="I111" s="58"/>
    </row>
    <row r="112" spans="9:9" x14ac:dyDescent="0.4">
      <c r="I112" s="58"/>
    </row>
    <row r="113" spans="9:9" x14ac:dyDescent="0.4">
      <c r="I113" s="58"/>
    </row>
    <row r="114" spans="9:9" x14ac:dyDescent="0.4">
      <c r="I114" s="58"/>
    </row>
    <row r="115" spans="9:9" x14ac:dyDescent="0.4">
      <c r="I115" s="58"/>
    </row>
    <row r="116" spans="9:9" x14ac:dyDescent="0.4">
      <c r="I116" s="58"/>
    </row>
    <row r="117" spans="9:9" x14ac:dyDescent="0.4">
      <c r="I117" s="58"/>
    </row>
    <row r="118" spans="9:9" x14ac:dyDescent="0.4">
      <c r="I118" s="58"/>
    </row>
    <row r="119" spans="9:9" x14ac:dyDescent="0.4">
      <c r="I119" s="58"/>
    </row>
    <row r="120" spans="9:9" x14ac:dyDescent="0.4">
      <c r="I120" s="58"/>
    </row>
    <row r="121" spans="9:9" x14ac:dyDescent="0.4">
      <c r="I121" s="58"/>
    </row>
    <row r="122" spans="9:9" x14ac:dyDescent="0.4">
      <c r="I122" s="58"/>
    </row>
    <row r="123" spans="9:9" x14ac:dyDescent="0.4">
      <c r="I123" s="58"/>
    </row>
    <row r="124" spans="9:9" x14ac:dyDescent="0.4">
      <c r="I124" s="58"/>
    </row>
    <row r="125" spans="9:9" x14ac:dyDescent="0.4">
      <c r="I125" s="58"/>
    </row>
    <row r="126" spans="9:9" x14ac:dyDescent="0.4">
      <c r="I126" s="58"/>
    </row>
    <row r="127" spans="9:9" x14ac:dyDescent="0.4">
      <c r="I127" s="58"/>
    </row>
    <row r="128" spans="9:9" x14ac:dyDescent="0.4">
      <c r="I128" s="58"/>
    </row>
    <row r="129" spans="9:9" x14ac:dyDescent="0.4">
      <c r="I129" s="58"/>
    </row>
    <row r="130" spans="9:9" x14ac:dyDescent="0.4">
      <c r="I130" s="58"/>
    </row>
    <row r="131" spans="9:9" x14ac:dyDescent="0.4">
      <c r="I131" s="58"/>
    </row>
    <row r="132" spans="9:9" x14ac:dyDescent="0.4">
      <c r="I132" s="58"/>
    </row>
    <row r="133" spans="9:9" x14ac:dyDescent="0.4">
      <c r="I133" s="58"/>
    </row>
    <row r="134" spans="9:9" x14ac:dyDescent="0.4">
      <c r="I134" s="58"/>
    </row>
    <row r="135" spans="9:9" x14ac:dyDescent="0.4">
      <c r="I135" s="58"/>
    </row>
    <row r="136" spans="9:9" x14ac:dyDescent="0.4">
      <c r="I136" s="58"/>
    </row>
    <row r="137" spans="9:9" x14ac:dyDescent="0.4">
      <c r="I137" s="58"/>
    </row>
    <row r="138" spans="9:9" x14ac:dyDescent="0.4">
      <c r="I138" s="58"/>
    </row>
    <row r="139" spans="9:9" x14ac:dyDescent="0.4">
      <c r="I139" s="58"/>
    </row>
    <row r="140" spans="9:9" x14ac:dyDescent="0.4">
      <c r="I140" s="58"/>
    </row>
    <row r="141" spans="9:9" x14ac:dyDescent="0.4">
      <c r="I141" s="58"/>
    </row>
    <row r="142" spans="9:9" x14ac:dyDescent="0.4">
      <c r="I142" s="58"/>
    </row>
    <row r="143" spans="9:9" x14ac:dyDescent="0.4">
      <c r="I143" s="58"/>
    </row>
    <row r="144" spans="9:9" x14ac:dyDescent="0.4">
      <c r="I144" s="58"/>
    </row>
    <row r="145" spans="9:9" x14ac:dyDescent="0.4">
      <c r="I145" s="58"/>
    </row>
    <row r="146" spans="9:9" x14ac:dyDescent="0.4">
      <c r="I146" s="58"/>
    </row>
    <row r="147" spans="9:9" x14ac:dyDescent="0.4">
      <c r="I147" s="58"/>
    </row>
    <row r="148" spans="9:9" x14ac:dyDescent="0.4">
      <c r="I148" s="58"/>
    </row>
    <row r="149" spans="9:9" x14ac:dyDescent="0.4">
      <c r="I149" s="58"/>
    </row>
    <row r="150" spans="9:9" x14ac:dyDescent="0.4">
      <c r="I150" s="58"/>
    </row>
    <row r="151" spans="9:9" x14ac:dyDescent="0.4">
      <c r="I151" s="58"/>
    </row>
    <row r="152" spans="9:9" x14ac:dyDescent="0.4">
      <c r="I152" s="58"/>
    </row>
    <row r="153" spans="9:9" x14ac:dyDescent="0.4">
      <c r="I153" s="58"/>
    </row>
    <row r="154" spans="9:9" x14ac:dyDescent="0.4">
      <c r="I154" s="58"/>
    </row>
    <row r="155" spans="9:9" x14ac:dyDescent="0.4">
      <c r="I155" s="58"/>
    </row>
    <row r="156" spans="9:9" x14ac:dyDescent="0.4">
      <c r="I156" s="58"/>
    </row>
    <row r="157" spans="9:9" x14ac:dyDescent="0.4">
      <c r="I157" s="58"/>
    </row>
    <row r="158" spans="9:9" x14ac:dyDescent="0.4">
      <c r="I158" s="58"/>
    </row>
    <row r="159" spans="9:9" x14ac:dyDescent="0.4">
      <c r="I159" s="58"/>
    </row>
    <row r="160" spans="9:9" x14ac:dyDescent="0.4">
      <c r="I160" s="58"/>
    </row>
    <row r="161" spans="9:9" x14ac:dyDescent="0.4">
      <c r="I161" s="58"/>
    </row>
    <row r="162" spans="9:9" x14ac:dyDescent="0.4">
      <c r="I162" s="58"/>
    </row>
    <row r="163" spans="9:9" x14ac:dyDescent="0.4">
      <c r="I163" s="58"/>
    </row>
    <row r="164" spans="9:9" x14ac:dyDescent="0.4">
      <c r="I164" s="58"/>
    </row>
    <row r="165" spans="9:9" x14ac:dyDescent="0.4">
      <c r="I165" s="58"/>
    </row>
    <row r="166" spans="9:9" x14ac:dyDescent="0.4">
      <c r="I166" s="58"/>
    </row>
    <row r="167" spans="9:9" x14ac:dyDescent="0.4">
      <c r="I167" s="58"/>
    </row>
    <row r="168" spans="9:9" x14ac:dyDescent="0.4">
      <c r="I168" s="58"/>
    </row>
    <row r="169" spans="9:9" x14ac:dyDescent="0.4">
      <c r="I169" s="58"/>
    </row>
    <row r="170" spans="9:9" x14ac:dyDescent="0.4">
      <c r="I170" s="58"/>
    </row>
    <row r="171" spans="9:9" x14ac:dyDescent="0.4">
      <c r="I171" s="58"/>
    </row>
    <row r="172" spans="9:9" x14ac:dyDescent="0.4">
      <c r="I172" s="58"/>
    </row>
    <row r="173" spans="9:9" x14ac:dyDescent="0.4">
      <c r="I173" s="58"/>
    </row>
    <row r="174" spans="9:9" x14ac:dyDescent="0.4">
      <c r="I174" s="58"/>
    </row>
    <row r="175" spans="9:9" x14ac:dyDescent="0.4">
      <c r="I175" s="58"/>
    </row>
    <row r="176" spans="9:9" x14ac:dyDescent="0.4">
      <c r="I176" s="58"/>
    </row>
    <row r="177" spans="9:9" x14ac:dyDescent="0.4">
      <c r="I177" s="58"/>
    </row>
    <row r="178" spans="9:9" x14ac:dyDescent="0.4">
      <c r="I178" s="58"/>
    </row>
    <row r="179" spans="9:9" x14ac:dyDescent="0.4">
      <c r="I179" s="58"/>
    </row>
    <row r="180" spans="9:9" x14ac:dyDescent="0.4">
      <c r="I180" s="58"/>
    </row>
    <row r="181" spans="9:9" x14ac:dyDescent="0.4">
      <c r="I181" s="58"/>
    </row>
    <row r="182" spans="9:9" x14ac:dyDescent="0.4">
      <c r="I182" s="58"/>
    </row>
    <row r="183" spans="9:9" x14ac:dyDescent="0.4">
      <c r="I183" s="58"/>
    </row>
    <row r="184" spans="9:9" x14ac:dyDescent="0.4">
      <c r="I184" s="58"/>
    </row>
    <row r="185" spans="9:9" x14ac:dyDescent="0.4">
      <c r="I185" s="58"/>
    </row>
    <row r="186" spans="9:9" x14ac:dyDescent="0.4">
      <c r="I186" s="58"/>
    </row>
    <row r="187" spans="9:9" x14ac:dyDescent="0.4">
      <c r="I187" s="58"/>
    </row>
    <row r="188" spans="9:9" x14ac:dyDescent="0.4">
      <c r="I188" s="58"/>
    </row>
    <row r="189" spans="9:9" x14ac:dyDescent="0.4">
      <c r="I189" s="58"/>
    </row>
    <row r="190" spans="9:9" x14ac:dyDescent="0.4">
      <c r="I190" s="58"/>
    </row>
    <row r="191" spans="9:9" x14ac:dyDescent="0.4">
      <c r="I191" s="58"/>
    </row>
    <row r="192" spans="9:9" x14ac:dyDescent="0.4">
      <c r="I192" s="58"/>
    </row>
    <row r="193" spans="9:9" x14ac:dyDescent="0.4">
      <c r="I193" s="58"/>
    </row>
    <row r="194" spans="9:9" x14ac:dyDescent="0.4">
      <c r="I194" s="58"/>
    </row>
    <row r="195" spans="9:9" x14ac:dyDescent="0.4">
      <c r="I195" s="58"/>
    </row>
    <row r="196" spans="9:9" x14ac:dyDescent="0.4">
      <c r="I196" s="58"/>
    </row>
    <row r="197" spans="9:9" x14ac:dyDescent="0.4">
      <c r="I197" s="58"/>
    </row>
    <row r="198" spans="9:9" x14ac:dyDescent="0.4">
      <c r="I198" s="58"/>
    </row>
    <row r="199" spans="9:9" x14ac:dyDescent="0.4">
      <c r="I199" s="58"/>
    </row>
    <row r="200" spans="9:9" x14ac:dyDescent="0.4">
      <c r="I200" s="58"/>
    </row>
    <row r="201" spans="9:9" x14ac:dyDescent="0.4">
      <c r="I201" s="58"/>
    </row>
    <row r="202" spans="9:9" x14ac:dyDescent="0.4">
      <c r="I202" s="58"/>
    </row>
    <row r="203" spans="9:9" x14ac:dyDescent="0.4">
      <c r="I203" s="58"/>
    </row>
    <row r="204" spans="9:9" x14ac:dyDescent="0.4">
      <c r="I204" s="58"/>
    </row>
    <row r="205" spans="9:9" x14ac:dyDescent="0.4">
      <c r="I205" s="58"/>
    </row>
    <row r="206" spans="9:9" x14ac:dyDescent="0.4">
      <c r="I206" s="58"/>
    </row>
    <row r="207" spans="9:9" x14ac:dyDescent="0.4">
      <c r="I207" s="58"/>
    </row>
    <row r="208" spans="9:9" x14ac:dyDescent="0.4">
      <c r="I208" s="58"/>
    </row>
    <row r="209" spans="9:9" x14ac:dyDescent="0.4">
      <c r="I209" s="58"/>
    </row>
    <row r="210" spans="9:9" x14ac:dyDescent="0.4">
      <c r="I210" s="58"/>
    </row>
    <row r="211" spans="9:9" x14ac:dyDescent="0.4">
      <c r="I211" s="58"/>
    </row>
    <row r="212" spans="9:9" x14ac:dyDescent="0.4">
      <c r="I212" s="58"/>
    </row>
    <row r="213" spans="9:9" x14ac:dyDescent="0.4">
      <c r="I213" s="58"/>
    </row>
    <row r="214" spans="9:9" x14ac:dyDescent="0.4">
      <c r="I214" s="58"/>
    </row>
    <row r="215" spans="9:9" x14ac:dyDescent="0.4">
      <c r="I215" s="58"/>
    </row>
    <row r="216" spans="9:9" x14ac:dyDescent="0.4">
      <c r="I216" s="58"/>
    </row>
    <row r="217" spans="9:9" x14ac:dyDescent="0.4">
      <c r="I217" s="58"/>
    </row>
    <row r="218" spans="9:9" x14ac:dyDescent="0.4">
      <c r="I218" s="58"/>
    </row>
    <row r="219" spans="9:9" x14ac:dyDescent="0.4">
      <c r="I219" s="58"/>
    </row>
    <row r="220" spans="9:9" x14ac:dyDescent="0.4">
      <c r="I220" s="58"/>
    </row>
    <row r="221" spans="9:9" x14ac:dyDescent="0.4">
      <c r="I221" s="58"/>
    </row>
    <row r="222" spans="9:9" x14ac:dyDescent="0.4">
      <c r="I222" s="58"/>
    </row>
    <row r="223" spans="9:9" x14ac:dyDescent="0.4">
      <c r="I223" s="58"/>
    </row>
    <row r="224" spans="9:9" x14ac:dyDescent="0.4">
      <c r="I224" s="58"/>
    </row>
    <row r="225" spans="9:9" x14ac:dyDescent="0.4">
      <c r="I225" s="58"/>
    </row>
    <row r="226" spans="9:9" x14ac:dyDescent="0.4">
      <c r="I226" s="58"/>
    </row>
    <row r="227" spans="9:9" x14ac:dyDescent="0.4">
      <c r="I227" s="58"/>
    </row>
    <row r="228" spans="9:9" x14ac:dyDescent="0.4">
      <c r="I228" s="58"/>
    </row>
    <row r="229" spans="9:9" x14ac:dyDescent="0.4">
      <c r="I229" s="58"/>
    </row>
    <row r="230" spans="9:9" x14ac:dyDescent="0.4">
      <c r="I230" s="58"/>
    </row>
    <row r="231" spans="9:9" x14ac:dyDescent="0.4">
      <c r="I231" s="58"/>
    </row>
    <row r="232" spans="9:9" x14ac:dyDescent="0.4">
      <c r="I232" s="58"/>
    </row>
    <row r="233" spans="9:9" x14ac:dyDescent="0.4">
      <c r="I233" s="58"/>
    </row>
    <row r="234" spans="9:9" x14ac:dyDescent="0.4">
      <c r="I234" s="58"/>
    </row>
    <row r="235" spans="9:9" x14ac:dyDescent="0.4">
      <c r="I235" s="58"/>
    </row>
    <row r="236" spans="9:9" x14ac:dyDescent="0.4">
      <c r="I236" s="58"/>
    </row>
    <row r="237" spans="9:9" x14ac:dyDescent="0.4">
      <c r="I237" s="58"/>
    </row>
    <row r="238" spans="9:9" x14ac:dyDescent="0.4">
      <c r="I238" s="58"/>
    </row>
    <row r="239" spans="9:9" x14ac:dyDescent="0.4">
      <c r="I239" s="58"/>
    </row>
    <row r="240" spans="9:9" x14ac:dyDescent="0.4">
      <c r="I240" s="58"/>
    </row>
    <row r="241" spans="9:9" x14ac:dyDescent="0.4">
      <c r="I241" s="58"/>
    </row>
    <row r="242" spans="9:9" x14ac:dyDescent="0.4">
      <c r="I242" s="58"/>
    </row>
    <row r="243" spans="9:9" x14ac:dyDescent="0.4">
      <c r="I243" s="58"/>
    </row>
    <row r="244" spans="9:9" x14ac:dyDescent="0.4">
      <c r="I244" s="58"/>
    </row>
    <row r="245" spans="9:9" x14ac:dyDescent="0.4">
      <c r="I245" s="58"/>
    </row>
    <row r="246" spans="9:9" x14ac:dyDescent="0.4">
      <c r="I246" s="58"/>
    </row>
    <row r="247" spans="9:9" x14ac:dyDescent="0.4">
      <c r="I247" s="58"/>
    </row>
    <row r="248" spans="9:9" x14ac:dyDescent="0.4">
      <c r="I248" s="58"/>
    </row>
    <row r="249" spans="9:9" x14ac:dyDescent="0.4">
      <c r="I249" s="58"/>
    </row>
    <row r="250" spans="9:9" x14ac:dyDescent="0.4">
      <c r="I250" s="58"/>
    </row>
    <row r="251" spans="9:9" x14ac:dyDescent="0.4">
      <c r="I251" s="58"/>
    </row>
    <row r="252" spans="9:9" x14ac:dyDescent="0.4">
      <c r="I252" s="58"/>
    </row>
    <row r="253" spans="9:9" x14ac:dyDescent="0.4">
      <c r="I253" s="58"/>
    </row>
    <row r="254" spans="9:9" x14ac:dyDescent="0.4">
      <c r="I254" s="58"/>
    </row>
    <row r="255" spans="9:9" x14ac:dyDescent="0.4">
      <c r="I255" s="58"/>
    </row>
    <row r="256" spans="9:9" x14ac:dyDescent="0.4">
      <c r="I256" s="58"/>
    </row>
    <row r="257" spans="9:9" x14ac:dyDescent="0.4">
      <c r="I257" s="58"/>
    </row>
    <row r="258" spans="9:9" x14ac:dyDescent="0.4">
      <c r="I258" s="58"/>
    </row>
    <row r="259" spans="9:9" x14ac:dyDescent="0.4">
      <c r="I259" s="58"/>
    </row>
    <row r="260" spans="9:9" x14ac:dyDescent="0.4">
      <c r="I260" s="58"/>
    </row>
    <row r="261" spans="9:9" x14ac:dyDescent="0.4">
      <c r="I261" s="58"/>
    </row>
    <row r="262" spans="9:9" x14ac:dyDescent="0.4">
      <c r="I262" s="58"/>
    </row>
    <row r="263" spans="9:9" x14ac:dyDescent="0.4">
      <c r="I263" s="58"/>
    </row>
    <row r="264" spans="9:9" x14ac:dyDescent="0.4">
      <c r="I264" s="58"/>
    </row>
    <row r="265" spans="9:9" x14ac:dyDescent="0.4">
      <c r="I265" s="58"/>
    </row>
    <row r="266" spans="9:9" x14ac:dyDescent="0.4">
      <c r="I266" s="58"/>
    </row>
    <row r="267" spans="9:9" x14ac:dyDescent="0.4">
      <c r="I267" s="58"/>
    </row>
    <row r="268" spans="9:9" x14ac:dyDescent="0.4">
      <c r="I268" s="58"/>
    </row>
    <row r="269" spans="9:9" x14ac:dyDescent="0.4">
      <c r="I269" s="58"/>
    </row>
    <row r="270" spans="9:9" x14ac:dyDescent="0.4">
      <c r="I270" s="58"/>
    </row>
    <row r="271" spans="9:9" x14ac:dyDescent="0.4">
      <c r="I271" s="58"/>
    </row>
    <row r="272" spans="9:9" x14ac:dyDescent="0.4">
      <c r="I272" s="58"/>
    </row>
    <row r="273" spans="9:9" x14ac:dyDescent="0.4">
      <c r="I273" s="58"/>
    </row>
    <row r="274" spans="9:9" x14ac:dyDescent="0.4">
      <c r="I274" s="58"/>
    </row>
    <row r="275" spans="9:9" x14ac:dyDescent="0.4">
      <c r="I275" s="58"/>
    </row>
    <row r="276" spans="9:9" x14ac:dyDescent="0.4">
      <c r="I276" s="58"/>
    </row>
    <row r="277" spans="9:9" x14ac:dyDescent="0.4">
      <c r="I277" s="58"/>
    </row>
    <row r="278" spans="9:9" x14ac:dyDescent="0.4">
      <c r="I278" s="58"/>
    </row>
    <row r="279" spans="9:9" x14ac:dyDescent="0.4">
      <c r="I279" s="58"/>
    </row>
    <row r="280" spans="9:9" x14ac:dyDescent="0.4">
      <c r="I280" s="58"/>
    </row>
    <row r="281" spans="9:9" x14ac:dyDescent="0.4">
      <c r="I281" s="58"/>
    </row>
    <row r="282" spans="9:9" x14ac:dyDescent="0.4">
      <c r="I282" s="58"/>
    </row>
    <row r="283" spans="9:9" x14ac:dyDescent="0.4">
      <c r="I283" s="58"/>
    </row>
    <row r="284" spans="9:9" x14ac:dyDescent="0.4">
      <c r="I284" s="58"/>
    </row>
    <row r="285" spans="9:9" x14ac:dyDescent="0.4">
      <c r="I285" s="58"/>
    </row>
    <row r="286" spans="9:9" x14ac:dyDescent="0.4">
      <c r="I286" s="58"/>
    </row>
    <row r="287" spans="9:9" x14ac:dyDescent="0.4">
      <c r="I287" s="58"/>
    </row>
    <row r="288" spans="9:9" x14ac:dyDescent="0.4">
      <c r="I288" s="58"/>
    </row>
    <row r="289" spans="9:9" x14ac:dyDescent="0.4">
      <c r="I289" s="58"/>
    </row>
    <row r="290" spans="9:9" x14ac:dyDescent="0.4">
      <c r="I290" s="58"/>
    </row>
    <row r="291" spans="9:9" x14ac:dyDescent="0.4">
      <c r="I291" s="58"/>
    </row>
    <row r="292" spans="9:9" x14ac:dyDescent="0.4">
      <c r="I292" s="58"/>
    </row>
    <row r="293" spans="9:9" x14ac:dyDescent="0.4">
      <c r="I293" s="58"/>
    </row>
    <row r="294" spans="9:9" x14ac:dyDescent="0.4">
      <c r="I294" s="58"/>
    </row>
    <row r="295" spans="9:9" x14ac:dyDescent="0.4">
      <c r="I295" s="58"/>
    </row>
    <row r="296" spans="9:9" x14ac:dyDescent="0.4">
      <c r="I296" s="58"/>
    </row>
    <row r="297" spans="9:9" x14ac:dyDescent="0.4">
      <c r="I297" s="58"/>
    </row>
    <row r="298" spans="9:9" x14ac:dyDescent="0.4">
      <c r="I298" s="58"/>
    </row>
    <row r="299" spans="9:9" x14ac:dyDescent="0.4">
      <c r="I299" s="58"/>
    </row>
    <row r="300" spans="9:9" x14ac:dyDescent="0.4">
      <c r="I300" s="58"/>
    </row>
    <row r="301" spans="9:9" x14ac:dyDescent="0.4">
      <c r="I301" s="58"/>
    </row>
    <row r="302" spans="9:9" x14ac:dyDescent="0.4">
      <c r="I302" s="58"/>
    </row>
    <row r="303" spans="9:9" x14ac:dyDescent="0.4">
      <c r="I303" s="58"/>
    </row>
    <row r="304" spans="9:9" x14ac:dyDescent="0.4">
      <c r="I304" s="58"/>
    </row>
    <row r="305" spans="9:9" x14ac:dyDescent="0.4">
      <c r="I305" s="58"/>
    </row>
    <row r="306" spans="9:9" x14ac:dyDescent="0.4">
      <c r="I306" s="58"/>
    </row>
    <row r="307" spans="9:9" x14ac:dyDescent="0.4">
      <c r="I307" s="58"/>
    </row>
    <row r="308" spans="9:9" x14ac:dyDescent="0.4">
      <c r="I308" s="58"/>
    </row>
    <row r="309" spans="9:9" x14ac:dyDescent="0.4">
      <c r="I309" s="58"/>
    </row>
    <row r="310" spans="9:9" x14ac:dyDescent="0.4">
      <c r="I310" s="58"/>
    </row>
    <row r="311" spans="9:9" x14ac:dyDescent="0.4">
      <c r="I311" s="58"/>
    </row>
    <row r="312" spans="9:9" x14ac:dyDescent="0.4">
      <c r="I312" s="58"/>
    </row>
    <row r="313" spans="9:9" x14ac:dyDescent="0.4">
      <c r="I313" s="58"/>
    </row>
    <row r="314" spans="9:9" x14ac:dyDescent="0.4">
      <c r="I314" s="58"/>
    </row>
    <row r="315" spans="9:9" x14ac:dyDescent="0.4">
      <c r="I315" s="58"/>
    </row>
    <row r="316" spans="9:9" x14ac:dyDescent="0.4">
      <c r="I316" s="58"/>
    </row>
    <row r="317" spans="9:9" x14ac:dyDescent="0.4">
      <c r="I317" s="58"/>
    </row>
    <row r="318" spans="9:9" x14ac:dyDescent="0.4">
      <c r="I318" s="58"/>
    </row>
    <row r="319" spans="9:9" x14ac:dyDescent="0.4">
      <c r="I319" s="58"/>
    </row>
    <row r="320" spans="9:9" x14ac:dyDescent="0.4">
      <c r="I320" s="58"/>
    </row>
    <row r="321" spans="9:9" x14ac:dyDescent="0.4">
      <c r="I321" s="58"/>
    </row>
    <row r="322" spans="9:9" x14ac:dyDescent="0.4">
      <c r="I322" s="58"/>
    </row>
    <row r="323" spans="9:9" x14ac:dyDescent="0.4">
      <c r="I323" s="58"/>
    </row>
    <row r="324" spans="9:9" x14ac:dyDescent="0.4">
      <c r="I324" s="58"/>
    </row>
    <row r="325" spans="9:9" x14ac:dyDescent="0.4">
      <c r="I325" s="58"/>
    </row>
    <row r="326" spans="9:9" x14ac:dyDescent="0.4">
      <c r="I326" s="58"/>
    </row>
    <row r="327" spans="9:9" x14ac:dyDescent="0.4">
      <c r="I327" s="58"/>
    </row>
    <row r="328" spans="9:9" x14ac:dyDescent="0.4">
      <c r="I328" s="58"/>
    </row>
    <row r="329" spans="9:9" x14ac:dyDescent="0.4">
      <c r="I329" s="58"/>
    </row>
    <row r="330" spans="9:9" x14ac:dyDescent="0.4">
      <c r="I330" s="58"/>
    </row>
    <row r="331" spans="9:9" x14ac:dyDescent="0.4">
      <c r="I331" s="58"/>
    </row>
    <row r="332" spans="9:9" x14ac:dyDescent="0.4">
      <c r="I332" s="58"/>
    </row>
    <row r="333" spans="9:9" x14ac:dyDescent="0.4">
      <c r="I333" s="58"/>
    </row>
    <row r="334" spans="9:9" x14ac:dyDescent="0.4">
      <c r="I334" s="58"/>
    </row>
    <row r="335" spans="9:9" x14ac:dyDescent="0.4">
      <c r="I335" s="58"/>
    </row>
    <row r="336" spans="9:9" x14ac:dyDescent="0.4">
      <c r="I336" s="58"/>
    </row>
    <row r="337" spans="9:9" x14ac:dyDescent="0.4">
      <c r="I337" s="58"/>
    </row>
    <row r="338" spans="9:9" x14ac:dyDescent="0.4">
      <c r="I338" s="58"/>
    </row>
    <row r="339" spans="9:9" x14ac:dyDescent="0.4">
      <c r="I339" s="58"/>
    </row>
    <row r="340" spans="9:9" x14ac:dyDescent="0.4">
      <c r="I340" s="58"/>
    </row>
    <row r="341" spans="9:9" x14ac:dyDescent="0.4">
      <c r="I341" s="58"/>
    </row>
    <row r="342" spans="9:9" x14ac:dyDescent="0.4">
      <c r="I342" s="58"/>
    </row>
    <row r="343" spans="9:9" x14ac:dyDescent="0.4">
      <c r="I343" s="58"/>
    </row>
    <row r="344" spans="9:9" x14ac:dyDescent="0.4">
      <c r="I344" s="58"/>
    </row>
    <row r="345" spans="9:9" x14ac:dyDescent="0.4">
      <c r="I345" s="58"/>
    </row>
    <row r="346" spans="9:9" x14ac:dyDescent="0.4">
      <c r="I346" s="58"/>
    </row>
    <row r="347" spans="9:9" x14ac:dyDescent="0.4">
      <c r="I347" s="58"/>
    </row>
    <row r="348" spans="9:9" x14ac:dyDescent="0.4">
      <c r="I348" s="58"/>
    </row>
    <row r="349" spans="9:9" x14ac:dyDescent="0.4">
      <c r="I349" s="58"/>
    </row>
    <row r="350" spans="9:9" x14ac:dyDescent="0.4">
      <c r="I350" s="58"/>
    </row>
    <row r="351" spans="9:9" x14ac:dyDescent="0.4">
      <c r="I351" s="58"/>
    </row>
    <row r="352" spans="9:9" x14ac:dyDescent="0.4">
      <c r="I352" s="58"/>
    </row>
    <row r="353" spans="9:9" x14ac:dyDescent="0.4">
      <c r="I353" s="58"/>
    </row>
    <row r="354" spans="9:9" x14ac:dyDescent="0.4">
      <c r="I354" s="58"/>
    </row>
    <row r="355" spans="9:9" x14ac:dyDescent="0.4">
      <c r="I355" s="58"/>
    </row>
    <row r="356" spans="9:9" x14ac:dyDescent="0.4">
      <c r="I356" s="58"/>
    </row>
    <row r="357" spans="9:9" x14ac:dyDescent="0.4">
      <c r="I357" s="58"/>
    </row>
    <row r="358" spans="9:9" x14ac:dyDescent="0.4">
      <c r="I358" s="58"/>
    </row>
    <row r="359" spans="9:9" x14ac:dyDescent="0.4">
      <c r="I359" s="58"/>
    </row>
    <row r="360" spans="9:9" x14ac:dyDescent="0.4">
      <c r="I360" s="58"/>
    </row>
    <row r="361" spans="9:9" x14ac:dyDescent="0.4">
      <c r="I361" s="58"/>
    </row>
    <row r="362" spans="9:9" x14ac:dyDescent="0.4">
      <c r="I362" s="58"/>
    </row>
    <row r="363" spans="9:9" x14ac:dyDescent="0.4">
      <c r="I363" s="58"/>
    </row>
    <row r="364" spans="9:9" x14ac:dyDescent="0.4">
      <c r="I364" s="58"/>
    </row>
    <row r="365" spans="9:9" x14ac:dyDescent="0.4">
      <c r="I365" s="58"/>
    </row>
    <row r="366" spans="9:9" x14ac:dyDescent="0.4">
      <c r="I366" s="58"/>
    </row>
    <row r="367" spans="9:9" x14ac:dyDescent="0.4">
      <c r="I367" s="58"/>
    </row>
    <row r="368" spans="9:9" x14ac:dyDescent="0.4">
      <c r="I368" s="58"/>
    </row>
    <row r="369" spans="9:9" x14ac:dyDescent="0.4">
      <c r="I369" s="58"/>
    </row>
    <row r="370" spans="9:9" x14ac:dyDescent="0.4">
      <c r="I370" s="58"/>
    </row>
    <row r="371" spans="9:9" x14ac:dyDescent="0.4">
      <c r="I371" s="58"/>
    </row>
    <row r="372" spans="9:9" x14ac:dyDescent="0.4">
      <c r="I372" s="58"/>
    </row>
    <row r="373" spans="9:9" x14ac:dyDescent="0.4">
      <c r="I373" s="58"/>
    </row>
    <row r="374" spans="9:9" x14ac:dyDescent="0.4">
      <c r="I374" s="58"/>
    </row>
    <row r="375" spans="9:9" x14ac:dyDescent="0.4">
      <c r="I375" s="58"/>
    </row>
    <row r="376" spans="9:9" x14ac:dyDescent="0.4">
      <c r="I376" s="58"/>
    </row>
    <row r="377" spans="9:9" x14ac:dyDescent="0.4">
      <c r="I377" s="58"/>
    </row>
    <row r="378" spans="9:9" x14ac:dyDescent="0.4">
      <c r="I378" s="58"/>
    </row>
    <row r="379" spans="9:9" x14ac:dyDescent="0.4">
      <c r="I379" s="58"/>
    </row>
    <row r="380" spans="9:9" x14ac:dyDescent="0.4">
      <c r="I380" s="58"/>
    </row>
    <row r="381" spans="9:9" x14ac:dyDescent="0.4">
      <c r="I381" s="58"/>
    </row>
    <row r="382" spans="9:9" x14ac:dyDescent="0.4">
      <c r="I382" s="58"/>
    </row>
    <row r="383" spans="9:9" x14ac:dyDescent="0.4">
      <c r="I383" s="58"/>
    </row>
    <row r="384" spans="9:9" x14ac:dyDescent="0.4">
      <c r="I384" s="58"/>
    </row>
    <row r="385" spans="9:9" x14ac:dyDescent="0.4">
      <c r="I385" s="58"/>
    </row>
    <row r="386" spans="9:9" x14ac:dyDescent="0.4">
      <c r="I386" s="58"/>
    </row>
    <row r="387" spans="9:9" x14ac:dyDescent="0.4">
      <c r="I387" s="58"/>
    </row>
    <row r="388" spans="9:9" x14ac:dyDescent="0.4">
      <c r="I388" s="58"/>
    </row>
    <row r="389" spans="9:9" x14ac:dyDescent="0.4">
      <c r="I389" s="58"/>
    </row>
    <row r="390" spans="9:9" x14ac:dyDescent="0.4">
      <c r="I390" s="58"/>
    </row>
    <row r="391" spans="9:9" x14ac:dyDescent="0.4">
      <c r="I391" s="58"/>
    </row>
    <row r="392" spans="9:9" x14ac:dyDescent="0.4">
      <c r="I392" s="58"/>
    </row>
    <row r="393" spans="9:9" x14ac:dyDescent="0.4">
      <c r="I393" s="58"/>
    </row>
    <row r="394" spans="9:9" x14ac:dyDescent="0.4">
      <c r="I394" s="58"/>
    </row>
    <row r="395" spans="9:9" x14ac:dyDescent="0.4">
      <c r="I395" s="58"/>
    </row>
    <row r="396" spans="9:9" x14ac:dyDescent="0.4">
      <c r="I396" s="58"/>
    </row>
    <row r="397" spans="9:9" x14ac:dyDescent="0.4">
      <c r="I397" s="58"/>
    </row>
    <row r="398" spans="9:9" x14ac:dyDescent="0.4">
      <c r="I398" s="58"/>
    </row>
    <row r="399" spans="9:9" x14ac:dyDescent="0.4">
      <c r="I399" s="58"/>
    </row>
    <row r="400" spans="9:9" x14ac:dyDescent="0.4">
      <c r="I400" s="58"/>
    </row>
    <row r="401" spans="9:9" x14ac:dyDescent="0.4">
      <c r="I401" s="58"/>
    </row>
    <row r="402" spans="9:9" x14ac:dyDescent="0.4">
      <c r="I402" s="58"/>
    </row>
    <row r="403" spans="9:9" x14ac:dyDescent="0.4">
      <c r="I403" s="58"/>
    </row>
    <row r="404" spans="9:9" x14ac:dyDescent="0.4">
      <c r="I404" s="58"/>
    </row>
    <row r="405" spans="9:9" x14ac:dyDescent="0.4">
      <c r="I405" s="58"/>
    </row>
    <row r="406" spans="9:9" x14ac:dyDescent="0.4">
      <c r="I406" s="58"/>
    </row>
    <row r="407" spans="9:9" x14ac:dyDescent="0.4">
      <c r="I407" s="58"/>
    </row>
    <row r="408" spans="9:9" x14ac:dyDescent="0.4">
      <c r="I408" s="58"/>
    </row>
    <row r="409" spans="9:9" x14ac:dyDescent="0.4">
      <c r="I409" s="58"/>
    </row>
    <row r="410" spans="9:9" x14ac:dyDescent="0.4">
      <c r="I410" s="58"/>
    </row>
    <row r="411" spans="9:9" x14ac:dyDescent="0.4">
      <c r="I411" s="58"/>
    </row>
    <row r="412" spans="9:9" x14ac:dyDescent="0.4">
      <c r="I412" s="58"/>
    </row>
    <row r="413" spans="9:9" x14ac:dyDescent="0.4">
      <c r="I413" s="58"/>
    </row>
    <row r="414" spans="9:9" x14ac:dyDescent="0.4">
      <c r="I414" s="58"/>
    </row>
    <row r="415" spans="9:9" x14ac:dyDescent="0.4">
      <c r="I415" s="58"/>
    </row>
    <row r="416" spans="9:9" x14ac:dyDescent="0.4">
      <c r="I416" s="58"/>
    </row>
    <row r="417" spans="9:9" x14ac:dyDescent="0.4">
      <c r="I417" s="58"/>
    </row>
    <row r="418" spans="9:9" x14ac:dyDescent="0.4">
      <c r="I418" s="58"/>
    </row>
    <row r="419" spans="9:9" x14ac:dyDescent="0.4">
      <c r="I419" s="58"/>
    </row>
    <row r="420" spans="9:9" x14ac:dyDescent="0.4">
      <c r="I420" s="58"/>
    </row>
    <row r="421" spans="9:9" x14ac:dyDescent="0.4">
      <c r="I421" s="58"/>
    </row>
    <row r="422" spans="9:9" x14ac:dyDescent="0.4">
      <c r="I422" s="58"/>
    </row>
    <row r="423" spans="9:9" x14ac:dyDescent="0.4">
      <c r="I423" s="58"/>
    </row>
    <row r="424" spans="9:9" x14ac:dyDescent="0.4">
      <c r="I424" s="58"/>
    </row>
    <row r="425" spans="9:9" x14ac:dyDescent="0.4">
      <c r="I425" s="58"/>
    </row>
    <row r="426" spans="9:9" x14ac:dyDescent="0.4">
      <c r="I426" s="58"/>
    </row>
    <row r="427" spans="9:9" x14ac:dyDescent="0.4">
      <c r="I427" s="58"/>
    </row>
    <row r="428" spans="9:9" x14ac:dyDescent="0.4">
      <c r="I428" s="58"/>
    </row>
    <row r="429" spans="9:9" x14ac:dyDescent="0.4">
      <c r="I429" s="58"/>
    </row>
    <row r="430" spans="9:9" x14ac:dyDescent="0.4">
      <c r="I430" s="58"/>
    </row>
    <row r="431" spans="9:9" x14ac:dyDescent="0.4">
      <c r="I431" s="58"/>
    </row>
    <row r="432" spans="9:9" x14ac:dyDescent="0.4">
      <c r="I432" s="58"/>
    </row>
    <row r="433" spans="9:9" x14ac:dyDescent="0.4">
      <c r="I433" s="58"/>
    </row>
    <row r="434" spans="9:9" x14ac:dyDescent="0.4">
      <c r="I434" s="58"/>
    </row>
    <row r="435" spans="9:9" x14ac:dyDescent="0.4">
      <c r="I435" s="58"/>
    </row>
    <row r="436" spans="9:9" x14ac:dyDescent="0.4">
      <c r="I436" s="58"/>
    </row>
    <row r="437" spans="9:9" x14ac:dyDescent="0.4">
      <c r="I437" s="58"/>
    </row>
    <row r="438" spans="9:9" x14ac:dyDescent="0.4">
      <c r="I438" s="58"/>
    </row>
    <row r="439" spans="9:9" x14ac:dyDescent="0.4">
      <c r="I439" s="58"/>
    </row>
    <row r="440" spans="9:9" x14ac:dyDescent="0.4">
      <c r="I440" s="58"/>
    </row>
    <row r="441" spans="9:9" x14ac:dyDescent="0.4">
      <c r="I441" s="58"/>
    </row>
    <row r="442" spans="9:9" x14ac:dyDescent="0.4">
      <c r="I442" s="58"/>
    </row>
    <row r="443" spans="9:9" x14ac:dyDescent="0.4">
      <c r="I443" s="58"/>
    </row>
    <row r="444" spans="9:9" x14ac:dyDescent="0.4">
      <c r="I444" s="58"/>
    </row>
    <row r="445" spans="9:9" x14ac:dyDescent="0.4">
      <c r="I445" s="58"/>
    </row>
    <row r="446" spans="9:9" x14ac:dyDescent="0.4">
      <c r="I446" s="58"/>
    </row>
    <row r="447" spans="9:9" x14ac:dyDescent="0.4">
      <c r="I447" s="58"/>
    </row>
    <row r="448" spans="9:9" x14ac:dyDescent="0.4">
      <c r="I448" s="58"/>
    </row>
    <row r="449" spans="9:9" x14ac:dyDescent="0.4">
      <c r="I449" s="58"/>
    </row>
    <row r="450" spans="9:9" x14ac:dyDescent="0.4">
      <c r="I450" s="58"/>
    </row>
    <row r="451" spans="9:9" x14ac:dyDescent="0.4">
      <c r="I451" s="58"/>
    </row>
    <row r="452" spans="9:9" x14ac:dyDescent="0.4">
      <c r="I452" s="58"/>
    </row>
    <row r="453" spans="9:9" x14ac:dyDescent="0.4">
      <c r="I453" s="58"/>
    </row>
    <row r="454" spans="9:9" x14ac:dyDescent="0.4">
      <c r="I454" s="58"/>
    </row>
    <row r="455" spans="9:9" x14ac:dyDescent="0.4">
      <c r="I455" s="58"/>
    </row>
    <row r="456" spans="9:9" x14ac:dyDescent="0.4">
      <c r="I456" s="58"/>
    </row>
    <row r="457" spans="9:9" x14ac:dyDescent="0.4">
      <c r="I457" s="58"/>
    </row>
    <row r="458" spans="9:9" x14ac:dyDescent="0.4">
      <c r="I458" s="58"/>
    </row>
    <row r="459" spans="9:9" x14ac:dyDescent="0.4">
      <c r="I459" s="58"/>
    </row>
    <row r="460" spans="9:9" x14ac:dyDescent="0.4">
      <c r="I460" s="58"/>
    </row>
    <row r="461" spans="9:9" x14ac:dyDescent="0.4">
      <c r="I461" s="58"/>
    </row>
    <row r="462" spans="9:9" x14ac:dyDescent="0.4">
      <c r="I462" s="58"/>
    </row>
    <row r="463" spans="9:9" x14ac:dyDescent="0.4">
      <c r="I463" s="58"/>
    </row>
    <row r="464" spans="9:9" x14ac:dyDescent="0.4">
      <c r="I464" s="58"/>
    </row>
    <row r="465" spans="9:9" x14ac:dyDescent="0.4">
      <c r="I465" s="58"/>
    </row>
    <row r="466" spans="9:9" x14ac:dyDescent="0.4">
      <c r="I466" s="58"/>
    </row>
    <row r="467" spans="9:9" x14ac:dyDescent="0.4">
      <c r="I467" s="58"/>
    </row>
    <row r="468" spans="9:9" x14ac:dyDescent="0.4">
      <c r="I468" s="58"/>
    </row>
    <row r="469" spans="9:9" x14ac:dyDescent="0.4">
      <c r="I469" s="58"/>
    </row>
    <row r="470" spans="9:9" x14ac:dyDescent="0.4">
      <c r="I470" s="58"/>
    </row>
    <row r="471" spans="9:9" x14ac:dyDescent="0.4">
      <c r="I471" s="58"/>
    </row>
    <row r="472" spans="9:9" x14ac:dyDescent="0.4">
      <c r="I472" s="58"/>
    </row>
    <row r="473" spans="9:9" x14ac:dyDescent="0.4">
      <c r="I473" s="58"/>
    </row>
    <row r="474" spans="9:9" x14ac:dyDescent="0.4">
      <c r="I474" s="58"/>
    </row>
    <row r="475" spans="9:9" x14ac:dyDescent="0.4">
      <c r="I475" s="58"/>
    </row>
    <row r="476" spans="9:9" x14ac:dyDescent="0.4">
      <c r="I476" s="58"/>
    </row>
    <row r="477" spans="9:9" x14ac:dyDescent="0.4">
      <c r="I477" s="58"/>
    </row>
    <row r="478" spans="9:9" x14ac:dyDescent="0.4">
      <c r="I478" s="58"/>
    </row>
    <row r="479" spans="9:9" x14ac:dyDescent="0.4">
      <c r="I479" s="58"/>
    </row>
    <row r="480" spans="9:9" x14ac:dyDescent="0.4">
      <c r="I480" s="58"/>
    </row>
    <row r="481" spans="9:9" x14ac:dyDescent="0.4">
      <c r="I481" s="58"/>
    </row>
    <row r="482" spans="9:9" x14ac:dyDescent="0.4">
      <c r="I482" s="58"/>
    </row>
    <row r="483" spans="9:9" x14ac:dyDescent="0.4">
      <c r="I483" s="58"/>
    </row>
    <row r="484" spans="9:9" x14ac:dyDescent="0.4">
      <c r="I484" s="58"/>
    </row>
    <row r="485" spans="9:9" x14ac:dyDescent="0.4">
      <c r="I485" s="58"/>
    </row>
    <row r="486" spans="9:9" x14ac:dyDescent="0.4">
      <c r="I486" s="58"/>
    </row>
    <row r="487" spans="9:9" x14ac:dyDescent="0.4">
      <c r="I487" s="58"/>
    </row>
    <row r="488" spans="9:9" x14ac:dyDescent="0.4">
      <c r="I488" s="58"/>
    </row>
    <row r="489" spans="9:9" x14ac:dyDescent="0.4">
      <c r="I489" s="58"/>
    </row>
    <row r="490" spans="9:9" x14ac:dyDescent="0.4">
      <c r="I490" s="58"/>
    </row>
    <row r="491" spans="9:9" x14ac:dyDescent="0.4">
      <c r="I491" s="58"/>
    </row>
    <row r="492" spans="9:9" x14ac:dyDescent="0.4">
      <c r="I492" s="58"/>
    </row>
    <row r="493" spans="9:9" x14ac:dyDescent="0.4">
      <c r="I493" s="58"/>
    </row>
    <row r="494" spans="9:9" x14ac:dyDescent="0.4">
      <c r="I494" s="58"/>
    </row>
    <row r="495" spans="9:9" x14ac:dyDescent="0.4">
      <c r="I495" s="58"/>
    </row>
    <row r="496" spans="9:9" x14ac:dyDescent="0.4">
      <c r="I496" s="58"/>
    </row>
    <row r="497" spans="9:9" x14ac:dyDescent="0.4">
      <c r="I497" s="58"/>
    </row>
    <row r="498" spans="9:9" x14ac:dyDescent="0.4">
      <c r="I498" s="58"/>
    </row>
    <row r="499" spans="9:9" x14ac:dyDescent="0.4">
      <c r="I499" s="58"/>
    </row>
    <row r="500" spans="9:9" x14ac:dyDescent="0.4">
      <c r="I500" s="58"/>
    </row>
    <row r="501" spans="9:9" x14ac:dyDescent="0.4">
      <c r="I501" s="58"/>
    </row>
    <row r="502" spans="9:9" x14ac:dyDescent="0.4">
      <c r="I502" s="58"/>
    </row>
    <row r="503" spans="9:9" x14ac:dyDescent="0.4">
      <c r="I503" s="58"/>
    </row>
    <row r="504" spans="9:9" x14ac:dyDescent="0.4">
      <c r="I504" s="58"/>
    </row>
    <row r="505" spans="9:9" x14ac:dyDescent="0.4">
      <c r="I505" s="58"/>
    </row>
    <row r="506" spans="9:9" x14ac:dyDescent="0.4">
      <c r="I506" s="58"/>
    </row>
    <row r="507" spans="9:9" x14ac:dyDescent="0.4">
      <c r="I507" s="58"/>
    </row>
    <row r="508" spans="9:9" x14ac:dyDescent="0.4">
      <c r="I508" s="58"/>
    </row>
    <row r="509" spans="9:9" x14ac:dyDescent="0.4">
      <c r="I509" s="58"/>
    </row>
    <row r="510" spans="9:9" x14ac:dyDescent="0.4">
      <c r="I510" s="58"/>
    </row>
    <row r="511" spans="9:9" x14ac:dyDescent="0.4">
      <c r="I511" s="58"/>
    </row>
    <row r="512" spans="9:9" x14ac:dyDescent="0.4">
      <c r="I512" s="58"/>
    </row>
    <row r="513" spans="9:9" x14ac:dyDescent="0.4">
      <c r="I513" s="58"/>
    </row>
    <row r="514" spans="9:9" x14ac:dyDescent="0.4">
      <c r="I514" s="58"/>
    </row>
    <row r="515" spans="9:9" x14ac:dyDescent="0.4">
      <c r="I515" s="58"/>
    </row>
    <row r="516" spans="9:9" x14ac:dyDescent="0.4">
      <c r="I516" s="58"/>
    </row>
    <row r="517" spans="9:9" x14ac:dyDescent="0.4">
      <c r="I517" s="58"/>
    </row>
    <row r="518" spans="9:9" x14ac:dyDescent="0.4">
      <c r="I518" s="58"/>
    </row>
    <row r="519" spans="9:9" x14ac:dyDescent="0.4">
      <c r="I519" s="58"/>
    </row>
    <row r="520" spans="9:9" x14ac:dyDescent="0.4">
      <c r="I520" s="58"/>
    </row>
    <row r="521" spans="9:9" x14ac:dyDescent="0.4">
      <c r="I521" s="58"/>
    </row>
    <row r="522" spans="9:9" x14ac:dyDescent="0.4">
      <c r="I522" s="58"/>
    </row>
    <row r="523" spans="9:9" x14ac:dyDescent="0.4">
      <c r="I523" s="58"/>
    </row>
    <row r="524" spans="9:9" x14ac:dyDescent="0.4">
      <c r="I524" s="58"/>
    </row>
    <row r="525" spans="9:9" x14ac:dyDescent="0.4">
      <c r="I525" s="58"/>
    </row>
    <row r="526" spans="9:9" x14ac:dyDescent="0.4">
      <c r="I526" s="58"/>
    </row>
    <row r="527" spans="9:9" x14ac:dyDescent="0.4">
      <c r="I527" s="58"/>
    </row>
    <row r="528" spans="9:9" x14ac:dyDescent="0.4">
      <c r="I528" s="58"/>
    </row>
    <row r="529" spans="9:9" x14ac:dyDescent="0.4">
      <c r="I529" s="58"/>
    </row>
    <row r="530" spans="9:9" x14ac:dyDescent="0.4">
      <c r="I530" s="58"/>
    </row>
    <row r="531" spans="9:9" x14ac:dyDescent="0.4">
      <c r="I531" s="58"/>
    </row>
    <row r="532" spans="9:9" x14ac:dyDescent="0.4">
      <c r="I532" s="58"/>
    </row>
    <row r="533" spans="9:9" x14ac:dyDescent="0.4">
      <c r="I533" s="58"/>
    </row>
    <row r="534" spans="9:9" x14ac:dyDescent="0.4">
      <c r="I534" s="58"/>
    </row>
    <row r="535" spans="9:9" x14ac:dyDescent="0.4">
      <c r="I535" s="58"/>
    </row>
    <row r="536" spans="9:9" x14ac:dyDescent="0.4">
      <c r="I536" s="58"/>
    </row>
    <row r="537" spans="9:9" x14ac:dyDescent="0.4">
      <c r="I537" s="58"/>
    </row>
    <row r="538" spans="9:9" x14ac:dyDescent="0.4">
      <c r="I538" s="58"/>
    </row>
    <row r="539" spans="9:9" x14ac:dyDescent="0.4">
      <c r="I539" s="58"/>
    </row>
    <row r="540" spans="9:9" x14ac:dyDescent="0.4">
      <c r="I540" s="58"/>
    </row>
    <row r="541" spans="9:9" x14ac:dyDescent="0.4">
      <c r="I541" s="58"/>
    </row>
    <row r="542" spans="9:9" x14ac:dyDescent="0.4">
      <c r="I542" s="58"/>
    </row>
    <row r="543" spans="9:9" x14ac:dyDescent="0.4">
      <c r="I543" s="58"/>
    </row>
    <row r="544" spans="9:9" x14ac:dyDescent="0.4">
      <c r="I544" s="58"/>
    </row>
    <row r="545" spans="9:9" x14ac:dyDescent="0.4">
      <c r="I545" s="58"/>
    </row>
    <row r="546" spans="9:9" x14ac:dyDescent="0.4">
      <c r="I546" s="58"/>
    </row>
    <row r="547" spans="9:9" x14ac:dyDescent="0.4">
      <c r="I547" s="58"/>
    </row>
    <row r="548" spans="9:9" x14ac:dyDescent="0.4">
      <c r="I548" s="58"/>
    </row>
    <row r="549" spans="9:9" x14ac:dyDescent="0.4">
      <c r="I549" s="58"/>
    </row>
    <row r="550" spans="9:9" x14ac:dyDescent="0.4">
      <c r="I550" s="58"/>
    </row>
    <row r="551" spans="9:9" x14ac:dyDescent="0.4">
      <c r="I551" s="58"/>
    </row>
    <row r="552" spans="9:9" x14ac:dyDescent="0.4">
      <c r="I552" s="58"/>
    </row>
    <row r="553" spans="9:9" x14ac:dyDescent="0.4">
      <c r="I553" s="58"/>
    </row>
    <row r="554" spans="9:9" x14ac:dyDescent="0.4">
      <c r="I554" s="58"/>
    </row>
    <row r="555" spans="9:9" x14ac:dyDescent="0.4">
      <c r="I555" s="58"/>
    </row>
    <row r="556" spans="9:9" x14ac:dyDescent="0.4">
      <c r="I556" s="58"/>
    </row>
    <row r="557" spans="9:9" x14ac:dyDescent="0.4">
      <c r="I557" s="58"/>
    </row>
    <row r="558" spans="9:9" x14ac:dyDescent="0.4">
      <c r="I558" s="58"/>
    </row>
    <row r="559" spans="9:9" x14ac:dyDescent="0.4">
      <c r="I559" s="58"/>
    </row>
    <row r="560" spans="9:9" x14ac:dyDescent="0.4">
      <c r="I560" s="58"/>
    </row>
    <row r="561" spans="9:9" x14ac:dyDescent="0.4">
      <c r="I561" s="58"/>
    </row>
    <row r="562" spans="9:9" x14ac:dyDescent="0.4">
      <c r="I562" s="58"/>
    </row>
    <row r="563" spans="9:9" x14ac:dyDescent="0.4">
      <c r="I563" s="58"/>
    </row>
    <row r="564" spans="9:9" x14ac:dyDescent="0.4">
      <c r="I564" s="58"/>
    </row>
    <row r="565" spans="9:9" x14ac:dyDescent="0.4">
      <c r="I565" s="58"/>
    </row>
    <row r="566" spans="9:9" x14ac:dyDescent="0.4">
      <c r="I566" s="58"/>
    </row>
    <row r="567" spans="9:9" x14ac:dyDescent="0.4">
      <c r="I567" s="58"/>
    </row>
    <row r="568" spans="9:9" x14ac:dyDescent="0.4">
      <c r="I568" s="58"/>
    </row>
    <row r="569" spans="9:9" x14ac:dyDescent="0.4">
      <c r="I569" s="58"/>
    </row>
    <row r="570" spans="9:9" x14ac:dyDescent="0.4">
      <c r="I570" s="58"/>
    </row>
    <row r="571" spans="9:9" x14ac:dyDescent="0.4">
      <c r="I571" s="58"/>
    </row>
    <row r="572" spans="9:9" x14ac:dyDescent="0.4">
      <c r="I572" s="58"/>
    </row>
    <row r="573" spans="9:9" x14ac:dyDescent="0.4">
      <c r="I573" s="58"/>
    </row>
    <row r="574" spans="9:9" x14ac:dyDescent="0.4">
      <c r="I574" s="58"/>
    </row>
    <row r="575" spans="9:9" x14ac:dyDescent="0.4">
      <c r="I575" s="58"/>
    </row>
    <row r="576" spans="9:9" x14ac:dyDescent="0.4">
      <c r="I576" s="58"/>
    </row>
    <row r="577" spans="9:9" x14ac:dyDescent="0.4">
      <c r="I577" s="58"/>
    </row>
    <row r="578" spans="9:9" x14ac:dyDescent="0.4">
      <c r="I578" s="58"/>
    </row>
    <row r="579" spans="9:9" x14ac:dyDescent="0.4">
      <c r="I579" s="58"/>
    </row>
    <row r="580" spans="9:9" x14ac:dyDescent="0.4">
      <c r="I580" s="58"/>
    </row>
    <row r="581" spans="9:9" x14ac:dyDescent="0.4">
      <c r="I581" s="58"/>
    </row>
    <row r="582" spans="9:9" x14ac:dyDescent="0.4">
      <c r="I582" s="58"/>
    </row>
    <row r="583" spans="9:9" x14ac:dyDescent="0.4">
      <c r="I583" s="58"/>
    </row>
    <row r="584" spans="9:9" x14ac:dyDescent="0.4">
      <c r="I584" s="58"/>
    </row>
    <row r="585" spans="9:9" x14ac:dyDescent="0.4">
      <c r="I585" s="58"/>
    </row>
    <row r="586" spans="9:9" x14ac:dyDescent="0.4">
      <c r="I586" s="58"/>
    </row>
    <row r="587" spans="9:9" x14ac:dyDescent="0.4">
      <c r="I587" s="58"/>
    </row>
    <row r="588" spans="9:9" x14ac:dyDescent="0.4">
      <c r="I588" s="58"/>
    </row>
    <row r="589" spans="9:9" x14ac:dyDescent="0.4">
      <c r="I589" s="58"/>
    </row>
    <row r="590" spans="9:9" x14ac:dyDescent="0.4">
      <c r="I590" s="58"/>
    </row>
    <row r="591" spans="9:9" x14ac:dyDescent="0.4">
      <c r="I591" s="58"/>
    </row>
    <row r="592" spans="9:9" x14ac:dyDescent="0.4">
      <c r="I592" s="58"/>
    </row>
    <row r="593" spans="9:9" x14ac:dyDescent="0.4">
      <c r="I593" s="58"/>
    </row>
    <row r="594" spans="9:9" x14ac:dyDescent="0.4">
      <c r="I594" s="58"/>
    </row>
    <row r="595" spans="9:9" x14ac:dyDescent="0.4">
      <c r="I595" s="58"/>
    </row>
    <row r="596" spans="9:9" x14ac:dyDescent="0.4">
      <c r="I596" s="58"/>
    </row>
    <row r="597" spans="9:9" x14ac:dyDescent="0.4">
      <c r="I597" s="58"/>
    </row>
    <row r="598" spans="9:9" x14ac:dyDescent="0.4">
      <c r="I598" s="58"/>
    </row>
    <row r="599" spans="9:9" x14ac:dyDescent="0.4">
      <c r="I599" s="58"/>
    </row>
    <row r="600" spans="9:9" x14ac:dyDescent="0.4">
      <c r="I600" s="58"/>
    </row>
    <row r="601" spans="9:9" x14ac:dyDescent="0.4">
      <c r="I601" s="58"/>
    </row>
    <row r="602" spans="9:9" x14ac:dyDescent="0.4">
      <c r="I602" s="58"/>
    </row>
    <row r="603" spans="9:9" x14ac:dyDescent="0.4">
      <c r="I603" s="58"/>
    </row>
    <row r="604" spans="9:9" x14ac:dyDescent="0.4">
      <c r="I604" s="58"/>
    </row>
    <row r="605" spans="9:9" x14ac:dyDescent="0.4">
      <c r="I605" s="58"/>
    </row>
    <row r="606" spans="9:9" x14ac:dyDescent="0.4">
      <c r="I606" s="58"/>
    </row>
    <row r="607" spans="9:9" x14ac:dyDescent="0.4">
      <c r="I607" s="58"/>
    </row>
    <row r="608" spans="9:9" x14ac:dyDescent="0.4">
      <c r="I608" s="58"/>
    </row>
    <row r="609" spans="9:9" x14ac:dyDescent="0.4">
      <c r="I609" s="58"/>
    </row>
    <row r="610" spans="9:9" x14ac:dyDescent="0.4">
      <c r="I610" s="58"/>
    </row>
    <row r="611" spans="9:9" x14ac:dyDescent="0.4">
      <c r="I611" s="58"/>
    </row>
    <row r="612" spans="9:9" x14ac:dyDescent="0.4">
      <c r="I612" s="58"/>
    </row>
    <row r="613" spans="9:9" x14ac:dyDescent="0.4">
      <c r="I613" s="58"/>
    </row>
    <row r="614" spans="9:9" x14ac:dyDescent="0.4">
      <c r="I614" s="58"/>
    </row>
    <row r="615" spans="9:9" x14ac:dyDescent="0.4">
      <c r="I615" s="58"/>
    </row>
    <row r="616" spans="9:9" x14ac:dyDescent="0.4">
      <c r="I616" s="58"/>
    </row>
    <row r="617" spans="9:9" x14ac:dyDescent="0.4">
      <c r="I617" s="58"/>
    </row>
    <row r="618" spans="9:9" x14ac:dyDescent="0.4">
      <c r="I618" s="58"/>
    </row>
    <row r="619" spans="9:9" x14ac:dyDescent="0.4">
      <c r="I619" s="58"/>
    </row>
    <row r="620" spans="9:9" x14ac:dyDescent="0.4">
      <c r="I620" s="58"/>
    </row>
    <row r="621" spans="9:9" x14ac:dyDescent="0.4">
      <c r="I621" s="58"/>
    </row>
    <row r="622" spans="9:9" x14ac:dyDescent="0.4">
      <c r="I622" s="58"/>
    </row>
    <row r="623" spans="9:9" x14ac:dyDescent="0.4">
      <c r="I623" s="58"/>
    </row>
    <row r="624" spans="9:9" x14ac:dyDescent="0.4">
      <c r="I624" s="58"/>
    </row>
    <row r="625" spans="9:9" x14ac:dyDescent="0.4">
      <c r="I625" s="58"/>
    </row>
    <row r="626" spans="9:9" x14ac:dyDescent="0.4">
      <c r="I626" s="58"/>
    </row>
    <row r="627" spans="9:9" x14ac:dyDescent="0.4">
      <c r="I627" s="58"/>
    </row>
    <row r="628" spans="9:9" x14ac:dyDescent="0.4">
      <c r="I628" s="58"/>
    </row>
    <row r="629" spans="9:9" x14ac:dyDescent="0.4">
      <c r="I629" s="58"/>
    </row>
    <row r="630" spans="9:9" x14ac:dyDescent="0.4">
      <c r="I630" s="58"/>
    </row>
    <row r="631" spans="9:9" x14ac:dyDescent="0.4">
      <c r="I631" s="58"/>
    </row>
    <row r="632" spans="9:9" x14ac:dyDescent="0.4">
      <c r="I632" s="58"/>
    </row>
    <row r="633" spans="9:9" x14ac:dyDescent="0.4">
      <c r="I633" s="58"/>
    </row>
    <row r="634" spans="9:9" x14ac:dyDescent="0.4">
      <c r="I634" s="58"/>
    </row>
    <row r="635" spans="9:9" x14ac:dyDescent="0.4">
      <c r="I635" s="58"/>
    </row>
    <row r="636" spans="9:9" x14ac:dyDescent="0.4">
      <c r="I636" s="58"/>
    </row>
    <row r="637" spans="9:9" x14ac:dyDescent="0.4">
      <c r="I637" s="58"/>
    </row>
    <row r="638" spans="9:9" x14ac:dyDescent="0.4">
      <c r="I638" s="58"/>
    </row>
    <row r="639" spans="9:9" x14ac:dyDescent="0.4">
      <c r="I639" s="58"/>
    </row>
    <row r="640" spans="9:9" x14ac:dyDescent="0.4">
      <c r="I640" s="58"/>
    </row>
    <row r="641" spans="9:9" x14ac:dyDescent="0.4">
      <c r="I641" s="58"/>
    </row>
    <row r="642" spans="9:9" x14ac:dyDescent="0.4">
      <c r="I642" s="58"/>
    </row>
    <row r="643" spans="9:9" x14ac:dyDescent="0.4">
      <c r="I643" s="58"/>
    </row>
    <row r="644" spans="9:9" x14ac:dyDescent="0.4">
      <c r="I644" s="58"/>
    </row>
    <row r="645" spans="9:9" x14ac:dyDescent="0.4">
      <c r="I645" s="58"/>
    </row>
    <row r="646" spans="9:9" x14ac:dyDescent="0.4">
      <c r="I646" s="58"/>
    </row>
    <row r="647" spans="9:9" x14ac:dyDescent="0.4">
      <c r="I647" s="58"/>
    </row>
    <row r="648" spans="9:9" x14ac:dyDescent="0.4">
      <c r="I648" s="58"/>
    </row>
    <row r="649" spans="9:9" x14ac:dyDescent="0.4">
      <c r="I649" s="58"/>
    </row>
    <row r="650" spans="9:9" x14ac:dyDescent="0.4">
      <c r="I650" s="58"/>
    </row>
    <row r="651" spans="9:9" x14ac:dyDescent="0.4">
      <c r="I651" s="58"/>
    </row>
    <row r="652" spans="9:9" x14ac:dyDescent="0.4">
      <c r="I652" s="58"/>
    </row>
    <row r="653" spans="9:9" x14ac:dyDescent="0.4">
      <c r="I653" s="58"/>
    </row>
    <row r="654" spans="9:9" x14ac:dyDescent="0.4">
      <c r="I654" s="58"/>
    </row>
    <row r="655" spans="9:9" x14ac:dyDescent="0.4">
      <c r="I655" s="58"/>
    </row>
    <row r="656" spans="9:9" x14ac:dyDescent="0.4">
      <c r="I656" s="58"/>
    </row>
    <row r="657" spans="9:9" x14ac:dyDescent="0.4">
      <c r="I657" s="58"/>
    </row>
    <row r="658" spans="9:9" x14ac:dyDescent="0.4">
      <c r="I658" s="58"/>
    </row>
    <row r="659" spans="9:9" x14ac:dyDescent="0.4">
      <c r="I659" s="58"/>
    </row>
    <row r="660" spans="9:9" x14ac:dyDescent="0.4">
      <c r="I660" s="58"/>
    </row>
    <row r="661" spans="9:9" x14ac:dyDescent="0.4">
      <c r="I661" s="58"/>
    </row>
    <row r="662" spans="9:9" x14ac:dyDescent="0.4">
      <c r="I662" s="58"/>
    </row>
    <row r="663" spans="9:9" x14ac:dyDescent="0.4">
      <c r="I663" s="58"/>
    </row>
    <row r="664" spans="9:9" x14ac:dyDescent="0.4">
      <c r="I664" s="58"/>
    </row>
    <row r="665" spans="9:9" x14ac:dyDescent="0.4">
      <c r="I665" s="58"/>
    </row>
    <row r="666" spans="9:9" x14ac:dyDescent="0.4">
      <c r="I666" s="58"/>
    </row>
    <row r="667" spans="9:9" x14ac:dyDescent="0.4">
      <c r="I667" s="58"/>
    </row>
    <row r="668" spans="9:9" x14ac:dyDescent="0.4">
      <c r="I668" s="58"/>
    </row>
    <row r="669" spans="9:9" x14ac:dyDescent="0.4">
      <c r="I669" s="58"/>
    </row>
    <row r="670" spans="9:9" x14ac:dyDescent="0.4">
      <c r="I670" s="58"/>
    </row>
    <row r="671" spans="9:9" x14ac:dyDescent="0.4">
      <c r="I671" s="58"/>
    </row>
    <row r="672" spans="9:9" x14ac:dyDescent="0.4">
      <c r="I672" s="58"/>
    </row>
    <row r="673" spans="9:9" x14ac:dyDescent="0.4">
      <c r="I673" s="58"/>
    </row>
    <row r="674" spans="9:9" x14ac:dyDescent="0.4">
      <c r="I674" s="58"/>
    </row>
    <row r="675" spans="9:9" x14ac:dyDescent="0.4">
      <c r="I675" s="58"/>
    </row>
    <row r="676" spans="9:9" x14ac:dyDescent="0.4">
      <c r="I676" s="58"/>
    </row>
    <row r="677" spans="9:9" x14ac:dyDescent="0.4">
      <c r="I677" s="58"/>
    </row>
    <row r="678" spans="9:9" x14ac:dyDescent="0.4">
      <c r="I678" s="58"/>
    </row>
    <row r="679" spans="9:9" x14ac:dyDescent="0.4">
      <c r="I679" s="58"/>
    </row>
    <row r="680" spans="9:9" x14ac:dyDescent="0.4">
      <c r="I680" s="58"/>
    </row>
    <row r="681" spans="9:9" x14ac:dyDescent="0.4">
      <c r="I681" s="58"/>
    </row>
    <row r="682" spans="9:9" x14ac:dyDescent="0.4">
      <c r="I682" s="58"/>
    </row>
    <row r="683" spans="9:9" x14ac:dyDescent="0.4">
      <c r="I683" s="58"/>
    </row>
    <row r="684" spans="9:9" x14ac:dyDescent="0.4">
      <c r="I684" s="58"/>
    </row>
    <row r="685" spans="9:9" x14ac:dyDescent="0.4">
      <c r="I685" s="58"/>
    </row>
    <row r="686" spans="9:9" x14ac:dyDescent="0.4">
      <c r="I686" s="58"/>
    </row>
    <row r="687" spans="9:9" x14ac:dyDescent="0.4">
      <c r="I687" s="58"/>
    </row>
    <row r="688" spans="9:9" x14ac:dyDescent="0.4">
      <c r="I688" s="58"/>
    </row>
    <row r="689" spans="9:9" x14ac:dyDescent="0.4">
      <c r="I689" s="58"/>
    </row>
    <row r="690" spans="9:9" x14ac:dyDescent="0.4">
      <c r="I690" s="58"/>
    </row>
    <row r="691" spans="9:9" x14ac:dyDescent="0.4">
      <c r="I691" s="58"/>
    </row>
    <row r="692" spans="9:9" x14ac:dyDescent="0.4">
      <c r="I692" s="58"/>
    </row>
    <row r="693" spans="9:9" x14ac:dyDescent="0.4">
      <c r="I693" s="58"/>
    </row>
    <row r="694" spans="9:9" x14ac:dyDescent="0.4">
      <c r="I694" s="58"/>
    </row>
    <row r="695" spans="9:9" x14ac:dyDescent="0.4">
      <c r="I695" s="58"/>
    </row>
    <row r="696" spans="9:9" x14ac:dyDescent="0.4">
      <c r="I696" s="58"/>
    </row>
    <row r="697" spans="9:9" x14ac:dyDescent="0.4">
      <c r="I697" s="58"/>
    </row>
    <row r="698" spans="9:9" x14ac:dyDescent="0.4">
      <c r="I698" s="58"/>
    </row>
    <row r="699" spans="9:9" x14ac:dyDescent="0.4">
      <c r="I699" s="58"/>
    </row>
    <row r="700" spans="9:9" x14ac:dyDescent="0.4">
      <c r="I700" s="58"/>
    </row>
    <row r="701" spans="9:9" x14ac:dyDescent="0.4">
      <c r="I701" s="58"/>
    </row>
    <row r="702" spans="9:9" x14ac:dyDescent="0.4">
      <c r="I702" s="58"/>
    </row>
    <row r="703" spans="9:9" x14ac:dyDescent="0.4">
      <c r="I703" s="58"/>
    </row>
    <row r="704" spans="9:9" x14ac:dyDescent="0.4">
      <c r="I704" s="58"/>
    </row>
    <row r="705" spans="9:9" x14ac:dyDescent="0.4">
      <c r="I705" s="58"/>
    </row>
    <row r="706" spans="9:9" x14ac:dyDescent="0.4">
      <c r="I706" s="58"/>
    </row>
    <row r="707" spans="9:9" x14ac:dyDescent="0.4">
      <c r="I707" s="58"/>
    </row>
    <row r="708" spans="9:9" x14ac:dyDescent="0.4">
      <c r="I708" s="58"/>
    </row>
    <row r="709" spans="9:9" x14ac:dyDescent="0.4">
      <c r="I709" s="58"/>
    </row>
    <row r="710" spans="9:9" x14ac:dyDescent="0.4">
      <c r="I710" s="58"/>
    </row>
    <row r="711" spans="9:9" x14ac:dyDescent="0.4">
      <c r="I711" s="58"/>
    </row>
    <row r="712" spans="9:9" x14ac:dyDescent="0.4">
      <c r="I712" s="58"/>
    </row>
    <row r="713" spans="9:9" x14ac:dyDescent="0.4">
      <c r="I713" s="58"/>
    </row>
    <row r="714" spans="9:9" x14ac:dyDescent="0.4">
      <c r="I714" s="58"/>
    </row>
    <row r="715" spans="9:9" x14ac:dyDescent="0.4">
      <c r="I715" s="58"/>
    </row>
    <row r="716" spans="9:9" x14ac:dyDescent="0.4">
      <c r="I716" s="58"/>
    </row>
    <row r="717" spans="9:9" x14ac:dyDescent="0.4">
      <c r="I717" s="58"/>
    </row>
    <row r="718" spans="9:9" x14ac:dyDescent="0.4">
      <c r="I718" s="58"/>
    </row>
    <row r="719" spans="9:9" x14ac:dyDescent="0.4">
      <c r="I719" s="58"/>
    </row>
    <row r="720" spans="9:9" x14ac:dyDescent="0.4">
      <c r="I720" s="58"/>
    </row>
    <row r="721" spans="9:9" x14ac:dyDescent="0.4">
      <c r="I721" s="58"/>
    </row>
    <row r="722" spans="9:9" x14ac:dyDescent="0.4">
      <c r="I722" s="58"/>
    </row>
    <row r="723" spans="9:9" x14ac:dyDescent="0.4">
      <c r="I723" s="58"/>
    </row>
    <row r="724" spans="9:9" x14ac:dyDescent="0.4">
      <c r="I724" s="58"/>
    </row>
    <row r="725" spans="9:9" x14ac:dyDescent="0.4">
      <c r="I725" s="58"/>
    </row>
    <row r="726" spans="9:9" x14ac:dyDescent="0.4">
      <c r="I726" s="58"/>
    </row>
    <row r="727" spans="9:9" x14ac:dyDescent="0.4">
      <c r="I727" s="58"/>
    </row>
    <row r="728" spans="9:9" x14ac:dyDescent="0.4">
      <c r="I728" s="58"/>
    </row>
    <row r="729" spans="9:9" x14ac:dyDescent="0.4">
      <c r="I729" s="58"/>
    </row>
    <row r="730" spans="9:9" x14ac:dyDescent="0.4">
      <c r="I730" s="58"/>
    </row>
    <row r="731" spans="9:9" x14ac:dyDescent="0.4">
      <c r="I731" s="58"/>
    </row>
    <row r="732" spans="9:9" x14ac:dyDescent="0.4">
      <c r="I732" s="58"/>
    </row>
    <row r="733" spans="9:9" x14ac:dyDescent="0.4">
      <c r="I733" s="58"/>
    </row>
    <row r="734" spans="9:9" x14ac:dyDescent="0.4">
      <c r="I734" s="58"/>
    </row>
    <row r="735" spans="9:9" x14ac:dyDescent="0.4">
      <c r="I735" s="58"/>
    </row>
    <row r="736" spans="9:9" x14ac:dyDescent="0.4">
      <c r="I736" s="58"/>
    </row>
    <row r="737" spans="9:9" x14ac:dyDescent="0.4">
      <c r="I737" s="58"/>
    </row>
    <row r="738" spans="9:9" x14ac:dyDescent="0.4">
      <c r="I738" s="58"/>
    </row>
    <row r="739" spans="9:9" x14ac:dyDescent="0.4">
      <c r="I739" s="58"/>
    </row>
    <row r="740" spans="9:9" x14ac:dyDescent="0.4">
      <c r="I740" s="58"/>
    </row>
    <row r="741" spans="9:9" x14ac:dyDescent="0.4">
      <c r="I741" s="58"/>
    </row>
    <row r="742" spans="9:9" x14ac:dyDescent="0.4">
      <c r="I742" s="58"/>
    </row>
    <row r="743" spans="9:9" x14ac:dyDescent="0.4">
      <c r="I743" s="58"/>
    </row>
    <row r="744" spans="9:9" x14ac:dyDescent="0.4">
      <c r="I744" s="58"/>
    </row>
    <row r="745" spans="9:9" x14ac:dyDescent="0.4">
      <c r="I745" s="58"/>
    </row>
    <row r="746" spans="9:9" x14ac:dyDescent="0.4">
      <c r="I746" s="58"/>
    </row>
    <row r="747" spans="9:9" x14ac:dyDescent="0.4">
      <c r="I747" s="58"/>
    </row>
    <row r="748" spans="9:9" x14ac:dyDescent="0.4">
      <c r="I748" s="58"/>
    </row>
    <row r="749" spans="9:9" x14ac:dyDescent="0.4">
      <c r="I749" s="58"/>
    </row>
    <row r="750" spans="9:9" x14ac:dyDescent="0.4">
      <c r="I750" s="58"/>
    </row>
    <row r="751" spans="9:9" x14ac:dyDescent="0.4">
      <c r="I751" s="58"/>
    </row>
    <row r="752" spans="9:9" x14ac:dyDescent="0.4">
      <c r="I752" s="58"/>
    </row>
    <row r="753" spans="9:9" x14ac:dyDescent="0.4">
      <c r="I753" s="58"/>
    </row>
    <row r="754" spans="9:9" x14ac:dyDescent="0.4">
      <c r="I754" s="58"/>
    </row>
    <row r="755" spans="9:9" x14ac:dyDescent="0.4">
      <c r="I755" s="58"/>
    </row>
    <row r="756" spans="9:9" x14ac:dyDescent="0.4">
      <c r="I756" s="58"/>
    </row>
    <row r="757" spans="9:9" x14ac:dyDescent="0.4">
      <c r="I757" s="58"/>
    </row>
    <row r="758" spans="9:9" x14ac:dyDescent="0.4">
      <c r="I758" s="58"/>
    </row>
    <row r="759" spans="9:9" x14ac:dyDescent="0.4">
      <c r="I759" s="58"/>
    </row>
    <row r="760" spans="9:9" x14ac:dyDescent="0.4">
      <c r="I760" s="58"/>
    </row>
    <row r="761" spans="9:9" x14ac:dyDescent="0.4">
      <c r="I761" s="58"/>
    </row>
    <row r="762" spans="9:9" x14ac:dyDescent="0.4">
      <c r="I762" s="58"/>
    </row>
    <row r="763" spans="9:9" x14ac:dyDescent="0.4">
      <c r="I763" s="58"/>
    </row>
    <row r="764" spans="9:9" x14ac:dyDescent="0.4">
      <c r="I764" s="58"/>
    </row>
    <row r="765" spans="9:9" x14ac:dyDescent="0.4">
      <c r="I765" s="58"/>
    </row>
    <row r="766" spans="9:9" x14ac:dyDescent="0.4">
      <c r="I766" s="58"/>
    </row>
    <row r="767" spans="9:9" x14ac:dyDescent="0.4">
      <c r="I767" s="58"/>
    </row>
    <row r="768" spans="9:9" x14ac:dyDescent="0.4">
      <c r="I768" s="58"/>
    </row>
    <row r="769" spans="9:9" x14ac:dyDescent="0.4">
      <c r="I769" s="58"/>
    </row>
    <row r="770" spans="9:9" x14ac:dyDescent="0.4">
      <c r="I770" s="58"/>
    </row>
    <row r="771" spans="9:9" x14ac:dyDescent="0.4">
      <c r="I771" s="58"/>
    </row>
    <row r="772" spans="9:9" x14ac:dyDescent="0.4">
      <c r="I772" s="58"/>
    </row>
    <row r="773" spans="9:9" x14ac:dyDescent="0.4">
      <c r="I773" s="58"/>
    </row>
    <row r="774" spans="9:9" x14ac:dyDescent="0.4">
      <c r="I774" s="58"/>
    </row>
    <row r="775" spans="9:9" x14ac:dyDescent="0.4">
      <c r="I775" s="58"/>
    </row>
    <row r="776" spans="9:9" x14ac:dyDescent="0.4">
      <c r="I776" s="58"/>
    </row>
    <row r="777" spans="9:9" x14ac:dyDescent="0.4">
      <c r="I777" s="58"/>
    </row>
    <row r="778" spans="9:9" x14ac:dyDescent="0.4">
      <c r="I778" s="58"/>
    </row>
    <row r="779" spans="9:9" x14ac:dyDescent="0.4">
      <c r="I779" s="58"/>
    </row>
    <row r="780" spans="9:9" x14ac:dyDescent="0.4">
      <c r="I780" s="58"/>
    </row>
    <row r="781" spans="9:9" x14ac:dyDescent="0.4">
      <c r="I781" s="58"/>
    </row>
    <row r="782" spans="9:9" x14ac:dyDescent="0.4">
      <c r="I782" s="58"/>
    </row>
    <row r="783" spans="9:9" x14ac:dyDescent="0.4">
      <c r="I783" s="58"/>
    </row>
    <row r="784" spans="9:9" x14ac:dyDescent="0.4">
      <c r="I784" s="58"/>
    </row>
    <row r="785" spans="9:9" x14ac:dyDescent="0.4">
      <c r="I785" s="58"/>
    </row>
    <row r="786" spans="9:9" x14ac:dyDescent="0.4">
      <c r="I786" s="58"/>
    </row>
    <row r="787" spans="9:9" x14ac:dyDescent="0.4">
      <c r="I787" s="58"/>
    </row>
    <row r="788" spans="9:9" x14ac:dyDescent="0.4">
      <c r="I788" s="58"/>
    </row>
    <row r="789" spans="9:9" x14ac:dyDescent="0.4">
      <c r="I789" s="58"/>
    </row>
    <row r="790" spans="9:9" x14ac:dyDescent="0.4">
      <c r="I790" s="58"/>
    </row>
    <row r="791" spans="9:9" x14ac:dyDescent="0.4">
      <c r="I791" s="58"/>
    </row>
    <row r="792" spans="9:9" x14ac:dyDescent="0.4">
      <c r="I792" s="58"/>
    </row>
    <row r="793" spans="9:9" x14ac:dyDescent="0.4">
      <c r="I793" s="58"/>
    </row>
    <row r="794" spans="9:9" x14ac:dyDescent="0.4">
      <c r="I794" s="58"/>
    </row>
    <row r="795" spans="9:9" x14ac:dyDescent="0.4">
      <c r="I795" s="58"/>
    </row>
    <row r="796" spans="9:9" x14ac:dyDescent="0.4">
      <c r="I796" s="58"/>
    </row>
    <row r="797" spans="9:9" x14ac:dyDescent="0.4">
      <c r="I797" s="58"/>
    </row>
    <row r="798" spans="9:9" x14ac:dyDescent="0.4">
      <c r="I798" s="58"/>
    </row>
    <row r="799" spans="9:9" x14ac:dyDescent="0.4">
      <c r="I799" s="58"/>
    </row>
    <row r="800" spans="9:9" x14ac:dyDescent="0.4">
      <c r="I800" s="58"/>
    </row>
    <row r="801" spans="9:9" x14ac:dyDescent="0.4">
      <c r="I801" s="58"/>
    </row>
    <row r="802" spans="9:9" x14ac:dyDescent="0.4">
      <c r="I802" s="58"/>
    </row>
    <row r="803" spans="9:9" x14ac:dyDescent="0.4">
      <c r="I803" s="58"/>
    </row>
    <row r="804" spans="9:9" x14ac:dyDescent="0.4">
      <c r="I804" s="58"/>
    </row>
    <row r="805" spans="9:9" x14ac:dyDescent="0.4">
      <c r="I805" s="58"/>
    </row>
    <row r="806" spans="9:9" x14ac:dyDescent="0.4">
      <c r="I806" s="58"/>
    </row>
    <row r="807" spans="9:9" x14ac:dyDescent="0.4">
      <c r="I807" s="58"/>
    </row>
    <row r="808" spans="9:9" x14ac:dyDescent="0.4">
      <c r="I808" s="58"/>
    </row>
    <row r="809" spans="9:9" x14ac:dyDescent="0.4">
      <c r="I809" s="58"/>
    </row>
    <row r="810" spans="9:9" x14ac:dyDescent="0.4">
      <c r="I810" s="58"/>
    </row>
    <row r="811" spans="9:9" x14ac:dyDescent="0.4">
      <c r="I811" s="58"/>
    </row>
    <row r="812" spans="9:9" x14ac:dyDescent="0.4">
      <c r="I812" s="58"/>
    </row>
    <row r="813" spans="9:9" x14ac:dyDescent="0.4">
      <c r="I813" s="58"/>
    </row>
    <row r="814" spans="9:9" x14ac:dyDescent="0.4">
      <c r="I814" s="58"/>
    </row>
    <row r="815" spans="9:9" x14ac:dyDescent="0.4">
      <c r="I815" s="58"/>
    </row>
    <row r="816" spans="9:9" x14ac:dyDescent="0.4">
      <c r="I816" s="58"/>
    </row>
    <row r="817" spans="9:9" x14ac:dyDescent="0.4">
      <c r="I817" s="58"/>
    </row>
    <row r="818" spans="9:9" x14ac:dyDescent="0.4">
      <c r="I818" s="58"/>
    </row>
    <row r="819" spans="9:9" x14ac:dyDescent="0.4">
      <c r="I819" s="58"/>
    </row>
    <row r="820" spans="9:9" x14ac:dyDescent="0.4">
      <c r="I820" s="58"/>
    </row>
    <row r="821" spans="9:9" x14ac:dyDescent="0.4">
      <c r="I821" s="58"/>
    </row>
    <row r="822" spans="9:9" x14ac:dyDescent="0.4">
      <c r="I822" s="58"/>
    </row>
    <row r="823" spans="9:9" x14ac:dyDescent="0.4">
      <c r="I823" s="58"/>
    </row>
    <row r="824" spans="9:9" x14ac:dyDescent="0.4">
      <c r="I824" s="58"/>
    </row>
    <row r="825" spans="9:9" x14ac:dyDescent="0.4">
      <c r="I825" s="58"/>
    </row>
    <row r="826" spans="9:9" x14ac:dyDescent="0.4">
      <c r="I826" s="58"/>
    </row>
    <row r="827" spans="9:9" x14ac:dyDescent="0.4">
      <c r="I827" s="58"/>
    </row>
    <row r="828" spans="9:9" x14ac:dyDescent="0.4">
      <c r="I828" s="58"/>
    </row>
    <row r="829" spans="9:9" x14ac:dyDescent="0.4">
      <c r="I829" s="58"/>
    </row>
    <row r="830" spans="9:9" x14ac:dyDescent="0.4">
      <c r="I830" s="58"/>
    </row>
    <row r="831" spans="9:9" x14ac:dyDescent="0.4">
      <c r="I831" s="58"/>
    </row>
    <row r="832" spans="9:9" x14ac:dyDescent="0.4">
      <c r="I832" s="58"/>
    </row>
    <row r="833" spans="9:9" x14ac:dyDescent="0.4">
      <c r="I833" s="58"/>
    </row>
    <row r="834" spans="9:9" x14ac:dyDescent="0.4">
      <c r="I834" s="58"/>
    </row>
    <row r="835" spans="9:9" x14ac:dyDescent="0.4">
      <c r="I835" s="58"/>
    </row>
    <row r="836" spans="9:9" x14ac:dyDescent="0.4">
      <c r="I836" s="58"/>
    </row>
    <row r="837" spans="9:9" x14ac:dyDescent="0.4">
      <c r="I837" s="58"/>
    </row>
    <row r="838" spans="9:9" x14ac:dyDescent="0.4">
      <c r="I838" s="58"/>
    </row>
    <row r="839" spans="9:9" x14ac:dyDescent="0.4">
      <c r="I839" s="58"/>
    </row>
    <row r="840" spans="9:9" x14ac:dyDescent="0.4">
      <c r="I840" s="58"/>
    </row>
    <row r="841" spans="9:9" x14ac:dyDescent="0.4">
      <c r="I841" s="58"/>
    </row>
    <row r="842" spans="9:9" x14ac:dyDescent="0.4">
      <c r="I842" s="58"/>
    </row>
    <row r="843" spans="9:9" x14ac:dyDescent="0.4">
      <c r="I843" s="58"/>
    </row>
    <row r="844" spans="9:9" x14ac:dyDescent="0.4">
      <c r="I844" s="58"/>
    </row>
    <row r="845" spans="9:9" x14ac:dyDescent="0.4">
      <c r="I845" s="58"/>
    </row>
    <row r="846" spans="9:9" x14ac:dyDescent="0.4">
      <c r="I846" s="58"/>
    </row>
    <row r="847" spans="9:9" x14ac:dyDescent="0.4">
      <c r="I847" s="58"/>
    </row>
    <row r="848" spans="9:9" x14ac:dyDescent="0.4">
      <c r="I848" s="58"/>
    </row>
    <row r="849" spans="9:9" x14ac:dyDescent="0.4">
      <c r="I849" s="58"/>
    </row>
    <row r="850" spans="9:9" x14ac:dyDescent="0.4">
      <c r="I850" s="58"/>
    </row>
    <row r="851" spans="9:9" x14ac:dyDescent="0.4">
      <c r="I851" s="58"/>
    </row>
    <row r="852" spans="9:9" x14ac:dyDescent="0.4">
      <c r="I852" s="58"/>
    </row>
    <row r="853" spans="9:9" x14ac:dyDescent="0.4">
      <c r="I853" s="58"/>
    </row>
    <row r="854" spans="9:9" x14ac:dyDescent="0.4">
      <c r="I854" s="58"/>
    </row>
    <row r="855" spans="9:9" x14ac:dyDescent="0.4">
      <c r="I855" s="58"/>
    </row>
    <row r="856" spans="9:9" x14ac:dyDescent="0.4">
      <c r="I856" s="58"/>
    </row>
    <row r="857" spans="9:9" x14ac:dyDescent="0.4">
      <c r="I857" s="58"/>
    </row>
    <row r="858" spans="9:9" x14ac:dyDescent="0.4">
      <c r="I858" s="58"/>
    </row>
    <row r="859" spans="9:9" x14ac:dyDescent="0.4">
      <c r="I859" s="58"/>
    </row>
    <row r="860" spans="9:9" x14ac:dyDescent="0.4">
      <c r="I860" s="58"/>
    </row>
    <row r="861" spans="9:9" x14ac:dyDescent="0.4">
      <c r="I861" s="58"/>
    </row>
    <row r="862" spans="9:9" x14ac:dyDescent="0.4">
      <c r="I862" s="58"/>
    </row>
    <row r="863" spans="9:9" x14ac:dyDescent="0.4">
      <c r="I863" s="58"/>
    </row>
    <row r="864" spans="9:9" x14ac:dyDescent="0.4">
      <c r="I864" s="58"/>
    </row>
    <row r="865" spans="9:9" x14ac:dyDescent="0.4">
      <c r="I865" s="58"/>
    </row>
    <row r="866" spans="9:9" x14ac:dyDescent="0.4">
      <c r="I866" s="58"/>
    </row>
    <row r="867" spans="9:9" x14ac:dyDescent="0.4">
      <c r="I867" s="58"/>
    </row>
    <row r="868" spans="9:9" x14ac:dyDescent="0.4">
      <c r="I868" s="58"/>
    </row>
    <row r="869" spans="9:9" x14ac:dyDescent="0.4">
      <c r="I869" s="58"/>
    </row>
    <row r="870" spans="9:9" x14ac:dyDescent="0.4">
      <c r="I870" s="58"/>
    </row>
    <row r="871" spans="9:9" x14ac:dyDescent="0.4">
      <c r="I871" s="58"/>
    </row>
    <row r="872" spans="9:9" x14ac:dyDescent="0.4">
      <c r="I872" s="58"/>
    </row>
    <row r="873" spans="9:9" x14ac:dyDescent="0.4">
      <c r="I873" s="58"/>
    </row>
    <row r="874" spans="9:9" x14ac:dyDescent="0.4">
      <c r="I874" s="58"/>
    </row>
    <row r="875" spans="9:9" x14ac:dyDescent="0.4">
      <c r="I875" s="58"/>
    </row>
    <row r="876" spans="9:9" x14ac:dyDescent="0.4">
      <c r="I876" s="58"/>
    </row>
    <row r="877" spans="9:9" x14ac:dyDescent="0.4">
      <c r="I877" s="58"/>
    </row>
    <row r="878" spans="9:9" x14ac:dyDescent="0.4">
      <c r="I878" s="58"/>
    </row>
    <row r="879" spans="9:9" x14ac:dyDescent="0.4">
      <c r="I879" s="58"/>
    </row>
    <row r="880" spans="9:9" x14ac:dyDescent="0.4">
      <c r="I880" s="58"/>
    </row>
    <row r="881" spans="9:9" x14ac:dyDescent="0.4">
      <c r="I881" s="58"/>
    </row>
    <row r="882" spans="9:9" x14ac:dyDescent="0.4">
      <c r="I882" s="58"/>
    </row>
    <row r="883" spans="9:9" x14ac:dyDescent="0.4">
      <c r="I883" s="58"/>
    </row>
    <row r="884" spans="9:9" x14ac:dyDescent="0.4">
      <c r="I884" s="58"/>
    </row>
    <row r="885" spans="9:9" x14ac:dyDescent="0.4">
      <c r="I885" s="58"/>
    </row>
    <row r="886" spans="9:9" x14ac:dyDescent="0.4">
      <c r="I886" s="58"/>
    </row>
    <row r="887" spans="9:9" x14ac:dyDescent="0.4">
      <c r="I887" s="58"/>
    </row>
    <row r="888" spans="9:9" x14ac:dyDescent="0.4">
      <c r="I888" s="58"/>
    </row>
    <row r="889" spans="9:9" x14ac:dyDescent="0.4">
      <c r="I889" s="58"/>
    </row>
    <row r="890" spans="9:9" x14ac:dyDescent="0.4">
      <c r="I890" s="58"/>
    </row>
    <row r="891" spans="9:9" x14ac:dyDescent="0.4">
      <c r="I891" s="58"/>
    </row>
    <row r="892" spans="9:9" x14ac:dyDescent="0.4">
      <c r="I892" s="58"/>
    </row>
    <row r="893" spans="9:9" x14ac:dyDescent="0.4">
      <c r="I893" s="58"/>
    </row>
    <row r="894" spans="9:9" x14ac:dyDescent="0.4">
      <c r="I894" s="58"/>
    </row>
    <row r="895" spans="9:9" x14ac:dyDescent="0.4">
      <c r="I895" s="58"/>
    </row>
    <row r="896" spans="9:9" x14ac:dyDescent="0.4">
      <c r="I896" s="58"/>
    </row>
    <row r="897" spans="9:9" x14ac:dyDescent="0.4">
      <c r="I897" s="58"/>
    </row>
    <row r="898" spans="9:9" x14ac:dyDescent="0.4">
      <c r="I898" s="58"/>
    </row>
    <row r="899" spans="9:9" x14ac:dyDescent="0.4">
      <c r="I899" s="58"/>
    </row>
    <row r="900" spans="9:9" x14ac:dyDescent="0.4">
      <c r="I900" s="58"/>
    </row>
    <row r="901" spans="9:9" x14ac:dyDescent="0.4">
      <c r="I901" s="58"/>
    </row>
    <row r="902" spans="9:9" x14ac:dyDescent="0.4">
      <c r="I902" s="58"/>
    </row>
    <row r="903" spans="9:9" x14ac:dyDescent="0.4">
      <c r="I903" s="58"/>
    </row>
    <row r="904" spans="9:9" x14ac:dyDescent="0.4">
      <c r="I904" s="58"/>
    </row>
    <row r="905" spans="9:9" x14ac:dyDescent="0.4">
      <c r="I905" s="58"/>
    </row>
    <row r="906" spans="9:9" x14ac:dyDescent="0.4">
      <c r="I906" s="58"/>
    </row>
    <row r="907" spans="9:9" x14ac:dyDescent="0.4">
      <c r="I907" s="58"/>
    </row>
    <row r="908" spans="9:9" x14ac:dyDescent="0.4">
      <c r="I908" s="58"/>
    </row>
    <row r="909" spans="9:9" x14ac:dyDescent="0.4">
      <c r="I909" s="58"/>
    </row>
    <row r="910" spans="9:9" x14ac:dyDescent="0.4">
      <c r="I910" s="58"/>
    </row>
    <row r="911" spans="9:9" x14ac:dyDescent="0.4">
      <c r="I911" s="58"/>
    </row>
    <row r="912" spans="9:9" x14ac:dyDescent="0.4">
      <c r="I912" s="58"/>
    </row>
    <row r="913" spans="9:9" x14ac:dyDescent="0.4">
      <c r="I913" s="58"/>
    </row>
    <row r="914" spans="9:9" x14ac:dyDescent="0.4">
      <c r="I914" s="58"/>
    </row>
    <row r="915" spans="9:9" x14ac:dyDescent="0.4">
      <c r="I915" s="58"/>
    </row>
    <row r="916" spans="9:9" x14ac:dyDescent="0.4">
      <c r="I916" s="58"/>
    </row>
    <row r="917" spans="9:9" x14ac:dyDescent="0.4">
      <c r="I917" s="58"/>
    </row>
    <row r="918" spans="9:9" x14ac:dyDescent="0.4">
      <c r="I918" s="58"/>
    </row>
    <row r="919" spans="9:9" x14ac:dyDescent="0.4">
      <c r="I919" s="58"/>
    </row>
    <row r="920" spans="9:9" x14ac:dyDescent="0.4">
      <c r="I920" s="58"/>
    </row>
    <row r="921" spans="9:9" x14ac:dyDescent="0.4">
      <c r="I921" s="58"/>
    </row>
    <row r="922" spans="9:9" x14ac:dyDescent="0.4">
      <c r="I922" s="58"/>
    </row>
    <row r="923" spans="9:9" x14ac:dyDescent="0.4">
      <c r="I923" s="58"/>
    </row>
    <row r="924" spans="9:9" x14ac:dyDescent="0.4">
      <c r="I924" s="58"/>
    </row>
    <row r="925" spans="9:9" x14ac:dyDescent="0.4">
      <c r="I925" s="58"/>
    </row>
    <row r="926" spans="9:9" x14ac:dyDescent="0.4">
      <c r="I926" s="58"/>
    </row>
    <row r="927" spans="9:9" x14ac:dyDescent="0.4">
      <c r="I927" s="58"/>
    </row>
    <row r="928" spans="9:9" x14ac:dyDescent="0.4">
      <c r="I928" s="58"/>
    </row>
    <row r="929" spans="9:9" x14ac:dyDescent="0.4">
      <c r="I929" s="58"/>
    </row>
    <row r="930" spans="9:9" x14ac:dyDescent="0.4">
      <c r="I930" s="58"/>
    </row>
    <row r="931" spans="9:9" x14ac:dyDescent="0.4">
      <c r="I931" s="58"/>
    </row>
    <row r="932" spans="9:9" x14ac:dyDescent="0.4">
      <c r="I932" s="58"/>
    </row>
    <row r="933" spans="9:9" x14ac:dyDescent="0.4">
      <c r="I933" s="58"/>
    </row>
    <row r="934" spans="9:9" x14ac:dyDescent="0.4">
      <c r="I934" s="58"/>
    </row>
    <row r="935" spans="9:9" x14ac:dyDescent="0.4">
      <c r="I935" s="58"/>
    </row>
    <row r="936" spans="9:9" x14ac:dyDescent="0.4">
      <c r="I936" s="58"/>
    </row>
    <row r="937" spans="9:9" x14ac:dyDescent="0.4">
      <c r="I937" s="58"/>
    </row>
    <row r="938" spans="9:9" x14ac:dyDescent="0.4">
      <c r="I938" s="58"/>
    </row>
    <row r="939" spans="9:9" x14ac:dyDescent="0.4">
      <c r="I939" s="58"/>
    </row>
    <row r="940" spans="9:9" x14ac:dyDescent="0.4">
      <c r="I940" s="58"/>
    </row>
    <row r="941" spans="9:9" x14ac:dyDescent="0.4">
      <c r="I941" s="58"/>
    </row>
    <row r="942" spans="9:9" x14ac:dyDescent="0.4">
      <c r="I942" s="58"/>
    </row>
    <row r="943" spans="9:9" x14ac:dyDescent="0.4">
      <c r="I943" s="58"/>
    </row>
    <row r="944" spans="9:9" x14ac:dyDescent="0.4">
      <c r="I944" s="58"/>
    </row>
    <row r="945" spans="9:9" x14ac:dyDescent="0.4">
      <c r="I945" s="58"/>
    </row>
    <row r="946" spans="9:9" x14ac:dyDescent="0.4">
      <c r="I946" s="58"/>
    </row>
    <row r="947" spans="9:9" x14ac:dyDescent="0.4">
      <c r="I947" s="58"/>
    </row>
    <row r="948" spans="9:9" x14ac:dyDescent="0.4">
      <c r="I948" s="58"/>
    </row>
    <row r="949" spans="9:9" x14ac:dyDescent="0.4">
      <c r="I949" s="58"/>
    </row>
    <row r="950" spans="9:9" x14ac:dyDescent="0.4">
      <c r="I950" s="58"/>
    </row>
    <row r="951" spans="9:9" x14ac:dyDescent="0.4">
      <c r="I951" s="58"/>
    </row>
    <row r="952" spans="9:9" x14ac:dyDescent="0.4">
      <c r="I952" s="58"/>
    </row>
    <row r="953" spans="9:9" x14ac:dyDescent="0.4">
      <c r="I953" s="58"/>
    </row>
    <row r="954" spans="9:9" x14ac:dyDescent="0.4">
      <c r="I954" s="58"/>
    </row>
    <row r="955" spans="9:9" x14ac:dyDescent="0.4">
      <c r="I955" s="58"/>
    </row>
    <row r="956" spans="9:9" x14ac:dyDescent="0.4">
      <c r="I956" s="58"/>
    </row>
    <row r="957" spans="9:9" x14ac:dyDescent="0.4">
      <c r="I957" s="58"/>
    </row>
    <row r="958" spans="9:9" x14ac:dyDescent="0.4">
      <c r="I958" s="58"/>
    </row>
    <row r="959" spans="9:9" x14ac:dyDescent="0.4">
      <c r="I959" s="58"/>
    </row>
    <row r="960" spans="9:9" x14ac:dyDescent="0.4">
      <c r="I960" s="58"/>
    </row>
    <row r="961" spans="9:9" x14ac:dyDescent="0.4">
      <c r="I961" s="58"/>
    </row>
    <row r="962" spans="9:9" x14ac:dyDescent="0.4">
      <c r="I962" s="58"/>
    </row>
    <row r="963" spans="9:9" x14ac:dyDescent="0.4">
      <c r="I963" s="58"/>
    </row>
    <row r="964" spans="9:9" x14ac:dyDescent="0.4">
      <c r="I964" s="58"/>
    </row>
    <row r="965" spans="9:9" x14ac:dyDescent="0.4">
      <c r="I965" s="58"/>
    </row>
    <row r="966" spans="9:9" x14ac:dyDescent="0.4">
      <c r="I966" s="58"/>
    </row>
    <row r="967" spans="9:9" x14ac:dyDescent="0.4">
      <c r="I967" s="58"/>
    </row>
    <row r="968" spans="9:9" x14ac:dyDescent="0.4">
      <c r="I968" s="58"/>
    </row>
    <row r="969" spans="9:9" x14ac:dyDescent="0.4">
      <c r="I969" s="58"/>
    </row>
    <row r="970" spans="9:9" x14ac:dyDescent="0.4">
      <c r="I970" s="58"/>
    </row>
    <row r="971" spans="9:9" x14ac:dyDescent="0.4">
      <c r="I971" s="58"/>
    </row>
    <row r="972" spans="9:9" x14ac:dyDescent="0.4">
      <c r="I972" s="58"/>
    </row>
    <row r="973" spans="9:9" x14ac:dyDescent="0.4">
      <c r="I973" s="58"/>
    </row>
    <row r="974" spans="9:9" x14ac:dyDescent="0.4">
      <c r="I974" s="58"/>
    </row>
    <row r="975" spans="9:9" x14ac:dyDescent="0.4">
      <c r="I975" s="58"/>
    </row>
    <row r="976" spans="9:9" x14ac:dyDescent="0.4">
      <c r="I976" s="58"/>
    </row>
    <row r="977" spans="9:9" x14ac:dyDescent="0.4">
      <c r="I977" s="58"/>
    </row>
    <row r="978" spans="9:9" x14ac:dyDescent="0.4">
      <c r="I978" s="58"/>
    </row>
    <row r="979" spans="9:9" x14ac:dyDescent="0.4">
      <c r="I979" s="58"/>
    </row>
    <row r="980" spans="9:9" x14ac:dyDescent="0.4">
      <c r="I980" s="58"/>
    </row>
    <row r="981" spans="9:9" x14ac:dyDescent="0.4">
      <c r="I981" s="58"/>
    </row>
    <row r="982" spans="9:9" x14ac:dyDescent="0.4">
      <c r="I982" s="58"/>
    </row>
    <row r="983" spans="9:9" x14ac:dyDescent="0.4">
      <c r="I983" s="58"/>
    </row>
    <row r="984" spans="9:9" x14ac:dyDescent="0.4">
      <c r="I984" s="58"/>
    </row>
    <row r="985" spans="9:9" x14ac:dyDescent="0.4">
      <c r="I985" s="58"/>
    </row>
    <row r="986" spans="9:9" x14ac:dyDescent="0.4">
      <c r="I986" s="58"/>
    </row>
    <row r="987" spans="9:9" x14ac:dyDescent="0.4">
      <c r="I987" s="58"/>
    </row>
    <row r="988" spans="9:9" x14ac:dyDescent="0.4">
      <c r="I988" s="58"/>
    </row>
    <row r="989" spans="9:9" x14ac:dyDescent="0.4">
      <c r="I989" s="58"/>
    </row>
    <row r="990" spans="9:9" x14ac:dyDescent="0.4">
      <c r="I990" s="58"/>
    </row>
    <row r="991" spans="9:9" x14ac:dyDescent="0.4">
      <c r="I991" s="58"/>
    </row>
    <row r="992" spans="9:9" x14ac:dyDescent="0.4">
      <c r="I992" s="58"/>
    </row>
    <row r="993" spans="9:9" x14ac:dyDescent="0.4">
      <c r="I993" s="58"/>
    </row>
    <row r="994" spans="9:9" x14ac:dyDescent="0.4">
      <c r="I994" s="58"/>
    </row>
    <row r="995" spans="9:9" x14ac:dyDescent="0.4">
      <c r="I995" s="58"/>
    </row>
    <row r="996" spans="9:9" x14ac:dyDescent="0.4">
      <c r="I996" s="58"/>
    </row>
    <row r="997" spans="9:9" x14ac:dyDescent="0.4">
      <c r="I997" s="58"/>
    </row>
    <row r="998" spans="9:9" x14ac:dyDescent="0.4">
      <c r="I998" s="58"/>
    </row>
    <row r="999" spans="9:9" x14ac:dyDescent="0.4">
      <c r="I999" s="58"/>
    </row>
    <row r="1000" spans="9:9" x14ac:dyDescent="0.4">
      <c r="I1000" s="58"/>
    </row>
    <row r="1001" spans="9:9" x14ac:dyDescent="0.4">
      <c r="I1001" s="58"/>
    </row>
    <row r="1002" spans="9:9" x14ac:dyDescent="0.4">
      <c r="I1002" s="58"/>
    </row>
  </sheetData>
  <mergeCells count="7">
    <mergeCell ref="A1:H1"/>
    <mergeCell ref="A65:H65"/>
    <mergeCell ref="A3:H3"/>
    <mergeCell ref="A12:H12"/>
    <mergeCell ref="A36:H36"/>
    <mergeCell ref="A45:H45"/>
    <mergeCell ref="A61:H61"/>
  </mergeCells>
  <conditionalFormatting sqref="D10">
    <cfRule type="cellIs" dxfId="146" priority="10" operator="lessThan">
      <formula>0</formula>
    </cfRule>
    <cfRule type="cellIs" dxfId="145" priority="11" operator="greaterThan">
      <formula>0</formula>
    </cfRule>
    <cfRule type="cellIs" dxfId="144" priority="12" operator="equal">
      <formula>0</formula>
    </cfRule>
  </conditionalFormatting>
  <conditionalFormatting sqref="D34">
    <cfRule type="cellIs" dxfId="143" priority="7" operator="lessThan">
      <formula>0</formula>
    </cfRule>
    <cfRule type="cellIs" dxfId="142" priority="8" operator="greaterThan">
      <formula>0</formula>
    </cfRule>
    <cfRule type="cellIs" dxfId="141" priority="9" operator="equal">
      <formula>0</formula>
    </cfRule>
  </conditionalFormatting>
  <conditionalFormatting sqref="D43 D55 D59 D63 D77 D79">
    <cfRule type="cellIs" dxfId="140" priority="4" operator="lessThan">
      <formula>0</formula>
    </cfRule>
    <cfRule type="cellIs" dxfId="139" priority="5" operator="greaterThan">
      <formula>0</formula>
    </cfRule>
    <cfRule type="cellIs" dxfId="138" priority="6" operator="equal">
      <formula>0</formula>
    </cfRule>
  </conditionalFormatting>
  <conditionalFormatting sqref="E4:E11 E13:E35 E37:E44 E46:E1048576">
    <cfRule type="expression" dxfId="137" priority="1">
      <formula>E4&lt;H4</formula>
    </cfRule>
    <cfRule type="expression" dxfId="136" priority="2">
      <formula>E4&gt;H4</formula>
    </cfRule>
    <cfRule type="expression" dxfId="135" priority="3">
      <formula>E4=H4</formula>
    </cfRule>
  </conditionalFormatting>
  <printOptions horizontalCentered="1"/>
  <pageMargins left="0.25" right="0.25" top="0.75" bottom="0.75" header="0.3" footer="0.3"/>
  <pageSetup scale="92" orientation="landscape" r:id="rId1"/>
  <rowBreaks count="2" manualBreakCount="2">
    <brk id="34" max="7" man="1"/>
    <brk id="64" max="7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3A665-B9A5-4EAD-8185-CC5DA32B1C2A}">
  <sheetPr>
    <pageSetUpPr fitToPage="1"/>
  </sheetPr>
  <dimension ref="A1:T92"/>
  <sheetViews>
    <sheetView tabSelected="1" zoomScaleNormal="100" workbookViewId="0">
      <selection activeCell="C31" sqref="C31"/>
    </sheetView>
  </sheetViews>
  <sheetFormatPr defaultColWidth="14.3828125" defaultRowHeight="14.6" x14ac:dyDescent="0.4"/>
  <cols>
    <col min="1" max="1" width="48" bestFit="1" customWidth="1"/>
    <col min="2" max="8" width="12.53515625" customWidth="1"/>
    <col min="9" max="10" width="13" bestFit="1" customWidth="1"/>
    <col min="11" max="11" width="9.69140625" bestFit="1" customWidth="1"/>
    <col min="12" max="12" width="7" customWidth="1"/>
    <col min="13" max="13" width="12.53515625" bestFit="1" customWidth="1"/>
    <col min="14" max="14" width="15" bestFit="1" customWidth="1"/>
    <col min="15" max="16" width="13.3046875" customWidth="1"/>
    <col min="17" max="17" width="4.3828125" customWidth="1"/>
    <col min="18" max="18" width="13.53515625" bestFit="1" customWidth="1"/>
    <col min="19" max="19" width="15" bestFit="1" customWidth="1"/>
    <col min="20" max="24" width="13.3046875" customWidth="1"/>
    <col min="25" max="27" width="15.15234375" customWidth="1"/>
  </cols>
  <sheetData>
    <row r="1" spans="1:20" ht="48" customHeight="1" x14ac:dyDescent="0.7">
      <c r="A1" s="197"/>
      <c r="B1" s="949" t="s">
        <v>619</v>
      </c>
      <c r="C1" s="949"/>
      <c r="D1" s="949"/>
      <c r="E1" s="949"/>
      <c r="F1" s="949"/>
      <c r="G1" s="949"/>
      <c r="H1" s="949"/>
      <c r="I1" s="949"/>
      <c r="J1" s="949"/>
      <c r="K1" s="949"/>
    </row>
    <row r="2" spans="1:20" ht="45" customHeight="1" x14ac:dyDescent="0.4">
      <c r="A2" s="907" t="s">
        <v>1</v>
      </c>
      <c r="B2" s="908" t="s">
        <v>58</v>
      </c>
      <c r="C2" s="908" t="s">
        <v>59</v>
      </c>
      <c r="D2" s="908" t="s">
        <v>60</v>
      </c>
      <c r="E2" s="908" t="s">
        <v>167</v>
      </c>
      <c r="F2" s="908" t="s">
        <v>2</v>
      </c>
      <c r="G2" s="908" t="s">
        <v>168</v>
      </c>
      <c r="H2" s="908" t="s">
        <v>169</v>
      </c>
      <c r="I2" s="908" t="s">
        <v>166</v>
      </c>
      <c r="J2" s="908" t="s">
        <v>614</v>
      </c>
      <c r="K2" s="909" t="s">
        <v>62</v>
      </c>
      <c r="L2" s="1"/>
      <c r="M2" s="1"/>
      <c r="N2" t="s">
        <v>63</v>
      </c>
    </row>
    <row r="3" spans="1:20" x14ac:dyDescent="0.4">
      <c r="A3" s="896" t="s">
        <v>9</v>
      </c>
      <c r="B3" s="897">
        <v>4348900</v>
      </c>
      <c r="C3" s="897">
        <v>4237072</v>
      </c>
      <c r="D3" s="897">
        <v>4350500</v>
      </c>
      <c r="E3" s="897">
        <v>4337424</v>
      </c>
      <c r="F3" s="897">
        <v>4650100</v>
      </c>
      <c r="G3" s="897">
        <v>4558805</v>
      </c>
      <c r="H3" s="897">
        <v>4804400</v>
      </c>
      <c r="I3" s="897">
        <v>5200600</v>
      </c>
      <c r="J3" s="898">
        <f>SUM(ROUNDUP('4% Personnel'!E10,-2))</f>
        <v>6180500</v>
      </c>
      <c r="K3" s="899">
        <f>(J3-I3)/I3</f>
        <v>0.18842056685767028</v>
      </c>
      <c r="L3" s="1"/>
      <c r="M3" s="3">
        <v>2022</v>
      </c>
      <c r="N3">
        <v>2023</v>
      </c>
    </row>
    <row r="4" spans="1:20" x14ac:dyDescent="0.4">
      <c r="A4" s="893" t="s">
        <v>10</v>
      </c>
      <c r="B4" s="894">
        <v>255600</v>
      </c>
      <c r="C4" s="894">
        <v>236554</v>
      </c>
      <c r="D4" s="894">
        <v>253000</v>
      </c>
      <c r="E4" s="894">
        <v>252719</v>
      </c>
      <c r="F4" s="894">
        <v>265800</v>
      </c>
      <c r="G4" s="894">
        <v>277637</v>
      </c>
      <c r="H4" s="894">
        <v>269300</v>
      </c>
      <c r="I4" s="894">
        <v>319100</v>
      </c>
      <c r="J4" s="894">
        <f>SUM(ROUNDUP('4% Personnel'!E34,-2))</f>
        <v>320000</v>
      </c>
      <c r="K4" s="895">
        <f t="shared" ref="K4:K38" si="0">(J4-I4)/I4</f>
        <v>2.820432466311501E-3</v>
      </c>
      <c r="L4" s="1"/>
      <c r="M4" s="945" t="s">
        <v>64</v>
      </c>
      <c r="N4" s="943"/>
    </row>
    <row r="5" spans="1:20" x14ac:dyDescent="0.4">
      <c r="A5" s="896" t="s">
        <v>11</v>
      </c>
      <c r="B5" s="897">
        <v>603100</v>
      </c>
      <c r="C5" s="897">
        <v>557116</v>
      </c>
      <c r="D5" s="897">
        <v>626700</v>
      </c>
      <c r="E5" s="897">
        <v>547794</v>
      </c>
      <c r="F5" s="897">
        <v>675600</v>
      </c>
      <c r="G5" s="897">
        <v>571411</v>
      </c>
      <c r="H5" s="897">
        <v>656500</v>
      </c>
      <c r="I5" s="897">
        <v>729800</v>
      </c>
      <c r="J5" s="898">
        <f>SUM(ROUNDUP('4% Personnel'!E43,-2))</f>
        <v>836600</v>
      </c>
      <c r="K5" s="899">
        <f t="shared" si="0"/>
        <v>0.14634146341463414</v>
      </c>
      <c r="L5" s="1"/>
      <c r="M5" s="4">
        <f>SUM(I3:I8)</f>
        <v>7338700</v>
      </c>
      <c r="N5" s="5">
        <f>SUM(J3:J8)</f>
        <v>8621500</v>
      </c>
      <c r="O5" s="129">
        <f>N5/N35</f>
        <v>0.72895528950216448</v>
      </c>
    </row>
    <row r="6" spans="1:20" x14ac:dyDescent="0.4">
      <c r="A6" s="893" t="s">
        <v>12</v>
      </c>
      <c r="B6" s="900">
        <v>752100</v>
      </c>
      <c r="C6" s="900">
        <v>697225</v>
      </c>
      <c r="D6" s="900">
        <v>717700</v>
      </c>
      <c r="E6" s="900">
        <v>716552</v>
      </c>
      <c r="F6" s="900">
        <v>882200</v>
      </c>
      <c r="G6" s="900">
        <v>926287</v>
      </c>
      <c r="H6" s="900">
        <v>912000</v>
      </c>
      <c r="I6" s="900">
        <v>1000600</v>
      </c>
      <c r="J6" s="894">
        <f>SUM(ROUNDUP('4% Personnel'!E57,-2))</f>
        <v>1181100</v>
      </c>
      <c r="K6" s="895">
        <f t="shared" si="0"/>
        <v>0.18039176494103537</v>
      </c>
      <c r="L6" s="1"/>
      <c r="M6" s="1"/>
      <c r="O6" s="130"/>
      <c r="R6" s="282" t="s">
        <v>65</v>
      </c>
      <c r="S6" s="283" t="s">
        <v>66</v>
      </c>
      <c r="T6" s="284" t="s">
        <v>67</v>
      </c>
    </row>
    <row r="7" spans="1:20" x14ac:dyDescent="0.4">
      <c r="A7" s="902" t="s">
        <v>13</v>
      </c>
      <c r="B7" s="901">
        <v>8900</v>
      </c>
      <c r="C7" s="901">
        <v>8302</v>
      </c>
      <c r="D7" s="901">
        <v>8900</v>
      </c>
      <c r="E7" s="901">
        <v>7602</v>
      </c>
      <c r="F7" s="901">
        <v>8900</v>
      </c>
      <c r="G7" s="901">
        <v>8214</v>
      </c>
      <c r="H7" s="901">
        <v>8900</v>
      </c>
      <c r="I7" s="901">
        <v>8900</v>
      </c>
      <c r="J7" s="903">
        <f>SUM(ROUNDUP('4% Personnel'!E63,-2))</f>
        <v>7900</v>
      </c>
      <c r="K7" s="899">
        <f t="shared" si="0"/>
        <v>-0.11235955056179775</v>
      </c>
      <c r="L7" s="1"/>
      <c r="M7" s="1"/>
      <c r="O7" s="130"/>
      <c r="R7" s="270" t="s">
        <v>64</v>
      </c>
      <c r="S7" s="271">
        <f>SUM(N5)</f>
        <v>8621500</v>
      </c>
      <c r="T7" s="272">
        <f t="shared" ref="T7:T12" si="1">S7/$S$13</f>
        <v>0.72895528950216448</v>
      </c>
    </row>
    <row r="8" spans="1:20" x14ac:dyDescent="0.4">
      <c r="A8" s="893" t="s">
        <v>14</v>
      </c>
      <c r="B8" s="900">
        <v>67900</v>
      </c>
      <c r="C8" s="900">
        <v>60053</v>
      </c>
      <c r="D8" s="900">
        <v>67400</v>
      </c>
      <c r="E8" s="900">
        <v>59413</v>
      </c>
      <c r="F8" s="900">
        <v>71000</v>
      </c>
      <c r="G8" s="900">
        <v>67271</v>
      </c>
      <c r="H8" s="900">
        <v>73200</v>
      </c>
      <c r="I8" s="900">
        <v>79700</v>
      </c>
      <c r="J8" s="894">
        <f>SUM(ROUNDUP('4% Personnel'!E77,-2))</f>
        <v>95400</v>
      </c>
      <c r="K8" s="895">
        <f t="shared" si="0"/>
        <v>0.19698870765370138</v>
      </c>
      <c r="L8" s="1"/>
      <c r="M8" s="1"/>
      <c r="O8" s="130"/>
      <c r="R8" s="273" t="s">
        <v>68</v>
      </c>
      <c r="S8" s="274">
        <f>SUM(N11)</f>
        <v>517200</v>
      </c>
      <c r="T8" s="275">
        <f t="shared" si="1"/>
        <v>4.3729707792207792E-2</v>
      </c>
    </row>
    <row r="9" spans="1:20" x14ac:dyDescent="0.4">
      <c r="A9" s="902" t="s">
        <v>16</v>
      </c>
      <c r="B9" s="901">
        <v>15100</v>
      </c>
      <c r="C9" s="901">
        <v>11279</v>
      </c>
      <c r="D9" s="901">
        <v>14100</v>
      </c>
      <c r="E9" s="901">
        <v>10489</v>
      </c>
      <c r="F9" s="901">
        <v>13600</v>
      </c>
      <c r="G9" s="901">
        <v>9810</v>
      </c>
      <c r="H9" s="901">
        <v>12500</v>
      </c>
      <c r="I9" s="901">
        <v>13900</v>
      </c>
      <c r="J9" s="903">
        <f>SUM(ROUNDUP('Budget-Services'!I15,-2))</f>
        <v>13500</v>
      </c>
      <c r="K9" s="899">
        <f t="shared" si="0"/>
        <v>-2.8776978417266189E-2</v>
      </c>
      <c r="L9" s="1"/>
      <c r="M9" s="1"/>
      <c r="O9" s="130"/>
      <c r="R9" s="270" t="s">
        <v>69</v>
      </c>
      <c r="S9" s="271">
        <f>SUM(N17)</f>
        <v>2336200</v>
      </c>
      <c r="T9" s="272">
        <f t="shared" si="1"/>
        <v>0.19752773268398269</v>
      </c>
    </row>
    <row r="10" spans="1:20" x14ac:dyDescent="0.4">
      <c r="A10" s="893" t="s">
        <v>18</v>
      </c>
      <c r="B10" s="900">
        <v>116900</v>
      </c>
      <c r="C10" s="900">
        <v>108342</v>
      </c>
      <c r="D10" s="900">
        <v>129900</v>
      </c>
      <c r="E10" s="900">
        <v>93217</v>
      </c>
      <c r="F10" s="900">
        <v>210900</v>
      </c>
      <c r="G10" s="900">
        <v>143617</v>
      </c>
      <c r="H10" s="900">
        <v>223300</v>
      </c>
      <c r="I10" s="900">
        <v>228000</v>
      </c>
      <c r="J10" s="894">
        <f>SUM(ROUNDUP('Budget-Services'!I38,-2))</f>
        <v>291500</v>
      </c>
      <c r="K10" s="895">
        <f t="shared" si="0"/>
        <v>0.27850877192982454</v>
      </c>
      <c r="L10" s="1"/>
      <c r="M10" s="945" t="s">
        <v>70</v>
      </c>
      <c r="N10" s="943"/>
      <c r="O10" s="130"/>
      <c r="R10" s="273" t="s">
        <v>71</v>
      </c>
      <c r="S10" s="274">
        <f>SUM(N28)</f>
        <v>0</v>
      </c>
      <c r="T10" s="275">
        <f t="shared" si="1"/>
        <v>0</v>
      </c>
    </row>
    <row r="11" spans="1:20" x14ac:dyDescent="0.4">
      <c r="A11" s="904" t="s">
        <v>20</v>
      </c>
      <c r="B11" s="905">
        <v>53400</v>
      </c>
      <c r="C11" s="905">
        <v>50379</v>
      </c>
      <c r="D11" s="905">
        <v>58800</v>
      </c>
      <c r="E11" s="905">
        <v>49723</v>
      </c>
      <c r="F11" s="905">
        <v>85000</v>
      </c>
      <c r="G11" s="905">
        <v>67388</v>
      </c>
      <c r="H11" s="905">
        <v>88200</v>
      </c>
      <c r="I11" s="905">
        <v>97100</v>
      </c>
      <c r="J11" s="906">
        <f>SUM(ROUNDUP('Budget-Services'!I62,-2))</f>
        <v>101700</v>
      </c>
      <c r="K11" s="899">
        <f t="shared" si="0"/>
        <v>4.7373841400617921E-2</v>
      </c>
      <c r="L11" s="1"/>
      <c r="M11" s="4">
        <f>SUM(I9:I14)</f>
        <v>447300</v>
      </c>
      <c r="N11" s="5">
        <f>SUM(J9:J14)</f>
        <v>517200</v>
      </c>
      <c r="O11" s="129">
        <f>N11/N35</f>
        <v>4.3729707792207792E-2</v>
      </c>
      <c r="R11" s="270" t="s">
        <v>72</v>
      </c>
      <c r="S11" s="271">
        <f>SUM(N31)</f>
        <v>70000</v>
      </c>
      <c r="T11" s="272">
        <f t="shared" si="1"/>
        <v>5.918560606060606E-3</v>
      </c>
    </row>
    <row r="12" spans="1:20" ht="15" thickBot="1" x14ac:dyDescent="0.45">
      <c r="A12" s="893" t="s">
        <v>22</v>
      </c>
      <c r="B12" s="900">
        <v>6000</v>
      </c>
      <c r="C12" s="900">
        <v>6243</v>
      </c>
      <c r="D12" s="900">
        <v>7200</v>
      </c>
      <c r="E12" s="900">
        <v>6938</v>
      </c>
      <c r="F12" s="900">
        <v>7200</v>
      </c>
      <c r="G12" s="900">
        <v>5470</v>
      </c>
      <c r="H12" s="900">
        <v>7200</v>
      </c>
      <c r="I12" s="900">
        <v>7200</v>
      </c>
      <c r="J12" s="894">
        <f>SUM(ROUNDUP('Budget-Services'!I66,-2))</f>
        <v>7200</v>
      </c>
      <c r="K12" s="895">
        <f t="shared" si="0"/>
        <v>0</v>
      </c>
      <c r="L12" s="1"/>
      <c r="M12" s="1"/>
      <c r="O12" s="130"/>
      <c r="R12" s="276" t="s">
        <v>73</v>
      </c>
      <c r="S12" s="277">
        <f>SUM(N34)</f>
        <v>282300</v>
      </c>
      <c r="T12" s="278">
        <f t="shared" si="1"/>
        <v>2.3868709415584416E-2</v>
      </c>
    </row>
    <row r="13" spans="1:20" ht="15" thickBot="1" x14ac:dyDescent="0.45">
      <c r="A13" s="896" t="s">
        <v>24</v>
      </c>
      <c r="B13" s="897">
        <v>72800</v>
      </c>
      <c r="C13" s="897">
        <v>76288</v>
      </c>
      <c r="D13" s="897">
        <v>78900</v>
      </c>
      <c r="E13" s="897">
        <v>69408</v>
      </c>
      <c r="F13" s="897">
        <v>80800</v>
      </c>
      <c r="G13" s="897">
        <v>70949</v>
      </c>
      <c r="H13" s="897">
        <v>80300</v>
      </c>
      <c r="I13" s="897">
        <v>87700</v>
      </c>
      <c r="J13" s="898">
        <f>SUM(ROUNDUP('Budget-Services'!I80,-2))</f>
        <v>91000</v>
      </c>
      <c r="K13" s="899">
        <f t="shared" si="0"/>
        <v>3.7628278221208664E-2</v>
      </c>
      <c r="L13" s="1"/>
      <c r="M13" s="1"/>
      <c r="O13" s="130"/>
      <c r="R13" s="281" t="s">
        <v>74</v>
      </c>
      <c r="S13" s="279">
        <f>SUM(S7:S12)</f>
        <v>11827200</v>
      </c>
      <c r="T13" s="280">
        <f>SUM(T7:T12)</f>
        <v>0.99999999999999989</v>
      </c>
    </row>
    <row r="14" spans="1:20" x14ac:dyDescent="0.4">
      <c r="A14" s="893" t="s">
        <v>26</v>
      </c>
      <c r="B14" s="900">
        <v>18500</v>
      </c>
      <c r="C14" s="900">
        <v>6455</v>
      </c>
      <c r="D14" s="900">
        <v>14300</v>
      </c>
      <c r="E14" s="900">
        <v>2922</v>
      </c>
      <c r="F14" s="900">
        <v>13500</v>
      </c>
      <c r="G14" s="900">
        <v>13042</v>
      </c>
      <c r="H14" s="900">
        <v>13600</v>
      </c>
      <c r="I14" s="900">
        <v>13400</v>
      </c>
      <c r="J14" s="894">
        <f>SUM(ROUNDUP('Budget-Services'!I94,-2))</f>
        <v>12300</v>
      </c>
      <c r="K14" s="895">
        <f t="shared" si="0"/>
        <v>-8.2089552238805971E-2</v>
      </c>
      <c r="L14" s="1"/>
      <c r="M14" s="1"/>
      <c r="O14" s="130"/>
    </row>
    <row r="15" spans="1:20" x14ac:dyDescent="0.4">
      <c r="A15" s="904" t="s">
        <v>28</v>
      </c>
      <c r="B15" s="905">
        <v>90100</v>
      </c>
      <c r="C15" s="905">
        <v>97252</v>
      </c>
      <c r="D15" s="905">
        <v>106900</v>
      </c>
      <c r="E15" s="905">
        <v>104363</v>
      </c>
      <c r="F15" s="905">
        <v>111700</v>
      </c>
      <c r="G15" s="905">
        <v>67544</v>
      </c>
      <c r="H15" s="905">
        <v>109200</v>
      </c>
      <c r="I15" s="905">
        <v>123400</v>
      </c>
      <c r="J15" s="906">
        <f>SUM(ROUNDUP('Budget-Services'!I132,-2))</f>
        <v>134300</v>
      </c>
      <c r="K15" s="899">
        <f t="shared" si="0"/>
        <v>8.8330632090761751E-2</v>
      </c>
      <c r="L15" s="1"/>
      <c r="M15" s="1"/>
      <c r="O15" s="130"/>
    </row>
    <row r="16" spans="1:20" x14ac:dyDescent="0.4">
      <c r="A16" s="893" t="s">
        <v>29</v>
      </c>
      <c r="B16" s="900">
        <v>41400</v>
      </c>
      <c r="C16" s="900">
        <v>25290</v>
      </c>
      <c r="D16" s="900">
        <v>40000</v>
      </c>
      <c r="E16" s="900">
        <v>32522</v>
      </c>
      <c r="F16" s="900">
        <v>40000</v>
      </c>
      <c r="G16" s="900">
        <v>31432</v>
      </c>
      <c r="H16" s="900">
        <v>41100</v>
      </c>
      <c r="I16" s="900">
        <v>41100</v>
      </c>
      <c r="J16" s="894">
        <f>SUM(ROUNDUP('Budget-Services'!I141,-2))</f>
        <v>41100</v>
      </c>
      <c r="K16" s="895">
        <f t="shared" si="0"/>
        <v>0</v>
      </c>
      <c r="L16" s="1"/>
      <c r="M16" s="945" t="s">
        <v>69</v>
      </c>
      <c r="N16" s="943"/>
      <c r="O16" s="130"/>
    </row>
    <row r="17" spans="1:16" x14ac:dyDescent="0.4">
      <c r="A17" s="904" t="s">
        <v>30</v>
      </c>
      <c r="B17" s="905">
        <v>155000</v>
      </c>
      <c r="C17" s="905">
        <v>156639</v>
      </c>
      <c r="D17" s="905">
        <v>158400</v>
      </c>
      <c r="E17" s="905">
        <v>184080</v>
      </c>
      <c r="F17" s="905">
        <v>167300</v>
      </c>
      <c r="G17" s="905">
        <v>204582</v>
      </c>
      <c r="H17" s="905">
        <v>217400</v>
      </c>
      <c r="I17" s="905">
        <v>215900</v>
      </c>
      <c r="J17" s="906">
        <f>SUM(ROUNDUP('Budget-Services'!I151,-2))</f>
        <v>228200</v>
      </c>
      <c r="K17" s="899">
        <f t="shared" si="0"/>
        <v>5.6970819823992588E-2</v>
      </c>
      <c r="L17" s="1"/>
      <c r="M17" s="4">
        <f>SUM(I15:I27)</f>
        <v>2159500</v>
      </c>
      <c r="N17" s="5">
        <f>SUM(J15:J27)</f>
        <v>2336200</v>
      </c>
      <c r="O17" s="129">
        <f>N17/N35</f>
        <v>0.19752773268398269</v>
      </c>
    </row>
    <row r="18" spans="1:16" x14ac:dyDescent="0.4">
      <c r="A18" s="893" t="s">
        <v>31</v>
      </c>
      <c r="B18" s="900">
        <v>106500</v>
      </c>
      <c r="C18" s="900">
        <v>111418</v>
      </c>
      <c r="D18" s="900">
        <v>128000</v>
      </c>
      <c r="E18" s="900">
        <v>19178</v>
      </c>
      <c r="F18" s="900">
        <v>129300</v>
      </c>
      <c r="G18" s="900">
        <v>188231</v>
      </c>
      <c r="H18" s="900">
        <v>148400</v>
      </c>
      <c r="I18" s="900">
        <v>154200</v>
      </c>
      <c r="J18" s="894">
        <f>SUM(ROUNDUP('Budget-Services'!I179,-2))</f>
        <v>179500</v>
      </c>
      <c r="K18" s="895">
        <f t="shared" si="0"/>
        <v>0.16407263294422827</v>
      </c>
      <c r="L18" s="1"/>
      <c r="M18" s="1"/>
      <c r="O18" s="130"/>
    </row>
    <row r="19" spans="1:16" x14ac:dyDescent="0.4">
      <c r="A19" s="904" t="s">
        <v>32</v>
      </c>
      <c r="B19" s="905">
        <v>8400</v>
      </c>
      <c r="C19" s="905">
        <v>9300</v>
      </c>
      <c r="D19" s="905">
        <v>10100</v>
      </c>
      <c r="E19" s="905">
        <v>10451</v>
      </c>
      <c r="F19" s="905">
        <v>10200</v>
      </c>
      <c r="G19" s="905">
        <v>11100</v>
      </c>
      <c r="H19" s="905">
        <v>11900</v>
      </c>
      <c r="I19" s="905">
        <v>12000</v>
      </c>
      <c r="J19" s="906">
        <f>SUM(ROUNDUP('Budget-Services'!I185,-2))</f>
        <v>14300</v>
      </c>
      <c r="K19" s="899">
        <f t="shared" si="0"/>
        <v>0.19166666666666668</v>
      </c>
      <c r="L19" s="1"/>
      <c r="M19" s="6"/>
      <c r="N19" s="5"/>
      <c r="O19" s="130"/>
    </row>
    <row r="20" spans="1:16" x14ac:dyDescent="0.4">
      <c r="A20" s="893" t="s">
        <v>33</v>
      </c>
      <c r="B20" s="900">
        <v>6000</v>
      </c>
      <c r="C20" s="900">
        <v>5833</v>
      </c>
      <c r="D20" s="900">
        <v>6000</v>
      </c>
      <c r="E20" s="900">
        <v>2026</v>
      </c>
      <c r="F20" s="900">
        <v>6000</v>
      </c>
      <c r="G20" s="900">
        <v>3934</v>
      </c>
      <c r="H20" s="900">
        <v>6000</v>
      </c>
      <c r="I20" s="900">
        <v>6000</v>
      </c>
      <c r="J20" s="894">
        <f>SUM(ROUNDUP('Budget-Services'!I189,-2))</f>
        <v>6000</v>
      </c>
      <c r="K20" s="895">
        <f t="shared" si="0"/>
        <v>0</v>
      </c>
      <c r="L20" s="1"/>
      <c r="M20" s="1"/>
      <c r="O20" s="130"/>
    </row>
    <row r="21" spans="1:16" x14ac:dyDescent="0.4">
      <c r="A21" s="902" t="s">
        <v>34</v>
      </c>
      <c r="B21" s="901">
        <v>45700</v>
      </c>
      <c r="C21" s="901">
        <v>75711</v>
      </c>
      <c r="D21" s="901">
        <v>47200</v>
      </c>
      <c r="E21" s="901">
        <v>40593</v>
      </c>
      <c r="F21" s="901">
        <v>85300</v>
      </c>
      <c r="G21" s="901">
        <v>92252</v>
      </c>
      <c r="H21" s="901">
        <v>113300</v>
      </c>
      <c r="I21" s="901">
        <v>109500</v>
      </c>
      <c r="J21" s="903">
        <f>SUM(ROUNDUP('Budget-Services'!I230,-2))</f>
        <v>132500</v>
      </c>
      <c r="K21" s="899">
        <f t="shared" si="0"/>
        <v>0.21004566210045661</v>
      </c>
      <c r="L21" s="1"/>
      <c r="M21" s="1"/>
      <c r="O21" s="130"/>
    </row>
    <row r="22" spans="1:16" x14ac:dyDescent="0.4">
      <c r="A22" s="893" t="s">
        <v>35</v>
      </c>
      <c r="B22" s="900">
        <v>500</v>
      </c>
      <c r="C22" s="900">
        <v>0</v>
      </c>
      <c r="D22" s="900">
        <v>500</v>
      </c>
      <c r="E22" s="900">
        <v>0</v>
      </c>
      <c r="F22" s="900">
        <v>500</v>
      </c>
      <c r="G22" s="900">
        <v>44020</v>
      </c>
      <c r="H22" s="900">
        <v>500</v>
      </c>
      <c r="I22" s="900">
        <v>500</v>
      </c>
      <c r="J22" s="894">
        <f>SUM(ROUNDUP('Budget-Services'!I234,-2))</f>
        <v>500</v>
      </c>
      <c r="K22" s="895">
        <f t="shared" si="0"/>
        <v>0</v>
      </c>
      <c r="L22" s="1"/>
      <c r="M22" s="1"/>
      <c r="O22" s="130"/>
    </row>
    <row r="23" spans="1:16" x14ac:dyDescent="0.4">
      <c r="A23" s="896" t="s">
        <v>36</v>
      </c>
      <c r="B23" s="897">
        <v>822700</v>
      </c>
      <c r="C23" s="897">
        <v>802957</v>
      </c>
      <c r="D23" s="897">
        <v>840700</v>
      </c>
      <c r="E23" s="897">
        <v>841497</v>
      </c>
      <c r="F23" s="897">
        <v>857700</v>
      </c>
      <c r="G23" s="897">
        <v>738367</v>
      </c>
      <c r="H23" s="897">
        <v>899100</v>
      </c>
      <c r="I23" s="897">
        <v>924600</v>
      </c>
      <c r="J23" s="898">
        <f>SUM(ROUNDUP('Budget-Services'!I255,-2))</f>
        <v>1011000</v>
      </c>
      <c r="K23" s="899">
        <f t="shared" si="0"/>
        <v>9.3445814406229719E-2</v>
      </c>
      <c r="L23" s="1"/>
      <c r="M23" s="1"/>
      <c r="O23" s="130"/>
    </row>
    <row r="24" spans="1:16" x14ac:dyDescent="0.4">
      <c r="A24" s="893" t="s">
        <v>37</v>
      </c>
      <c r="B24" s="900">
        <v>0</v>
      </c>
      <c r="C24" s="900">
        <v>0</v>
      </c>
      <c r="D24" s="900">
        <v>0</v>
      </c>
      <c r="E24" s="900">
        <v>0</v>
      </c>
      <c r="F24" s="900">
        <v>0</v>
      </c>
      <c r="G24" s="900">
        <v>0</v>
      </c>
      <c r="H24" s="900">
        <v>0</v>
      </c>
      <c r="I24" s="900">
        <v>0</v>
      </c>
      <c r="J24" s="894">
        <v>0</v>
      </c>
      <c r="K24" s="895">
        <v>0</v>
      </c>
      <c r="L24" s="1"/>
      <c r="M24" s="1"/>
      <c r="O24" s="130"/>
    </row>
    <row r="25" spans="1:16" x14ac:dyDescent="0.4">
      <c r="A25" s="896" t="s">
        <v>38</v>
      </c>
      <c r="B25" s="897">
        <v>274000</v>
      </c>
      <c r="C25" s="897">
        <v>223432</v>
      </c>
      <c r="D25" s="897">
        <v>270800</v>
      </c>
      <c r="E25" s="897">
        <v>222027</v>
      </c>
      <c r="F25" s="897">
        <v>277600</v>
      </c>
      <c r="G25" s="897">
        <v>286362</v>
      </c>
      <c r="H25" s="897">
        <v>285800</v>
      </c>
      <c r="I25" s="897">
        <v>394700</v>
      </c>
      <c r="J25" s="898">
        <f>SUM(ROUNDUP('Budget-Services'!I302,-2))</f>
        <v>421300</v>
      </c>
      <c r="K25" s="899">
        <f t="shared" si="0"/>
        <v>6.739295667595642E-2</v>
      </c>
      <c r="L25" s="1"/>
      <c r="M25" s="1"/>
      <c r="O25" s="130"/>
    </row>
    <row r="26" spans="1:16" x14ac:dyDescent="0.4">
      <c r="A26" s="893" t="s">
        <v>39</v>
      </c>
      <c r="B26" s="900">
        <f>63700-1900</f>
        <v>61800</v>
      </c>
      <c r="C26" s="900">
        <v>81161</v>
      </c>
      <c r="D26" s="900">
        <v>96400</v>
      </c>
      <c r="E26" s="900">
        <v>104209</v>
      </c>
      <c r="F26" s="900">
        <v>123900</v>
      </c>
      <c r="G26" s="900">
        <v>123797</v>
      </c>
      <c r="H26" s="900">
        <v>135300</v>
      </c>
      <c r="I26" s="900">
        <v>157800</v>
      </c>
      <c r="J26" s="894">
        <f>SUM(ROUNDUP('Budget-Services'!I324,-2))</f>
        <v>145800</v>
      </c>
      <c r="K26" s="895">
        <f t="shared" si="0"/>
        <v>-7.6045627376425853E-2</v>
      </c>
      <c r="L26" s="1"/>
      <c r="M26" s="1"/>
      <c r="O26" s="130"/>
    </row>
    <row r="27" spans="1:16" x14ac:dyDescent="0.4">
      <c r="A27" s="902" t="s">
        <v>40</v>
      </c>
      <c r="B27" s="901">
        <v>15200</v>
      </c>
      <c r="C27" s="901">
        <v>16586</v>
      </c>
      <c r="D27" s="901">
        <v>17500</v>
      </c>
      <c r="E27" s="901">
        <v>16574</v>
      </c>
      <c r="F27" s="901">
        <v>17800</v>
      </c>
      <c r="G27" s="901">
        <v>18060</v>
      </c>
      <c r="H27" s="901">
        <v>17800</v>
      </c>
      <c r="I27" s="901">
        <v>19800</v>
      </c>
      <c r="J27" s="903">
        <f>SUM(ROUNDUP('Budget-Services'!I332,-2))</f>
        <v>21700</v>
      </c>
      <c r="K27" s="899">
        <f t="shared" si="0"/>
        <v>9.5959595959595953E-2</v>
      </c>
      <c r="L27" s="1"/>
      <c r="M27" s="945" t="s">
        <v>71</v>
      </c>
      <c r="N27" s="943"/>
      <c r="O27" s="130"/>
    </row>
    <row r="28" spans="1:16" x14ac:dyDescent="0.4">
      <c r="A28" s="893" t="s">
        <v>41</v>
      </c>
      <c r="B28" s="900">
        <v>425600</v>
      </c>
      <c r="C28" s="900">
        <f>369169+56348</f>
        <v>425517</v>
      </c>
      <c r="D28" s="900">
        <v>425600</v>
      </c>
      <c r="E28" s="900">
        <f>382105+43412</f>
        <v>425517</v>
      </c>
      <c r="F28" s="900">
        <v>425600</v>
      </c>
      <c r="G28" s="900">
        <f>395502+30015</f>
        <v>425517</v>
      </c>
      <c r="H28" s="900">
        <v>425600</v>
      </c>
      <c r="I28" s="900">
        <v>0</v>
      </c>
      <c r="J28" s="894">
        <f>SUM(ROUNDUP('Budget-Services'!I336,-2))</f>
        <v>0</v>
      </c>
      <c r="K28" s="895">
        <v>0</v>
      </c>
      <c r="L28" s="1"/>
      <c r="M28" s="4">
        <f>SUM(I28)</f>
        <v>0</v>
      </c>
      <c r="N28" s="5">
        <f>SUM(J28)</f>
        <v>0</v>
      </c>
      <c r="O28" s="129">
        <f>N28/N35</f>
        <v>0</v>
      </c>
    </row>
    <row r="29" spans="1:16" x14ac:dyDescent="0.4">
      <c r="A29" s="902" t="s">
        <v>42</v>
      </c>
      <c r="B29" s="901">
        <v>55000</v>
      </c>
      <c r="C29" s="901">
        <v>105866</v>
      </c>
      <c r="D29" s="901">
        <v>80000</v>
      </c>
      <c r="E29" s="901">
        <v>79007</v>
      </c>
      <c r="F29" s="901">
        <v>61200</v>
      </c>
      <c r="G29" s="901">
        <v>53495</v>
      </c>
      <c r="H29" s="901">
        <v>65000</v>
      </c>
      <c r="I29" s="901">
        <v>65000</v>
      </c>
      <c r="J29" s="903">
        <f>SUM(ROUNDUP('Budget-Services'!I342,-2))</f>
        <v>65000</v>
      </c>
      <c r="K29" s="899">
        <f t="shared" si="0"/>
        <v>0</v>
      </c>
      <c r="L29" s="1"/>
      <c r="M29" s="1"/>
      <c r="O29" s="130"/>
    </row>
    <row r="30" spans="1:16" x14ac:dyDescent="0.4">
      <c r="A30" s="893" t="s">
        <v>43</v>
      </c>
      <c r="B30" s="900">
        <v>0</v>
      </c>
      <c r="C30" s="900">
        <v>0</v>
      </c>
      <c r="D30" s="900">
        <v>0</v>
      </c>
      <c r="E30" s="900">
        <v>0</v>
      </c>
      <c r="F30" s="900">
        <v>0</v>
      </c>
      <c r="G30" s="900">
        <v>0</v>
      </c>
      <c r="H30" s="900">
        <v>0</v>
      </c>
      <c r="I30" s="900">
        <v>0</v>
      </c>
      <c r="J30" s="894">
        <f>SUM(ROUNDUP('Budget-Services'!I346,-2))</f>
        <v>0</v>
      </c>
      <c r="K30" s="895">
        <v>0</v>
      </c>
      <c r="L30" s="1"/>
      <c r="M30" s="942" t="s">
        <v>72</v>
      </c>
      <c r="N30" s="943"/>
      <c r="O30" s="130"/>
    </row>
    <row r="31" spans="1:16" x14ac:dyDescent="0.4">
      <c r="A31" s="500" t="s">
        <v>44</v>
      </c>
      <c r="B31" s="891">
        <v>5000</v>
      </c>
      <c r="C31" s="891">
        <v>0</v>
      </c>
      <c r="D31" s="891">
        <v>5000</v>
      </c>
      <c r="E31" s="891">
        <v>0</v>
      </c>
      <c r="F31" s="891">
        <v>5000</v>
      </c>
      <c r="G31" s="891">
        <v>0</v>
      </c>
      <c r="H31" s="891">
        <v>5000</v>
      </c>
      <c r="I31" s="891">
        <v>5000</v>
      </c>
      <c r="J31" s="892">
        <v>5000</v>
      </c>
      <c r="K31" s="890">
        <f t="shared" si="0"/>
        <v>0</v>
      </c>
      <c r="L31" s="1"/>
      <c r="M31" s="4">
        <f>SUM(I29:I31)</f>
        <v>70000</v>
      </c>
      <c r="N31" s="5">
        <f>SUM(J29:J31)</f>
        <v>70000</v>
      </c>
      <c r="O31" s="129">
        <f>N31/N35</f>
        <v>5.918560606060606E-3</v>
      </c>
    </row>
    <row r="32" spans="1:16" ht="15" thickBot="1" x14ac:dyDescent="0.45">
      <c r="A32" s="504" t="s">
        <v>45</v>
      </c>
      <c r="B32" s="505">
        <f t="shared" ref="B32:J32" si="2">SUM(B3:B31)</f>
        <v>8432100</v>
      </c>
      <c r="C32" s="505">
        <f t="shared" si="2"/>
        <v>8192270</v>
      </c>
      <c r="D32" s="505">
        <f t="shared" si="2"/>
        <v>8560500</v>
      </c>
      <c r="E32" s="505">
        <f t="shared" si="2"/>
        <v>8236245</v>
      </c>
      <c r="F32" s="505">
        <f t="shared" si="2"/>
        <v>9283700</v>
      </c>
      <c r="G32" s="505">
        <f>SUM(G3:G31)</f>
        <v>9008594</v>
      </c>
      <c r="H32" s="505">
        <f t="shared" si="2"/>
        <v>9630800</v>
      </c>
      <c r="I32" s="505">
        <f>SUM(I3:I31)</f>
        <v>10015500</v>
      </c>
      <c r="J32" s="506">
        <f t="shared" si="2"/>
        <v>11544900</v>
      </c>
      <c r="K32" s="507">
        <f t="shared" si="0"/>
        <v>0.15270330986970196</v>
      </c>
      <c r="L32" s="1"/>
      <c r="M32" s="148">
        <f>SUM(M31+M28+M17+M11+M5)</f>
        <v>10015500</v>
      </c>
      <c r="N32" s="116">
        <f>SUM(N31+N28+N17+N11+N5)</f>
        <v>11544900</v>
      </c>
      <c r="O32" s="130"/>
      <c r="P32" s="5">
        <f>N32-M32</f>
        <v>1529400</v>
      </c>
    </row>
    <row r="33" spans="1:15" ht="15" thickTop="1" x14ac:dyDescent="0.4">
      <c r="A33" s="500"/>
      <c r="B33" s="508"/>
      <c r="C33" s="508"/>
      <c r="D33" s="508"/>
      <c r="E33" s="508"/>
      <c r="F33" s="508"/>
      <c r="G33" s="508"/>
      <c r="H33" s="508"/>
      <c r="I33" s="508"/>
      <c r="J33" s="508"/>
      <c r="K33" s="509"/>
      <c r="L33" s="1"/>
      <c r="M33" s="3"/>
      <c r="O33" s="130"/>
    </row>
    <row r="34" spans="1:15" x14ac:dyDescent="0.4">
      <c r="A34" s="439" t="s">
        <v>46</v>
      </c>
      <c r="B34" s="754">
        <v>187100</v>
      </c>
      <c r="C34" s="754">
        <v>127911</v>
      </c>
      <c r="D34" s="754">
        <v>195300</v>
      </c>
      <c r="E34" s="754">
        <v>161888</v>
      </c>
      <c r="F34" s="754">
        <v>227800</v>
      </c>
      <c r="G34" s="754">
        <v>200915</v>
      </c>
      <c r="H34" s="754">
        <v>244500</v>
      </c>
      <c r="I34" s="754">
        <v>242400</v>
      </c>
      <c r="J34" s="755">
        <f>SUM(ROUNDUP('ARB Budget'!F39,-2))</f>
        <v>282300</v>
      </c>
      <c r="K34" s="515">
        <f t="shared" si="0"/>
        <v>0.16460396039603961</v>
      </c>
      <c r="L34" s="1"/>
      <c r="M34" s="4">
        <f>SUM(I34)</f>
        <v>242400</v>
      </c>
      <c r="N34" s="249">
        <f>SUM(J34)</f>
        <v>282300</v>
      </c>
      <c r="O34" s="250">
        <f>N34/N35</f>
        <v>2.3868709415584416E-2</v>
      </c>
    </row>
    <row r="35" spans="1:15" ht="15" thickBot="1" x14ac:dyDescent="0.45">
      <c r="A35" s="510" t="s">
        <v>47</v>
      </c>
      <c r="B35" s="511">
        <f t="shared" ref="B35:J35" si="3">SUM(B32:B34)</f>
        <v>8619200</v>
      </c>
      <c r="C35" s="511">
        <f t="shared" ref="C35:I35" si="4">SUM(C32:C34)</f>
        <v>8320181</v>
      </c>
      <c r="D35" s="511">
        <f t="shared" si="4"/>
        <v>8755800</v>
      </c>
      <c r="E35" s="511">
        <f t="shared" si="4"/>
        <v>8398133</v>
      </c>
      <c r="F35" s="511">
        <f t="shared" si="4"/>
        <v>9511500</v>
      </c>
      <c r="G35" s="511">
        <f t="shared" si="4"/>
        <v>9209509</v>
      </c>
      <c r="H35" s="511">
        <f t="shared" si="4"/>
        <v>9875300</v>
      </c>
      <c r="I35" s="511">
        <f t="shared" si="4"/>
        <v>10257900</v>
      </c>
      <c r="J35" s="959">
        <f t="shared" si="3"/>
        <v>11827200</v>
      </c>
      <c r="K35" s="512">
        <f t="shared" si="0"/>
        <v>0.15298452899716317</v>
      </c>
      <c r="L35" s="1"/>
      <c r="M35" s="116">
        <f>SUM(M32:M34)</f>
        <v>10257900</v>
      </c>
      <c r="N35" s="127">
        <f>SUM(N32:N34)</f>
        <v>11827200</v>
      </c>
      <c r="O35" s="128">
        <f>SUM(O5:O34)</f>
        <v>0.99999999999999989</v>
      </c>
    </row>
    <row r="36" spans="1:15" ht="15" thickTop="1" x14ac:dyDescent="0.4">
      <c r="A36" s="513" t="s">
        <v>48</v>
      </c>
      <c r="B36" s="514"/>
      <c r="C36" s="514"/>
      <c r="D36" s="514"/>
      <c r="E36" s="514"/>
      <c r="F36" s="514"/>
      <c r="G36" s="514"/>
      <c r="H36" s="514"/>
      <c r="I36" s="514"/>
      <c r="J36" s="503"/>
      <c r="K36" s="515"/>
    </row>
    <row r="37" spans="1:15" ht="15" thickBot="1" x14ac:dyDescent="0.45">
      <c r="A37" s="501" t="s">
        <v>49</v>
      </c>
      <c r="B37" s="516">
        <v>-200000</v>
      </c>
      <c r="C37" s="516"/>
      <c r="D37" s="516"/>
      <c r="E37" s="516"/>
      <c r="F37" s="516">
        <v>-158000</v>
      </c>
      <c r="G37" s="516"/>
      <c r="H37" s="516">
        <v>-399453</v>
      </c>
      <c r="I37" s="516">
        <v>-300000</v>
      </c>
      <c r="J37" s="517">
        <f>-(200000+100000)</f>
        <v>-300000</v>
      </c>
      <c r="K37" s="518"/>
      <c r="L37" s="1"/>
      <c r="M37" s="1"/>
    </row>
    <row r="38" spans="1:15" ht="15.45" thickTop="1" thickBot="1" x14ac:dyDescent="0.45">
      <c r="A38" s="519" t="s">
        <v>50</v>
      </c>
      <c r="B38" s="520">
        <f t="shared" ref="B38" si="5">SUM(B35:B37)</f>
        <v>8419200</v>
      </c>
      <c r="C38" s="520"/>
      <c r="D38" s="520">
        <f>SUM(D35:D37)</f>
        <v>8755800</v>
      </c>
      <c r="E38" s="520"/>
      <c r="F38" s="520">
        <f>SUM(F35:F37)</f>
        <v>9353500</v>
      </c>
      <c r="G38" s="520"/>
      <c r="H38" s="520">
        <f>SUM(H35:H37)</f>
        <v>9475847</v>
      </c>
      <c r="I38" s="520">
        <f>SUM(I35:I37)</f>
        <v>9957900</v>
      </c>
      <c r="J38" s="521">
        <f>SUM(J35:J37)</f>
        <v>11527200</v>
      </c>
      <c r="K38" s="522">
        <f t="shared" si="0"/>
        <v>0.15759346850239508</v>
      </c>
      <c r="O38" s="5">
        <f>N35-M35</f>
        <v>1569300</v>
      </c>
    </row>
    <row r="39" spans="1:15" ht="15" thickTop="1" x14ac:dyDescent="0.4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1"/>
      <c r="M39" s="1"/>
    </row>
    <row r="40" spans="1:15" x14ac:dyDescent="0.4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1"/>
      <c r="M40" s="1"/>
    </row>
    <row r="41" spans="1:15" x14ac:dyDescent="0.4">
      <c r="A41" s="26"/>
      <c r="B41" s="33"/>
      <c r="C41" s="33"/>
      <c r="D41" s="33"/>
      <c r="E41" s="33"/>
      <c r="F41" s="33"/>
      <c r="G41" s="33"/>
      <c r="H41" s="33"/>
      <c r="I41" s="33"/>
      <c r="J41" s="33"/>
      <c r="K41" s="26"/>
      <c r="L41" s="1"/>
      <c r="M41" s="1"/>
    </row>
    <row r="42" spans="1:15" x14ac:dyDescent="0.4">
      <c r="J42" s="3"/>
      <c r="K42" s="3"/>
      <c r="L42" s="1"/>
      <c r="M42" s="1"/>
    </row>
    <row r="43" spans="1:15" x14ac:dyDescent="0.4">
      <c r="J43" s="3"/>
      <c r="K43" s="3"/>
      <c r="L43" s="1"/>
      <c r="M43" s="1"/>
    </row>
    <row r="44" spans="1:15" x14ac:dyDescent="0.4">
      <c r="J44" s="3"/>
      <c r="K44" s="3"/>
      <c r="L44" s="1"/>
      <c r="M44" s="1"/>
    </row>
    <row r="45" spans="1:15" x14ac:dyDescent="0.4">
      <c r="L45" s="1"/>
      <c r="M45" s="1"/>
    </row>
    <row r="46" spans="1:15" x14ac:dyDescent="0.4">
      <c r="L46" s="1"/>
      <c r="M46" s="1"/>
    </row>
    <row r="47" spans="1:15" x14ac:dyDescent="0.4">
      <c r="L47" s="1"/>
      <c r="M47" s="1"/>
    </row>
    <row r="48" spans="1:15" x14ac:dyDescent="0.4">
      <c r="L48" s="1"/>
      <c r="M48" s="1"/>
    </row>
    <row r="49" spans="12:13" x14ac:dyDescent="0.4">
      <c r="L49" s="1"/>
      <c r="M49" s="1"/>
    </row>
    <row r="50" spans="12:13" x14ac:dyDescent="0.4">
      <c r="L50" s="1"/>
      <c r="M50" s="1"/>
    </row>
    <row r="51" spans="12:13" x14ac:dyDescent="0.4">
      <c r="L51" s="1"/>
      <c r="M51" s="1"/>
    </row>
    <row r="52" spans="12:13" x14ac:dyDescent="0.4">
      <c r="L52" s="1"/>
      <c r="M52" s="1"/>
    </row>
    <row r="53" spans="12:13" x14ac:dyDescent="0.4">
      <c r="L53" s="1"/>
      <c r="M53" s="1"/>
    </row>
    <row r="54" spans="12:13" x14ac:dyDescent="0.4">
      <c r="L54" s="1"/>
      <c r="M54" s="1"/>
    </row>
    <row r="55" spans="12:13" x14ac:dyDescent="0.4">
      <c r="L55" s="1"/>
      <c r="M55" s="1"/>
    </row>
    <row r="56" spans="12:13" x14ac:dyDescent="0.4">
      <c r="L56" s="1"/>
      <c r="M56" s="1"/>
    </row>
    <row r="57" spans="12:13" x14ac:dyDescent="0.4">
      <c r="L57" s="1"/>
      <c r="M57" s="1"/>
    </row>
    <row r="58" spans="12:13" x14ac:dyDescent="0.4">
      <c r="L58" s="1"/>
      <c r="M58" s="1"/>
    </row>
    <row r="59" spans="12:13" x14ac:dyDescent="0.4">
      <c r="L59" s="1"/>
      <c r="M59" s="1"/>
    </row>
    <row r="60" spans="12:13" x14ac:dyDescent="0.4">
      <c r="L60" s="1"/>
      <c r="M60" s="1"/>
    </row>
    <row r="61" spans="12:13" x14ac:dyDescent="0.4">
      <c r="L61" s="1"/>
      <c r="M61" s="1"/>
    </row>
    <row r="62" spans="12:13" x14ac:dyDescent="0.4">
      <c r="L62" s="1"/>
      <c r="M62" s="1"/>
    </row>
    <row r="63" spans="12:13" x14ac:dyDescent="0.4">
      <c r="L63" s="1"/>
      <c r="M63" s="1"/>
    </row>
    <row r="64" spans="12:13" x14ac:dyDescent="0.4">
      <c r="L64" s="1"/>
      <c r="M64" s="1"/>
    </row>
    <row r="65" spans="12:13" x14ac:dyDescent="0.4">
      <c r="L65" s="1"/>
      <c r="M65" s="1"/>
    </row>
    <row r="66" spans="12:13" x14ac:dyDescent="0.4">
      <c r="L66" s="1"/>
      <c r="M66" s="1"/>
    </row>
    <row r="67" spans="12:13" x14ac:dyDescent="0.4">
      <c r="L67" s="1"/>
      <c r="M67" s="1"/>
    </row>
    <row r="68" spans="12:13" x14ac:dyDescent="0.4">
      <c r="L68" s="1"/>
      <c r="M68" s="1"/>
    </row>
    <row r="69" spans="12:13" x14ac:dyDescent="0.4">
      <c r="L69" s="1"/>
      <c r="M69" s="1"/>
    </row>
    <row r="70" spans="12:13" x14ac:dyDescent="0.4">
      <c r="L70" s="1"/>
      <c r="M70" s="1"/>
    </row>
    <row r="71" spans="12:13" x14ac:dyDescent="0.4">
      <c r="L71" s="1"/>
      <c r="M71" s="1"/>
    </row>
    <row r="72" spans="12:13" x14ac:dyDescent="0.4">
      <c r="L72" s="1"/>
      <c r="M72" s="1"/>
    </row>
    <row r="73" spans="12:13" x14ac:dyDescent="0.4">
      <c r="L73" s="1"/>
      <c r="M73" s="1"/>
    </row>
    <row r="74" spans="12:13" x14ac:dyDescent="0.4">
      <c r="L74" s="1"/>
      <c r="M74" s="1"/>
    </row>
    <row r="75" spans="12:13" x14ac:dyDescent="0.4">
      <c r="L75" s="1"/>
      <c r="M75" s="1"/>
    </row>
    <row r="76" spans="12:13" x14ac:dyDescent="0.4">
      <c r="L76" s="1"/>
      <c r="M76" s="1"/>
    </row>
    <row r="77" spans="12:13" x14ac:dyDescent="0.4">
      <c r="L77" s="1"/>
      <c r="M77" s="1"/>
    </row>
    <row r="78" spans="12:13" x14ac:dyDescent="0.4">
      <c r="L78" s="1"/>
      <c r="M78" s="1"/>
    </row>
    <row r="79" spans="12:13" x14ac:dyDescent="0.4">
      <c r="L79" s="1"/>
      <c r="M79" s="1"/>
    </row>
    <row r="80" spans="12:13" x14ac:dyDescent="0.4">
      <c r="L80" s="1"/>
      <c r="M80" s="1"/>
    </row>
    <row r="81" spans="1:13" x14ac:dyDescent="0.4">
      <c r="L81" s="1"/>
      <c r="M81" s="1"/>
    </row>
    <row r="82" spans="1:13" x14ac:dyDescent="0.4">
      <c r="L82" s="1"/>
      <c r="M82" s="1"/>
    </row>
    <row r="83" spans="1:13" x14ac:dyDescent="0.4">
      <c r="L83" s="1"/>
      <c r="M83" s="1"/>
    </row>
    <row r="84" spans="1:13" x14ac:dyDescent="0.4">
      <c r="L84" s="1"/>
      <c r="M84" s="1"/>
    </row>
    <row r="85" spans="1:13" x14ac:dyDescent="0.4">
      <c r="L85" s="1"/>
      <c r="M85" s="1"/>
    </row>
    <row r="86" spans="1:13" x14ac:dyDescent="0.4">
      <c r="L86" s="1"/>
      <c r="M86" s="1"/>
    </row>
    <row r="87" spans="1:13" x14ac:dyDescent="0.4">
      <c r="L87" s="1"/>
      <c r="M87" s="1"/>
    </row>
    <row r="88" spans="1:13" x14ac:dyDescent="0.4">
      <c r="L88" s="1"/>
      <c r="M88" s="1"/>
    </row>
    <row r="89" spans="1:13" x14ac:dyDescent="0.4">
      <c r="L89" s="1"/>
      <c r="M89" s="1"/>
    </row>
    <row r="90" spans="1:13" x14ac:dyDescent="0.4">
      <c r="L90" s="1"/>
      <c r="M90" s="1"/>
    </row>
    <row r="91" spans="1:13" x14ac:dyDescent="0.4">
      <c r="L91" s="1"/>
      <c r="M91" s="1"/>
    </row>
    <row r="92" spans="1:13" x14ac:dyDescent="0.4">
      <c r="A92" s="26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1"/>
      <c r="M92" s="1"/>
    </row>
  </sheetData>
  <mergeCells count="6">
    <mergeCell ref="M30:N30"/>
    <mergeCell ref="B1:K1"/>
    <mergeCell ref="M4:N4"/>
    <mergeCell ref="M10:N10"/>
    <mergeCell ref="M16:N16"/>
    <mergeCell ref="M27:N27"/>
  </mergeCells>
  <conditionalFormatting sqref="K3:K38">
    <cfRule type="cellIs" dxfId="134" priority="1" stopIfTrue="1" operator="lessThan">
      <formula>0</formula>
    </cfRule>
    <cfRule type="cellIs" dxfId="133" priority="2" stopIfTrue="1" operator="greaterThan">
      <formula>0</formula>
    </cfRule>
    <cfRule type="cellIs" dxfId="132" priority="3" stopIfTrue="1" operator="equal">
      <formula>0</formula>
    </cfRule>
  </conditionalFormatting>
  <pageMargins left="0.25" right="0.25" top="0.75" bottom="0.75" header="0.3" footer="0.3"/>
  <pageSetup scale="78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BCF69-D680-4288-B303-8E455B5249FA}">
  <dimension ref="A1:N1002"/>
  <sheetViews>
    <sheetView zoomScale="120" zoomScaleNormal="120" workbookViewId="0">
      <selection activeCell="C15" sqref="C15"/>
    </sheetView>
  </sheetViews>
  <sheetFormatPr defaultColWidth="14.3828125" defaultRowHeight="14.6" x14ac:dyDescent="0.4"/>
  <cols>
    <col min="1" max="1" width="29.3046875" bestFit="1" customWidth="1"/>
    <col min="2" max="2" width="66.15234375" customWidth="1"/>
    <col min="3" max="3" width="2.3828125" customWidth="1"/>
    <col min="4" max="4" width="13.3828125" customWidth="1"/>
    <col min="5" max="5" width="11.53515625" bestFit="1" customWidth="1"/>
    <col min="6" max="6" width="15.15234375" bestFit="1" customWidth="1"/>
    <col min="7" max="7" width="10.3828125" bestFit="1" customWidth="1"/>
    <col min="8" max="8" width="11.53515625" customWidth="1"/>
    <col min="9" max="9" width="70.3046875" customWidth="1"/>
    <col min="10" max="10" width="37.3046875" bestFit="1" customWidth="1"/>
    <col min="11" max="11" width="10.53515625" bestFit="1" customWidth="1"/>
    <col min="12" max="13" width="13.3046875" customWidth="1"/>
    <col min="14" max="14" width="10.3046875" customWidth="1"/>
    <col min="15" max="16" width="13.3046875" customWidth="1"/>
    <col min="17" max="17" width="4.3828125" customWidth="1"/>
    <col min="18" max="19" width="13.3046875" customWidth="1"/>
    <col min="20" max="26" width="15.15234375" customWidth="1"/>
  </cols>
  <sheetData>
    <row r="1" spans="1:13" ht="26.15" x14ac:dyDescent="0.7">
      <c r="A1" s="940" t="s">
        <v>620</v>
      </c>
      <c r="B1" s="940"/>
      <c r="C1" s="940"/>
      <c r="D1" s="940"/>
      <c r="E1" s="940"/>
      <c r="F1" s="940"/>
      <c r="G1" s="940"/>
      <c r="H1" s="940"/>
    </row>
    <row r="2" spans="1:13" ht="45" customHeight="1" x14ac:dyDescent="0.4">
      <c r="A2" s="772" t="s">
        <v>76</v>
      </c>
      <c r="B2" s="772" t="s">
        <v>77</v>
      </c>
      <c r="C2" s="772"/>
      <c r="D2" s="773"/>
      <c r="E2" s="774" t="s">
        <v>618</v>
      </c>
      <c r="F2" s="774" t="s">
        <v>79</v>
      </c>
      <c r="G2" s="774" t="s">
        <v>80</v>
      </c>
      <c r="H2" s="774" t="s">
        <v>170</v>
      </c>
      <c r="I2" s="2"/>
    </row>
    <row r="3" spans="1:13" ht="19.5" customHeight="1" x14ac:dyDescent="0.5">
      <c r="A3" s="950" t="s">
        <v>9</v>
      </c>
      <c r="B3" s="950"/>
      <c r="C3" s="950"/>
      <c r="D3" s="950"/>
      <c r="E3" s="950"/>
      <c r="F3" s="950"/>
      <c r="G3" s="950"/>
      <c r="H3" s="950"/>
      <c r="I3" s="7"/>
      <c r="J3" s="792" t="s">
        <v>171</v>
      </c>
      <c r="K3" s="787"/>
    </row>
    <row r="4" spans="1:13" ht="15" customHeight="1" x14ac:dyDescent="0.4">
      <c r="A4" s="723" t="s">
        <v>196</v>
      </c>
      <c r="B4" s="430" t="s">
        <v>197</v>
      </c>
      <c r="C4" s="523"/>
      <c r="D4" s="430"/>
      <c r="E4" s="442">
        <f>(H5*2)+(H4)+(K6)+K10</f>
        <v>5857338</v>
      </c>
      <c r="F4" s="425">
        <v>-5723616.5700000003</v>
      </c>
      <c r="G4" s="425">
        <f t="shared" ref="G4:G9" si="0">SUM(E4:F4)</f>
        <v>133721.4299999997</v>
      </c>
      <c r="H4" s="739">
        <v>4916833</v>
      </c>
      <c r="I4" s="851" t="s">
        <v>172</v>
      </c>
      <c r="J4" t="s">
        <v>173</v>
      </c>
      <c r="K4" s="60">
        <v>50000</v>
      </c>
    </row>
    <row r="5" spans="1:13" ht="15" customHeight="1" x14ac:dyDescent="0.4">
      <c r="A5" s="852" t="s">
        <v>84</v>
      </c>
      <c r="B5" s="853" t="s">
        <v>198</v>
      </c>
      <c r="C5" s="854"/>
      <c r="D5" s="853"/>
      <c r="E5" s="855">
        <f>(E4*4%)*50%</f>
        <v>117146.76000000001</v>
      </c>
      <c r="F5" s="856">
        <v>0</v>
      </c>
      <c r="G5" s="856">
        <f t="shared" si="0"/>
        <v>117146.76000000001</v>
      </c>
      <c r="H5" s="857">
        <v>73752.5</v>
      </c>
      <c r="I5" s="2"/>
      <c r="J5" s="123" t="s">
        <v>199</v>
      </c>
      <c r="K5" s="60">
        <v>48000</v>
      </c>
    </row>
    <row r="6" spans="1:13" ht="15" customHeight="1" thickBot="1" x14ac:dyDescent="0.45">
      <c r="A6" s="674"/>
      <c r="B6" s="440" t="s">
        <v>87</v>
      </c>
      <c r="C6" s="441"/>
      <c r="D6" s="440"/>
      <c r="E6" s="423">
        <v>17000</v>
      </c>
      <c r="F6" s="783">
        <v>-19384.29</v>
      </c>
      <c r="G6" s="783">
        <f t="shared" si="0"/>
        <v>-2384.2900000000009</v>
      </c>
      <c r="H6" s="784">
        <v>17000</v>
      </c>
      <c r="I6" s="7">
        <f>H4*0.08</f>
        <v>393346.64</v>
      </c>
      <c r="J6" s="62" t="s">
        <v>174</v>
      </c>
      <c r="K6" s="842">
        <f>SUM(K4:K5)</f>
        <v>98000</v>
      </c>
      <c r="M6" s="117"/>
    </row>
    <row r="7" spans="1:13" ht="15" customHeight="1" thickTop="1" x14ac:dyDescent="0.4">
      <c r="A7" s="852"/>
      <c r="B7" s="858" t="s">
        <v>89</v>
      </c>
      <c r="C7" s="854"/>
      <c r="D7" s="858"/>
      <c r="E7" s="859">
        <v>74000</v>
      </c>
      <c r="F7" s="860">
        <v>-64296</v>
      </c>
      <c r="G7" s="935">
        <f t="shared" si="0"/>
        <v>9704</v>
      </c>
      <c r="H7" s="861">
        <v>78000</v>
      </c>
      <c r="I7" s="12"/>
      <c r="M7" s="118"/>
    </row>
    <row r="8" spans="1:13" ht="15" customHeight="1" x14ac:dyDescent="0.4">
      <c r="A8" s="720"/>
      <c r="B8" s="422" t="s">
        <v>92</v>
      </c>
      <c r="C8" s="441"/>
      <c r="D8" s="422"/>
      <c r="E8" s="423">
        <v>85000</v>
      </c>
      <c r="F8" s="424">
        <v>-79699.240000000005</v>
      </c>
      <c r="G8" s="424">
        <f t="shared" si="0"/>
        <v>5300.7599999999948</v>
      </c>
      <c r="H8" s="424">
        <v>85000</v>
      </c>
      <c r="I8" s="303"/>
      <c r="J8" s="123"/>
      <c r="K8" s="117"/>
      <c r="M8" s="117"/>
    </row>
    <row r="9" spans="1:13" ht="15" customHeight="1" x14ac:dyDescent="0.4">
      <c r="A9" s="862"/>
      <c r="B9" s="863" t="s">
        <v>95</v>
      </c>
      <c r="C9" s="864"/>
      <c r="D9" s="863"/>
      <c r="E9" s="859">
        <v>30000</v>
      </c>
      <c r="F9" s="860">
        <v>-31111.25</v>
      </c>
      <c r="G9" s="860">
        <f t="shared" si="0"/>
        <v>-1111.25</v>
      </c>
      <c r="H9" s="861">
        <v>30000</v>
      </c>
      <c r="I9" s="2"/>
      <c r="K9" s="117"/>
      <c r="L9" s="117"/>
      <c r="M9" s="117"/>
    </row>
    <row r="10" spans="1:13" ht="15" customHeight="1" thickBot="1" x14ac:dyDescent="0.45">
      <c r="A10" s="724"/>
      <c r="B10" s="421"/>
      <c r="C10" s="449"/>
      <c r="D10" s="476">
        <f>(E10-H10)/H10</f>
        <v>0.18842094991035141</v>
      </c>
      <c r="E10" s="427">
        <f>(SUM(E4:E9))</f>
        <v>6180484.7599999998</v>
      </c>
      <c r="F10" s="428">
        <f>SUM(F4:F9)</f>
        <v>-5918107.3500000006</v>
      </c>
      <c r="G10" s="428">
        <f>SUM(G4:G9)</f>
        <v>262377.40999999968</v>
      </c>
      <c r="H10" s="429">
        <f>SUM(H4:H9)</f>
        <v>5200585.5</v>
      </c>
      <c r="I10" s="2"/>
      <c r="J10" s="62" t="s">
        <v>175</v>
      </c>
      <c r="K10" s="850">
        <v>695000</v>
      </c>
      <c r="L10" s="844">
        <f>K10/H4</f>
        <v>0.14135115022210434</v>
      </c>
      <c r="M10" s="117"/>
    </row>
    <row r="11" spans="1:13" ht="15" customHeight="1" thickTop="1" x14ac:dyDescent="0.4">
      <c r="A11" s="24"/>
      <c r="B11" s="24"/>
      <c r="C11" s="25"/>
      <c r="D11" s="26"/>
      <c r="E11" s="27"/>
      <c r="F11" s="27"/>
      <c r="G11" s="27"/>
      <c r="H11" s="27"/>
      <c r="I11" s="2"/>
      <c r="L11" s="117"/>
      <c r="M11" s="117"/>
    </row>
    <row r="12" spans="1:13" ht="19.3" x14ac:dyDescent="0.5">
      <c r="A12" s="952" t="s">
        <v>10</v>
      </c>
      <c r="B12" s="952"/>
      <c r="C12" s="952"/>
      <c r="D12" s="952"/>
      <c r="E12" s="952"/>
      <c r="F12" s="952"/>
      <c r="G12" s="952"/>
      <c r="H12" s="952"/>
      <c r="I12" s="7"/>
      <c r="J12" t="s">
        <v>200</v>
      </c>
      <c r="L12" s="117"/>
      <c r="M12" s="117"/>
    </row>
    <row r="13" spans="1:13" ht="19.5" customHeight="1" x14ac:dyDescent="0.4">
      <c r="A13" s="434"/>
      <c r="B13" s="437" t="s">
        <v>100</v>
      </c>
      <c r="C13" s="438"/>
      <c r="D13" s="439"/>
      <c r="E13" s="439"/>
      <c r="F13" s="439"/>
      <c r="G13" s="439"/>
      <c r="H13" s="439"/>
      <c r="I13" s="2"/>
      <c r="J13" t="s">
        <v>201</v>
      </c>
      <c r="L13" s="117"/>
      <c r="M13" s="117"/>
    </row>
    <row r="14" spans="1:13" x14ac:dyDescent="0.4">
      <c r="A14" s="725"/>
      <c r="B14" s="726" t="s">
        <v>202</v>
      </c>
      <c r="C14" s="727"/>
      <c r="D14" s="726"/>
      <c r="E14" s="728">
        <f>((700*12)*35)*0.95</f>
        <v>279300</v>
      </c>
      <c r="F14" s="729"/>
      <c r="G14" s="729"/>
      <c r="H14" s="729">
        <v>279300</v>
      </c>
      <c r="I14" s="2"/>
      <c r="J14" t="s">
        <v>203</v>
      </c>
      <c r="L14" s="117"/>
      <c r="M14" s="117"/>
    </row>
    <row r="15" spans="1:13" x14ac:dyDescent="0.4">
      <c r="A15" s="720"/>
      <c r="B15" s="440" t="s">
        <v>176</v>
      </c>
      <c r="C15" s="441"/>
      <c r="D15" s="422"/>
      <c r="E15" s="442">
        <f>700*12</f>
        <v>8400</v>
      </c>
      <c r="F15" s="424"/>
      <c r="G15" s="424"/>
      <c r="H15" s="424">
        <v>8400</v>
      </c>
      <c r="I15" s="2"/>
      <c r="J15" t="s">
        <v>204</v>
      </c>
      <c r="M15" s="117"/>
    </row>
    <row r="16" spans="1:13" x14ac:dyDescent="0.4">
      <c r="A16" s="722"/>
      <c r="B16" s="443" t="s">
        <v>105</v>
      </c>
      <c r="C16" s="444"/>
      <c r="D16" s="444"/>
      <c r="E16" s="445">
        <v>1000</v>
      </c>
      <c r="F16" s="446"/>
      <c r="G16" s="446"/>
      <c r="H16" s="447">
        <v>1000</v>
      </c>
      <c r="I16" s="2"/>
      <c r="M16" s="117"/>
    </row>
    <row r="17" spans="1:14" x14ac:dyDescent="0.4">
      <c r="A17" s="432"/>
      <c r="B17" s="448" t="s">
        <v>106</v>
      </c>
      <c r="C17" s="449"/>
      <c r="D17" s="450"/>
      <c r="E17" s="451">
        <f>SUM(E14:E16)</f>
        <v>288700</v>
      </c>
      <c r="F17" s="452">
        <v>-320010.74</v>
      </c>
      <c r="G17" s="452">
        <f>SUM(E17:F17)</f>
        <v>-31310.739999999991</v>
      </c>
      <c r="H17" s="453">
        <f>SUM(H14:H16)</f>
        <v>288700</v>
      </c>
      <c r="I17" s="2"/>
    </row>
    <row r="18" spans="1:14" x14ac:dyDescent="0.4">
      <c r="A18" s="720"/>
      <c r="B18" s="450"/>
      <c r="C18" s="454"/>
      <c r="D18" s="450"/>
      <c r="E18" s="439"/>
      <c r="F18" s="450"/>
      <c r="G18" s="450"/>
      <c r="H18" s="439"/>
      <c r="I18" s="2"/>
    </row>
    <row r="19" spans="1:14" x14ac:dyDescent="0.4">
      <c r="A19" s="720"/>
      <c r="B19" s="455" t="s">
        <v>107</v>
      </c>
      <c r="C19" s="456"/>
      <c r="D19" s="422"/>
      <c r="E19" s="450"/>
      <c r="F19" s="450"/>
      <c r="G19" s="450"/>
      <c r="H19" s="439"/>
      <c r="I19" s="2"/>
      <c r="N19" s="52"/>
    </row>
    <row r="20" spans="1:14" x14ac:dyDescent="0.4">
      <c r="A20" s="722"/>
      <c r="B20" s="457" t="s">
        <v>108</v>
      </c>
      <c r="C20" s="444"/>
      <c r="D20" s="458"/>
      <c r="E20" s="459">
        <f>(1*110)*12</f>
        <v>1320</v>
      </c>
      <c r="F20" s="460"/>
      <c r="G20" s="460"/>
      <c r="H20" s="460">
        <v>1320</v>
      </c>
      <c r="I20" s="2" t="s">
        <v>109</v>
      </c>
    </row>
    <row r="21" spans="1:14" x14ac:dyDescent="0.4">
      <c r="A21" s="720"/>
      <c r="B21" s="422" t="s">
        <v>177</v>
      </c>
      <c r="C21" s="441"/>
      <c r="D21" s="450"/>
      <c r="E21" s="442">
        <f>(90*6)*12</f>
        <v>6480</v>
      </c>
      <c r="F21" s="424"/>
      <c r="G21" s="424"/>
      <c r="H21" s="424">
        <v>6480</v>
      </c>
      <c r="I21" s="2" t="s">
        <v>178</v>
      </c>
    </row>
    <row r="22" spans="1:14" x14ac:dyDescent="0.4">
      <c r="A22" s="722" t="s">
        <v>179</v>
      </c>
      <c r="B22" s="457" t="s">
        <v>180</v>
      </c>
      <c r="C22" s="444"/>
      <c r="D22" s="458"/>
      <c r="E22" s="445">
        <f>(70*12)*13</f>
        <v>10920</v>
      </c>
      <c r="F22" s="461"/>
      <c r="G22" s="461"/>
      <c r="H22" s="461">
        <v>10080</v>
      </c>
      <c r="I22" s="2" t="s">
        <v>205</v>
      </c>
    </row>
    <row r="23" spans="1:14" x14ac:dyDescent="0.4">
      <c r="A23" s="432"/>
      <c r="B23" s="448" t="s">
        <v>106</v>
      </c>
      <c r="C23" s="449"/>
      <c r="D23" s="450"/>
      <c r="E23" s="451">
        <f>SUM(E20:E22)</f>
        <v>18720</v>
      </c>
      <c r="F23" s="453"/>
      <c r="G23" s="453"/>
      <c r="H23" s="453">
        <f>SUM(H20:H22)</f>
        <v>17880</v>
      </c>
      <c r="I23" s="2"/>
    </row>
    <row r="24" spans="1:14" x14ac:dyDescent="0.4">
      <c r="A24" s="436"/>
      <c r="B24" s="448"/>
      <c r="C24" s="449"/>
      <c r="D24" s="450"/>
      <c r="E24" s="453"/>
      <c r="F24" s="453"/>
      <c r="G24" s="453"/>
      <c r="H24" s="453"/>
      <c r="I24" s="2"/>
    </row>
    <row r="25" spans="1:14" x14ac:dyDescent="0.4">
      <c r="A25" s="436"/>
      <c r="B25" s="462" t="s">
        <v>114</v>
      </c>
      <c r="C25" s="463"/>
      <c r="D25" s="450"/>
      <c r="E25" s="453"/>
      <c r="F25" s="453"/>
      <c r="G25" s="453"/>
      <c r="H25" s="453"/>
      <c r="I25" s="2"/>
    </row>
    <row r="26" spans="1:14" x14ac:dyDescent="0.4">
      <c r="A26" s="431"/>
      <c r="B26" s="464" t="s">
        <v>115</v>
      </c>
      <c r="C26" s="465"/>
      <c r="D26" s="466">
        <v>1000</v>
      </c>
      <c r="E26" s="459">
        <f t="shared" ref="E26:E31" si="1">C26*D26</f>
        <v>0</v>
      </c>
      <c r="F26" s="467"/>
      <c r="G26" s="467"/>
      <c r="H26" s="460">
        <v>0</v>
      </c>
      <c r="I26" s="2"/>
    </row>
    <row r="27" spans="1:14" x14ac:dyDescent="0.4">
      <c r="A27" s="432"/>
      <c r="B27" s="440" t="s">
        <v>116</v>
      </c>
      <c r="C27" s="468">
        <v>1</v>
      </c>
      <c r="D27" s="469">
        <v>1000</v>
      </c>
      <c r="E27" s="442">
        <f t="shared" si="1"/>
        <v>1000</v>
      </c>
      <c r="F27" s="453"/>
      <c r="G27" s="453"/>
      <c r="H27" s="424">
        <v>1000</v>
      </c>
      <c r="I27" s="2" t="s">
        <v>117</v>
      </c>
    </row>
    <row r="28" spans="1:14" x14ac:dyDescent="0.4">
      <c r="A28" s="431"/>
      <c r="B28" s="464" t="s">
        <v>118</v>
      </c>
      <c r="C28" s="465"/>
      <c r="D28" s="466">
        <v>1000</v>
      </c>
      <c r="E28" s="459">
        <f t="shared" si="1"/>
        <v>0</v>
      </c>
      <c r="F28" s="467"/>
      <c r="G28" s="467"/>
      <c r="H28" s="460">
        <v>0</v>
      </c>
      <c r="I28" s="2"/>
    </row>
    <row r="29" spans="1:14" x14ac:dyDescent="0.4">
      <c r="A29" s="432"/>
      <c r="B29" s="440" t="s">
        <v>119</v>
      </c>
      <c r="C29" s="468">
        <v>1</v>
      </c>
      <c r="D29" s="469">
        <v>1500</v>
      </c>
      <c r="E29" s="442">
        <f t="shared" si="1"/>
        <v>1500</v>
      </c>
      <c r="F29" s="453"/>
      <c r="G29" s="453"/>
      <c r="H29" s="424">
        <v>1500</v>
      </c>
      <c r="I29" s="2" t="s">
        <v>120</v>
      </c>
    </row>
    <row r="30" spans="1:14" x14ac:dyDescent="0.4">
      <c r="A30" s="431"/>
      <c r="B30" s="464" t="s">
        <v>121</v>
      </c>
      <c r="C30" s="465">
        <v>4</v>
      </c>
      <c r="D30" s="466">
        <v>2000</v>
      </c>
      <c r="E30" s="459">
        <f t="shared" si="1"/>
        <v>8000</v>
      </c>
      <c r="F30" s="467"/>
      <c r="G30" s="467"/>
      <c r="H30" s="460">
        <v>8000</v>
      </c>
      <c r="I30" s="2" t="s">
        <v>181</v>
      </c>
    </row>
    <row r="31" spans="1:14" x14ac:dyDescent="0.4">
      <c r="A31" s="433"/>
      <c r="B31" s="470" t="s">
        <v>123</v>
      </c>
      <c r="C31" s="471">
        <v>1</v>
      </c>
      <c r="D31" s="472">
        <v>2000</v>
      </c>
      <c r="E31" s="473">
        <f t="shared" si="1"/>
        <v>2000</v>
      </c>
      <c r="F31" s="474"/>
      <c r="G31" s="474"/>
      <c r="H31" s="475">
        <v>2000</v>
      </c>
      <c r="I31" s="2" t="s">
        <v>124</v>
      </c>
    </row>
    <row r="32" spans="1:14" x14ac:dyDescent="0.4">
      <c r="A32" s="436"/>
      <c r="B32" s="440"/>
      <c r="C32" s="441"/>
      <c r="D32" s="450"/>
      <c r="E32" s="451">
        <f>SUM(E26:E31)</f>
        <v>12500</v>
      </c>
      <c r="F32" s="453"/>
      <c r="G32" s="453"/>
      <c r="H32" s="453">
        <f>SUM(H26:H31)</f>
        <v>12500</v>
      </c>
      <c r="I32" s="2"/>
    </row>
    <row r="33" spans="1:9" x14ac:dyDescent="0.4">
      <c r="A33" s="436"/>
      <c r="B33" s="440"/>
      <c r="C33" s="441"/>
      <c r="D33" s="450"/>
      <c r="E33" s="424"/>
      <c r="F33" s="453"/>
      <c r="G33" s="453"/>
      <c r="H33" s="424"/>
      <c r="I33" s="2"/>
    </row>
    <row r="34" spans="1:9" ht="15" thickBot="1" x14ac:dyDescent="0.45">
      <c r="A34" s="436"/>
      <c r="B34" s="421"/>
      <c r="C34" s="449"/>
      <c r="D34" s="476">
        <f>(E34-H34)/H34</f>
        <v>2.6325686348251222E-3</v>
      </c>
      <c r="E34" s="427">
        <f>SUM(E17+E23+E32)</f>
        <v>319920</v>
      </c>
      <c r="F34" s="428"/>
      <c r="G34" s="428"/>
      <c r="H34" s="429">
        <f>SUM(H17+H23+H32)</f>
        <v>319080</v>
      </c>
      <c r="I34" s="2"/>
    </row>
    <row r="35" spans="1:9" x14ac:dyDescent="0.4">
      <c r="A35" s="434"/>
      <c r="B35" s="13"/>
      <c r="C35" s="51"/>
      <c r="D35" s="13"/>
      <c r="E35" s="13"/>
      <c r="F35" s="13"/>
      <c r="G35" s="13"/>
      <c r="H35" s="26"/>
      <c r="I35" s="2"/>
    </row>
    <row r="36" spans="1:9" ht="19.3" x14ac:dyDescent="0.5">
      <c r="A36" s="952" t="s">
        <v>125</v>
      </c>
      <c r="B36" s="952"/>
      <c r="C36" s="952"/>
      <c r="D36" s="952"/>
      <c r="E36" s="952"/>
      <c r="F36" s="952"/>
      <c r="G36" s="952"/>
      <c r="H36" s="952"/>
      <c r="I36" s="7"/>
    </row>
    <row r="37" spans="1:9" ht="15" customHeight="1" x14ac:dyDescent="0.4">
      <c r="A37" s="721" t="s">
        <v>182</v>
      </c>
      <c r="B37" s="470" t="s">
        <v>608</v>
      </c>
      <c r="C37" s="523"/>
      <c r="D37" s="730"/>
      <c r="E37" s="442">
        <f>ROUND((38.61*78*8)+((38.61*108%)*78*4),0)</f>
        <v>37103</v>
      </c>
      <c r="F37" s="771"/>
      <c r="G37" s="771"/>
      <c r="H37" s="424">
        <v>34743</v>
      </c>
      <c r="I37" s="316"/>
    </row>
    <row r="38" spans="1:9" ht="15" customHeight="1" x14ac:dyDescent="0.4">
      <c r="A38" s="736" t="s">
        <v>183</v>
      </c>
      <c r="B38" s="737" t="s">
        <v>609</v>
      </c>
      <c r="C38" s="738"/>
      <c r="D38" s="770"/>
      <c r="E38" s="734">
        <f>((744.15-10)*78*8)+(((744.15-10)*120%)*78*4)</f>
        <v>732975.35999999987</v>
      </c>
      <c r="F38" s="735">
        <v>-786467.41</v>
      </c>
      <c r="G38" s="735">
        <f>(E37+E38+E39+E40)+F38</f>
        <v>24206.738799999817</v>
      </c>
      <c r="H38" s="735">
        <v>631832</v>
      </c>
      <c r="I38" s="2"/>
    </row>
    <row r="39" spans="1:9" ht="15" customHeight="1" x14ac:dyDescent="0.4">
      <c r="A39" s="720"/>
      <c r="B39" s="440" t="s">
        <v>130</v>
      </c>
      <c r="C39" s="441"/>
      <c r="D39" s="477"/>
      <c r="E39" s="442">
        <f>(140*20*12)</f>
        <v>33600</v>
      </c>
      <c r="F39" s="424"/>
      <c r="G39" s="424"/>
      <c r="H39" s="424">
        <v>33600</v>
      </c>
      <c r="I39" s="2"/>
    </row>
    <row r="40" spans="1:9" ht="15" customHeight="1" x14ac:dyDescent="0.4">
      <c r="A40" s="736" t="s">
        <v>182</v>
      </c>
      <c r="B40" s="737" t="s">
        <v>184</v>
      </c>
      <c r="C40" s="738"/>
      <c r="D40" s="770"/>
      <c r="E40" s="734">
        <f>((7.28*78)*8)+((7.28*108%)*78*4)</f>
        <v>6995.7888000000003</v>
      </c>
      <c r="F40" s="735"/>
      <c r="G40" s="735"/>
      <c r="H40" s="735">
        <v>6928</v>
      </c>
      <c r="I40" s="2"/>
    </row>
    <row r="41" spans="1:9" ht="15" customHeight="1" x14ac:dyDescent="0.4">
      <c r="A41" s="721"/>
      <c r="B41" s="470" t="s">
        <v>185</v>
      </c>
      <c r="C41" s="523"/>
      <c r="D41" s="730"/>
      <c r="E41" s="442">
        <f>((((4*78)*12)+2370))</f>
        <v>6114</v>
      </c>
      <c r="F41" s="739">
        <f>-(218.95+291.44+289.37+276.78+301.91+268.49+336.55+334.75+299.29+280.79+325.67)</f>
        <v>-3223.99</v>
      </c>
      <c r="G41" s="739">
        <f>SUM(E41:F41)</f>
        <v>2890.01</v>
      </c>
      <c r="H41" s="739">
        <v>6114</v>
      </c>
    </row>
    <row r="42" spans="1:9" ht="15" customHeight="1" x14ac:dyDescent="0.4">
      <c r="A42" s="736"/>
      <c r="B42" s="731" t="s">
        <v>134</v>
      </c>
      <c r="C42" s="732"/>
      <c r="D42" s="733"/>
      <c r="E42" s="734">
        <f>(((E4+E5)*0.331%))</f>
        <v>19775.544555599998</v>
      </c>
      <c r="F42" s="735">
        <v>-13617.29</v>
      </c>
      <c r="G42" s="735">
        <f>SUM(E42:F42)</f>
        <v>6158.2545555999968</v>
      </c>
      <c r="H42" s="735">
        <v>16519</v>
      </c>
      <c r="I42" s="2"/>
    </row>
    <row r="43" spans="1:9" ht="15" customHeight="1" thickBot="1" x14ac:dyDescent="0.45">
      <c r="A43" s="762"/>
      <c r="B43" s="763"/>
      <c r="C43" s="744"/>
      <c r="D43" s="743">
        <f>(E43-H43)/H43</f>
        <v>0.14639224782058152</v>
      </c>
      <c r="E43" s="764">
        <f>SUM(E37:E42)</f>
        <v>836563.69335559988</v>
      </c>
      <c r="F43" s="865"/>
      <c r="G43" s="865"/>
      <c r="H43" s="865">
        <f>SUM(H37:H42)</f>
        <v>729736</v>
      </c>
      <c r="I43" s="58"/>
    </row>
    <row r="44" spans="1:9" ht="15" customHeight="1" thickTop="1" x14ac:dyDescent="0.4">
      <c r="A44" s="524"/>
      <c r="B44" s="197"/>
      <c r="C44" s="198"/>
      <c r="D44" s="286"/>
      <c r="E44" s="197"/>
      <c r="F44" s="197"/>
      <c r="G44" s="197"/>
      <c r="H44" s="197"/>
      <c r="I44" s="2"/>
    </row>
    <row r="45" spans="1:9" ht="19.3" x14ac:dyDescent="0.5">
      <c r="A45" s="952" t="s">
        <v>12</v>
      </c>
      <c r="B45" s="952"/>
      <c r="C45" s="952"/>
      <c r="D45" s="952"/>
      <c r="E45" s="952"/>
      <c r="F45" s="952"/>
      <c r="G45" s="952"/>
      <c r="H45" s="952"/>
      <c r="I45" s="199"/>
    </row>
    <row r="46" spans="1:9" ht="15" customHeight="1" x14ac:dyDescent="0.4">
      <c r="A46" s="721" t="s">
        <v>206</v>
      </c>
      <c r="B46" s="470" t="s">
        <v>136</v>
      </c>
      <c r="C46" s="523"/>
      <c r="D46" s="523"/>
      <c r="E46" s="442">
        <f>SUM(E4:E7)*0.97</f>
        <v>5883520.2171999998</v>
      </c>
      <c r="F46" s="425"/>
      <c r="G46" s="425"/>
      <c r="H46" s="426">
        <v>4933018</v>
      </c>
      <c r="I46" s="199"/>
    </row>
    <row r="47" spans="1:9" s="197" customFormat="1" ht="15" customHeight="1" x14ac:dyDescent="0.4">
      <c r="A47" s="736"/>
      <c r="B47" s="737" t="s">
        <v>137</v>
      </c>
      <c r="C47" s="738"/>
      <c r="D47" s="715"/>
      <c r="E47" s="734">
        <f>SUM(E14+E15+E32)</f>
        <v>300200</v>
      </c>
      <c r="F47" s="735"/>
      <c r="G47" s="735"/>
      <c r="H47" s="735">
        <v>300200</v>
      </c>
      <c r="I47" s="765"/>
    </row>
    <row r="48" spans="1:9" s="197" customFormat="1" ht="15" customHeight="1" x14ac:dyDescent="0.4">
      <c r="A48" s="674"/>
      <c r="B48" s="440"/>
      <c r="C48" s="441"/>
      <c r="D48" s="439"/>
      <c r="E48" s="442">
        <f>SUM(E46:E47)</f>
        <v>6183720.2171999998</v>
      </c>
      <c r="F48" s="452"/>
      <c r="G48" s="452"/>
      <c r="H48" s="453">
        <f>SUM(H46:H47)</f>
        <v>5233218</v>
      </c>
      <c r="I48" s="2"/>
    </row>
    <row r="49" spans="1:9" ht="15" customHeight="1" x14ac:dyDescent="0.4">
      <c r="A49" s="720"/>
      <c r="B49" s="422"/>
      <c r="C49" s="441"/>
      <c r="D49" s="441"/>
      <c r="E49" s="424"/>
      <c r="F49" s="424"/>
      <c r="G49" s="424"/>
      <c r="H49" s="424"/>
      <c r="I49" s="2"/>
    </row>
    <row r="50" spans="1:9" ht="15" customHeight="1" x14ac:dyDescent="0.4">
      <c r="A50" s="265" t="s">
        <v>186</v>
      </c>
      <c r="B50" s="746" t="s">
        <v>187</v>
      </c>
      <c r="C50" s="747"/>
      <c r="D50" s="748"/>
      <c r="E50" s="749">
        <f>E48*0.1%</f>
        <v>6183.7202171999998</v>
      </c>
      <c r="F50" s="766"/>
      <c r="G50" s="766"/>
      <c r="H50" s="767">
        <v>6280</v>
      </c>
      <c r="I50" s="2"/>
    </row>
    <row r="51" spans="1:9" ht="15" customHeight="1" thickBot="1" x14ac:dyDescent="0.45">
      <c r="A51" s="720"/>
      <c r="B51" s="448"/>
      <c r="C51" s="449"/>
      <c r="D51" s="450"/>
      <c r="E51" s="442">
        <f>SUM(E50)</f>
        <v>6183.7202171999998</v>
      </c>
      <c r="F51" s="478"/>
      <c r="G51" s="478"/>
      <c r="H51" s="479">
        <f>SUM(H50)</f>
        <v>6280</v>
      </c>
      <c r="I51" s="2"/>
    </row>
    <row r="52" spans="1:9" ht="15" customHeight="1" thickTop="1" x14ac:dyDescent="0.4">
      <c r="A52" s="720"/>
      <c r="B52" s="450"/>
      <c r="C52" s="454"/>
      <c r="D52" s="450"/>
      <c r="E52" s="450"/>
      <c r="F52" s="450"/>
      <c r="G52" s="450"/>
      <c r="H52" s="424"/>
      <c r="I52" s="2"/>
    </row>
    <row r="53" spans="1:9" ht="15" customHeight="1" x14ac:dyDescent="0.4">
      <c r="A53" s="721" t="s">
        <v>188</v>
      </c>
      <c r="B53" s="430" t="s">
        <v>189</v>
      </c>
      <c r="C53" s="523"/>
      <c r="D53" s="525"/>
      <c r="E53" s="442">
        <f>E48*17.94%</f>
        <v>1109359.40696568</v>
      </c>
      <c r="F53" s="586"/>
      <c r="G53" s="586"/>
      <c r="H53" s="739">
        <v>947212</v>
      </c>
      <c r="I53" s="7"/>
    </row>
    <row r="54" spans="1:9" ht="15" customHeight="1" x14ac:dyDescent="0.4">
      <c r="A54" s="751" t="s">
        <v>186</v>
      </c>
      <c r="B54" s="740" t="s">
        <v>187</v>
      </c>
      <c r="C54" s="732"/>
      <c r="D54" s="715"/>
      <c r="E54" s="752">
        <f>E48*0.1%</f>
        <v>6183.7202171999998</v>
      </c>
      <c r="F54" s="938">
        <v>-4918.5200000000004</v>
      </c>
      <c r="G54" s="938">
        <f>SUM(E54:F54)</f>
        <v>1265.2002171999993</v>
      </c>
      <c r="H54" s="753">
        <v>6280</v>
      </c>
      <c r="I54" s="7"/>
    </row>
    <row r="55" spans="1:9" ht="15" customHeight="1" x14ac:dyDescent="0.4">
      <c r="A55" s="721"/>
      <c r="B55" s="741"/>
      <c r="C55" s="742"/>
      <c r="D55" s="743">
        <f>(E55-H55)/H55</f>
        <v>0.16995541355656885</v>
      </c>
      <c r="E55" s="442">
        <f>SUM(E53:E54)</f>
        <v>1115543.12718288</v>
      </c>
      <c r="F55" s="586"/>
      <c r="G55" s="586"/>
      <c r="H55" s="739">
        <f>SUM(H53:H54)</f>
        <v>953492</v>
      </c>
      <c r="I55" s="7"/>
    </row>
    <row r="56" spans="1:9" ht="15" customHeight="1" x14ac:dyDescent="0.4">
      <c r="A56" s="674"/>
      <c r="B56" s="419"/>
      <c r="C56" s="481"/>
      <c r="D56" s="480"/>
      <c r="E56" s="423"/>
      <c r="F56" s="419"/>
      <c r="G56" s="419"/>
      <c r="H56" s="424"/>
      <c r="I56" s="7"/>
    </row>
    <row r="57" spans="1:9" ht="15" customHeight="1" x14ac:dyDescent="0.4">
      <c r="A57" s="265" t="s">
        <v>143</v>
      </c>
      <c r="B57" s="710" t="s">
        <v>190</v>
      </c>
      <c r="C57" s="750"/>
      <c r="D57" s="748"/>
      <c r="E57" s="728">
        <f>E48*19.1%</f>
        <v>1181090.5614852</v>
      </c>
      <c r="F57" s="729">
        <f>-1155727.14-4918.52</f>
        <v>-1160645.6599999999</v>
      </c>
      <c r="G57" s="729">
        <f>SUM(E57:F57)</f>
        <v>20444.90148520004</v>
      </c>
      <c r="H57" s="745">
        <v>1000591</v>
      </c>
      <c r="I57" s="7"/>
    </row>
    <row r="58" spans="1:9" ht="15" customHeight="1" x14ac:dyDescent="0.4">
      <c r="A58" s="720" t="s">
        <v>191</v>
      </c>
      <c r="B58" s="419" t="s">
        <v>195</v>
      </c>
      <c r="C58" s="481"/>
      <c r="D58" s="423"/>
      <c r="E58" s="450"/>
      <c r="F58" s="419"/>
      <c r="G58" s="419"/>
      <c r="H58" s="424"/>
      <c r="I58" s="7"/>
    </row>
    <row r="59" spans="1:9" ht="15" customHeight="1" thickBot="1" x14ac:dyDescent="0.45">
      <c r="A59" s="674"/>
      <c r="B59" s="421"/>
      <c r="C59" s="481"/>
      <c r="D59" s="476">
        <f>(E59-H59)/H59</f>
        <v>0.1803929492521919</v>
      </c>
      <c r="E59" s="427">
        <f>SUM(E57:E58)</f>
        <v>1181090.5614852</v>
      </c>
      <c r="F59" s="937">
        <f>SUM(F57:F58)</f>
        <v>-1160645.6599999999</v>
      </c>
      <c r="G59" s="937">
        <f>SUM(E59:F59)</f>
        <v>20444.90148520004</v>
      </c>
      <c r="H59" s="429">
        <f>SUM(H57:H58)</f>
        <v>1000591</v>
      </c>
      <c r="I59" s="7"/>
    </row>
    <row r="60" spans="1:9" ht="15" customHeight="1" thickTop="1" x14ac:dyDescent="0.4">
      <c r="A60" s="434"/>
      <c r="B60" s="63"/>
      <c r="C60" s="68"/>
      <c r="D60" s="13"/>
      <c r="E60" s="63"/>
      <c r="F60" s="63"/>
      <c r="G60" s="63"/>
      <c r="H60" s="26"/>
      <c r="I60" s="7"/>
    </row>
    <row r="61" spans="1:9" ht="19.5" customHeight="1" x14ac:dyDescent="0.5">
      <c r="A61" s="950" t="s">
        <v>147</v>
      </c>
      <c r="B61" s="951"/>
      <c r="C61" s="951"/>
      <c r="D61" s="951"/>
      <c r="E61" s="951"/>
      <c r="F61" s="951"/>
      <c r="G61" s="951"/>
      <c r="H61" s="951"/>
      <c r="I61" s="7"/>
    </row>
    <row r="62" spans="1:9" ht="15" customHeight="1" x14ac:dyDescent="0.4">
      <c r="A62" s="434"/>
      <c r="B62" s="450" t="s">
        <v>148</v>
      </c>
      <c r="C62" s="454"/>
      <c r="D62" s="450"/>
      <c r="E62" s="442">
        <f>(1788*4)*110%</f>
        <v>7867.2000000000007</v>
      </c>
      <c r="F62" s="483">
        <v>-8277</v>
      </c>
      <c r="G62" s="483">
        <f>SUM(E62:F62)</f>
        <v>-409.79999999999927</v>
      </c>
      <c r="H62" s="483">
        <v>8875</v>
      </c>
      <c r="I62" s="2"/>
    </row>
    <row r="63" spans="1:9" ht="15" customHeight="1" thickBot="1" x14ac:dyDescent="0.45">
      <c r="A63" s="482"/>
      <c r="B63" s="484"/>
      <c r="C63" s="487"/>
      <c r="D63" s="718">
        <f>(E63-H63)/H63</f>
        <v>-0.1135549295774647</v>
      </c>
      <c r="E63" s="485">
        <f>SUM(E62)</f>
        <v>7867.2000000000007</v>
      </c>
      <c r="F63" s="936"/>
      <c r="G63" s="936"/>
      <c r="H63" s="486">
        <f>SUM(H62)</f>
        <v>8875</v>
      </c>
      <c r="I63" s="2"/>
    </row>
    <row r="64" spans="1:9" ht="15" customHeight="1" thickTop="1" x14ac:dyDescent="0.4">
      <c r="A64" s="434"/>
      <c r="B64" s="13"/>
      <c r="C64" s="51"/>
      <c r="D64" s="13"/>
      <c r="E64" s="13"/>
      <c r="F64" s="13"/>
      <c r="G64" s="13"/>
      <c r="H64" s="26"/>
      <c r="I64" s="2"/>
    </row>
    <row r="65" spans="1:9" ht="19.5" customHeight="1" x14ac:dyDescent="0.5">
      <c r="A65" s="950" t="s">
        <v>149</v>
      </c>
      <c r="B65" s="951"/>
      <c r="C65" s="951"/>
      <c r="D65" s="951"/>
      <c r="E65" s="951"/>
      <c r="F65" s="951"/>
      <c r="G65" s="951"/>
      <c r="H65" s="951"/>
      <c r="I65" s="7"/>
    </row>
    <row r="66" spans="1:9" ht="15" customHeight="1" x14ac:dyDescent="0.4">
      <c r="A66" s="434"/>
      <c r="B66" s="488" t="s">
        <v>150</v>
      </c>
      <c r="C66" s="456"/>
      <c r="D66" s="422"/>
      <c r="E66" s="422"/>
      <c r="F66" s="422"/>
      <c r="G66" s="422"/>
      <c r="H66" s="422"/>
      <c r="I66" s="2"/>
    </row>
    <row r="67" spans="1:9" ht="15" customHeight="1" x14ac:dyDescent="0.4">
      <c r="A67" s="434"/>
      <c r="B67" s="440" t="s">
        <v>151</v>
      </c>
      <c r="C67" s="441"/>
      <c r="D67" s="440"/>
      <c r="E67" s="442">
        <f>SUM(E4+E5+E6+E7+E8+E14+E15+E32)</f>
        <v>6450684.7599999998</v>
      </c>
      <c r="F67" s="491"/>
      <c r="G67" s="491"/>
      <c r="H67" s="483">
        <v>5470786</v>
      </c>
      <c r="I67" s="2"/>
    </row>
    <row r="68" spans="1:9" ht="15" customHeight="1" x14ac:dyDescent="0.4">
      <c r="A68" s="435"/>
      <c r="B68" s="443" t="s">
        <v>152</v>
      </c>
      <c r="C68" s="444"/>
      <c r="D68" s="444"/>
      <c r="E68" s="489">
        <v>1.4500000000000001E-2</v>
      </c>
      <c r="F68" s="490"/>
      <c r="G68" s="490"/>
      <c r="H68" s="489">
        <v>1.4500000000000001E-2</v>
      </c>
      <c r="I68" s="2"/>
    </row>
    <row r="69" spans="1:9" ht="15" customHeight="1" x14ac:dyDescent="0.4">
      <c r="A69" s="434"/>
      <c r="B69" s="448" t="s">
        <v>153</v>
      </c>
      <c r="C69" s="449"/>
      <c r="D69" s="422"/>
      <c r="E69" s="442">
        <f>(E67*E68)</f>
        <v>93534.929019999996</v>
      </c>
      <c r="F69" s="491"/>
      <c r="G69" s="491"/>
      <c r="H69" s="424">
        <f>H67*H68</f>
        <v>79326.396999999997</v>
      </c>
      <c r="I69" s="2"/>
    </row>
    <row r="70" spans="1:9" ht="15" customHeight="1" x14ac:dyDescent="0.4">
      <c r="A70" s="434"/>
      <c r="B70" s="488"/>
      <c r="C70" s="456"/>
      <c r="D70" s="422"/>
      <c r="E70" s="492"/>
      <c r="F70" s="492"/>
      <c r="G70" s="492"/>
      <c r="H70" s="492"/>
      <c r="I70" s="2"/>
    </row>
    <row r="71" spans="1:9" ht="15" customHeight="1" x14ac:dyDescent="0.4">
      <c r="A71" s="434"/>
      <c r="B71" s="488"/>
      <c r="C71" s="456"/>
      <c r="D71" s="422"/>
      <c r="E71" s="492"/>
      <c r="F71" s="492"/>
      <c r="G71" s="492"/>
      <c r="H71" s="492"/>
      <c r="I71" s="2"/>
    </row>
    <row r="72" spans="1:9" ht="15" customHeight="1" x14ac:dyDescent="0.4">
      <c r="A72" s="434"/>
      <c r="B72" s="488" t="s">
        <v>154</v>
      </c>
      <c r="C72" s="456"/>
      <c r="D72" s="422"/>
      <c r="E72" s="422"/>
      <c r="F72" s="422"/>
      <c r="G72" s="422"/>
      <c r="H72" s="422"/>
      <c r="I72" s="2"/>
    </row>
    <row r="73" spans="1:9" ht="15" customHeight="1" x14ac:dyDescent="0.4">
      <c r="A73" s="121" t="s">
        <v>192</v>
      </c>
      <c r="B73" s="440" t="s">
        <v>156</v>
      </c>
      <c r="C73" s="441"/>
      <c r="D73" s="440"/>
      <c r="E73" s="493">
        <v>30000</v>
      </c>
      <c r="F73" s="424"/>
      <c r="G73" s="424"/>
      <c r="H73" s="424">
        <v>5000</v>
      </c>
      <c r="I73" s="58" t="s">
        <v>193</v>
      </c>
    </row>
    <row r="74" spans="1:9" ht="15" customHeight="1" x14ac:dyDescent="0.4">
      <c r="A74" s="435"/>
      <c r="B74" s="443" t="s">
        <v>157</v>
      </c>
      <c r="C74" s="444"/>
      <c r="D74" s="443"/>
      <c r="E74" s="494">
        <v>6.2E-2</v>
      </c>
      <c r="F74" s="490"/>
      <c r="G74" s="490"/>
      <c r="H74" s="489">
        <v>6.2E-2</v>
      </c>
      <c r="I74" s="2"/>
    </row>
    <row r="75" spans="1:9" ht="15" customHeight="1" x14ac:dyDescent="0.4">
      <c r="A75" s="436"/>
      <c r="B75" s="448" t="s">
        <v>153</v>
      </c>
      <c r="C75" s="449"/>
      <c r="D75" s="422"/>
      <c r="E75" s="442">
        <f>E73*E74</f>
        <v>1860</v>
      </c>
      <c r="F75" s="492"/>
      <c r="G75" s="492"/>
      <c r="H75" s="424">
        <f>H73*H74</f>
        <v>310</v>
      </c>
      <c r="I75" s="2" t="s">
        <v>194</v>
      </c>
    </row>
    <row r="76" spans="1:9" ht="15" customHeight="1" x14ac:dyDescent="0.4">
      <c r="A76" s="434"/>
      <c r="B76" s="450"/>
      <c r="C76" s="454"/>
      <c r="D76" s="450"/>
      <c r="E76" s="439"/>
      <c r="F76" s="439"/>
      <c r="G76" s="439"/>
      <c r="H76" s="439"/>
      <c r="I76" s="2"/>
    </row>
    <row r="77" spans="1:9" ht="15" customHeight="1" thickBot="1" x14ac:dyDescent="0.45">
      <c r="A77" s="434"/>
      <c r="B77" s="421"/>
      <c r="C77" s="449"/>
      <c r="D77" s="476">
        <f>(E77-H77)/H77</f>
        <v>0.19788102693797158</v>
      </c>
      <c r="E77" s="427">
        <f>SUM(E69+E75)</f>
        <v>95394.929019999996</v>
      </c>
      <c r="F77" s="428">
        <v>-86713.4</v>
      </c>
      <c r="G77" s="429">
        <f>SUM(E77:F77)</f>
        <v>8681.5290200000018</v>
      </c>
      <c r="H77" s="429">
        <f>SUM(H69+H75)</f>
        <v>79636.396999999997</v>
      </c>
      <c r="I77" s="2"/>
    </row>
    <row r="78" spans="1:9" ht="15" customHeight="1" thickTop="1" thickBot="1" x14ac:dyDescent="0.45">
      <c r="A78" s="13"/>
      <c r="B78" s="450"/>
      <c r="C78" s="454"/>
      <c r="D78" s="450"/>
      <c r="E78" s="450"/>
      <c r="F78" s="450"/>
      <c r="G78" s="450"/>
      <c r="H78" s="439"/>
      <c r="I78" s="2"/>
    </row>
    <row r="79" spans="1:9" ht="15" customHeight="1" thickBot="1" x14ac:dyDescent="0.45">
      <c r="A79" s="13"/>
      <c r="B79" s="495" t="s">
        <v>158</v>
      </c>
      <c r="C79" s="496"/>
      <c r="D79" s="476">
        <f>(E79-H79)/H79</f>
        <v>0.17480637264296031</v>
      </c>
      <c r="E79" s="497">
        <f>SUM(E10+E34+E43+E59+E63+E77)</f>
        <v>8621321.1438607983</v>
      </c>
      <c r="F79" s="498"/>
      <c r="G79" s="498"/>
      <c r="H79" s="499">
        <f>SUM(H10+H34+H43+H59+H63+H77)</f>
        <v>7338503.8969999999</v>
      </c>
      <c r="I79" s="2"/>
    </row>
    <row r="80" spans="1:9" x14ac:dyDescent="0.4">
      <c r="A80" s="13"/>
      <c r="B80" s="13"/>
      <c r="C80" s="51"/>
      <c r="D80" s="80"/>
      <c r="E80" s="13"/>
      <c r="F80" s="13"/>
      <c r="G80" s="13"/>
      <c r="H80" s="26"/>
      <c r="I80" s="2"/>
    </row>
    <row r="81" spans="3:9" ht="13.5" customHeight="1" x14ac:dyDescent="0.4">
      <c r="C81" s="412"/>
      <c r="I81" s="58"/>
    </row>
    <row r="82" spans="3:9" x14ac:dyDescent="0.4">
      <c r="C82" s="412"/>
      <c r="I82" s="58"/>
    </row>
    <row r="83" spans="3:9" x14ac:dyDescent="0.4">
      <c r="I83" s="58"/>
    </row>
    <row r="84" spans="3:9" x14ac:dyDescent="0.4">
      <c r="I84" s="58"/>
    </row>
    <row r="85" spans="3:9" x14ac:dyDescent="0.4">
      <c r="I85" s="58"/>
    </row>
    <row r="86" spans="3:9" x14ac:dyDescent="0.4">
      <c r="I86" s="58"/>
    </row>
    <row r="87" spans="3:9" x14ac:dyDescent="0.4">
      <c r="I87" s="58"/>
    </row>
    <row r="88" spans="3:9" x14ac:dyDescent="0.4">
      <c r="I88" s="58"/>
    </row>
    <row r="89" spans="3:9" x14ac:dyDescent="0.4">
      <c r="I89" s="58"/>
    </row>
    <row r="90" spans="3:9" x14ac:dyDescent="0.4">
      <c r="I90" s="58"/>
    </row>
    <row r="91" spans="3:9" x14ac:dyDescent="0.4">
      <c r="I91" s="58"/>
    </row>
    <row r="92" spans="3:9" x14ac:dyDescent="0.4">
      <c r="I92" s="58"/>
    </row>
    <row r="93" spans="3:9" x14ac:dyDescent="0.4">
      <c r="I93" s="58"/>
    </row>
    <row r="94" spans="3:9" x14ac:dyDescent="0.4">
      <c r="I94" s="58"/>
    </row>
    <row r="95" spans="3:9" x14ac:dyDescent="0.4">
      <c r="I95" s="58"/>
    </row>
    <row r="96" spans="3:9" x14ac:dyDescent="0.4">
      <c r="I96" s="58"/>
    </row>
    <row r="97" spans="9:9" x14ac:dyDescent="0.4">
      <c r="I97" s="58"/>
    </row>
    <row r="98" spans="9:9" x14ac:dyDescent="0.4">
      <c r="I98" s="58"/>
    </row>
    <row r="99" spans="9:9" x14ac:dyDescent="0.4">
      <c r="I99" s="58"/>
    </row>
    <row r="100" spans="9:9" x14ac:dyDescent="0.4">
      <c r="I100" s="58"/>
    </row>
    <row r="101" spans="9:9" x14ac:dyDescent="0.4">
      <c r="I101" s="58"/>
    </row>
    <row r="102" spans="9:9" x14ac:dyDescent="0.4">
      <c r="I102" s="58"/>
    </row>
    <row r="103" spans="9:9" x14ac:dyDescent="0.4">
      <c r="I103" s="58"/>
    </row>
    <row r="104" spans="9:9" x14ac:dyDescent="0.4">
      <c r="I104" s="58"/>
    </row>
    <row r="105" spans="9:9" x14ac:dyDescent="0.4">
      <c r="I105" s="58"/>
    </row>
    <row r="106" spans="9:9" x14ac:dyDescent="0.4">
      <c r="I106" s="58"/>
    </row>
    <row r="107" spans="9:9" x14ac:dyDescent="0.4">
      <c r="I107" s="58"/>
    </row>
    <row r="108" spans="9:9" x14ac:dyDescent="0.4">
      <c r="I108" s="58"/>
    </row>
    <row r="109" spans="9:9" x14ac:dyDescent="0.4">
      <c r="I109" s="58"/>
    </row>
    <row r="110" spans="9:9" x14ac:dyDescent="0.4">
      <c r="I110" s="58"/>
    </row>
    <row r="111" spans="9:9" x14ac:dyDescent="0.4">
      <c r="I111" s="58"/>
    </row>
    <row r="112" spans="9:9" x14ac:dyDescent="0.4">
      <c r="I112" s="58"/>
    </row>
    <row r="113" spans="9:9" x14ac:dyDescent="0.4">
      <c r="I113" s="58"/>
    </row>
    <row r="114" spans="9:9" x14ac:dyDescent="0.4">
      <c r="I114" s="58"/>
    </row>
    <row r="115" spans="9:9" x14ac:dyDescent="0.4">
      <c r="I115" s="58"/>
    </row>
    <row r="116" spans="9:9" x14ac:dyDescent="0.4">
      <c r="I116" s="58"/>
    </row>
    <row r="117" spans="9:9" x14ac:dyDescent="0.4">
      <c r="I117" s="58"/>
    </row>
    <row r="118" spans="9:9" x14ac:dyDescent="0.4">
      <c r="I118" s="58"/>
    </row>
    <row r="119" spans="9:9" x14ac:dyDescent="0.4">
      <c r="I119" s="58"/>
    </row>
    <row r="120" spans="9:9" x14ac:dyDescent="0.4">
      <c r="I120" s="58"/>
    </row>
    <row r="121" spans="9:9" x14ac:dyDescent="0.4">
      <c r="I121" s="58"/>
    </row>
    <row r="122" spans="9:9" x14ac:dyDescent="0.4">
      <c r="I122" s="58"/>
    </row>
    <row r="123" spans="9:9" x14ac:dyDescent="0.4">
      <c r="I123" s="58"/>
    </row>
    <row r="124" spans="9:9" x14ac:dyDescent="0.4">
      <c r="I124" s="58"/>
    </row>
    <row r="125" spans="9:9" x14ac:dyDescent="0.4">
      <c r="I125" s="58"/>
    </row>
    <row r="126" spans="9:9" x14ac:dyDescent="0.4">
      <c r="I126" s="58"/>
    </row>
    <row r="127" spans="9:9" x14ac:dyDescent="0.4">
      <c r="I127" s="58"/>
    </row>
    <row r="128" spans="9:9" x14ac:dyDescent="0.4">
      <c r="I128" s="58"/>
    </row>
    <row r="129" spans="9:9" x14ac:dyDescent="0.4">
      <c r="I129" s="58"/>
    </row>
    <row r="130" spans="9:9" x14ac:dyDescent="0.4">
      <c r="I130" s="58"/>
    </row>
    <row r="131" spans="9:9" x14ac:dyDescent="0.4">
      <c r="I131" s="58"/>
    </row>
    <row r="132" spans="9:9" x14ac:dyDescent="0.4">
      <c r="I132" s="58"/>
    </row>
    <row r="133" spans="9:9" x14ac:dyDescent="0.4">
      <c r="I133" s="58"/>
    </row>
    <row r="134" spans="9:9" x14ac:dyDescent="0.4">
      <c r="I134" s="58"/>
    </row>
    <row r="135" spans="9:9" x14ac:dyDescent="0.4">
      <c r="I135" s="58"/>
    </row>
    <row r="136" spans="9:9" x14ac:dyDescent="0.4">
      <c r="I136" s="58"/>
    </row>
    <row r="137" spans="9:9" x14ac:dyDescent="0.4">
      <c r="I137" s="58"/>
    </row>
    <row r="138" spans="9:9" x14ac:dyDescent="0.4">
      <c r="I138" s="58"/>
    </row>
    <row r="139" spans="9:9" x14ac:dyDescent="0.4">
      <c r="I139" s="58"/>
    </row>
    <row r="140" spans="9:9" x14ac:dyDescent="0.4">
      <c r="I140" s="58"/>
    </row>
    <row r="141" spans="9:9" x14ac:dyDescent="0.4">
      <c r="I141" s="58"/>
    </row>
    <row r="142" spans="9:9" x14ac:dyDescent="0.4">
      <c r="I142" s="58"/>
    </row>
    <row r="143" spans="9:9" x14ac:dyDescent="0.4">
      <c r="I143" s="58"/>
    </row>
    <row r="144" spans="9:9" x14ac:dyDescent="0.4">
      <c r="I144" s="58"/>
    </row>
    <row r="145" spans="9:9" x14ac:dyDescent="0.4">
      <c r="I145" s="58"/>
    </row>
    <row r="146" spans="9:9" x14ac:dyDescent="0.4">
      <c r="I146" s="58"/>
    </row>
    <row r="147" spans="9:9" x14ac:dyDescent="0.4">
      <c r="I147" s="58"/>
    </row>
    <row r="148" spans="9:9" x14ac:dyDescent="0.4">
      <c r="I148" s="58"/>
    </row>
    <row r="149" spans="9:9" x14ac:dyDescent="0.4">
      <c r="I149" s="58"/>
    </row>
    <row r="150" spans="9:9" x14ac:dyDescent="0.4">
      <c r="I150" s="58"/>
    </row>
    <row r="151" spans="9:9" x14ac:dyDescent="0.4">
      <c r="I151" s="58"/>
    </row>
    <row r="152" spans="9:9" x14ac:dyDescent="0.4">
      <c r="I152" s="58"/>
    </row>
    <row r="153" spans="9:9" x14ac:dyDescent="0.4">
      <c r="I153" s="58"/>
    </row>
    <row r="154" spans="9:9" x14ac:dyDescent="0.4">
      <c r="I154" s="58"/>
    </row>
    <row r="155" spans="9:9" x14ac:dyDescent="0.4">
      <c r="I155" s="58"/>
    </row>
    <row r="156" spans="9:9" x14ac:dyDescent="0.4">
      <c r="I156" s="58"/>
    </row>
    <row r="157" spans="9:9" x14ac:dyDescent="0.4">
      <c r="I157" s="58"/>
    </row>
    <row r="158" spans="9:9" x14ac:dyDescent="0.4">
      <c r="I158" s="58"/>
    </row>
    <row r="159" spans="9:9" x14ac:dyDescent="0.4">
      <c r="I159" s="58"/>
    </row>
    <row r="160" spans="9:9" x14ac:dyDescent="0.4">
      <c r="I160" s="58"/>
    </row>
    <row r="161" spans="9:9" x14ac:dyDescent="0.4">
      <c r="I161" s="58"/>
    </row>
    <row r="162" spans="9:9" x14ac:dyDescent="0.4">
      <c r="I162" s="58"/>
    </row>
    <row r="163" spans="9:9" x14ac:dyDescent="0.4">
      <c r="I163" s="58"/>
    </row>
    <row r="164" spans="9:9" x14ac:dyDescent="0.4">
      <c r="I164" s="58"/>
    </row>
    <row r="165" spans="9:9" x14ac:dyDescent="0.4">
      <c r="I165" s="58"/>
    </row>
    <row r="166" spans="9:9" x14ac:dyDescent="0.4">
      <c r="I166" s="58"/>
    </row>
    <row r="167" spans="9:9" x14ac:dyDescent="0.4">
      <c r="I167" s="58"/>
    </row>
    <row r="168" spans="9:9" x14ac:dyDescent="0.4">
      <c r="I168" s="58"/>
    </row>
    <row r="169" spans="9:9" x14ac:dyDescent="0.4">
      <c r="I169" s="58"/>
    </row>
    <row r="170" spans="9:9" x14ac:dyDescent="0.4">
      <c r="I170" s="58"/>
    </row>
    <row r="171" spans="9:9" x14ac:dyDescent="0.4">
      <c r="I171" s="58"/>
    </row>
    <row r="172" spans="9:9" x14ac:dyDescent="0.4">
      <c r="I172" s="58"/>
    </row>
    <row r="173" spans="9:9" x14ac:dyDescent="0.4">
      <c r="I173" s="58"/>
    </row>
    <row r="174" spans="9:9" x14ac:dyDescent="0.4">
      <c r="I174" s="58"/>
    </row>
    <row r="175" spans="9:9" x14ac:dyDescent="0.4">
      <c r="I175" s="58"/>
    </row>
    <row r="176" spans="9:9" x14ac:dyDescent="0.4">
      <c r="I176" s="58"/>
    </row>
    <row r="177" spans="9:9" x14ac:dyDescent="0.4">
      <c r="I177" s="58"/>
    </row>
    <row r="178" spans="9:9" x14ac:dyDescent="0.4">
      <c r="I178" s="58"/>
    </row>
    <row r="179" spans="9:9" x14ac:dyDescent="0.4">
      <c r="I179" s="58"/>
    </row>
    <row r="180" spans="9:9" x14ac:dyDescent="0.4">
      <c r="I180" s="58"/>
    </row>
    <row r="181" spans="9:9" x14ac:dyDescent="0.4">
      <c r="I181" s="58"/>
    </row>
    <row r="182" spans="9:9" x14ac:dyDescent="0.4">
      <c r="I182" s="58"/>
    </row>
    <row r="183" spans="9:9" x14ac:dyDescent="0.4">
      <c r="I183" s="58"/>
    </row>
    <row r="184" spans="9:9" x14ac:dyDescent="0.4">
      <c r="I184" s="58"/>
    </row>
    <row r="185" spans="9:9" x14ac:dyDescent="0.4">
      <c r="I185" s="58"/>
    </row>
    <row r="186" spans="9:9" x14ac:dyDescent="0.4">
      <c r="I186" s="58"/>
    </row>
    <row r="187" spans="9:9" x14ac:dyDescent="0.4">
      <c r="I187" s="58"/>
    </row>
    <row r="188" spans="9:9" x14ac:dyDescent="0.4">
      <c r="I188" s="58"/>
    </row>
    <row r="189" spans="9:9" x14ac:dyDescent="0.4">
      <c r="I189" s="58"/>
    </row>
    <row r="190" spans="9:9" x14ac:dyDescent="0.4">
      <c r="I190" s="58"/>
    </row>
    <row r="191" spans="9:9" x14ac:dyDescent="0.4">
      <c r="I191" s="58"/>
    </row>
    <row r="192" spans="9:9" x14ac:dyDescent="0.4">
      <c r="I192" s="58"/>
    </row>
    <row r="193" spans="9:9" x14ac:dyDescent="0.4">
      <c r="I193" s="58"/>
    </row>
    <row r="194" spans="9:9" x14ac:dyDescent="0.4">
      <c r="I194" s="58"/>
    </row>
    <row r="195" spans="9:9" x14ac:dyDescent="0.4">
      <c r="I195" s="58"/>
    </row>
    <row r="196" spans="9:9" x14ac:dyDescent="0.4">
      <c r="I196" s="58"/>
    </row>
    <row r="197" spans="9:9" x14ac:dyDescent="0.4">
      <c r="I197" s="58"/>
    </row>
    <row r="198" spans="9:9" x14ac:dyDescent="0.4">
      <c r="I198" s="58"/>
    </row>
    <row r="199" spans="9:9" x14ac:dyDescent="0.4">
      <c r="I199" s="58"/>
    </row>
    <row r="200" spans="9:9" x14ac:dyDescent="0.4">
      <c r="I200" s="58"/>
    </row>
    <row r="201" spans="9:9" x14ac:dyDescent="0.4">
      <c r="I201" s="58"/>
    </row>
    <row r="202" spans="9:9" x14ac:dyDescent="0.4">
      <c r="I202" s="58"/>
    </row>
    <row r="203" spans="9:9" x14ac:dyDescent="0.4">
      <c r="I203" s="58"/>
    </row>
    <row r="204" spans="9:9" x14ac:dyDescent="0.4">
      <c r="I204" s="58"/>
    </row>
    <row r="205" spans="9:9" x14ac:dyDescent="0.4">
      <c r="I205" s="58"/>
    </row>
    <row r="206" spans="9:9" x14ac:dyDescent="0.4">
      <c r="I206" s="58"/>
    </row>
    <row r="207" spans="9:9" x14ac:dyDescent="0.4">
      <c r="I207" s="58"/>
    </row>
    <row r="208" spans="9:9" x14ac:dyDescent="0.4">
      <c r="I208" s="58"/>
    </row>
    <row r="209" spans="9:9" x14ac:dyDescent="0.4">
      <c r="I209" s="58"/>
    </row>
    <row r="210" spans="9:9" x14ac:dyDescent="0.4">
      <c r="I210" s="58"/>
    </row>
    <row r="211" spans="9:9" x14ac:dyDescent="0.4">
      <c r="I211" s="58"/>
    </row>
    <row r="212" spans="9:9" x14ac:dyDescent="0.4">
      <c r="I212" s="58"/>
    </row>
    <row r="213" spans="9:9" x14ac:dyDescent="0.4">
      <c r="I213" s="58"/>
    </row>
    <row r="214" spans="9:9" x14ac:dyDescent="0.4">
      <c r="I214" s="58"/>
    </row>
    <row r="215" spans="9:9" x14ac:dyDescent="0.4">
      <c r="I215" s="58"/>
    </row>
    <row r="216" spans="9:9" x14ac:dyDescent="0.4">
      <c r="I216" s="58"/>
    </row>
    <row r="217" spans="9:9" x14ac:dyDescent="0.4">
      <c r="I217" s="58"/>
    </row>
    <row r="218" spans="9:9" x14ac:dyDescent="0.4">
      <c r="I218" s="58"/>
    </row>
    <row r="219" spans="9:9" x14ac:dyDescent="0.4">
      <c r="I219" s="58"/>
    </row>
    <row r="220" spans="9:9" x14ac:dyDescent="0.4">
      <c r="I220" s="58"/>
    </row>
    <row r="221" spans="9:9" x14ac:dyDescent="0.4">
      <c r="I221" s="58"/>
    </row>
    <row r="222" spans="9:9" x14ac:dyDescent="0.4">
      <c r="I222" s="58"/>
    </row>
    <row r="223" spans="9:9" x14ac:dyDescent="0.4">
      <c r="I223" s="58"/>
    </row>
    <row r="224" spans="9:9" x14ac:dyDescent="0.4">
      <c r="I224" s="58"/>
    </row>
    <row r="225" spans="9:9" x14ac:dyDescent="0.4">
      <c r="I225" s="58"/>
    </row>
    <row r="226" spans="9:9" x14ac:dyDescent="0.4">
      <c r="I226" s="58"/>
    </row>
    <row r="227" spans="9:9" x14ac:dyDescent="0.4">
      <c r="I227" s="58"/>
    </row>
    <row r="228" spans="9:9" x14ac:dyDescent="0.4">
      <c r="I228" s="58"/>
    </row>
    <row r="229" spans="9:9" x14ac:dyDescent="0.4">
      <c r="I229" s="58"/>
    </row>
    <row r="230" spans="9:9" x14ac:dyDescent="0.4">
      <c r="I230" s="58"/>
    </row>
    <row r="231" spans="9:9" x14ac:dyDescent="0.4">
      <c r="I231" s="58"/>
    </row>
    <row r="232" spans="9:9" x14ac:dyDescent="0.4">
      <c r="I232" s="58"/>
    </row>
    <row r="233" spans="9:9" x14ac:dyDescent="0.4">
      <c r="I233" s="58"/>
    </row>
    <row r="234" spans="9:9" x14ac:dyDescent="0.4">
      <c r="I234" s="58"/>
    </row>
    <row r="235" spans="9:9" x14ac:dyDescent="0.4">
      <c r="I235" s="58"/>
    </row>
    <row r="236" spans="9:9" x14ac:dyDescent="0.4">
      <c r="I236" s="58"/>
    </row>
    <row r="237" spans="9:9" x14ac:dyDescent="0.4">
      <c r="I237" s="58"/>
    </row>
    <row r="238" spans="9:9" x14ac:dyDescent="0.4">
      <c r="I238" s="58"/>
    </row>
    <row r="239" spans="9:9" x14ac:dyDescent="0.4">
      <c r="I239" s="58"/>
    </row>
    <row r="240" spans="9:9" x14ac:dyDescent="0.4">
      <c r="I240" s="58"/>
    </row>
    <row r="241" spans="9:9" x14ac:dyDescent="0.4">
      <c r="I241" s="58"/>
    </row>
    <row r="242" spans="9:9" x14ac:dyDescent="0.4">
      <c r="I242" s="58"/>
    </row>
    <row r="243" spans="9:9" x14ac:dyDescent="0.4">
      <c r="I243" s="58"/>
    </row>
    <row r="244" spans="9:9" x14ac:dyDescent="0.4">
      <c r="I244" s="58"/>
    </row>
    <row r="245" spans="9:9" x14ac:dyDescent="0.4">
      <c r="I245" s="58"/>
    </row>
    <row r="246" spans="9:9" x14ac:dyDescent="0.4">
      <c r="I246" s="58"/>
    </row>
    <row r="247" spans="9:9" x14ac:dyDescent="0.4">
      <c r="I247" s="58"/>
    </row>
    <row r="248" spans="9:9" x14ac:dyDescent="0.4">
      <c r="I248" s="58"/>
    </row>
    <row r="249" spans="9:9" x14ac:dyDescent="0.4">
      <c r="I249" s="58"/>
    </row>
    <row r="250" spans="9:9" x14ac:dyDescent="0.4">
      <c r="I250" s="58"/>
    </row>
    <row r="251" spans="9:9" x14ac:dyDescent="0.4">
      <c r="I251" s="58"/>
    </row>
    <row r="252" spans="9:9" x14ac:dyDescent="0.4">
      <c r="I252" s="58"/>
    </row>
    <row r="253" spans="9:9" x14ac:dyDescent="0.4">
      <c r="I253" s="58"/>
    </row>
    <row r="254" spans="9:9" x14ac:dyDescent="0.4">
      <c r="I254" s="58"/>
    </row>
    <row r="255" spans="9:9" x14ac:dyDescent="0.4">
      <c r="I255" s="58"/>
    </row>
    <row r="256" spans="9:9" x14ac:dyDescent="0.4">
      <c r="I256" s="58"/>
    </row>
    <row r="257" spans="9:9" x14ac:dyDescent="0.4">
      <c r="I257" s="58"/>
    </row>
    <row r="258" spans="9:9" x14ac:dyDescent="0.4">
      <c r="I258" s="58"/>
    </row>
    <row r="259" spans="9:9" x14ac:dyDescent="0.4">
      <c r="I259" s="58"/>
    </row>
    <row r="260" spans="9:9" x14ac:dyDescent="0.4">
      <c r="I260" s="58"/>
    </row>
    <row r="261" spans="9:9" x14ac:dyDescent="0.4">
      <c r="I261" s="58"/>
    </row>
    <row r="262" spans="9:9" x14ac:dyDescent="0.4">
      <c r="I262" s="58"/>
    </row>
    <row r="263" spans="9:9" x14ac:dyDescent="0.4">
      <c r="I263" s="58"/>
    </row>
    <row r="264" spans="9:9" x14ac:dyDescent="0.4">
      <c r="I264" s="58"/>
    </row>
    <row r="265" spans="9:9" x14ac:dyDescent="0.4">
      <c r="I265" s="58"/>
    </row>
    <row r="266" spans="9:9" x14ac:dyDescent="0.4">
      <c r="I266" s="58"/>
    </row>
    <row r="267" spans="9:9" x14ac:dyDescent="0.4">
      <c r="I267" s="58"/>
    </row>
    <row r="268" spans="9:9" x14ac:dyDescent="0.4">
      <c r="I268" s="58"/>
    </row>
    <row r="269" spans="9:9" x14ac:dyDescent="0.4">
      <c r="I269" s="58"/>
    </row>
    <row r="270" spans="9:9" x14ac:dyDescent="0.4">
      <c r="I270" s="58"/>
    </row>
    <row r="271" spans="9:9" x14ac:dyDescent="0.4">
      <c r="I271" s="58"/>
    </row>
    <row r="272" spans="9:9" x14ac:dyDescent="0.4">
      <c r="I272" s="58"/>
    </row>
    <row r="273" spans="9:9" x14ac:dyDescent="0.4">
      <c r="I273" s="58"/>
    </row>
    <row r="274" spans="9:9" x14ac:dyDescent="0.4">
      <c r="I274" s="58"/>
    </row>
    <row r="275" spans="9:9" x14ac:dyDescent="0.4">
      <c r="I275" s="58"/>
    </row>
    <row r="276" spans="9:9" x14ac:dyDescent="0.4">
      <c r="I276" s="58"/>
    </row>
    <row r="277" spans="9:9" x14ac:dyDescent="0.4">
      <c r="I277" s="58"/>
    </row>
    <row r="278" spans="9:9" x14ac:dyDescent="0.4">
      <c r="I278" s="58"/>
    </row>
    <row r="279" spans="9:9" x14ac:dyDescent="0.4">
      <c r="I279" s="58"/>
    </row>
    <row r="280" spans="9:9" x14ac:dyDescent="0.4">
      <c r="I280" s="58"/>
    </row>
    <row r="281" spans="9:9" x14ac:dyDescent="0.4">
      <c r="I281" s="58"/>
    </row>
    <row r="282" spans="9:9" x14ac:dyDescent="0.4">
      <c r="I282" s="58"/>
    </row>
    <row r="283" spans="9:9" x14ac:dyDescent="0.4">
      <c r="I283" s="58"/>
    </row>
    <row r="284" spans="9:9" x14ac:dyDescent="0.4">
      <c r="I284" s="58"/>
    </row>
    <row r="285" spans="9:9" x14ac:dyDescent="0.4">
      <c r="I285" s="58"/>
    </row>
    <row r="286" spans="9:9" x14ac:dyDescent="0.4">
      <c r="I286" s="58"/>
    </row>
    <row r="287" spans="9:9" x14ac:dyDescent="0.4">
      <c r="I287" s="58"/>
    </row>
    <row r="288" spans="9:9" x14ac:dyDescent="0.4">
      <c r="I288" s="58"/>
    </row>
    <row r="289" spans="9:9" x14ac:dyDescent="0.4">
      <c r="I289" s="58"/>
    </row>
    <row r="290" spans="9:9" x14ac:dyDescent="0.4">
      <c r="I290" s="58"/>
    </row>
    <row r="291" spans="9:9" x14ac:dyDescent="0.4">
      <c r="I291" s="58"/>
    </row>
    <row r="292" spans="9:9" x14ac:dyDescent="0.4">
      <c r="I292" s="58"/>
    </row>
    <row r="293" spans="9:9" x14ac:dyDescent="0.4">
      <c r="I293" s="58"/>
    </row>
    <row r="294" spans="9:9" x14ac:dyDescent="0.4">
      <c r="I294" s="58"/>
    </row>
    <row r="295" spans="9:9" x14ac:dyDescent="0.4">
      <c r="I295" s="58"/>
    </row>
    <row r="296" spans="9:9" x14ac:dyDescent="0.4">
      <c r="I296" s="58"/>
    </row>
    <row r="297" spans="9:9" x14ac:dyDescent="0.4">
      <c r="I297" s="58"/>
    </row>
    <row r="298" spans="9:9" x14ac:dyDescent="0.4">
      <c r="I298" s="58"/>
    </row>
    <row r="299" spans="9:9" x14ac:dyDescent="0.4">
      <c r="I299" s="58"/>
    </row>
    <row r="300" spans="9:9" x14ac:dyDescent="0.4">
      <c r="I300" s="58"/>
    </row>
    <row r="301" spans="9:9" x14ac:dyDescent="0.4">
      <c r="I301" s="58"/>
    </row>
    <row r="302" spans="9:9" x14ac:dyDescent="0.4">
      <c r="I302" s="58"/>
    </row>
    <row r="303" spans="9:9" x14ac:dyDescent="0.4">
      <c r="I303" s="58"/>
    </row>
    <row r="304" spans="9:9" x14ac:dyDescent="0.4">
      <c r="I304" s="58"/>
    </row>
    <row r="305" spans="9:9" x14ac:dyDescent="0.4">
      <c r="I305" s="58"/>
    </row>
    <row r="306" spans="9:9" x14ac:dyDescent="0.4">
      <c r="I306" s="58"/>
    </row>
    <row r="307" spans="9:9" x14ac:dyDescent="0.4">
      <c r="I307" s="58"/>
    </row>
    <row r="308" spans="9:9" x14ac:dyDescent="0.4">
      <c r="I308" s="58"/>
    </row>
    <row r="309" spans="9:9" x14ac:dyDescent="0.4">
      <c r="I309" s="58"/>
    </row>
    <row r="310" spans="9:9" x14ac:dyDescent="0.4">
      <c r="I310" s="58"/>
    </row>
    <row r="311" spans="9:9" x14ac:dyDescent="0.4">
      <c r="I311" s="58"/>
    </row>
    <row r="312" spans="9:9" x14ac:dyDescent="0.4">
      <c r="I312" s="58"/>
    </row>
    <row r="313" spans="9:9" x14ac:dyDescent="0.4">
      <c r="I313" s="58"/>
    </row>
    <row r="314" spans="9:9" x14ac:dyDescent="0.4">
      <c r="I314" s="58"/>
    </row>
    <row r="315" spans="9:9" x14ac:dyDescent="0.4">
      <c r="I315" s="58"/>
    </row>
    <row r="316" spans="9:9" x14ac:dyDescent="0.4">
      <c r="I316" s="58"/>
    </row>
    <row r="317" spans="9:9" x14ac:dyDescent="0.4">
      <c r="I317" s="58"/>
    </row>
    <row r="318" spans="9:9" x14ac:dyDescent="0.4">
      <c r="I318" s="58"/>
    </row>
    <row r="319" spans="9:9" x14ac:dyDescent="0.4">
      <c r="I319" s="58"/>
    </row>
    <row r="320" spans="9:9" x14ac:dyDescent="0.4">
      <c r="I320" s="58"/>
    </row>
    <row r="321" spans="9:9" x14ac:dyDescent="0.4">
      <c r="I321" s="58"/>
    </row>
    <row r="322" spans="9:9" x14ac:dyDescent="0.4">
      <c r="I322" s="58"/>
    </row>
    <row r="323" spans="9:9" x14ac:dyDescent="0.4">
      <c r="I323" s="58"/>
    </row>
    <row r="324" spans="9:9" x14ac:dyDescent="0.4">
      <c r="I324" s="58"/>
    </row>
    <row r="325" spans="9:9" x14ac:dyDescent="0.4">
      <c r="I325" s="58"/>
    </row>
    <row r="326" spans="9:9" x14ac:dyDescent="0.4">
      <c r="I326" s="58"/>
    </row>
    <row r="327" spans="9:9" x14ac:dyDescent="0.4">
      <c r="I327" s="58"/>
    </row>
    <row r="328" spans="9:9" x14ac:dyDescent="0.4">
      <c r="I328" s="58"/>
    </row>
    <row r="329" spans="9:9" x14ac:dyDescent="0.4">
      <c r="I329" s="58"/>
    </row>
    <row r="330" spans="9:9" x14ac:dyDescent="0.4">
      <c r="I330" s="58"/>
    </row>
    <row r="331" spans="9:9" x14ac:dyDescent="0.4">
      <c r="I331" s="58"/>
    </row>
    <row r="332" spans="9:9" x14ac:dyDescent="0.4">
      <c r="I332" s="58"/>
    </row>
    <row r="333" spans="9:9" x14ac:dyDescent="0.4">
      <c r="I333" s="58"/>
    </row>
    <row r="334" spans="9:9" x14ac:dyDescent="0.4">
      <c r="I334" s="58"/>
    </row>
    <row r="335" spans="9:9" x14ac:dyDescent="0.4">
      <c r="I335" s="58"/>
    </row>
    <row r="336" spans="9:9" x14ac:dyDescent="0.4">
      <c r="I336" s="58"/>
    </row>
    <row r="337" spans="9:9" x14ac:dyDescent="0.4">
      <c r="I337" s="58"/>
    </row>
    <row r="338" spans="9:9" x14ac:dyDescent="0.4">
      <c r="I338" s="58"/>
    </row>
    <row r="339" spans="9:9" x14ac:dyDescent="0.4">
      <c r="I339" s="58"/>
    </row>
    <row r="340" spans="9:9" x14ac:dyDescent="0.4">
      <c r="I340" s="58"/>
    </row>
    <row r="341" spans="9:9" x14ac:dyDescent="0.4">
      <c r="I341" s="58"/>
    </row>
    <row r="342" spans="9:9" x14ac:dyDescent="0.4">
      <c r="I342" s="58"/>
    </row>
    <row r="343" spans="9:9" x14ac:dyDescent="0.4">
      <c r="I343" s="58"/>
    </row>
    <row r="344" spans="9:9" x14ac:dyDescent="0.4">
      <c r="I344" s="58"/>
    </row>
    <row r="345" spans="9:9" x14ac:dyDescent="0.4">
      <c r="I345" s="58"/>
    </row>
    <row r="346" spans="9:9" x14ac:dyDescent="0.4">
      <c r="I346" s="58"/>
    </row>
    <row r="347" spans="9:9" x14ac:dyDescent="0.4">
      <c r="I347" s="58"/>
    </row>
    <row r="348" spans="9:9" x14ac:dyDescent="0.4">
      <c r="I348" s="58"/>
    </row>
    <row r="349" spans="9:9" x14ac:dyDescent="0.4">
      <c r="I349" s="58"/>
    </row>
    <row r="350" spans="9:9" x14ac:dyDescent="0.4">
      <c r="I350" s="58"/>
    </row>
    <row r="351" spans="9:9" x14ac:dyDescent="0.4">
      <c r="I351" s="58"/>
    </row>
    <row r="352" spans="9:9" x14ac:dyDescent="0.4">
      <c r="I352" s="58"/>
    </row>
    <row r="353" spans="9:9" x14ac:dyDescent="0.4">
      <c r="I353" s="58"/>
    </row>
    <row r="354" spans="9:9" x14ac:dyDescent="0.4">
      <c r="I354" s="58"/>
    </row>
    <row r="355" spans="9:9" x14ac:dyDescent="0.4">
      <c r="I355" s="58"/>
    </row>
    <row r="356" spans="9:9" x14ac:dyDescent="0.4">
      <c r="I356" s="58"/>
    </row>
    <row r="357" spans="9:9" x14ac:dyDescent="0.4">
      <c r="I357" s="58"/>
    </row>
    <row r="358" spans="9:9" x14ac:dyDescent="0.4">
      <c r="I358" s="58"/>
    </row>
    <row r="359" spans="9:9" x14ac:dyDescent="0.4">
      <c r="I359" s="58"/>
    </row>
    <row r="360" spans="9:9" x14ac:dyDescent="0.4">
      <c r="I360" s="58"/>
    </row>
    <row r="361" spans="9:9" x14ac:dyDescent="0.4">
      <c r="I361" s="58"/>
    </row>
    <row r="362" spans="9:9" x14ac:dyDescent="0.4">
      <c r="I362" s="58"/>
    </row>
    <row r="363" spans="9:9" x14ac:dyDescent="0.4">
      <c r="I363" s="58"/>
    </row>
    <row r="364" spans="9:9" x14ac:dyDescent="0.4">
      <c r="I364" s="58"/>
    </row>
    <row r="365" spans="9:9" x14ac:dyDescent="0.4">
      <c r="I365" s="58"/>
    </row>
    <row r="366" spans="9:9" x14ac:dyDescent="0.4">
      <c r="I366" s="58"/>
    </row>
    <row r="367" spans="9:9" x14ac:dyDescent="0.4">
      <c r="I367" s="58"/>
    </row>
    <row r="368" spans="9:9" x14ac:dyDescent="0.4">
      <c r="I368" s="58"/>
    </row>
    <row r="369" spans="9:9" x14ac:dyDescent="0.4">
      <c r="I369" s="58"/>
    </row>
    <row r="370" spans="9:9" x14ac:dyDescent="0.4">
      <c r="I370" s="58"/>
    </row>
    <row r="371" spans="9:9" x14ac:dyDescent="0.4">
      <c r="I371" s="58"/>
    </row>
    <row r="372" spans="9:9" x14ac:dyDescent="0.4">
      <c r="I372" s="58"/>
    </row>
    <row r="373" spans="9:9" x14ac:dyDescent="0.4">
      <c r="I373" s="58"/>
    </row>
    <row r="374" spans="9:9" x14ac:dyDescent="0.4">
      <c r="I374" s="58"/>
    </row>
    <row r="375" spans="9:9" x14ac:dyDescent="0.4">
      <c r="I375" s="58"/>
    </row>
    <row r="376" spans="9:9" x14ac:dyDescent="0.4">
      <c r="I376" s="58"/>
    </row>
    <row r="377" spans="9:9" x14ac:dyDescent="0.4">
      <c r="I377" s="58"/>
    </row>
    <row r="378" spans="9:9" x14ac:dyDescent="0.4">
      <c r="I378" s="58"/>
    </row>
    <row r="379" spans="9:9" x14ac:dyDescent="0.4">
      <c r="I379" s="58"/>
    </row>
    <row r="380" spans="9:9" x14ac:dyDescent="0.4">
      <c r="I380" s="58"/>
    </row>
    <row r="381" spans="9:9" x14ac:dyDescent="0.4">
      <c r="I381" s="58"/>
    </row>
    <row r="382" spans="9:9" x14ac:dyDescent="0.4">
      <c r="I382" s="58"/>
    </row>
    <row r="383" spans="9:9" x14ac:dyDescent="0.4">
      <c r="I383" s="58"/>
    </row>
    <row r="384" spans="9:9" x14ac:dyDescent="0.4">
      <c r="I384" s="58"/>
    </row>
    <row r="385" spans="9:9" x14ac:dyDescent="0.4">
      <c r="I385" s="58"/>
    </row>
    <row r="386" spans="9:9" x14ac:dyDescent="0.4">
      <c r="I386" s="58"/>
    </row>
    <row r="387" spans="9:9" x14ac:dyDescent="0.4">
      <c r="I387" s="58"/>
    </row>
    <row r="388" spans="9:9" x14ac:dyDescent="0.4">
      <c r="I388" s="58"/>
    </row>
    <row r="389" spans="9:9" x14ac:dyDescent="0.4">
      <c r="I389" s="58"/>
    </row>
    <row r="390" spans="9:9" x14ac:dyDescent="0.4">
      <c r="I390" s="58"/>
    </row>
    <row r="391" spans="9:9" x14ac:dyDescent="0.4">
      <c r="I391" s="58"/>
    </row>
    <row r="392" spans="9:9" x14ac:dyDescent="0.4">
      <c r="I392" s="58"/>
    </row>
    <row r="393" spans="9:9" x14ac:dyDescent="0.4">
      <c r="I393" s="58"/>
    </row>
    <row r="394" spans="9:9" x14ac:dyDescent="0.4">
      <c r="I394" s="58"/>
    </row>
    <row r="395" spans="9:9" x14ac:dyDescent="0.4">
      <c r="I395" s="58"/>
    </row>
    <row r="396" spans="9:9" x14ac:dyDescent="0.4">
      <c r="I396" s="58"/>
    </row>
    <row r="397" spans="9:9" x14ac:dyDescent="0.4">
      <c r="I397" s="58"/>
    </row>
    <row r="398" spans="9:9" x14ac:dyDescent="0.4">
      <c r="I398" s="58"/>
    </row>
    <row r="399" spans="9:9" x14ac:dyDescent="0.4">
      <c r="I399" s="58"/>
    </row>
    <row r="400" spans="9:9" x14ac:dyDescent="0.4">
      <c r="I400" s="58"/>
    </row>
    <row r="401" spans="9:9" x14ac:dyDescent="0.4">
      <c r="I401" s="58"/>
    </row>
    <row r="402" spans="9:9" x14ac:dyDescent="0.4">
      <c r="I402" s="58"/>
    </row>
    <row r="403" spans="9:9" x14ac:dyDescent="0.4">
      <c r="I403" s="58"/>
    </row>
    <row r="404" spans="9:9" x14ac:dyDescent="0.4">
      <c r="I404" s="58"/>
    </row>
    <row r="405" spans="9:9" x14ac:dyDescent="0.4">
      <c r="I405" s="58"/>
    </row>
    <row r="406" spans="9:9" x14ac:dyDescent="0.4">
      <c r="I406" s="58"/>
    </row>
    <row r="407" spans="9:9" x14ac:dyDescent="0.4">
      <c r="I407" s="58"/>
    </row>
    <row r="408" spans="9:9" x14ac:dyDescent="0.4">
      <c r="I408" s="58"/>
    </row>
    <row r="409" spans="9:9" x14ac:dyDescent="0.4">
      <c r="I409" s="58"/>
    </row>
    <row r="410" spans="9:9" x14ac:dyDescent="0.4">
      <c r="I410" s="58"/>
    </row>
    <row r="411" spans="9:9" x14ac:dyDescent="0.4">
      <c r="I411" s="58"/>
    </row>
    <row r="412" spans="9:9" x14ac:dyDescent="0.4">
      <c r="I412" s="58"/>
    </row>
    <row r="413" spans="9:9" x14ac:dyDescent="0.4">
      <c r="I413" s="58"/>
    </row>
    <row r="414" spans="9:9" x14ac:dyDescent="0.4">
      <c r="I414" s="58"/>
    </row>
    <row r="415" spans="9:9" x14ac:dyDescent="0.4">
      <c r="I415" s="58"/>
    </row>
    <row r="416" spans="9:9" x14ac:dyDescent="0.4">
      <c r="I416" s="58"/>
    </row>
    <row r="417" spans="9:9" x14ac:dyDescent="0.4">
      <c r="I417" s="58"/>
    </row>
    <row r="418" spans="9:9" x14ac:dyDescent="0.4">
      <c r="I418" s="58"/>
    </row>
    <row r="419" spans="9:9" x14ac:dyDescent="0.4">
      <c r="I419" s="58"/>
    </row>
    <row r="420" spans="9:9" x14ac:dyDescent="0.4">
      <c r="I420" s="58"/>
    </row>
    <row r="421" spans="9:9" x14ac:dyDescent="0.4">
      <c r="I421" s="58"/>
    </row>
    <row r="422" spans="9:9" x14ac:dyDescent="0.4">
      <c r="I422" s="58"/>
    </row>
    <row r="423" spans="9:9" x14ac:dyDescent="0.4">
      <c r="I423" s="58"/>
    </row>
    <row r="424" spans="9:9" x14ac:dyDescent="0.4">
      <c r="I424" s="58"/>
    </row>
    <row r="425" spans="9:9" x14ac:dyDescent="0.4">
      <c r="I425" s="58"/>
    </row>
    <row r="426" spans="9:9" x14ac:dyDescent="0.4">
      <c r="I426" s="58"/>
    </row>
    <row r="427" spans="9:9" x14ac:dyDescent="0.4">
      <c r="I427" s="58"/>
    </row>
    <row r="428" spans="9:9" x14ac:dyDescent="0.4">
      <c r="I428" s="58"/>
    </row>
    <row r="429" spans="9:9" x14ac:dyDescent="0.4">
      <c r="I429" s="58"/>
    </row>
    <row r="430" spans="9:9" x14ac:dyDescent="0.4">
      <c r="I430" s="58"/>
    </row>
    <row r="431" spans="9:9" x14ac:dyDescent="0.4">
      <c r="I431" s="58"/>
    </row>
    <row r="432" spans="9:9" x14ac:dyDescent="0.4">
      <c r="I432" s="58"/>
    </row>
    <row r="433" spans="9:9" x14ac:dyDescent="0.4">
      <c r="I433" s="58"/>
    </row>
    <row r="434" spans="9:9" x14ac:dyDescent="0.4">
      <c r="I434" s="58"/>
    </row>
    <row r="435" spans="9:9" x14ac:dyDescent="0.4">
      <c r="I435" s="58"/>
    </row>
    <row r="436" spans="9:9" x14ac:dyDescent="0.4">
      <c r="I436" s="58"/>
    </row>
    <row r="437" spans="9:9" x14ac:dyDescent="0.4">
      <c r="I437" s="58"/>
    </row>
    <row r="438" spans="9:9" x14ac:dyDescent="0.4">
      <c r="I438" s="58"/>
    </row>
    <row r="439" spans="9:9" x14ac:dyDescent="0.4">
      <c r="I439" s="58"/>
    </row>
    <row r="440" spans="9:9" x14ac:dyDescent="0.4">
      <c r="I440" s="58"/>
    </row>
    <row r="441" spans="9:9" x14ac:dyDescent="0.4">
      <c r="I441" s="58"/>
    </row>
    <row r="442" spans="9:9" x14ac:dyDescent="0.4">
      <c r="I442" s="58"/>
    </row>
    <row r="443" spans="9:9" x14ac:dyDescent="0.4">
      <c r="I443" s="58"/>
    </row>
    <row r="444" spans="9:9" x14ac:dyDescent="0.4">
      <c r="I444" s="58"/>
    </row>
    <row r="445" spans="9:9" x14ac:dyDescent="0.4">
      <c r="I445" s="58"/>
    </row>
    <row r="446" spans="9:9" x14ac:dyDescent="0.4">
      <c r="I446" s="58"/>
    </row>
    <row r="447" spans="9:9" x14ac:dyDescent="0.4">
      <c r="I447" s="58"/>
    </row>
    <row r="448" spans="9:9" x14ac:dyDescent="0.4">
      <c r="I448" s="58"/>
    </row>
    <row r="449" spans="9:9" x14ac:dyDescent="0.4">
      <c r="I449" s="58"/>
    </row>
    <row r="450" spans="9:9" x14ac:dyDescent="0.4">
      <c r="I450" s="58"/>
    </row>
    <row r="451" spans="9:9" x14ac:dyDescent="0.4">
      <c r="I451" s="58"/>
    </row>
    <row r="452" spans="9:9" x14ac:dyDescent="0.4">
      <c r="I452" s="58"/>
    </row>
    <row r="453" spans="9:9" x14ac:dyDescent="0.4">
      <c r="I453" s="58"/>
    </row>
    <row r="454" spans="9:9" x14ac:dyDescent="0.4">
      <c r="I454" s="58"/>
    </row>
    <row r="455" spans="9:9" x14ac:dyDescent="0.4">
      <c r="I455" s="58"/>
    </row>
    <row r="456" spans="9:9" x14ac:dyDescent="0.4">
      <c r="I456" s="58"/>
    </row>
    <row r="457" spans="9:9" x14ac:dyDescent="0.4">
      <c r="I457" s="58"/>
    </row>
    <row r="458" spans="9:9" x14ac:dyDescent="0.4">
      <c r="I458" s="58"/>
    </row>
    <row r="459" spans="9:9" x14ac:dyDescent="0.4">
      <c r="I459" s="58"/>
    </row>
    <row r="460" spans="9:9" x14ac:dyDescent="0.4">
      <c r="I460" s="58"/>
    </row>
    <row r="461" spans="9:9" x14ac:dyDescent="0.4">
      <c r="I461" s="58"/>
    </row>
    <row r="462" spans="9:9" x14ac:dyDescent="0.4">
      <c r="I462" s="58"/>
    </row>
    <row r="463" spans="9:9" x14ac:dyDescent="0.4">
      <c r="I463" s="58"/>
    </row>
    <row r="464" spans="9:9" x14ac:dyDescent="0.4">
      <c r="I464" s="58"/>
    </row>
    <row r="465" spans="9:9" x14ac:dyDescent="0.4">
      <c r="I465" s="58"/>
    </row>
    <row r="466" spans="9:9" x14ac:dyDescent="0.4">
      <c r="I466" s="58"/>
    </row>
    <row r="467" spans="9:9" x14ac:dyDescent="0.4">
      <c r="I467" s="58"/>
    </row>
    <row r="468" spans="9:9" x14ac:dyDescent="0.4">
      <c r="I468" s="58"/>
    </row>
    <row r="469" spans="9:9" x14ac:dyDescent="0.4">
      <c r="I469" s="58"/>
    </row>
    <row r="470" spans="9:9" x14ac:dyDescent="0.4">
      <c r="I470" s="58"/>
    </row>
    <row r="471" spans="9:9" x14ac:dyDescent="0.4">
      <c r="I471" s="58"/>
    </row>
    <row r="472" spans="9:9" x14ac:dyDescent="0.4">
      <c r="I472" s="58"/>
    </row>
    <row r="473" spans="9:9" x14ac:dyDescent="0.4">
      <c r="I473" s="58"/>
    </row>
    <row r="474" spans="9:9" x14ac:dyDescent="0.4">
      <c r="I474" s="58"/>
    </row>
    <row r="475" spans="9:9" x14ac:dyDescent="0.4">
      <c r="I475" s="58"/>
    </row>
    <row r="476" spans="9:9" x14ac:dyDescent="0.4">
      <c r="I476" s="58"/>
    </row>
    <row r="477" spans="9:9" x14ac:dyDescent="0.4">
      <c r="I477" s="58"/>
    </row>
    <row r="478" spans="9:9" x14ac:dyDescent="0.4">
      <c r="I478" s="58"/>
    </row>
    <row r="479" spans="9:9" x14ac:dyDescent="0.4">
      <c r="I479" s="58"/>
    </row>
    <row r="480" spans="9:9" x14ac:dyDescent="0.4">
      <c r="I480" s="58"/>
    </row>
    <row r="481" spans="9:9" x14ac:dyDescent="0.4">
      <c r="I481" s="58"/>
    </row>
    <row r="482" spans="9:9" x14ac:dyDescent="0.4">
      <c r="I482" s="58"/>
    </row>
    <row r="483" spans="9:9" x14ac:dyDescent="0.4">
      <c r="I483" s="58"/>
    </row>
    <row r="484" spans="9:9" x14ac:dyDescent="0.4">
      <c r="I484" s="58"/>
    </row>
    <row r="485" spans="9:9" x14ac:dyDescent="0.4">
      <c r="I485" s="58"/>
    </row>
    <row r="486" spans="9:9" x14ac:dyDescent="0.4">
      <c r="I486" s="58"/>
    </row>
    <row r="487" spans="9:9" x14ac:dyDescent="0.4">
      <c r="I487" s="58"/>
    </row>
    <row r="488" spans="9:9" x14ac:dyDescent="0.4">
      <c r="I488" s="58"/>
    </row>
    <row r="489" spans="9:9" x14ac:dyDescent="0.4">
      <c r="I489" s="58"/>
    </row>
    <row r="490" spans="9:9" x14ac:dyDescent="0.4">
      <c r="I490" s="58"/>
    </row>
    <row r="491" spans="9:9" x14ac:dyDescent="0.4">
      <c r="I491" s="58"/>
    </row>
    <row r="492" spans="9:9" x14ac:dyDescent="0.4">
      <c r="I492" s="58"/>
    </row>
    <row r="493" spans="9:9" x14ac:dyDescent="0.4">
      <c r="I493" s="58"/>
    </row>
    <row r="494" spans="9:9" x14ac:dyDescent="0.4">
      <c r="I494" s="58"/>
    </row>
    <row r="495" spans="9:9" x14ac:dyDescent="0.4">
      <c r="I495" s="58"/>
    </row>
    <row r="496" spans="9:9" x14ac:dyDescent="0.4">
      <c r="I496" s="58"/>
    </row>
    <row r="497" spans="9:9" x14ac:dyDescent="0.4">
      <c r="I497" s="58"/>
    </row>
    <row r="498" spans="9:9" x14ac:dyDescent="0.4">
      <c r="I498" s="58"/>
    </row>
    <row r="499" spans="9:9" x14ac:dyDescent="0.4">
      <c r="I499" s="58"/>
    </row>
    <row r="500" spans="9:9" x14ac:dyDescent="0.4">
      <c r="I500" s="58"/>
    </row>
    <row r="501" spans="9:9" x14ac:dyDescent="0.4">
      <c r="I501" s="58"/>
    </row>
    <row r="502" spans="9:9" x14ac:dyDescent="0.4">
      <c r="I502" s="58"/>
    </row>
    <row r="503" spans="9:9" x14ac:dyDescent="0.4">
      <c r="I503" s="58"/>
    </row>
    <row r="504" spans="9:9" x14ac:dyDescent="0.4">
      <c r="I504" s="58"/>
    </row>
    <row r="505" spans="9:9" x14ac:dyDescent="0.4">
      <c r="I505" s="58"/>
    </row>
    <row r="506" spans="9:9" x14ac:dyDescent="0.4">
      <c r="I506" s="58"/>
    </row>
    <row r="507" spans="9:9" x14ac:dyDescent="0.4">
      <c r="I507" s="58"/>
    </row>
    <row r="508" spans="9:9" x14ac:dyDescent="0.4">
      <c r="I508" s="58"/>
    </row>
    <row r="509" spans="9:9" x14ac:dyDescent="0.4">
      <c r="I509" s="58"/>
    </row>
    <row r="510" spans="9:9" x14ac:dyDescent="0.4">
      <c r="I510" s="58"/>
    </row>
    <row r="511" spans="9:9" x14ac:dyDescent="0.4">
      <c r="I511" s="58"/>
    </row>
    <row r="512" spans="9:9" x14ac:dyDescent="0.4">
      <c r="I512" s="58"/>
    </row>
    <row r="513" spans="9:9" x14ac:dyDescent="0.4">
      <c r="I513" s="58"/>
    </row>
    <row r="514" spans="9:9" x14ac:dyDescent="0.4">
      <c r="I514" s="58"/>
    </row>
    <row r="515" spans="9:9" x14ac:dyDescent="0.4">
      <c r="I515" s="58"/>
    </row>
    <row r="516" spans="9:9" x14ac:dyDescent="0.4">
      <c r="I516" s="58"/>
    </row>
    <row r="517" spans="9:9" x14ac:dyDescent="0.4">
      <c r="I517" s="58"/>
    </row>
    <row r="518" spans="9:9" x14ac:dyDescent="0.4">
      <c r="I518" s="58"/>
    </row>
    <row r="519" spans="9:9" x14ac:dyDescent="0.4">
      <c r="I519" s="58"/>
    </row>
    <row r="520" spans="9:9" x14ac:dyDescent="0.4">
      <c r="I520" s="58"/>
    </row>
    <row r="521" spans="9:9" x14ac:dyDescent="0.4">
      <c r="I521" s="58"/>
    </row>
    <row r="522" spans="9:9" x14ac:dyDescent="0.4">
      <c r="I522" s="58"/>
    </row>
    <row r="523" spans="9:9" x14ac:dyDescent="0.4">
      <c r="I523" s="58"/>
    </row>
    <row r="524" spans="9:9" x14ac:dyDescent="0.4">
      <c r="I524" s="58"/>
    </row>
    <row r="525" spans="9:9" x14ac:dyDescent="0.4">
      <c r="I525" s="58"/>
    </row>
    <row r="526" spans="9:9" x14ac:dyDescent="0.4">
      <c r="I526" s="58"/>
    </row>
    <row r="527" spans="9:9" x14ac:dyDescent="0.4">
      <c r="I527" s="58"/>
    </row>
    <row r="528" spans="9:9" x14ac:dyDescent="0.4">
      <c r="I528" s="58"/>
    </row>
    <row r="529" spans="9:9" x14ac:dyDescent="0.4">
      <c r="I529" s="58"/>
    </row>
    <row r="530" spans="9:9" x14ac:dyDescent="0.4">
      <c r="I530" s="58"/>
    </row>
    <row r="531" spans="9:9" x14ac:dyDescent="0.4">
      <c r="I531" s="58"/>
    </row>
    <row r="532" spans="9:9" x14ac:dyDescent="0.4">
      <c r="I532" s="58"/>
    </row>
    <row r="533" spans="9:9" x14ac:dyDescent="0.4">
      <c r="I533" s="58"/>
    </row>
    <row r="534" spans="9:9" x14ac:dyDescent="0.4">
      <c r="I534" s="58"/>
    </row>
    <row r="535" spans="9:9" x14ac:dyDescent="0.4">
      <c r="I535" s="58"/>
    </row>
    <row r="536" spans="9:9" x14ac:dyDescent="0.4">
      <c r="I536" s="58"/>
    </row>
    <row r="537" spans="9:9" x14ac:dyDescent="0.4">
      <c r="I537" s="58"/>
    </row>
    <row r="538" spans="9:9" x14ac:dyDescent="0.4">
      <c r="I538" s="58"/>
    </row>
    <row r="539" spans="9:9" x14ac:dyDescent="0.4">
      <c r="I539" s="58"/>
    </row>
    <row r="540" spans="9:9" x14ac:dyDescent="0.4">
      <c r="I540" s="58"/>
    </row>
    <row r="541" spans="9:9" x14ac:dyDescent="0.4">
      <c r="I541" s="58"/>
    </row>
    <row r="542" spans="9:9" x14ac:dyDescent="0.4">
      <c r="I542" s="58"/>
    </row>
    <row r="543" spans="9:9" x14ac:dyDescent="0.4">
      <c r="I543" s="58"/>
    </row>
    <row r="544" spans="9:9" x14ac:dyDescent="0.4">
      <c r="I544" s="58"/>
    </row>
    <row r="545" spans="9:9" x14ac:dyDescent="0.4">
      <c r="I545" s="58"/>
    </row>
    <row r="546" spans="9:9" x14ac:dyDescent="0.4">
      <c r="I546" s="58"/>
    </row>
    <row r="547" spans="9:9" x14ac:dyDescent="0.4">
      <c r="I547" s="58"/>
    </row>
    <row r="548" spans="9:9" x14ac:dyDescent="0.4">
      <c r="I548" s="58"/>
    </row>
    <row r="549" spans="9:9" x14ac:dyDescent="0.4">
      <c r="I549" s="58"/>
    </row>
    <row r="550" spans="9:9" x14ac:dyDescent="0.4">
      <c r="I550" s="58"/>
    </row>
    <row r="551" spans="9:9" x14ac:dyDescent="0.4">
      <c r="I551" s="58"/>
    </row>
    <row r="552" spans="9:9" x14ac:dyDescent="0.4">
      <c r="I552" s="58"/>
    </row>
    <row r="553" spans="9:9" x14ac:dyDescent="0.4">
      <c r="I553" s="58"/>
    </row>
    <row r="554" spans="9:9" x14ac:dyDescent="0.4">
      <c r="I554" s="58"/>
    </row>
    <row r="555" spans="9:9" x14ac:dyDescent="0.4">
      <c r="I555" s="58"/>
    </row>
    <row r="556" spans="9:9" x14ac:dyDescent="0.4">
      <c r="I556" s="58"/>
    </row>
    <row r="557" spans="9:9" x14ac:dyDescent="0.4">
      <c r="I557" s="58"/>
    </row>
    <row r="558" spans="9:9" x14ac:dyDescent="0.4">
      <c r="I558" s="58"/>
    </row>
    <row r="559" spans="9:9" x14ac:dyDescent="0.4">
      <c r="I559" s="58"/>
    </row>
    <row r="560" spans="9:9" x14ac:dyDescent="0.4">
      <c r="I560" s="58"/>
    </row>
    <row r="561" spans="9:9" x14ac:dyDescent="0.4">
      <c r="I561" s="58"/>
    </row>
    <row r="562" spans="9:9" x14ac:dyDescent="0.4">
      <c r="I562" s="58"/>
    </row>
    <row r="563" spans="9:9" x14ac:dyDescent="0.4">
      <c r="I563" s="58"/>
    </row>
    <row r="564" spans="9:9" x14ac:dyDescent="0.4">
      <c r="I564" s="58"/>
    </row>
    <row r="565" spans="9:9" x14ac:dyDescent="0.4">
      <c r="I565" s="58"/>
    </row>
    <row r="566" spans="9:9" x14ac:dyDescent="0.4">
      <c r="I566" s="58"/>
    </row>
    <row r="567" spans="9:9" x14ac:dyDescent="0.4">
      <c r="I567" s="58"/>
    </row>
    <row r="568" spans="9:9" x14ac:dyDescent="0.4">
      <c r="I568" s="58"/>
    </row>
    <row r="569" spans="9:9" x14ac:dyDescent="0.4">
      <c r="I569" s="58"/>
    </row>
    <row r="570" spans="9:9" x14ac:dyDescent="0.4">
      <c r="I570" s="58"/>
    </row>
    <row r="571" spans="9:9" x14ac:dyDescent="0.4">
      <c r="I571" s="58"/>
    </row>
    <row r="572" spans="9:9" x14ac:dyDescent="0.4">
      <c r="I572" s="58"/>
    </row>
    <row r="573" spans="9:9" x14ac:dyDescent="0.4">
      <c r="I573" s="58"/>
    </row>
    <row r="574" spans="9:9" x14ac:dyDescent="0.4">
      <c r="I574" s="58"/>
    </row>
    <row r="575" spans="9:9" x14ac:dyDescent="0.4">
      <c r="I575" s="58"/>
    </row>
    <row r="576" spans="9:9" x14ac:dyDescent="0.4">
      <c r="I576" s="58"/>
    </row>
    <row r="577" spans="9:9" x14ac:dyDescent="0.4">
      <c r="I577" s="58"/>
    </row>
    <row r="578" spans="9:9" x14ac:dyDescent="0.4">
      <c r="I578" s="58"/>
    </row>
    <row r="579" spans="9:9" x14ac:dyDescent="0.4">
      <c r="I579" s="58"/>
    </row>
    <row r="580" spans="9:9" x14ac:dyDescent="0.4">
      <c r="I580" s="58"/>
    </row>
    <row r="581" spans="9:9" x14ac:dyDescent="0.4">
      <c r="I581" s="58"/>
    </row>
    <row r="582" spans="9:9" x14ac:dyDescent="0.4">
      <c r="I582" s="58"/>
    </row>
    <row r="583" spans="9:9" x14ac:dyDescent="0.4">
      <c r="I583" s="58"/>
    </row>
    <row r="584" spans="9:9" x14ac:dyDescent="0.4">
      <c r="I584" s="58"/>
    </row>
    <row r="585" spans="9:9" x14ac:dyDescent="0.4">
      <c r="I585" s="58"/>
    </row>
    <row r="586" spans="9:9" x14ac:dyDescent="0.4">
      <c r="I586" s="58"/>
    </row>
    <row r="587" spans="9:9" x14ac:dyDescent="0.4">
      <c r="I587" s="58"/>
    </row>
    <row r="588" spans="9:9" x14ac:dyDescent="0.4">
      <c r="I588" s="58"/>
    </row>
    <row r="589" spans="9:9" x14ac:dyDescent="0.4">
      <c r="I589" s="58"/>
    </row>
    <row r="590" spans="9:9" x14ac:dyDescent="0.4">
      <c r="I590" s="58"/>
    </row>
    <row r="591" spans="9:9" x14ac:dyDescent="0.4">
      <c r="I591" s="58"/>
    </row>
    <row r="592" spans="9:9" x14ac:dyDescent="0.4">
      <c r="I592" s="58"/>
    </row>
    <row r="593" spans="9:9" x14ac:dyDescent="0.4">
      <c r="I593" s="58"/>
    </row>
    <row r="594" spans="9:9" x14ac:dyDescent="0.4">
      <c r="I594" s="58"/>
    </row>
    <row r="595" spans="9:9" x14ac:dyDescent="0.4">
      <c r="I595" s="58"/>
    </row>
    <row r="596" spans="9:9" x14ac:dyDescent="0.4">
      <c r="I596" s="58"/>
    </row>
    <row r="597" spans="9:9" x14ac:dyDescent="0.4">
      <c r="I597" s="58"/>
    </row>
    <row r="598" spans="9:9" x14ac:dyDescent="0.4">
      <c r="I598" s="58"/>
    </row>
    <row r="599" spans="9:9" x14ac:dyDescent="0.4">
      <c r="I599" s="58"/>
    </row>
    <row r="600" spans="9:9" x14ac:dyDescent="0.4">
      <c r="I600" s="58"/>
    </row>
    <row r="601" spans="9:9" x14ac:dyDescent="0.4">
      <c r="I601" s="58"/>
    </row>
    <row r="602" spans="9:9" x14ac:dyDescent="0.4">
      <c r="I602" s="58"/>
    </row>
    <row r="603" spans="9:9" x14ac:dyDescent="0.4">
      <c r="I603" s="58"/>
    </row>
    <row r="604" spans="9:9" x14ac:dyDescent="0.4">
      <c r="I604" s="58"/>
    </row>
    <row r="605" spans="9:9" x14ac:dyDescent="0.4">
      <c r="I605" s="58"/>
    </row>
    <row r="606" spans="9:9" x14ac:dyDescent="0.4">
      <c r="I606" s="58"/>
    </row>
    <row r="607" spans="9:9" x14ac:dyDescent="0.4">
      <c r="I607" s="58"/>
    </row>
    <row r="608" spans="9:9" x14ac:dyDescent="0.4">
      <c r="I608" s="58"/>
    </row>
    <row r="609" spans="9:9" x14ac:dyDescent="0.4">
      <c r="I609" s="58"/>
    </row>
    <row r="610" spans="9:9" x14ac:dyDescent="0.4">
      <c r="I610" s="58"/>
    </row>
    <row r="611" spans="9:9" x14ac:dyDescent="0.4">
      <c r="I611" s="58"/>
    </row>
    <row r="612" spans="9:9" x14ac:dyDescent="0.4">
      <c r="I612" s="58"/>
    </row>
    <row r="613" spans="9:9" x14ac:dyDescent="0.4">
      <c r="I613" s="58"/>
    </row>
    <row r="614" spans="9:9" x14ac:dyDescent="0.4">
      <c r="I614" s="58"/>
    </row>
    <row r="615" spans="9:9" x14ac:dyDescent="0.4">
      <c r="I615" s="58"/>
    </row>
    <row r="616" spans="9:9" x14ac:dyDescent="0.4">
      <c r="I616" s="58"/>
    </row>
    <row r="617" spans="9:9" x14ac:dyDescent="0.4">
      <c r="I617" s="58"/>
    </row>
    <row r="618" spans="9:9" x14ac:dyDescent="0.4">
      <c r="I618" s="58"/>
    </row>
    <row r="619" spans="9:9" x14ac:dyDescent="0.4">
      <c r="I619" s="58"/>
    </row>
    <row r="620" spans="9:9" x14ac:dyDescent="0.4">
      <c r="I620" s="58"/>
    </row>
    <row r="621" spans="9:9" x14ac:dyDescent="0.4">
      <c r="I621" s="58"/>
    </row>
    <row r="622" spans="9:9" x14ac:dyDescent="0.4">
      <c r="I622" s="58"/>
    </row>
    <row r="623" spans="9:9" x14ac:dyDescent="0.4">
      <c r="I623" s="58"/>
    </row>
    <row r="624" spans="9:9" x14ac:dyDescent="0.4">
      <c r="I624" s="58"/>
    </row>
    <row r="625" spans="9:9" x14ac:dyDescent="0.4">
      <c r="I625" s="58"/>
    </row>
    <row r="626" spans="9:9" x14ac:dyDescent="0.4">
      <c r="I626" s="58"/>
    </row>
    <row r="627" spans="9:9" x14ac:dyDescent="0.4">
      <c r="I627" s="58"/>
    </row>
    <row r="628" spans="9:9" x14ac:dyDescent="0.4">
      <c r="I628" s="58"/>
    </row>
    <row r="629" spans="9:9" x14ac:dyDescent="0.4">
      <c r="I629" s="58"/>
    </row>
    <row r="630" spans="9:9" x14ac:dyDescent="0.4">
      <c r="I630" s="58"/>
    </row>
    <row r="631" spans="9:9" x14ac:dyDescent="0.4">
      <c r="I631" s="58"/>
    </row>
    <row r="632" spans="9:9" x14ac:dyDescent="0.4">
      <c r="I632" s="58"/>
    </row>
    <row r="633" spans="9:9" x14ac:dyDescent="0.4">
      <c r="I633" s="58"/>
    </row>
    <row r="634" spans="9:9" x14ac:dyDescent="0.4">
      <c r="I634" s="58"/>
    </row>
    <row r="635" spans="9:9" x14ac:dyDescent="0.4">
      <c r="I635" s="58"/>
    </row>
    <row r="636" spans="9:9" x14ac:dyDescent="0.4">
      <c r="I636" s="58"/>
    </row>
    <row r="637" spans="9:9" x14ac:dyDescent="0.4">
      <c r="I637" s="58"/>
    </row>
    <row r="638" spans="9:9" x14ac:dyDescent="0.4">
      <c r="I638" s="58"/>
    </row>
    <row r="639" spans="9:9" x14ac:dyDescent="0.4">
      <c r="I639" s="58"/>
    </row>
    <row r="640" spans="9:9" x14ac:dyDescent="0.4">
      <c r="I640" s="58"/>
    </row>
    <row r="641" spans="9:9" x14ac:dyDescent="0.4">
      <c r="I641" s="58"/>
    </row>
    <row r="642" spans="9:9" x14ac:dyDescent="0.4">
      <c r="I642" s="58"/>
    </row>
    <row r="643" spans="9:9" x14ac:dyDescent="0.4">
      <c r="I643" s="58"/>
    </row>
    <row r="644" spans="9:9" x14ac:dyDescent="0.4">
      <c r="I644" s="58"/>
    </row>
    <row r="645" spans="9:9" x14ac:dyDescent="0.4">
      <c r="I645" s="58"/>
    </row>
    <row r="646" spans="9:9" x14ac:dyDescent="0.4">
      <c r="I646" s="58"/>
    </row>
    <row r="647" spans="9:9" x14ac:dyDescent="0.4">
      <c r="I647" s="58"/>
    </row>
    <row r="648" spans="9:9" x14ac:dyDescent="0.4">
      <c r="I648" s="58"/>
    </row>
    <row r="649" spans="9:9" x14ac:dyDescent="0.4">
      <c r="I649" s="58"/>
    </row>
    <row r="650" spans="9:9" x14ac:dyDescent="0.4">
      <c r="I650" s="58"/>
    </row>
    <row r="651" spans="9:9" x14ac:dyDescent="0.4">
      <c r="I651" s="58"/>
    </row>
    <row r="652" spans="9:9" x14ac:dyDescent="0.4">
      <c r="I652" s="58"/>
    </row>
    <row r="653" spans="9:9" x14ac:dyDescent="0.4">
      <c r="I653" s="58"/>
    </row>
    <row r="654" spans="9:9" x14ac:dyDescent="0.4">
      <c r="I654" s="58"/>
    </row>
    <row r="655" spans="9:9" x14ac:dyDescent="0.4">
      <c r="I655" s="58"/>
    </row>
    <row r="656" spans="9:9" x14ac:dyDescent="0.4">
      <c r="I656" s="58"/>
    </row>
    <row r="657" spans="9:9" x14ac:dyDescent="0.4">
      <c r="I657" s="58"/>
    </row>
    <row r="658" spans="9:9" x14ac:dyDescent="0.4">
      <c r="I658" s="58"/>
    </row>
    <row r="659" spans="9:9" x14ac:dyDescent="0.4">
      <c r="I659" s="58"/>
    </row>
    <row r="660" spans="9:9" x14ac:dyDescent="0.4">
      <c r="I660" s="58"/>
    </row>
    <row r="661" spans="9:9" x14ac:dyDescent="0.4">
      <c r="I661" s="58"/>
    </row>
    <row r="662" spans="9:9" x14ac:dyDescent="0.4">
      <c r="I662" s="58"/>
    </row>
    <row r="663" spans="9:9" x14ac:dyDescent="0.4">
      <c r="I663" s="58"/>
    </row>
    <row r="664" spans="9:9" x14ac:dyDescent="0.4">
      <c r="I664" s="58"/>
    </row>
    <row r="665" spans="9:9" x14ac:dyDescent="0.4">
      <c r="I665" s="58"/>
    </row>
    <row r="666" spans="9:9" x14ac:dyDescent="0.4">
      <c r="I666" s="58"/>
    </row>
    <row r="667" spans="9:9" x14ac:dyDescent="0.4">
      <c r="I667" s="58"/>
    </row>
    <row r="668" spans="9:9" x14ac:dyDescent="0.4">
      <c r="I668" s="58"/>
    </row>
    <row r="669" spans="9:9" x14ac:dyDescent="0.4">
      <c r="I669" s="58"/>
    </row>
    <row r="670" spans="9:9" x14ac:dyDescent="0.4">
      <c r="I670" s="58"/>
    </row>
    <row r="671" spans="9:9" x14ac:dyDescent="0.4">
      <c r="I671" s="58"/>
    </row>
    <row r="672" spans="9:9" x14ac:dyDescent="0.4">
      <c r="I672" s="58"/>
    </row>
    <row r="673" spans="9:9" x14ac:dyDescent="0.4">
      <c r="I673" s="58"/>
    </row>
    <row r="674" spans="9:9" x14ac:dyDescent="0.4">
      <c r="I674" s="58"/>
    </row>
    <row r="675" spans="9:9" x14ac:dyDescent="0.4">
      <c r="I675" s="58"/>
    </row>
    <row r="676" spans="9:9" x14ac:dyDescent="0.4">
      <c r="I676" s="58"/>
    </row>
    <row r="677" spans="9:9" x14ac:dyDescent="0.4">
      <c r="I677" s="58"/>
    </row>
    <row r="678" spans="9:9" x14ac:dyDescent="0.4">
      <c r="I678" s="58"/>
    </row>
    <row r="679" spans="9:9" x14ac:dyDescent="0.4">
      <c r="I679" s="58"/>
    </row>
    <row r="680" spans="9:9" x14ac:dyDescent="0.4">
      <c r="I680" s="58"/>
    </row>
    <row r="681" spans="9:9" x14ac:dyDescent="0.4">
      <c r="I681" s="58"/>
    </row>
    <row r="682" spans="9:9" x14ac:dyDescent="0.4">
      <c r="I682" s="58"/>
    </row>
    <row r="683" spans="9:9" x14ac:dyDescent="0.4">
      <c r="I683" s="58"/>
    </row>
    <row r="684" spans="9:9" x14ac:dyDescent="0.4">
      <c r="I684" s="58"/>
    </row>
    <row r="685" spans="9:9" x14ac:dyDescent="0.4">
      <c r="I685" s="58"/>
    </row>
    <row r="686" spans="9:9" x14ac:dyDescent="0.4">
      <c r="I686" s="58"/>
    </row>
    <row r="687" spans="9:9" x14ac:dyDescent="0.4">
      <c r="I687" s="58"/>
    </row>
    <row r="688" spans="9:9" x14ac:dyDescent="0.4">
      <c r="I688" s="58"/>
    </row>
    <row r="689" spans="9:9" x14ac:dyDescent="0.4">
      <c r="I689" s="58"/>
    </row>
    <row r="690" spans="9:9" x14ac:dyDescent="0.4">
      <c r="I690" s="58"/>
    </row>
    <row r="691" spans="9:9" x14ac:dyDescent="0.4">
      <c r="I691" s="58"/>
    </row>
    <row r="692" spans="9:9" x14ac:dyDescent="0.4">
      <c r="I692" s="58"/>
    </row>
    <row r="693" spans="9:9" x14ac:dyDescent="0.4">
      <c r="I693" s="58"/>
    </row>
    <row r="694" spans="9:9" x14ac:dyDescent="0.4">
      <c r="I694" s="58"/>
    </row>
    <row r="695" spans="9:9" x14ac:dyDescent="0.4">
      <c r="I695" s="58"/>
    </row>
    <row r="696" spans="9:9" x14ac:dyDescent="0.4">
      <c r="I696" s="58"/>
    </row>
    <row r="697" spans="9:9" x14ac:dyDescent="0.4">
      <c r="I697" s="58"/>
    </row>
    <row r="698" spans="9:9" x14ac:dyDescent="0.4">
      <c r="I698" s="58"/>
    </row>
    <row r="699" spans="9:9" x14ac:dyDescent="0.4">
      <c r="I699" s="58"/>
    </row>
    <row r="700" spans="9:9" x14ac:dyDescent="0.4">
      <c r="I700" s="58"/>
    </row>
    <row r="701" spans="9:9" x14ac:dyDescent="0.4">
      <c r="I701" s="58"/>
    </row>
    <row r="702" spans="9:9" x14ac:dyDescent="0.4">
      <c r="I702" s="58"/>
    </row>
    <row r="703" spans="9:9" x14ac:dyDescent="0.4">
      <c r="I703" s="58"/>
    </row>
    <row r="704" spans="9:9" x14ac:dyDescent="0.4">
      <c r="I704" s="58"/>
    </row>
    <row r="705" spans="9:9" x14ac:dyDescent="0.4">
      <c r="I705" s="58"/>
    </row>
    <row r="706" spans="9:9" x14ac:dyDescent="0.4">
      <c r="I706" s="58"/>
    </row>
    <row r="707" spans="9:9" x14ac:dyDescent="0.4">
      <c r="I707" s="58"/>
    </row>
    <row r="708" spans="9:9" x14ac:dyDescent="0.4">
      <c r="I708" s="58"/>
    </row>
    <row r="709" spans="9:9" x14ac:dyDescent="0.4">
      <c r="I709" s="58"/>
    </row>
    <row r="710" spans="9:9" x14ac:dyDescent="0.4">
      <c r="I710" s="58"/>
    </row>
    <row r="711" spans="9:9" x14ac:dyDescent="0.4">
      <c r="I711" s="58"/>
    </row>
    <row r="712" spans="9:9" x14ac:dyDescent="0.4">
      <c r="I712" s="58"/>
    </row>
    <row r="713" spans="9:9" x14ac:dyDescent="0.4">
      <c r="I713" s="58"/>
    </row>
    <row r="714" spans="9:9" x14ac:dyDescent="0.4">
      <c r="I714" s="58"/>
    </row>
    <row r="715" spans="9:9" x14ac:dyDescent="0.4">
      <c r="I715" s="58"/>
    </row>
    <row r="716" spans="9:9" x14ac:dyDescent="0.4">
      <c r="I716" s="58"/>
    </row>
    <row r="717" spans="9:9" x14ac:dyDescent="0.4">
      <c r="I717" s="58"/>
    </row>
    <row r="718" spans="9:9" x14ac:dyDescent="0.4">
      <c r="I718" s="58"/>
    </row>
    <row r="719" spans="9:9" x14ac:dyDescent="0.4">
      <c r="I719" s="58"/>
    </row>
    <row r="720" spans="9:9" x14ac:dyDescent="0.4">
      <c r="I720" s="58"/>
    </row>
    <row r="721" spans="9:9" x14ac:dyDescent="0.4">
      <c r="I721" s="58"/>
    </row>
    <row r="722" spans="9:9" x14ac:dyDescent="0.4">
      <c r="I722" s="58"/>
    </row>
    <row r="723" spans="9:9" x14ac:dyDescent="0.4">
      <c r="I723" s="58"/>
    </row>
    <row r="724" spans="9:9" x14ac:dyDescent="0.4">
      <c r="I724" s="58"/>
    </row>
    <row r="725" spans="9:9" x14ac:dyDescent="0.4">
      <c r="I725" s="58"/>
    </row>
    <row r="726" spans="9:9" x14ac:dyDescent="0.4">
      <c r="I726" s="58"/>
    </row>
    <row r="727" spans="9:9" x14ac:dyDescent="0.4">
      <c r="I727" s="58"/>
    </row>
    <row r="728" spans="9:9" x14ac:dyDescent="0.4">
      <c r="I728" s="58"/>
    </row>
    <row r="729" spans="9:9" x14ac:dyDescent="0.4">
      <c r="I729" s="58"/>
    </row>
    <row r="730" spans="9:9" x14ac:dyDescent="0.4">
      <c r="I730" s="58"/>
    </row>
    <row r="731" spans="9:9" x14ac:dyDescent="0.4">
      <c r="I731" s="58"/>
    </row>
    <row r="732" spans="9:9" x14ac:dyDescent="0.4">
      <c r="I732" s="58"/>
    </row>
    <row r="733" spans="9:9" x14ac:dyDescent="0.4">
      <c r="I733" s="58"/>
    </row>
    <row r="734" spans="9:9" x14ac:dyDescent="0.4">
      <c r="I734" s="58"/>
    </row>
    <row r="735" spans="9:9" x14ac:dyDescent="0.4">
      <c r="I735" s="58"/>
    </row>
    <row r="736" spans="9:9" x14ac:dyDescent="0.4">
      <c r="I736" s="58"/>
    </row>
    <row r="737" spans="9:9" x14ac:dyDescent="0.4">
      <c r="I737" s="58"/>
    </row>
    <row r="738" spans="9:9" x14ac:dyDescent="0.4">
      <c r="I738" s="58"/>
    </row>
    <row r="739" spans="9:9" x14ac:dyDescent="0.4">
      <c r="I739" s="58"/>
    </row>
    <row r="740" spans="9:9" x14ac:dyDescent="0.4">
      <c r="I740" s="58"/>
    </row>
    <row r="741" spans="9:9" x14ac:dyDescent="0.4">
      <c r="I741" s="58"/>
    </row>
    <row r="742" spans="9:9" x14ac:dyDescent="0.4">
      <c r="I742" s="58"/>
    </row>
    <row r="743" spans="9:9" x14ac:dyDescent="0.4">
      <c r="I743" s="58"/>
    </row>
    <row r="744" spans="9:9" x14ac:dyDescent="0.4">
      <c r="I744" s="58"/>
    </row>
    <row r="745" spans="9:9" x14ac:dyDescent="0.4">
      <c r="I745" s="58"/>
    </row>
    <row r="746" spans="9:9" x14ac:dyDescent="0.4">
      <c r="I746" s="58"/>
    </row>
    <row r="747" spans="9:9" x14ac:dyDescent="0.4">
      <c r="I747" s="58"/>
    </row>
    <row r="748" spans="9:9" x14ac:dyDescent="0.4">
      <c r="I748" s="58"/>
    </row>
    <row r="749" spans="9:9" x14ac:dyDescent="0.4">
      <c r="I749" s="58"/>
    </row>
    <row r="750" spans="9:9" x14ac:dyDescent="0.4">
      <c r="I750" s="58"/>
    </row>
    <row r="751" spans="9:9" x14ac:dyDescent="0.4">
      <c r="I751" s="58"/>
    </row>
    <row r="752" spans="9:9" x14ac:dyDescent="0.4">
      <c r="I752" s="58"/>
    </row>
    <row r="753" spans="9:9" x14ac:dyDescent="0.4">
      <c r="I753" s="58"/>
    </row>
    <row r="754" spans="9:9" x14ac:dyDescent="0.4">
      <c r="I754" s="58"/>
    </row>
    <row r="755" spans="9:9" x14ac:dyDescent="0.4">
      <c r="I755" s="58"/>
    </row>
    <row r="756" spans="9:9" x14ac:dyDescent="0.4">
      <c r="I756" s="58"/>
    </row>
    <row r="757" spans="9:9" x14ac:dyDescent="0.4">
      <c r="I757" s="58"/>
    </row>
    <row r="758" spans="9:9" x14ac:dyDescent="0.4">
      <c r="I758" s="58"/>
    </row>
    <row r="759" spans="9:9" x14ac:dyDescent="0.4">
      <c r="I759" s="58"/>
    </row>
    <row r="760" spans="9:9" x14ac:dyDescent="0.4">
      <c r="I760" s="58"/>
    </row>
    <row r="761" spans="9:9" x14ac:dyDescent="0.4">
      <c r="I761" s="58"/>
    </row>
    <row r="762" spans="9:9" x14ac:dyDescent="0.4">
      <c r="I762" s="58"/>
    </row>
    <row r="763" spans="9:9" x14ac:dyDescent="0.4">
      <c r="I763" s="58"/>
    </row>
    <row r="764" spans="9:9" x14ac:dyDescent="0.4">
      <c r="I764" s="58"/>
    </row>
    <row r="765" spans="9:9" x14ac:dyDescent="0.4">
      <c r="I765" s="58"/>
    </row>
    <row r="766" spans="9:9" x14ac:dyDescent="0.4">
      <c r="I766" s="58"/>
    </row>
    <row r="767" spans="9:9" x14ac:dyDescent="0.4">
      <c r="I767" s="58"/>
    </row>
    <row r="768" spans="9:9" x14ac:dyDescent="0.4">
      <c r="I768" s="58"/>
    </row>
    <row r="769" spans="9:9" x14ac:dyDescent="0.4">
      <c r="I769" s="58"/>
    </row>
    <row r="770" spans="9:9" x14ac:dyDescent="0.4">
      <c r="I770" s="58"/>
    </row>
    <row r="771" spans="9:9" x14ac:dyDescent="0.4">
      <c r="I771" s="58"/>
    </row>
    <row r="772" spans="9:9" x14ac:dyDescent="0.4">
      <c r="I772" s="58"/>
    </row>
    <row r="773" spans="9:9" x14ac:dyDescent="0.4">
      <c r="I773" s="58"/>
    </row>
    <row r="774" spans="9:9" x14ac:dyDescent="0.4">
      <c r="I774" s="58"/>
    </row>
    <row r="775" spans="9:9" x14ac:dyDescent="0.4">
      <c r="I775" s="58"/>
    </row>
    <row r="776" spans="9:9" x14ac:dyDescent="0.4">
      <c r="I776" s="58"/>
    </row>
    <row r="777" spans="9:9" x14ac:dyDescent="0.4">
      <c r="I777" s="58"/>
    </row>
    <row r="778" spans="9:9" x14ac:dyDescent="0.4">
      <c r="I778" s="58"/>
    </row>
    <row r="779" spans="9:9" x14ac:dyDescent="0.4">
      <c r="I779" s="58"/>
    </row>
    <row r="780" spans="9:9" x14ac:dyDescent="0.4">
      <c r="I780" s="58"/>
    </row>
    <row r="781" spans="9:9" x14ac:dyDescent="0.4">
      <c r="I781" s="58"/>
    </row>
    <row r="782" spans="9:9" x14ac:dyDescent="0.4">
      <c r="I782" s="58"/>
    </row>
    <row r="783" spans="9:9" x14ac:dyDescent="0.4">
      <c r="I783" s="58"/>
    </row>
    <row r="784" spans="9:9" x14ac:dyDescent="0.4">
      <c r="I784" s="58"/>
    </row>
    <row r="785" spans="9:9" x14ac:dyDescent="0.4">
      <c r="I785" s="58"/>
    </row>
    <row r="786" spans="9:9" x14ac:dyDescent="0.4">
      <c r="I786" s="58"/>
    </row>
    <row r="787" spans="9:9" x14ac:dyDescent="0.4">
      <c r="I787" s="58"/>
    </row>
    <row r="788" spans="9:9" x14ac:dyDescent="0.4">
      <c r="I788" s="58"/>
    </row>
    <row r="789" spans="9:9" x14ac:dyDescent="0.4">
      <c r="I789" s="58"/>
    </row>
    <row r="790" spans="9:9" x14ac:dyDescent="0.4">
      <c r="I790" s="58"/>
    </row>
    <row r="791" spans="9:9" x14ac:dyDescent="0.4">
      <c r="I791" s="58"/>
    </row>
    <row r="792" spans="9:9" x14ac:dyDescent="0.4">
      <c r="I792" s="58"/>
    </row>
    <row r="793" spans="9:9" x14ac:dyDescent="0.4">
      <c r="I793" s="58"/>
    </row>
    <row r="794" spans="9:9" x14ac:dyDescent="0.4">
      <c r="I794" s="58"/>
    </row>
    <row r="795" spans="9:9" x14ac:dyDescent="0.4">
      <c r="I795" s="58"/>
    </row>
    <row r="796" spans="9:9" x14ac:dyDescent="0.4">
      <c r="I796" s="58"/>
    </row>
    <row r="797" spans="9:9" x14ac:dyDescent="0.4">
      <c r="I797" s="58"/>
    </row>
    <row r="798" spans="9:9" x14ac:dyDescent="0.4">
      <c r="I798" s="58"/>
    </row>
    <row r="799" spans="9:9" x14ac:dyDescent="0.4">
      <c r="I799" s="58"/>
    </row>
    <row r="800" spans="9:9" x14ac:dyDescent="0.4">
      <c r="I800" s="58"/>
    </row>
    <row r="801" spans="9:9" x14ac:dyDescent="0.4">
      <c r="I801" s="58"/>
    </row>
    <row r="802" spans="9:9" x14ac:dyDescent="0.4">
      <c r="I802" s="58"/>
    </row>
    <row r="803" spans="9:9" x14ac:dyDescent="0.4">
      <c r="I803" s="58"/>
    </row>
    <row r="804" spans="9:9" x14ac:dyDescent="0.4">
      <c r="I804" s="58"/>
    </row>
    <row r="805" spans="9:9" x14ac:dyDescent="0.4">
      <c r="I805" s="58"/>
    </row>
    <row r="806" spans="9:9" x14ac:dyDescent="0.4">
      <c r="I806" s="58"/>
    </row>
    <row r="807" spans="9:9" x14ac:dyDescent="0.4">
      <c r="I807" s="58"/>
    </row>
    <row r="808" spans="9:9" x14ac:dyDescent="0.4">
      <c r="I808" s="58"/>
    </row>
    <row r="809" spans="9:9" x14ac:dyDescent="0.4">
      <c r="I809" s="58"/>
    </row>
    <row r="810" spans="9:9" x14ac:dyDescent="0.4">
      <c r="I810" s="58"/>
    </row>
    <row r="811" spans="9:9" x14ac:dyDescent="0.4">
      <c r="I811" s="58"/>
    </row>
    <row r="812" spans="9:9" x14ac:dyDescent="0.4">
      <c r="I812" s="58"/>
    </row>
    <row r="813" spans="9:9" x14ac:dyDescent="0.4">
      <c r="I813" s="58"/>
    </row>
    <row r="814" spans="9:9" x14ac:dyDescent="0.4">
      <c r="I814" s="58"/>
    </row>
    <row r="815" spans="9:9" x14ac:dyDescent="0.4">
      <c r="I815" s="58"/>
    </row>
    <row r="816" spans="9:9" x14ac:dyDescent="0.4">
      <c r="I816" s="58"/>
    </row>
    <row r="817" spans="9:9" x14ac:dyDescent="0.4">
      <c r="I817" s="58"/>
    </row>
    <row r="818" spans="9:9" x14ac:dyDescent="0.4">
      <c r="I818" s="58"/>
    </row>
    <row r="819" spans="9:9" x14ac:dyDescent="0.4">
      <c r="I819" s="58"/>
    </row>
    <row r="820" spans="9:9" x14ac:dyDescent="0.4">
      <c r="I820" s="58"/>
    </row>
    <row r="821" spans="9:9" x14ac:dyDescent="0.4">
      <c r="I821" s="58"/>
    </row>
    <row r="822" spans="9:9" x14ac:dyDescent="0.4">
      <c r="I822" s="58"/>
    </row>
    <row r="823" spans="9:9" x14ac:dyDescent="0.4">
      <c r="I823" s="58"/>
    </row>
    <row r="824" spans="9:9" x14ac:dyDescent="0.4">
      <c r="I824" s="58"/>
    </row>
    <row r="825" spans="9:9" x14ac:dyDescent="0.4">
      <c r="I825" s="58"/>
    </row>
    <row r="826" spans="9:9" x14ac:dyDescent="0.4">
      <c r="I826" s="58"/>
    </row>
    <row r="827" spans="9:9" x14ac:dyDescent="0.4">
      <c r="I827" s="58"/>
    </row>
    <row r="828" spans="9:9" x14ac:dyDescent="0.4">
      <c r="I828" s="58"/>
    </row>
    <row r="829" spans="9:9" x14ac:dyDescent="0.4">
      <c r="I829" s="58"/>
    </row>
    <row r="830" spans="9:9" x14ac:dyDescent="0.4">
      <c r="I830" s="58"/>
    </row>
    <row r="831" spans="9:9" x14ac:dyDescent="0.4">
      <c r="I831" s="58"/>
    </row>
    <row r="832" spans="9:9" x14ac:dyDescent="0.4">
      <c r="I832" s="58"/>
    </row>
    <row r="833" spans="9:9" x14ac:dyDescent="0.4">
      <c r="I833" s="58"/>
    </row>
    <row r="834" spans="9:9" x14ac:dyDescent="0.4">
      <c r="I834" s="58"/>
    </row>
    <row r="835" spans="9:9" x14ac:dyDescent="0.4">
      <c r="I835" s="58"/>
    </row>
    <row r="836" spans="9:9" x14ac:dyDescent="0.4">
      <c r="I836" s="58"/>
    </row>
    <row r="837" spans="9:9" x14ac:dyDescent="0.4">
      <c r="I837" s="58"/>
    </row>
    <row r="838" spans="9:9" x14ac:dyDescent="0.4">
      <c r="I838" s="58"/>
    </row>
    <row r="839" spans="9:9" x14ac:dyDescent="0.4">
      <c r="I839" s="58"/>
    </row>
    <row r="840" spans="9:9" x14ac:dyDescent="0.4">
      <c r="I840" s="58"/>
    </row>
    <row r="841" spans="9:9" x14ac:dyDescent="0.4">
      <c r="I841" s="58"/>
    </row>
    <row r="842" spans="9:9" x14ac:dyDescent="0.4">
      <c r="I842" s="58"/>
    </row>
    <row r="843" spans="9:9" x14ac:dyDescent="0.4">
      <c r="I843" s="58"/>
    </row>
    <row r="844" spans="9:9" x14ac:dyDescent="0.4">
      <c r="I844" s="58"/>
    </row>
    <row r="845" spans="9:9" x14ac:dyDescent="0.4">
      <c r="I845" s="58"/>
    </row>
    <row r="846" spans="9:9" x14ac:dyDescent="0.4">
      <c r="I846" s="58"/>
    </row>
    <row r="847" spans="9:9" x14ac:dyDescent="0.4">
      <c r="I847" s="58"/>
    </row>
    <row r="848" spans="9:9" x14ac:dyDescent="0.4">
      <c r="I848" s="58"/>
    </row>
    <row r="849" spans="9:9" x14ac:dyDescent="0.4">
      <c r="I849" s="58"/>
    </row>
    <row r="850" spans="9:9" x14ac:dyDescent="0.4">
      <c r="I850" s="58"/>
    </row>
    <row r="851" spans="9:9" x14ac:dyDescent="0.4">
      <c r="I851" s="58"/>
    </row>
    <row r="852" spans="9:9" x14ac:dyDescent="0.4">
      <c r="I852" s="58"/>
    </row>
    <row r="853" spans="9:9" x14ac:dyDescent="0.4">
      <c r="I853" s="58"/>
    </row>
    <row r="854" spans="9:9" x14ac:dyDescent="0.4">
      <c r="I854" s="58"/>
    </row>
    <row r="855" spans="9:9" x14ac:dyDescent="0.4">
      <c r="I855" s="58"/>
    </row>
    <row r="856" spans="9:9" x14ac:dyDescent="0.4">
      <c r="I856" s="58"/>
    </row>
    <row r="857" spans="9:9" x14ac:dyDescent="0.4">
      <c r="I857" s="58"/>
    </row>
    <row r="858" spans="9:9" x14ac:dyDescent="0.4">
      <c r="I858" s="58"/>
    </row>
    <row r="859" spans="9:9" x14ac:dyDescent="0.4">
      <c r="I859" s="58"/>
    </row>
    <row r="860" spans="9:9" x14ac:dyDescent="0.4">
      <c r="I860" s="58"/>
    </row>
    <row r="861" spans="9:9" x14ac:dyDescent="0.4">
      <c r="I861" s="58"/>
    </row>
    <row r="862" spans="9:9" x14ac:dyDescent="0.4">
      <c r="I862" s="58"/>
    </row>
    <row r="863" spans="9:9" x14ac:dyDescent="0.4">
      <c r="I863" s="58"/>
    </row>
    <row r="864" spans="9:9" x14ac:dyDescent="0.4">
      <c r="I864" s="58"/>
    </row>
    <row r="865" spans="9:9" x14ac:dyDescent="0.4">
      <c r="I865" s="58"/>
    </row>
    <row r="866" spans="9:9" x14ac:dyDescent="0.4">
      <c r="I866" s="58"/>
    </row>
    <row r="867" spans="9:9" x14ac:dyDescent="0.4">
      <c r="I867" s="58"/>
    </row>
    <row r="868" spans="9:9" x14ac:dyDescent="0.4">
      <c r="I868" s="58"/>
    </row>
    <row r="869" spans="9:9" x14ac:dyDescent="0.4">
      <c r="I869" s="58"/>
    </row>
    <row r="870" spans="9:9" x14ac:dyDescent="0.4">
      <c r="I870" s="58"/>
    </row>
    <row r="871" spans="9:9" x14ac:dyDescent="0.4">
      <c r="I871" s="58"/>
    </row>
    <row r="872" spans="9:9" x14ac:dyDescent="0.4">
      <c r="I872" s="58"/>
    </row>
    <row r="873" spans="9:9" x14ac:dyDescent="0.4">
      <c r="I873" s="58"/>
    </row>
    <row r="874" spans="9:9" x14ac:dyDescent="0.4">
      <c r="I874" s="58"/>
    </row>
    <row r="875" spans="9:9" x14ac:dyDescent="0.4">
      <c r="I875" s="58"/>
    </row>
    <row r="876" spans="9:9" x14ac:dyDescent="0.4">
      <c r="I876" s="58"/>
    </row>
    <row r="877" spans="9:9" x14ac:dyDescent="0.4">
      <c r="I877" s="58"/>
    </row>
    <row r="878" spans="9:9" x14ac:dyDescent="0.4">
      <c r="I878" s="58"/>
    </row>
    <row r="879" spans="9:9" x14ac:dyDescent="0.4">
      <c r="I879" s="58"/>
    </row>
    <row r="880" spans="9:9" x14ac:dyDescent="0.4">
      <c r="I880" s="58"/>
    </row>
    <row r="881" spans="9:9" x14ac:dyDescent="0.4">
      <c r="I881" s="58"/>
    </row>
    <row r="882" spans="9:9" x14ac:dyDescent="0.4">
      <c r="I882" s="58"/>
    </row>
    <row r="883" spans="9:9" x14ac:dyDescent="0.4">
      <c r="I883" s="58"/>
    </row>
    <row r="884" spans="9:9" x14ac:dyDescent="0.4">
      <c r="I884" s="58"/>
    </row>
    <row r="885" spans="9:9" x14ac:dyDescent="0.4">
      <c r="I885" s="58"/>
    </row>
    <row r="886" spans="9:9" x14ac:dyDescent="0.4">
      <c r="I886" s="58"/>
    </row>
    <row r="887" spans="9:9" x14ac:dyDescent="0.4">
      <c r="I887" s="58"/>
    </row>
    <row r="888" spans="9:9" x14ac:dyDescent="0.4">
      <c r="I888" s="58"/>
    </row>
    <row r="889" spans="9:9" x14ac:dyDescent="0.4">
      <c r="I889" s="58"/>
    </row>
    <row r="890" spans="9:9" x14ac:dyDescent="0.4">
      <c r="I890" s="58"/>
    </row>
    <row r="891" spans="9:9" x14ac:dyDescent="0.4">
      <c r="I891" s="58"/>
    </row>
    <row r="892" spans="9:9" x14ac:dyDescent="0.4">
      <c r="I892" s="58"/>
    </row>
    <row r="893" spans="9:9" x14ac:dyDescent="0.4">
      <c r="I893" s="58"/>
    </row>
    <row r="894" spans="9:9" x14ac:dyDescent="0.4">
      <c r="I894" s="58"/>
    </row>
    <row r="895" spans="9:9" x14ac:dyDescent="0.4">
      <c r="I895" s="58"/>
    </row>
    <row r="896" spans="9:9" x14ac:dyDescent="0.4">
      <c r="I896" s="58"/>
    </row>
    <row r="897" spans="9:9" x14ac:dyDescent="0.4">
      <c r="I897" s="58"/>
    </row>
    <row r="898" spans="9:9" x14ac:dyDescent="0.4">
      <c r="I898" s="58"/>
    </row>
    <row r="899" spans="9:9" x14ac:dyDescent="0.4">
      <c r="I899" s="58"/>
    </row>
    <row r="900" spans="9:9" x14ac:dyDescent="0.4">
      <c r="I900" s="58"/>
    </row>
    <row r="901" spans="9:9" x14ac:dyDescent="0.4">
      <c r="I901" s="58"/>
    </row>
    <row r="902" spans="9:9" x14ac:dyDescent="0.4">
      <c r="I902" s="58"/>
    </row>
    <row r="903" spans="9:9" x14ac:dyDescent="0.4">
      <c r="I903" s="58"/>
    </row>
    <row r="904" spans="9:9" x14ac:dyDescent="0.4">
      <c r="I904" s="58"/>
    </row>
    <row r="905" spans="9:9" x14ac:dyDescent="0.4">
      <c r="I905" s="58"/>
    </row>
    <row r="906" spans="9:9" x14ac:dyDescent="0.4">
      <c r="I906" s="58"/>
    </row>
    <row r="907" spans="9:9" x14ac:dyDescent="0.4">
      <c r="I907" s="58"/>
    </row>
    <row r="908" spans="9:9" x14ac:dyDescent="0.4">
      <c r="I908" s="58"/>
    </row>
    <row r="909" spans="9:9" x14ac:dyDescent="0.4">
      <c r="I909" s="58"/>
    </row>
    <row r="910" spans="9:9" x14ac:dyDescent="0.4">
      <c r="I910" s="58"/>
    </row>
    <row r="911" spans="9:9" x14ac:dyDescent="0.4">
      <c r="I911" s="58"/>
    </row>
    <row r="912" spans="9:9" x14ac:dyDescent="0.4">
      <c r="I912" s="58"/>
    </row>
    <row r="913" spans="9:9" x14ac:dyDescent="0.4">
      <c r="I913" s="58"/>
    </row>
    <row r="914" spans="9:9" x14ac:dyDescent="0.4">
      <c r="I914" s="58"/>
    </row>
    <row r="915" spans="9:9" x14ac:dyDescent="0.4">
      <c r="I915" s="58"/>
    </row>
    <row r="916" spans="9:9" x14ac:dyDescent="0.4">
      <c r="I916" s="58"/>
    </row>
    <row r="917" spans="9:9" x14ac:dyDescent="0.4">
      <c r="I917" s="58"/>
    </row>
    <row r="918" spans="9:9" x14ac:dyDescent="0.4">
      <c r="I918" s="58"/>
    </row>
    <row r="919" spans="9:9" x14ac:dyDescent="0.4">
      <c r="I919" s="58"/>
    </row>
    <row r="920" spans="9:9" x14ac:dyDescent="0.4">
      <c r="I920" s="58"/>
    </row>
    <row r="921" spans="9:9" x14ac:dyDescent="0.4">
      <c r="I921" s="58"/>
    </row>
    <row r="922" spans="9:9" x14ac:dyDescent="0.4">
      <c r="I922" s="58"/>
    </row>
    <row r="923" spans="9:9" x14ac:dyDescent="0.4">
      <c r="I923" s="58"/>
    </row>
    <row r="924" spans="9:9" x14ac:dyDescent="0.4">
      <c r="I924" s="58"/>
    </row>
    <row r="925" spans="9:9" x14ac:dyDescent="0.4">
      <c r="I925" s="58"/>
    </row>
    <row r="926" spans="9:9" x14ac:dyDescent="0.4">
      <c r="I926" s="58"/>
    </row>
    <row r="927" spans="9:9" x14ac:dyDescent="0.4">
      <c r="I927" s="58"/>
    </row>
    <row r="928" spans="9:9" x14ac:dyDescent="0.4">
      <c r="I928" s="58"/>
    </row>
    <row r="929" spans="9:9" x14ac:dyDescent="0.4">
      <c r="I929" s="58"/>
    </row>
    <row r="930" spans="9:9" x14ac:dyDescent="0.4">
      <c r="I930" s="58"/>
    </row>
    <row r="931" spans="9:9" x14ac:dyDescent="0.4">
      <c r="I931" s="58"/>
    </row>
    <row r="932" spans="9:9" x14ac:dyDescent="0.4">
      <c r="I932" s="58"/>
    </row>
    <row r="933" spans="9:9" x14ac:dyDescent="0.4">
      <c r="I933" s="58"/>
    </row>
    <row r="934" spans="9:9" x14ac:dyDescent="0.4">
      <c r="I934" s="58"/>
    </row>
    <row r="935" spans="9:9" x14ac:dyDescent="0.4">
      <c r="I935" s="58"/>
    </row>
    <row r="936" spans="9:9" x14ac:dyDescent="0.4">
      <c r="I936" s="58"/>
    </row>
    <row r="937" spans="9:9" x14ac:dyDescent="0.4">
      <c r="I937" s="58"/>
    </row>
    <row r="938" spans="9:9" x14ac:dyDescent="0.4">
      <c r="I938" s="58"/>
    </row>
    <row r="939" spans="9:9" x14ac:dyDescent="0.4">
      <c r="I939" s="58"/>
    </row>
    <row r="940" spans="9:9" x14ac:dyDescent="0.4">
      <c r="I940" s="58"/>
    </row>
    <row r="941" spans="9:9" x14ac:dyDescent="0.4">
      <c r="I941" s="58"/>
    </row>
    <row r="942" spans="9:9" x14ac:dyDescent="0.4">
      <c r="I942" s="58"/>
    </row>
    <row r="943" spans="9:9" x14ac:dyDescent="0.4">
      <c r="I943" s="58"/>
    </row>
    <row r="944" spans="9:9" x14ac:dyDescent="0.4">
      <c r="I944" s="58"/>
    </row>
    <row r="945" spans="9:9" x14ac:dyDescent="0.4">
      <c r="I945" s="58"/>
    </row>
    <row r="946" spans="9:9" x14ac:dyDescent="0.4">
      <c r="I946" s="58"/>
    </row>
    <row r="947" spans="9:9" x14ac:dyDescent="0.4">
      <c r="I947" s="58"/>
    </row>
    <row r="948" spans="9:9" x14ac:dyDescent="0.4">
      <c r="I948" s="58"/>
    </row>
    <row r="949" spans="9:9" x14ac:dyDescent="0.4">
      <c r="I949" s="58"/>
    </row>
    <row r="950" spans="9:9" x14ac:dyDescent="0.4">
      <c r="I950" s="58"/>
    </row>
    <row r="951" spans="9:9" x14ac:dyDescent="0.4">
      <c r="I951" s="58"/>
    </row>
    <row r="952" spans="9:9" x14ac:dyDescent="0.4">
      <c r="I952" s="58"/>
    </row>
    <row r="953" spans="9:9" x14ac:dyDescent="0.4">
      <c r="I953" s="58"/>
    </row>
    <row r="954" spans="9:9" x14ac:dyDescent="0.4">
      <c r="I954" s="58"/>
    </row>
    <row r="955" spans="9:9" x14ac:dyDescent="0.4">
      <c r="I955" s="58"/>
    </row>
    <row r="956" spans="9:9" x14ac:dyDescent="0.4">
      <c r="I956" s="58"/>
    </row>
    <row r="957" spans="9:9" x14ac:dyDescent="0.4">
      <c r="I957" s="58"/>
    </row>
    <row r="958" spans="9:9" x14ac:dyDescent="0.4">
      <c r="I958" s="58"/>
    </row>
    <row r="959" spans="9:9" x14ac:dyDescent="0.4">
      <c r="I959" s="58"/>
    </row>
    <row r="960" spans="9:9" x14ac:dyDescent="0.4">
      <c r="I960" s="58"/>
    </row>
    <row r="961" spans="9:9" x14ac:dyDescent="0.4">
      <c r="I961" s="58"/>
    </row>
    <row r="962" spans="9:9" x14ac:dyDescent="0.4">
      <c r="I962" s="58"/>
    </row>
    <row r="963" spans="9:9" x14ac:dyDescent="0.4">
      <c r="I963" s="58"/>
    </row>
    <row r="964" spans="9:9" x14ac:dyDescent="0.4">
      <c r="I964" s="58"/>
    </row>
    <row r="965" spans="9:9" x14ac:dyDescent="0.4">
      <c r="I965" s="58"/>
    </row>
    <row r="966" spans="9:9" x14ac:dyDescent="0.4">
      <c r="I966" s="58"/>
    </row>
    <row r="967" spans="9:9" x14ac:dyDescent="0.4">
      <c r="I967" s="58"/>
    </row>
    <row r="968" spans="9:9" x14ac:dyDescent="0.4">
      <c r="I968" s="58"/>
    </row>
    <row r="969" spans="9:9" x14ac:dyDescent="0.4">
      <c r="I969" s="58"/>
    </row>
    <row r="970" spans="9:9" x14ac:dyDescent="0.4">
      <c r="I970" s="58"/>
    </row>
    <row r="971" spans="9:9" x14ac:dyDescent="0.4">
      <c r="I971" s="58"/>
    </row>
    <row r="972" spans="9:9" x14ac:dyDescent="0.4">
      <c r="I972" s="58"/>
    </row>
    <row r="973" spans="9:9" x14ac:dyDescent="0.4">
      <c r="I973" s="58"/>
    </row>
    <row r="974" spans="9:9" x14ac:dyDescent="0.4">
      <c r="I974" s="58"/>
    </row>
    <row r="975" spans="9:9" x14ac:dyDescent="0.4">
      <c r="I975" s="58"/>
    </row>
    <row r="976" spans="9:9" x14ac:dyDescent="0.4">
      <c r="I976" s="58"/>
    </row>
    <row r="977" spans="9:9" x14ac:dyDescent="0.4">
      <c r="I977" s="58"/>
    </row>
    <row r="978" spans="9:9" x14ac:dyDescent="0.4">
      <c r="I978" s="58"/>
    </row>
    <row r="979" spans="9:9" x14ac:dyDescent="0.4">
      <c r="I979" s="58"/>
    </row>
    <row r="980" spans="9:9" x14ac:dyDescent="0.4">
      <c r="I980" s="58"/>
    </row>
    <row r="981" spans="9:9" x14ac:dyDescent="0.4">
      <c r="I981" s="58"/>
    </row>
    <row r="982" spans="9:9" x14ac:dyDescent="0.4">
      <c r="I982" s="58"/>
    </row>
    <row r="983" spans="9:9" x14ac:dyDescent="0.4">
      <c r="I983" s="58"/>
    </row>
    <row r="984" spans="9:9" x14ac:dyDescent="0.4">
      <c r="I984" s="58"/>
    </row>
    <row r="985" spans="9:9" x14ac:dyDescent="0.4">
      <c r="I985" s="58"/>
    </row>
    <row r="986" spans="9:9" x14ac:dyDescent="0.4">
      <c r="I986" s="58"/>
    </row>
    <row r="987" spans="9:9" x14ac:dyDescent="0.4">
      <c r="I987" s="58"/>
    </row>
    <row r="988" spans="9:9" x14ac:dyDescent="0.4">
      <c r="I988" s="58"/>
    </row>
    <row r="989" spans="9:9" x14ac:dyDescent="0.4">
      <c r="I989" s="58"/>
    </row>
    <row r="990" spans="9:9" x14ac:dyDescent="0.4">
      <c r="I990" s="58"/>
    </row>
    <row r="991" spans="9:9" x14ac:dyDescent="0.4">
      <c r="I991" s="58"/>
    </row>
    <row r="992" spans="9:9" x14ac:dyDescent="0.4">
      <c r="I992" s="58"/>
    </row>
    <row r="993" spans="9:9" x14ac:dyDescent="0.4">
      <c r="I993" s="58"/>
    </row>
    <row r="994" spans="9:9" x14ac:dyDescent="0.4">
      <c r="I994" s="58"/>
    </row>
    <row r="995" spans="9:9" x14ac:dyDescent="0.4">
      <c r="I995" s="58"/>
    </row>
    <row r="996" spans="9:9" x14ac:dyDescent="0.4">
      <c r="I996" s="58"/>
    </row>
    <row r="997" spans="9:9" x14ac:dyDescent="0.4">
      <c r="I997" s="58"/>
    </row>
    <row r="998" spans="9:9" x14ac:dyDescent="0.4">
      <c r="I998" s="58"/>
    </row>
    <row r="999" spans="9:9" x14ac:dyDescent="0.4">
      <c r="I999" s="58"/>
    </row>
    <row r="1000" spans="9:9" x14ac:dyDescent="0.4">
      <c r="I1000" s="58"/>
    </row>
    <row r="1001" spans="9:9" x14ac:dyDescent="0.4">
      <c r="I1001" s="58"/>
    </row>
    <row r="1002" spans="9:9" x14ac:dyDescent="0.4">
      <c r="I1002" s="58"/>
    </row>
  </sheetData>
  <mergeCells count="7">
    <mergeCell ref="A65:H65"/>
    <mergeCell ref="A1:H1"/>
    <mergeCell ref="A3:H3"/>
    <mergeCell ref="A12:H12"/>
    <mergeCell ref="A36:H36"/>
    <mergeCell ref="A45:H45"/>
    <mergeCell ref="A61:H61"/>
  </mergeCells>
  <conditionalFormatting sqref="D10">
    <cfRule type="cellIs" dxfId="131" priority="13" operator="lessThan">
      <formula>0</formula>
    </cfRule>
    <cfRule type="cellIs" dxfId="130" priority="14" operator="greaterThan">
      <formula>0</formula>
    </cfRule>
    <cfRule type="cellIs" dxfId="129" priority="15" operator="equal">
      <formula>0</formula>
    </cfRule>
  </conditionalFormatting>
  <conditionalFormatting sqref="D34">
    <cfRule type="cellIs" dxfId="128" priority="10" operator="lessThan">
      <formula>0</formula>
    </cfRule>
    <cfRule type="cellIs" dxfId="127" priority="11" operator="greaterThan">
      <formula>0</formula>
    </cfRule>
    <cfRule type="cellIs" dxfId="126" priority="12" operator="equal">
      <formula>0</formula>
    </cfRule>
  </conditionalFormatting>
  <conditionalFormatting sqref="D43 D55 D59 D63 D77 D79">
    <cfRule type="cellIs" dxfId="125" priority="7" operator="lessThan">
      <formula>0</formula>
    </cfRule>
    <cfRule type="cellIs" dxfId="124" priority="8" operator="greaterThan">
      <formula>0</formula>
    </cfRule>
    <cfRule type="cellIs" dxfId="123" priority="9" operator="equal">
      <formula>0</formula>
    </cfRule>
  </conditionalFormatting>
  <conditionalFormatting sqref="D58">
    <cfRule type="expression" dxfId="122" priority="1">
      <formula>D58&lt;H58</formula>
    </cfRule>
    <cfRule type="expression" dxfId="121" priority="2">
      <formula>D58&gt;H58</formula>
    </cfRule>
    <cfRule type="expression" dxfId="120" priority="3">
      <formula>D58=H58</formula>
    </cfRule>
  </conditionalFormatting>
  <conditionalFormatting sqref="E4:E11 E13:E35 E37:E44 E46:E57 E59:E1048576">
    <cfRule type="expression" dxfId="119" priority="4">
      <formula>E4&lt;H4</formula>
    </cfRule>
    <cfRule type="expression" dxfId="118" priority="5">
      <formula>E4&gt;H4</formula>
    </cfRule>
    <cfRule type="expression" dxfId="117" priority="6">
      <formula>E4=H4</formula>
    </cfRule>
  </conditionalFormatting>
  <printOptions horizontalCentered="1"/>
  <pageMargins left="0.25" right="0.25" top="0.75" bottom="0.75" header="0.3" footer="0.3"/>
  <pageSetup scale="78" fitToHeight="0" orientation="landscape" r:id="rId1"/>
  <rowBreaks count="2" manualBreakCount="2">
    <brk id="35" max="7" man="1"/>
    <brk id="64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AD353"/>
  <sheetViews>
    <sheetView zoomScaleNormal="100" zoomScaleSheetLayoutView="70" workbookViewId="0">
      <pane ySplit="2" topLeftCell="A3" activePane="bottomLeft" state="frozen"/>
      <selection activeCell="K39" sqref="K39"/>
      <selection pane="bottomLeft" activeCell="A3" sqref="A3:L3"/>
    </sheetView>
  </sheetViews>
  <sheetFormatPr defaultColWidth="14.3828125" defaultRowHeight="15" customHeight="1" x14ac:dyDescent="0.4"/>
  <cols>
    <col min="1" max="1" width="7.69140625" bestFit="1" customWidth="1"/>
    <col min="2" max="2" width="19" customWidth="1"/>
    <col min="3" max="3" width="6.69140625" bestFit="1" customWidth="1"/>
    <col min="4" max="4" width="61.84375" customWidth="1"/>
    <col min="5" max="5" width="11" customWidth="1"/>
    <col min="6" max="6" width="12.3046875" customWidth="1"/>
    <col min="7" max="7" width="9.3828125" customWidth="1"/>
    <col min="8" max="8" width="15" customWidth="1"/>
    <col min="9" max="9" width="18.53515625" style="114" customWidth="1"/>
    <col min="10" max="10" width="14.3046875" style="35" bestFit="1" customWidth="1"/>
    <col min="11" max="11" width="13.69140625" style="35" bestFit="1" customWidth="1"/>
    <col min="12" max="12" width="18.53515625" customWidth="1"/>
    <col min="13" max="13" width="11.69140625" style="960" customWidth="1"/>
    <col min="14" max="14" width="8.84375" style="960" customWidth="1"/>
    <col min="15" max="15" width="11.53515625" style="960" customWidth="1"/>
    <col min="16" max="16" width="13.3046875" style="960" customWidth="1"/>
    <col min="17" max="17" width="6.15234375" style="960" customWidth="1"/>
    <col min="18" max="18" width="4.3828125" style="960" customWidth="1"/>
    <col min="19" max="19" width="43.53515625" style="961" customWidth="1"/>
    <col min="20" max="23" width="13.3046875" style="960" customWidth="1"/>
    <col min="24" max="28" width="13.3046875" customWidth="1"/>
    <col min="29" max="30" width="15.15234375" customWidth="1"/>
  </cols>
  <sheetData>
    <row r="1" spans="1:19" ht="26.15" x14ac:dyDescent="0.7">
      <c r="B1" s="940" t="s">
        <v>615</v>
      </c>
      <c r="C1" s="940"/>
      <c r="D1" s="940"/>
      <c r="E1" s="940"/>
      <c r="F1" s="940"/>
      <c r="G1" s="940"/>
      <c r="H1" s="940"/>
      <c r="I1" s="940"/>
      <c r="J1" s="940"/>
      <c r="K1" s="940"/>
      <c r="L1" s="940"/>
    </row>
    <row r="2" spans="1:19" ht="29.15" x14ac:dyDescent="0.4">
      <c r="A2" s="774" t="s">
        <v>621</v>
      </c>
      <c r="B2" s="772"/>
      <c r="C2" s="772" t="s">
        <v>207</v>
      </c>
      <c r="D2" s="774" t="s">
        <v>77</v>
      </c>
      <c r="E2" s="775" t="s">
        <v>208</v>
      </c>
      <c r="F2" s="775" t="s">
        <v>209</v>
      </c>
      <c r="G2" s="775" t="s">
        <v>210</v>
      </c>
      <c r="H2" s="774" t="s">
        <v>211</v>
      </c>
      <c r="I2" s="776" t="s">
        <v>617</v>
      </c>
      <c r="J2" s="776" t="s">
        <v>79</v>
      </c>
      <c r="K2" s="776" t="s">
        <v>80</v>
      </c>
      <c r="L2" s="774" t="s">
        <v>212</v>
      </c>
      <c r="R2" s="962"/>
      <c r="S2" s="963"/>
    </row>
    <row r="3" spans="1:19" ht="19.5" customHeight="1" x14ac:dyDescent="0.5">
      <c r="A3" s="950" t="s">
        <v>213</v>
      </c>
      <c r="B3" s="950"/>
      <c r="C3" s="950"/>
      <c r="D3" s="950"/>
      <c r="E3" s="950"/>
      <c r="F3" s="950"/>
      <c r="G3" s="950"/>
      <c r="H3" s="950"/>
      <c r="I3" s="950"/>
      <c r="J3" s="950"/>
      <c r="K3" s="950"/>
      <c r="L3" s="950"/>
      <c r="O3" s="964"/>
      <c r="R3" s="962"/>
    </row>
    <row r="4" spans="1:19" ht="15" customHeight="1" x14ac:dyDescent="0.4">
      <c r="A4" s="527"/>
      <c r="B4" s="625"/>
      <c r="C4" s="64" t="str">
        <f>LEFT($A$3,4)&amp;"-1"</f>
        <v>6110-1</v>
      </c>
      <c r="D4" s="527" t="s">
        <v>214</v>
      </c>
      <c r="E4" s="802"/>
      <c r="F4" s="798"/>
      <c r="G4" s="823">
        <v>1</v>
      </c>
      <c r="H4" s="528">
        <v>100</v>
      </c>
      <c r="I4" s="529">
        <f t="shared" ref="I4:I14" si="0">(E4+F4+G4)*H4</f>
        <v>100</v>
      </c>
      <c r="J4" s="529">
        <f t="shared" ref="J4:J14" ca="1" si="1">(-SUMIF(INDIRECT(LEFT($A$3,4)&amp;"!i3:i200"),"="&amp;C4&amp;" *",INDIRECT(LEFT($A$3,4)&amp;"!k3:k200")))</f>
        <v>-91.98</v>
      </c>
      <c r="K4" s="529">
        <f ca="1">SUM(I4:J4)</f>
        <v>8.019999999999996</v>
      </c>
      <c r="L4" s="529">
        <v>100</v>
      </c>
      <c r="O4" s="965"/>
      <c r="P4" s="306"/>
      <c r="Q4" s="306"/>
      <c r="R4" s="962"/>
    </row>
    <row r="5" spans="1:19" ht="15" customHeight="1" x14ac:dyDescent="0.4">
      <c r="A5" s="530"/>
      <c r="B5" s="629" t="s">
        <v>215</v>
      </c>
      <c r="C5" s="111" t="str">
        <f>LEFT($C4,4)&amp;"-"&amp;VALUE(MID($C4,FIND("-",$C4)+1,256))+1</f>
        <v>6110-2</v>
      </c>
      <c r="D5" s="530" t="s">
        <v>216</v>
      </c>
      <c r="E5" s="824"/>
      <c r="F5" s="800"/>
      <c r="G5" s="824">
        <v>0</v>
      </c>
      <c r="H5" s="531">
        <v>400</v>
      </c>
      <c r="I5" s="532">
        <f t="shared" si="0"/>
        <v>0</v>
      </c>
      <c r="J5" s="533">
        <f t="shared" ca="1" si="1"/>
        <v>0</v>
      </c>
      <c r="K5" s="533">
        <f t="shared" ref="K5:K14" ca="1" si="2">SUM(I5:J5)</f>
        <v>0</v>
      </c>
      <c r="L5" s="533">
        <v>800</v>
      </c>
      <c r="M5" s="966"/>
      <c r="N5" s="966"/>
      <c r="O5" s="965"/>
      <c r="P5" s="306"/>
      <c r="Q5" s="306"/>
      <c r="R5" s="962"/>
    </row>
    <row r="6" spans="1:19" ht="15" customHeight="1" x14ac:dyDescent="0.4">
      <c r="A6" s="527"/>
      <c r="B6" s="625" t="s">
        <v>217</v>
      </c>
      <c r="C6" s="133" t="str">
        <f t="shared" ref="C6:C14" si="3">LEFT($C5,4)&amp;"-"&amp;VALUE(MID($C5,FIND("-",$C5)+1,256))+1</f>
        <v>6110-3</v>
      </c>
      <c r="D6" s="534" t="s">
        <v>218</v>
      </c>
      <c r="E6" s="825"/>
      <c r="F6" s="793"/>
      <c r="G6" s="825">
        <v>4</v>
      </c>
      <c r="H6" s="535">
        <v>60</v>
      </c>
      <c r="I6" s="529">
        <f t="shared" si="0"/>
        <v>240</v>
      </c>
      <c r="J6" s="529">
        <f t="shared" ca="1" si="1"/>
        <v>0</v>
      </c>
      <c r="K6" s="529">
        <f t="shared" ca="1" si="2"/>
        <v>240</v>
      </c>
      <c r="L6" s="529">
        <v>0</v>
      </c>
      <c r="N6" s="966"/>
      <c r="O6" s="965"/>
      <c r="P6" s="306"/>
      <c r="Q6" s="306"/>
      <c r="R6" s="962"/>
    </row>
    <row r="7" spans="1:19" ht="15" customHeight="1" x14ac:dyDescent="0.4">
      <c r="A7" s="530"/>
      <c r="B7" s="627"/>
      <c r="C7" s="124" t="str">
        <f t="shared" si="3"/>
        <v>6110-4</v>
      </c>
      <c r="D7" s="536" t="s">
        <v>219</v>
      </c>
      <c r="E7" s="810">
        <v>30</v>
      </c>
      <c r="F7" s="794"/>
      <c r="G7" s="794"/>
      <c r="H7" s="537">
        <v>30</v>
      </c>
      <c r="I7" s="532">
        <f t="shared" si="0"/>
        <v>900</v>
      </c>
      <c r="J7" s="532">
        <f t="shared" ca="1" si="1"/>
        <v>-586.54</v>
      </c>
      <c r="K7" s="532">
        <f t="shared" ca="1" si="2"/>
        <v>313.46000000000004</v>
      </c>
      <c r="L7" s="532">
        <v>900</v>
      </c>
      <c r="N7" s="964"/>
      <c r="O7" s="965"/>
      <c r="P7" s="306"/>
      <c r="Q7" s="306"/>
      <c r="R7" s="962"/>
    </row>
    <row r="8" spans="1:19" ht="15" customHeight="1" x14ac:dyDescent="0.4">
      <c r="A8" s="527"/>
      <c r="B8" s="628"/>
      <c r="C8" s="64" t="str">
        <f t="shared" si="3"/>
        <v>6110-5</v>
      </c>
      <c r="D8" s="538" t="s">
        <v>220</v>
      </c>
      <c r="E8" s="826"/>
      <c r="F8" s="799"/>
      <c r="G8" s="826">
        <v>60</v>
      </c>
      <c r="H8" s="539">
        <v>34</v>
      </c>
      <c r="I8" s="529">
        <f t="shared" si="0"/>
        <v>2040</v>
      </c>
      <c r="J8" s="540">
        <f t="shared" ca="1" si="1"/>
        <v>-2329.5</v>
      </c>
      <c r="K8" s="540">
        <f t="shared" ca="1" si="2"/>
        <v>-289.5</v>
      </c>
      <c r="L8" s="540">
        <v>2040</v>
      </c>
      <c r="M8" s="966"/>
      <c r="N8" s="966"/>
      <c r="O8" s="965"/>
      <c r="P8" s="306"/>
      <c r="Q8" s="306"/>
      <c r="R8" s="962"/>
    </row>
    <row r="9" spans="1:19" ht="15" customHeight="1" x14ac:dyDescent="0.4">
      <c r="A9" s="530"/>
      <c r="B9" s="634"/>
      <c r="C9" s="111" t="str">
        <f t="shared" si="3"/>
        <v>6110-6</v>
      </c>
      <c r="D9" s="536" t="s">
        <v>221</v>
      </c>
      <c r="E9" s="827"/>
      <c r="F9" s="794"/>
      <c r="G9" s="827">
        <v>4</v>
      </c>
      <c r="H9" s="537">
        <v>70</v>
      </c>
      <c r="I9" s="532">
        <f t="shared" si="0"/>
        <v>280</v>
      </c>
      <c r="J9" s="532">
        <f t="shared" ca="1" si="1"/>
        <v>-556</v>
      </c>
      <c r="K9" s="532">
        <f t="shared" ca="1" si="2"/>
        <v>-276</v>
      </c>
      <c r="L9" s="532">
        <v>420</v>
      </c>
      <c r="N9" s="966"/>
      <c r="O9" s="965"/>
      <c r="P9" s="306"/>
      <c r="Q9" s="306"/>
      <c r="R9" s="962"/>
    </row>
    <row r="10" spans="1:19" ht="15" customHeight="1" x14ac:dyDescent="0.4">
      <c r="A10" s="527"/>
      <c r="B10" s="625" t="s">
        <v>222</v>
      </c>
      <c r="C10" s="64" t="str">
        <f t="shared" si="3"/>
        <v>6110-7</v>
      </c>
      <c r="D10" s="534" t="s">
        <v>223</v>
      </c>
      <c r="E10" s="825">
        <v>17</v>
      </c>
      <c r="F10" s="828"/>
      <c r="G10" s="829"/>
      <c r="H10" s="535">
        <v>60</v>
      </c>
      <c r="I10" s="529">
        <f t="shared" si="0"/>
        <v>1020</v>
      </c>
      <c r="J10" s="529">
        <f t="shared" ca="1" si="1"/>
        <v>-560.99</v>
      </c>
      <c r="K10" s="529">
        <f t="shared" ca="1" si="2"/>
        <v>459.01</v>
      </c>
      <c r="L10" s="529">
        <v>765</v>
      </c>
      <c r="M10" s="966"/>
      <c r="N10" s="964"/>
      <c r="O10" s="965"/>
      <c r="P10" s="306"/>
      <c r="Q10" s="306"/>
      <c r="R10" s="962"/>
    </row>
    <row r="11" spans="1:19" ht="15" customHeight="1" x14ac:dyDescent="0.4">
      <c r="A11" s="530"/>
      <c r="B11" s="629"/>
      <c r="C11" s="111" t="str">
        <f t="shared" si="3"/>
        <v>6110-8</v>
      </c>
      <c r="D11" s="530" t="s">
        <v>224</v>
      </c>
      <c r="E11" s="824"/>
      <c r="F11" s="800"/>
      <c r="G11" s="824">
        <v>1</v>
      </c>
      <c r="H11" s="531">
        <v>8000</v>
      </c>
      <c r="I11" s="532">
        <f t="shared" si="0"/>
        <v>8000</v>
      </c>
      <c r="J11" s="541">
        <f t="shared" ca="1" si="1"/>
        <v>-8696.929999999993</v>
      </c>
      <c r="K11" s="541">
        <f t="shared" ca="1" si="2"/>
        <v>-696.92999999999302</v>
      </c>
      <c r="L11" s="541">
        <v>8000</v>
      </c>
      <c r="N11" s="966"/>
      <c r="O11" s="965"/>
      <c r="P11" s="306"/>
      <c r="Q11" s="306"/>
      <c r="R11" s="962"/>
    </row>
    <row r="12" spans="1:19" ht="15" customHeight="1" x14ac:dyDescent="0.4">
      <c r="A12" s="527"/>
      <c r="B12" s="641"/>
      <c r="C12" s="64" t="str">
        <f t="shared" si="3"/>
        <v>6110-9</v>
      </c>
      <c r="D12" s="534" t="s">
        <v>225</v>
      </c>
      <c r="E12" s="825"/>
      <c r="F12" s="793">
        <v>2</v>
      </c>
      <c r="G12" s="825"/>
      <c r="H12" s="535">
        <v>155</v>
      </c>
      <c r="I12" s="529">
        <f t="shared" si="0"/>
        <v>310</v>
      </c>
      <c r="J12" s="529">
        <f t="shared" ca="1" si="1"/>
        <v>-401.78999999999996</v>
      </c>
      <c r="K12" s="529">
        <f t="shared" ca="1" si="2"/>
        <v>-91.789999999999964</v>
      </c>
      <c r="L12" s="529">
        <v>310</v>
      </c>
      <c r="M12" s="967"/>
      <c r="N12" s="966"/>
      <c r="O12" s="965"/>
      <c r="P12" s="306"/>
      <c r="Q12" s="306"/>
      <c r="R12" s="968"/>
    </row>
    <row r="13" spans="1:19" ht="15" customHeight="1" x14ac:dyDescent="0.4">
      <c r="A13" s="530"/>
      <c r="B13" s="629"/>
      <c r="C13" s="111" t="str">
        <f t="shared" si="3"/>
        <v>6110-10</v>
      </c>
      <c r="D13" s="542" t="s">
        <v>226</v>
      </c>
      <c r="E13" s="830"/>
      <c r="F13" s="796">
        <v>2</v>
      </c>
      <c r="G13" s="830"/>
      <c r="H13" s="543">
        <v>30</v>
      </c>
      <c r="I13" s="532">
        <f t="shared" si="0"/>
        <v>60</v>
      </c>
      <c r="J13" s="541">
        <f t="shared" ca="1" si="1"/>
        <v>0</v>
      </c>
      <c r="K13" s="541">
        <f t="shared" ca="1" si="2"/>
        <v>60</v>
      </c>
      <c r="L13" s="541">
        <v>60</v>
      </c>
      <c r="N13" s="966"/>
      <c r="O13" s="965"/>
      <c r="P13" s="306"/>
      <c r="Q13" s="306"/>
      <c r="R13" s="968"/>
    </row>
    <row r="14" spans="1:19" ht="15" customHeight="1" x14ac:dyDescent="0.4">
      <c r="A14" s="527"/>
      <c r="B14" s="625"/>
      <c r="C14" s="64" t="str">
        <f t="shared" si="3"/>
        <v>6110-11</v>
      </c>
      <c r="D14" s="534" t="s">
        <v>227</v>
      </c>
      <c r="E14" s="825"/>
      <c r="F14" s="793">
        <v>100</v>
      </c>
      <c r="G14" s="825"/>
      <c r="H14" s="535">
        <v>5</v>
      </c>
      <c r="I14" s="529">
        <f t="shared" si="0"/>
        <v>500</v>
      </c>
      <c r="J14" s="529">
        <f t="shared" ca="1" si="1"/>
        <v>-667.36</v>
      </c>
      <c r="K14" s="529">
        <f t="shared" ca="1" si="2"/>
        <v>-167.36</v>
      </c>
      <c r="L14" s="529">
        <v>500</v>
      </c>
      <c r="M14" s="966"/>
      <c r="N14" s="966"/>
      <c r="O14" s="965"/>
      <c r="P14" s="306"/>
      <c r="Q14" s="306"/>
      <c r="R14" s="962"/>
    </row>
    <row r="15" spans="1:19" ht="15" customHeight="1" thickBot="1" x14ac:dyDescent="0.45">
      <c r="B15" s="625"/>
      <c r="C15" s="65"/>
      <c r="D15" s="544" t="s">
        <v>106</v>
      </c>
      <c r="E15" s="545"/>
      <c r="F15" s="545"/>
      <c r="G15" s="421"/>
      <c r="H15" s="546">
        <f>(I15-L15)/L15</f>
        <v>-3.2025908600215904E-2</v>
      </c>
      <c r="I15" s="547">
        <f>SUM(I4:I14)</f>
        <v>13450</v>
      </c>
      <c r="J15" s="548">
        <f ca="1">SUM(J4:J14)</f>
        <v>-13891.089999999993</v>
      </c>
      <c r="K15" s="548">
        <f ca="1">SUM(K4:K14)</f>
        <v>-441.08999999999298</v>
      </c>
      <c r="L15" s="548">
        <f>SUM(L4:L14)</f>
        <v>13895</v>
      </c>
      <c r="O15" s="965"/>
      <c r="P15" s="306"/>
      <c r="Q15" s="306"/>
      <c r="R15" s="962"/>
    </row>
    <row r="16" spans="1:19" ht="9.75" customHeight="1" thickTop="1" x14ac:dyDescent="0.4">
      <c r="B16" s="526"/>
      <c r="C16" s="48"/>
      <c r="D16" s="544"/>
      <c r="E16" s="545"/>
      <c r="F16" s="545"/>
      <c r="G16" s="545"/>
      <c r="H16" s="549"/>
      <c r="I16" s="550"/>
      <c r="J16" s="550"/>
      <c r="K16" s="550"/>
      <c r="L16" s="550"/>
      <c r="O16" s="969"/>
      <c r="P16" s="306"/>
      <c r="Q16" s="306"/>
      <c r="R16" s="962"/>
    </row>
    <row r="17" spans="1:19" ht="19.5" customHeight="1" x14ac:dyDescent="0.5">
      <c r="A17" s="950" t="s">
        <v>228</v>
      </c>
      <c r="B17" s="950"/>
      <c r="C17" s="950"/>
      <c r="D17" s="950"/>
      <c r="E17" s="950"/>
      <c r="F17" s="950"/>
      <c r="G17" s="950"/>
      <c r="H17" s="950"/>
      <c r="I17" s="950"/>
      <c r="J17" s="950"/>
      <c r="K17" s="950"/>
      <c r="L17" s="950"/>
      <c r="O17" s="965"/>
      <c r="P17" s="306"/>
      <c r="Q17" s="306"/>
      <c r="R17" s="962"/>
    </row>
    <row r="18" spans="1:19" ht="15" customHeight="1" x14ac:dyDescent="0.4">
      <c r="A18" s="551"/>
      <c r="B18" s="848"/>
      <c r="C18" s="64" t="str">
        <f>LEFT($A$17,4)&amp;"-1"</f>
        <v>6120-1</v>
      </c>
      <c r="D18" s="551" t="s">
        <v>229</v>
      </c>
      <c r="E18" s="801"/>
      <c r="F18" s="799">
        <v>1</v>
      </c>
      <c r="G18" s="801"/>
      <c r="H18" s="529">
        <v>125120</v>
      </c>
      <c r="I18" s="529">
        <f t="shared" ref="I18:I37" si="4">(E18+F18+G18)*H18</f>
        <v>125120</v>
      </c>
      <c r="J18" s="529">
        <f t="shared" ref="J18:J37" ca="1" si="5">-(SUMIF(INDIRECT(LEFT($A$17,4)&amp;"!i3:i200"),"="&amp;C18&amp;" *",INDIRECT(LEFT($A$17,4)&amp;"!k3:k200")))</f>
        <v>-116594.32999999999</v>
      </c>
      <c r="K18" s="529">
        <f ca="1">SUM(I18:J18)</f>
        <v>8525.6700000000128</v>
      </c>
      <c r="L18" s="529">
        <v>96128</v>
      </c>
      <c r="M18" s="970"/>
      <c r="N18" s="966"/>
      <c r="O18" s="965"/>
      <c r="P18" s="306"/>
      <c r="Q18" s="306"/>
      <c r="R18" s="962"/>
      <c r="S18" s="971"/>
    </row>
    <row r="19" spans="1:19" ht="15" customHeight="1" x14ac:dyDescent="0.4">
      <c r="A19" s="552"/>
      <c r="B19" s="640"/>
      <c r="C19" s="304" t="str">
        <f>LEFT($C18,4)&amp;"-"&amp;VALUE(MID($C18,FIND("-",$C18)+1,256))+1</f>
        <v>6120-2</v>
      </c>
      <c r="D19" s="552" t="s">
        <v>230</v>
      </c>
      <c r="E19" s="816"/>
      <c r="F19" s="816"/>
      <c r="G19" s="817">
        <v>65</v>
      </c>
      <c r="H19" s="553">
        <v>40</v>
      </c>
      <c r="I19" s="554">
        <f t="shared" si="4"/>
        <v>2600</v>
      </c>
      <c r="J19" s="554">
        <f t="shared" ca="1" si="5"/>
        <v>0</v>
      </c>
      <c r="K19" s="554">
        <f t="shared" ref="K19:K20" ca="1" si="6">SUM(I19:J19)</f>
        <v>2600</v>
      </c>
      <c r="L19" s="554">
        <v>2000</v>
      </c>
      <c r="N19" s="964"/>
      <c r="O19" s="965"/>
      <c r="P19" s="306"/>
      <c r="Q19" s="306"/>
      <c r="R19" s="962"/>
    </row>
    <row r="20" spans="1:19" ht="15" customHeight="1" x14ac:dyDescent="0.4">
      <c r="A20" s="551"/>
      <c r="B20" s="625"/>
      <c r="C20" s="64" t="str">
        <f t="shared" ref="C20:C37" si="7">LEFT($C19,4)&amp;"-"&amp;VALUE(MID($C19,FIND("-",$C19)+1,256))+1</f>
        <v>6120-3</v>
      </c>
      <c r="D20" s="551" t="s">
        <v>231</v>
      </c>
      <c r="E20" s="801">
        <v>4000</v>
      </c>
      <c r="F20" s="799"/>
      <c r="G20" s="801"/>
      <c r="H20" s="535">
        <v>0.83</v>
      </c>
      <c r="I20" s="540">
        <f t="shared" si="4"/>
        <v>3320</v>
      </c>
      <c r="J20" s="529">
        <f t="shared" ca="1" si="5"/>
        <v>-450</v>
      </c>
      <c r="K20" s="529">
        <f t="shared" ca="1" si="6"/>
        <v>2870</v>
      </c>
      <c r="L20" s="529">
        <v>3843.75</v>
      </c>
      <c r="N20" s="964"/>
      <c r="O20" s="965"/>
      <c r="P20" s="306"/>
      <c r="Q20" s="306"/>
    </row>
    <row r="21" spans="1:19" ht="15" customHeight="1" x14ac:dyDescent="0.4">
      <c r="A21" s="552"/>
      <c r="B21" s="849"/>
      <c r="C21" s="124" t="str">
        <f t="shared" si="7"/>
        <v>6120-4</v>
      </c>
      <c r="D21" s="756" t="s">
        <v>232</v>
      </c>
      <c r="E21" s="818">
        <v>700</v>
      </c>
      <c r="F21" s="820">
        <v>900</v>
      </c>
      <c r="G21" s="818">
        <v>10</v>
      </c>
      <c r="H21" s="645">
        <v>4.4400000000000004</v>
      </c>
      <c r="I21" s="541">
        <f t="shared" si="4"/>
        <v>7148.4000000000005</v>
      </c>
      <c r="J21" s="541">
        <f t="shared" ca="1" si="5"/>
        <v>-12366.5</v>
      </c>
      <c r="K21" s="541">
        <f t="shared" ref="K21:K37" ca="1" si="8">SUM(I21:J21)</f>
        <v>-5218.0999999999995</v>
      </c>
      <c r="L21" s="646">
        <v>6890.8</v>
      </c>
      <c r="N21" s="964"/>
      <c r="O21" s="965"/>
      <c r="P21" s="306"/>
      <c r="Q21" s="306"/>
      <c r="R21" s="972"/>
    </row>
    <row r="22" spans="1:19" ht="15" customHeight="1" x14ac:dyDescent="0.4">
      <c r="A22" s="551"/>
      <c r="B22" s="628"/>
      <c r="C22" s="133" t="str">
        <f t="shared" si="7"/>
        <v>6120-5</v>
      </c>
      <c r="D22" s="538" t="s">
        <v>233</v>
      </c>
      <c r="E22" s="799"/>
      <c r="F22" s="799"/>
      <c r="G22" s="797">
        <v>10</v>
      </c>
      <c r="H22" s="539">
        <v>7.54</v>
      </c>
      <c r="I22" s="540">
        <f t="shared" si="4"/>
        <v>75.400000000000006</v>
      </c>
      <c r="J22" s="540">
        <f t="shared" ca="1" si="5"/>
        <v>0</v>
      </c>
      <c r="K22" s="540">
        <f t="shared" ca="1" si="8"/>
        <v>75.400000000000006</v>
      </c>
      <c r="L22" s="540">
        <v>73.3</v>
      </c>
      <c r="N22" s="964"/>
      <c r="O22" s="965"/>
      <c r="P22" s="306"/>
      <c r="Q22" s="306"/>
      <c r="R22" s="968"/>
      <c r="S22" s="973"/>
    </row>
    <row r="23" spans="1:19" ht="15" customHeight="1" x14ac:dyDescent="0.4">
      <c r="A23" s="552"/>
      <c r="B23" s="629"/>
      <c r="C23" s="757" t="str">
        <f t="shared" si="7"/>
        <v>6120-6</v>
      </c>
      <c r="D23" s="758" t="s">
        <v>234</v>
      </c>
      <c r="E23" s="819">
        <v>80</v>
      </c>
      <c r="F23" s="820">
        <v>2300</v>
      </c>
      <c r="G23" s="819"/>
      <c r="H23" s="759">
        <v>0.64</v>
      </c>
      <c r="I23" s="541">
        <f t="shared" si="4"/>
        <v>1523.2</v>
      </c>
      <c r="J23" s="541">
        <f t="shared" ca="1" si="5"/>
        <v>-1400</v>
      </c>
      <c r="K23" s="541">
        <f t="shared" ca="1" si="8"/>
        <v>123.20000000000005</v>
      </c>
      <c r="L23" s="646">
        <v>1798</v>
      </c>
      <c r="N23" s="966"/>
      <c r="O23" s="965"/>
      <c r="P23" s="306"/>
      <c r="Q23" s="306"/>
      <c r="R23" s="962"/>
    </row>
    <row r="24" spans="1:19" ht="15" customHeight="1" x14ac:dyDescent="0.4">
      <c r="A24" s="551"/>
      <c r="B24" s="628"/>
      <c r="C24" s="133" t="str">
        <f t="shared" si="7"/>
        <v>6120-7</v>
      </c>
      <c r="D24" s="538" t="s">
        <v>235</v>
      </c>
      <c r="E24" s="808"/>
      <c r="F24" s="795">
        <v>15800</v>
      </c>
      <c r="G24" s="799"/>
      <c r="H24" s="539">
        <v>0.42</v>
      </c>
      <c r="I24" s="540">
        <f t="shared" si="4"/>
        <v>6636</v>
      </c>
      <c r="J24" s="540">
        <f t="shared" ca="1" si="5"/>
        <v>-4599.26</v>
      </c>
      <c r="K24" s="540">
        <f t="shared" ca="1" si="8"/>
        <v>2036.7399999999998</v>
      </c>
      <c r="L24" s="540">
        <v>5556.6</v>
      </c>
      <c r="N24" s="966"/>
      <c r="O24" s="965"/>
      <c r="P24" s="306"/>
      <c r="Q24" s="306"/>
      <c r="R24" s="962"/>
    </row>
    <row r="25" spans="1:19" ht="15" customHeight="1" x14ac:dyDescent="0.4">
      <c r="A25" s="552"/>
      <c r="B25" s="843"/>
      <c r="C25" s="124" t="str">
        <f t="shared" si="7"/>
        <v>6120-8</v>
      </c>
      <c r="D25" s="530" t="s">
        <v>236</v>
      </c>
      <c r="E25" s="821"/>
      <c r="F25" s="796">
        <v>27720</v>
      </c>
      <c r="G25" s="800"/>
      <c r="H25" s="531">
        <v>0.64</v>
      </c>
      <c r="I25" s="541">
        <f t="shared" si="4"/>
        <v>17740.8</v>
      </c>
      <c r="J25" s="541">
        <f t="shared" ca="1" si="5"/>
        <v>0</v>
      </c>
      <c r="K25" s="541"/>
      <c r="L25" s="541">
        <v>8985.9</v>
      </c>
      <c r="N25" s="966"/>
      <c r="O25" s="965"/>
      <c r="P25" s="306"/>
      <c r="Q25" s="306"/>
      <c r="R25" s="962"/>
      <c r="S25" s="971"/>
    </row>
    <row r="26" spans="1:19" ht="15" customHeight="1" x14ac:dyDescent="0.4">
      <c r="A26" s="551"/>
      <c r="B26" s="628"/>
      <c r="C26" s="133" t="str">
        <f t="shared" si="7"/>
        <v>6120-9</v>
      </c>
      <c r="D26" s="538" t="s">
        <v>237</v>
      </c>
      <c r="E26" s="808">
        <v>1300</v>
      </c>
      <c r="F26" s="799"/>
      <c r="G26" s="799"/>
      <c r="H26" s="539">
        <v>0.64</v>
      </c>
      <c r="I26" s="540">
        <f t="shared" si="4"/>
        <v>832</v>
      </c>
      <c r="J26" s="540">
        <f t="shared" ca="1" si="5"/>
        <v>0</v>
      </c>
      <c r="K26" s="540">
        <f t="shared" ca="1" si="8"/>
        <v>832</v>
      </c>
      <c r="L26" s="540">
        <v>696</v>
      </c>
      <c r="N26" s="966"/>
      <c r="O26" s="965"/>
      <c r="P26" s="306"/>
      <c r="Q26" s="306"/>
      <c r="R26" s="968"/>
    </row>
    <row r="27" spans="1:19" ht="15" customHeight="1" x14ac:dyDescent="0.4">
      <c r="A27" s="552"/>
      <c r="B27" s="629"/>
      <c r="C27" s="124" t="str">
        <f t="shared" si="7"/>
        <v>6120-10</v>
      </c>
      <c r="D27" s="561" t="s">
        <v>238</v>
      </c>
      <c r="E27" s="822"/>
      <c r="F27" s="796">
        <v>2200</v>
      </c>
      <c r="G27" s="822"/>
      <c r="H27" s="543">
        <v>0.64</v>
      </c>
      <c r="I27" s="541">
        <f t="shared" si="4"/>
        <v>1408</v>
      </c>
      <c r="J27" s="541">
        <f t="shared" ca="1" si="5"/>
        <v>0</v>
      </c>
      <c r="K27" s="541">
        <f t="shared" ca="1" si="8"/>
        <v>1408</v>
      </c>
      <c r="L27" s="541">
        <v>1160</v>
      </c>
      <c r="N27" s="966"/>
      <c r="O27" s="965"/>
      <c r="P27" s="306"/>
      <c r="Q27" s="306"/>
      <c r="R27" s="962"/>
    </row>
    <row r="28" spans="1:19" ht="15" customHeight="1" x14ac:dyDescent="0.4">
      <c r="A28" s="551"/>
      <c r="B28" s="625"/>
      <c r="C28" s="64" t="str">
        <f t="shared" si="7"/>
        <v>6120-11</v>
      </c>
      <c r="D28" s="527" t="s">
        <v>239</v>
      </c>
      <c r="E28" s="802"/>
      <c r="F28" s="795">
        <v>350</v>
      </c>
      <c r="G28" s="802"/>
      <c r="H28" s="528">
        <v>2</v>
      </c>
      <c r="I28" s="540">
        <f t="shared" si="4"/>
        <v>700</v>
      </c>
      <c r="J28" s="529">
        <f t="shared" ca="1" si="5"/>
        <v>-97.980000000000018</v>
      </c>
      <c r="K28" s="529">
        <f t="shared" ca="1" si="8"/>
        <v>602.02</v>
      </c>
      <c r="L28" s="529">
        <v>600</v>
      </c>
      <c r="N28" s="966"/>
      <c r="O28" s="965"/>
      <c r="P28" s="306"/>
      <c r="Q28" s="306"/>
      <c r="R28" s="962"/>
    </row>
    <row r="29" spans="1:19" ht="15" customHeight="1" x14ac:dyDescent="0.4">
      <c r="A29" s="552"/>
      <c r="B29" s="627"/>
      <c r="C29" s="111" t="str">
        <f t="shared" si="7"/>
        <v>6120-12</v>
      </c>
      <c r="D29" s="559" t="s">
        <v>240</v>
      </c>
      <c r="E29" s="812"/>
      <c r="F29" s="800">
        <v>1</v>
      </c>
      <c r="G29" s="815"/>
      <c r="H29" s="560">
        <v>2010</v>
      </c>
      <c r="I29" s="541">
        <f t="shared" si="4"/>
        <v>2010</v>
      </c>
      <c r="J29" s="532">
        <f t="shared" ca="1" si="5"/>
        <v>0</v>
      </c>
      <c r="K29" s="532">
        <f t="shared" ca="1" si="8"/>
        <v>2010</v>
      </c>
      <c r="L29" s="532">
        <v>2010</v>
      </c>
      <c r="N29" s="966"/>
      <c r="O29" s="965"/>
      <c r="P29" s="306"/>
      <c r="Q29" s="306"/>
      <c r="R29" s="968"/>
    </row>
    <row r="30" spans="1:19" ht="15" customHeight="1" x14ac:dyDescent="0.4">
      <c r="A30" s="551"/>
      <c r="B30" s="628"/>
      <c r="C30" s="64" t="str">
        <f t="shared" si="7"/>
        <v>6120-13</v>
      </c>
      <c r="D30" s="562" t="s">
        <v>241</v>
      </c>
      <c r="E30" s="811"/>
      <c r="F30" s="795">
        <v>1</v>
      </c>
      <c r="G30" s="795"/>
      <c r="H30" s="563">
        <v>500</v>
      </c>
      <c r="I30" s="540">
        <f t="shared" si="4"/>
        <v>500</v>
      </c>
      <c r="J30" s="529">
        <f t="shared" ca="1" si="5"/>
        <v>-22.68</v>
      </c>
      <c r="K30" s="529">
        <f t="shared" ca="1" si="8"/>
        <v>477.32</v>
      </c>
      <c r="L30" s="540">
        <v>500</v>
      </c>
      <c r="N30" s="966"/>
      <c r="O30" s="965"/>
      <c r="P30" s="306"/>
      <c r="Q30" s="306"/>
      <c r="R30" s="962"/>
    </row>
    <row r="31" spans="1:19" ht="15" customHeight="1" x14ac:dyDescent="0.4">
      <c r="A31" s="552"/>
      <c r="B31" s="627"/>
      <c r="C31" s="111" t="str">
        <f t="shared" si="7"/>
        <v>6120-14</v>
      </c>
      <c r="D31" s="536" t="s">
        <v>242</v>
      </c>
      <c r="E31" s="810"/>
      <c r="F31" s="796">
        <v>1</v>
      </c>
      <c r="G31" s="794"/>
      <c r="H31" s="537">
        <v>1500</v>
      </c>
      <c r="I31" s="541">
        <f t="shared" si="4"/>
        <v>1500</v>
      </c>
      <c r="J31" s="541">
        <f t="shared" ca="1" si="5"/>
        <v>-1100</v>
      </c>
      <c r="K31" s="541">
        <f t="shared" ca="1" si="8"/>
        <v>400</v>
      </c>
      <c r="L31" s="532">
        <v>1000</v>
      </c>
      <c r="M31" s="966"/>
      <c r="N31" s="966"/>
      <c r="O31" s="965"/>
      <c r="P31" s="306"/>
      <c r="Q31" s="306"/>
      <c r="R31" s="962"/>
    </row>
    <row r="32" spans="1:19" ht="15" customHeight="1" x14ac:dyDescent="0.4">
      <c r="A32" s="551"/>
      <c r="B32" s="628"/>
      <c r="C32" s="64" t="str">
        <f t="shared" si="7"/>
        <v>6120-15</v>
      </c>
      <c r="D32" s="538" t="s">
        <v>243</v>
      </c>
      <c r="E32" s="808"/>
      <c r="F32" s="795">
        <v>2</v>
      </c>
      <c r="G32" s="799"/>
      <c r="H32" s="539">
        <v>500</v>
      </c>
      <c r="I32" s="540">
        <f t="shared" si="4"/>
        <v>1000</v>
      </c>
      <c r="J32" s="529">
        <f t="shared" ca="1" si="5"/>
        <v>-500</v>
      </c>
      <c r="K32" s="529">
        <f t="shared" ca="1" si="8"/>
        <v>500</v>
      </c>
      <c r="L32" s="540">
        <v>1500</v>
      </c>
      <c r="N32" s="966"/>
      <c r="O32" s="965"/>
      <c r="P32" s="306"/>
      <c r="Q32" s="306"/>
      <c r="R32" s="962"/>
    </row>
    <row r="33" spans="1:19" ht="15" customHeight="1" x14ac:dyDescent="0.4">
      <c r="A33" s="552"/>
      <c r="B33" s="629"/>
      <c r="C33" s="124" t="str">
        <f t="shared" si="7"/>
        <v>6120-16</v>
      </c>
      <c r="D33" s="561" t="s">
        <v>244</v>
      </c>
      <c r="E33" s="822">
        <v>19000</v>
      </c>
      <c r="F33" s="796"/>
      <c r="G33" s="822"/>
      <c r="H33" s="541">
        <v>0.64</v>
      </c>
      <c r="I33" s="541">
        <f t="shared" si="4"/>
        <v>12160</v>
      </c>
      <c r="J33" s="541">
        <f t="shared" ca="1" si="5"/>
        <v>-7347.11</v>
      </c>
      <c r="K33" s="541">
        <f t="shared" ca="1" si="8"/>
        <v>4812.8900000000003</v>
      </c>
      <c r="L33" s="541">
        <v>11020</v>
      </c>
      <c r="N33" s="966"/>
      <c r="O33" s="965"/>
      <c r="P33" s="306"/>
      <c r="Q33" s="306"/>
      <c r="R33" s="962"/>
    </row>
    <row r="34" spans="1:19" ht="15" customHeight="1" x14ac:dyDescent="0.4">
      <c r="A34" s="551"/>
      <c r="B34" s="628"/>
      <c r="C34" s="133" t="str">
        <f t="shared" si="7"/>
        <v>6120-17</v>
      </c>
      <c r="D34" s="573" t="s">
        <v>245</v>
      </c>
      <c r="E34" s="797">
        <v>9600</v>
      </c>
      <c r="F34" s="795"/>
      <c r="G34" s="814"/>
      <c r="H34" s="539">
        <v>0.64</v>
      </c>
      <c r="I34" s="540">
        <f t="shared" si="4"/>
        <v>6144</v>
      </c>
      <c r="J34" s="540">
        <f t="shared" ca="1" si="5"/>
        <v>0</v>
      </c>
      <c r="K34" s="540">
        <f t="shared" ca="1" si="8"/>
        <v>6144</v>
      </c>
      <c r="L34" s="540">
        <v>1885</v>
      </c>
      <c r="N34" s="966"/>
      <c r="O34" s="965"/>
      <c r="P34" s="306"/>
      <c r="Q34" s="306"/>
      <c r="R34" s="962"/>
      <c r="S34" s="971"/>
    </row>
    <row r="35" spans="1:19" ht="15" customHeight="1" x14ac:dyDescent="0.4">
      <c r="A35" s="552"/>
      <c r="B35" s="629"/>
      <c r="C35" s="124" t="str">
        <f t="shared" si="7"/>
        <v>6120-18</v>
      </c>
      <c r="D35" s="561" t="s">
        <v>246</v>
      </c>
      <c r="E35" s="822"/>
      <c r="F35" s="796">
        <v>1200</v>
      </c>
      <c r="G35" s="822"/>
      <c r="H35" s="543">
        <v>0.64</v>
      </c>
      <c r="I35" s="541">
        <f t="shared" si="4"/>
        <v>768</v>
      </c>
      <c r="J35" s="541">
        <f t="shared" ca="1" si="5"/>
        <v>0</v>
      </c>
      <c r="K35" s="541">
        <f t="shared" ca="1" si="8"/>
        <v>768</v>
      </c>
      <c r="L35" s="541">
        <v>696</v>
      </c>
      <c r="N35" s="966"/>
      <c r="O35" s="965"/>
      <c r="P35" s="306"/>
      <c r="Q35" s="306"/>
      <c r="R35" s="962"/>
    </row>
    <row r="36" spans="1:19" ht="15" customHeight="1" x14ac:dyDescent="0.4">
      <c r="A36" s="551"/>
      <c r="B36" s="848"/>
      <c r="C36" s="133" t="str">
        <f t="shared" si="7"/>
        <v>6120-19</v>
      </c>
      <c r="D36" s="565" t="s">
        <v>247</v>
      </c>
      <c r="E36" s="797"/>
      <c r="F36" s="795">
        <v>235000</v>
      </c>
      <c r="G36" s="797"/>
      <c r="H36" s="563">
        <v>0.42</v>
      </c>
      <c r="I36" s="540">
        <f t="shared" si="4"/>
        <v>98700</v>
      </c>
      <c r="J36" s="540">
        <f t="shared" ca="1" si="5"/>
        <v>-89700</v>
      </c>
      <c r="K36" s="540">
        <f t="shared" ca="1" si="8"/>
        <v>9000</v>
      </c>
      <c r="L36" s="540">
        <v>80143</v>
      </c>
      <c r="N36" s="966"/>
      <c r="O36" s="965"/>
      <c r="P36" s="306"/>
      <c r="Q36" s="306"/>
      <c r="R36" s="974"/>
      <c r="S36" s="971"/>
    </row>
    <row r="37" spans="1:19" ht="15" customHeight="1" x14ac:dyDescent="0.4">
      <c r="A37" s="552"/>
      <c r="B37" s="629"/>
      <c r="C37" s="124" t="str">
        <f t="shared" si="7"/>
        <v>6120-20</v>
      </c>
      <c r="D37" s="530" t="s">
        <v>248</v>
      </c>
      <c r="E37" s="821"/>
      <c r="F37" s="800"/>
      <c r="G37" s="800">
        <v>2500</v>
      </c>
      <c r="H37" s="531">
        <v>0.64</v>
      </c>
      <c r="I37" s="541">
        <f t="shared" si="4"/>
        <v>1600</v>
      </c>
      <c r="J37" s="541">
        <f t="shared" ca="1" si="5"/>
        <v>-1600</v>
      </c>
      <c r="K37" s="541">
        <f t="shared" ca="1" si="8"/>
        <v>0</v>
      </c>
      <c r="L37" s="541">
        <v>1450</v>
      </c>
      <c r="N37" s="966"/>
      <c r="O37" s="965"/>
      <c r="P37" s="306"/>
      <c r="Q37" s="306"/>
      <c r="R37" s="962"/>
    </row>
    <row r="38" spans="1:19" ht="15" customHeight="1" x14ac:dyDescent="0.4">
      <c r="B38" s="625"/>
      <c r="C38" s="65"/>
      <c r="D38" s="544" t="s">
        <v>106</v>
      </c>
      <c r="E38" s="545"/>
      <c r="F38" s="545"/>
      <c r="G38" s="421"/>
      <c r="H38" s="546">
        <f>(I38-L38)/L38</f>
        <v>0.27880349053584469</v>
      </c>
      <c r="I38" s="548">
        <f>SUM(I18:I37)</f>
        <v>291485.8</v>
      </c>
      <c r="J38" s="548">
        <f ca="1">SUM(J18:J37)</f>
        <v>-235777.86</v>
      </c>
      <c r="K38" s="548">
        <f ca="1">SUM(K18:K37)</f>
        <v>37967.140000000014</v>
      </c>
      <c r="L38" s="548">
        <f>SUM(L18:L37)</f>
        <v>227936.35</v>
      </c>
      <c r="O38" s="965"/>
      <c r="P38" s="306"/>
      <c r="Q38" s="306"/>
      <c r="R38" s="962"/>
    </row>
    <row r="39" spans="1:19" ht="9.75" customHeight="1" thickTop="1" x14ac:dyDescent="0.4">
      <c r="B39" s="113"/>
      <c r="C39" s="65"/>
      <c r="D39" s="544"/>
      <c r="E39" s="545"/>
      <c r="F39" s="545"/>
      <c r="G39" s="448"/>
      <c r="H39" s="567"/>
      <c r="I39" s="568"/>
      <c r="J39" s="568"/>
      <c r="K39" s="568"/>
      <c r="L39" s="568"/>
      <c r="O39" s="969"/>
      <c r="P39" s="306"/>
      <c r="Q39" s="306"/>
      <c r="R39" s="962"/>
    </row>
    <row r="40" spans="1:19" ht="19.5" customHeight="1" x14ac:dyDescent="0.5">
      <c r="A40" s="950" t="s">
        <v>249</v>
      </c>
      <c r="B40" s="950"/>
      <c r="C40" s="950"/>
      <c r="D40" s="950"/>
      <c r="E40" s="950"/>
      <c r="F40" s="950"/>
      <c r="G40" s="950"/>
      <c r="H40" s="950"/>
      <c r="I40" s="950"/>
      <c r="J40" s="950"/>
      <c r="K40" s="950"/>
      <c r="L40" s="950"/>
      <c r="O40" s="969"/>
      <c r="P40" s="306"/>
      <c r="Q40" s="306"/>
      <c r="R40" s="962"/>
    </row>
    <row r="41" spans="1:19" ht="15" customHeight="1" x14ac:dyDescent="0.4">
      <c r="A41" s="527"/>
      <c r="B41" s="625" t="s">
        <v>250</v>
      </c>
      <c r="C41" s="133" t="str">
        <f>LEFT($A40,4)&amp;"-1"</f>
        <v>6130-1</v>
      </c>
      <c r="D41" s="527" t="s">
        <v>251</v>
      </c>
      <c r="E41" s="801"/>
      <c r="F41" s="801">
        <v>561000</v>
      </c>
      <c r="G41" s="802"/>
      <c r="H41" s="528">
        <v>0.04</v>
      </c>
      <c r="I41" s="529">
        <f t="shared" ref="I41:I61" si="9">(E41+F41+G41)*H41</f>
        <v>22440</v>
      </c>
      <c r="J41" s="529">
        <f t="shared" ref="J41:J61" ca="1" si="10">-(SUMIF(INDIRECT(LEFT($A$40,4)&amp;"!i3:i200"),"="&amp;C41&amp;" *",INDIRECT(LEFT($A$40,4)&amp;"!k3:k200")))</f>
        <v>-33850.03</v>
      </c>
      <c r="K41" s="529">
        <f ca="1">SUM(I41:J41)</f>
        <v>-11410.029999999999</v>
      </c>
      <c r="L41" s="529">
        <v>20374.2</v>
      </c>
      <c r="M41" s="967"/>
      <c r="N41" s="966"/>
      <c r="O41" s="965"/>
      <c r="P41" s="306"/>
      <c r="Q41" s="306"/>
      <c r="R41" s="962"/>
      <c r="S41" s="975"/>
    </row>
    <row r="42" spans="1:19" ht="15" customHeight="1" x14ac:dyDescent="0.4">
      <c r="A42" s="555"/>
      <c r="B42" s="637" t="s">
        <v>252</v>
      </c>
      <c r="C42" s="111" t="str">
        <f t="shared" ref="C42:C61" si="11">LEFT($C41,4)&amp;"-"&amp;VALUE(MID($C41,FIND("-",$C41)+1,256))+1</f>
        <v>6130-2</v>
      </c>
      <c r="D42" s="555" t="s">
        <v>253</v>
      </c>
      <c r="E42" s="803"/>
      <c r="F42" s="803">
        <v>112000</v>
      </c>
      <c r="G42" s="804"/>
      <c r="H42" s="556">
        <v>0.04</v>
      </c>
      <c r="I42" s="533">
        <f t="shared" si="9"/>
        <v>4480</v>
      </c>
      <c r="J42" s="532">
        <f t="shared" ca="1" si="10"/>
        <v>-916.35</v>
      </c>
      <c r="K42" s="533">
        <f t="shared" ref="K42:K43" ca="1" si="12">SUM(I42:J42)</f>
        <v>3563.65</v>
      </c>
      <c r="L42" s="533">
        <v>4074.84</v>
      </c>
      <c r="M42" s="967"/>
      <c r="N42" s="966"/>
      <c r="O42" s="965"/>
      <c r="P42" s="306"/>
      <c r="Q42" s="306"/>
      <c r="R42" s="962"/>
      <c r="S42" s="975"/>
    </row>
    <row r="43" spans="1:19" ht="15" customHeight="1" x14ac:dyDescent="0.4">
      <c r="A43" s="527"/>
      <c r="B43" s="625"/>
      <c r="C43" s="64" t="str">
        <f t="shared" si="11"/>
        <v>6130-3</v>
      </c>
      <c r="D43" s="527" t="s">
        <v>254</v>
      </c>
      <c r="E43" s="801"/>
      <c r="F43" s="801">
        <v>1</v>
      </c>
      <c r="G43" s="802"/>
      <c r="H43" s="528">
        <v>300</v>
      </c>
      <c r="I43" s="529">
        <f t="shared" si="9"/>
        <v>300</v>
      </c>
      <c r="J43" s="529">
        <f t="shared" ca="1" si="10"/>
        <v>-100.98</v>
      </c>
      <c r="K43" s="529">
        <f t="shared" ca="1" si="12"/>
        <v>199.01999999999998</v>
      </c>
      <c r="L43" s="529">
        <v>300</v>
      </c>
      <c r="M43" s="967"/>
      <c r="N43" s="966"/>
      <c r="O43" s="965"/>
      <c r="P43" s="306"/>
      <c r="Q43" s="306"/>
      <c r="R43" s="962"/>
      <c r="S43" s="975"/>
    </row>
    <row r="44" spans="1:19" ht="15" customHeight="1" x14ac:dyDescent="0.4">
      <c r="A44" s="555"/>
      <c r="B44" s="638"/>
      <c r="C44" s="225" t="str">
        <f t="shared" si="11"/>
        <v>6130-4</v>
      </c>
      <c r="D44" s="569" t="s">
        <v>255</v>
      </c>
      <c r="E44" s="805"/>
      <c r="F44" s="806">
        <v>242000</v>
      </c>
      <c r="G44" s="807"/>
      <c r="H44" s="570">
        <v>3.15E-2</v>
      </c>
      <c r="I44" s="571">
        <f t="shared" si="9"/>
        <v>7623</v>
      </c>
      <c r="J44" s="571">
        <f t="shared" ca="1" si="10"/>
        <v>-7162.0300000000007</v>
      </c>
      <c r="K44" s="554">
        <f t="shared" ref="K44:K61" ca="1" si="13">SUM(I44:J44)</f>
        <v>460.96999999999935</v>
      </c>
      <c r="L44" s="571">
        <v>7212.87</v>
      </c>
      <c r="N44" s="966"/>
      <c r="O44" s="965"/>
      <c r="P44" s="306"/>
      <c r="Q44" s="306"/>
      <c r="R44" s="968"/>
      <c r="S44" s="975"/>
    </row>
    <row r="45" spans="1:19" ht="15" customHeight="1" x14ac:dyDescent="0.4">
      <c r="A45" s="527"/>
      <c r="B45" s="628" t="s">
        <v>256</v>
      </c>
      <c r="C45" s="133" t="str">
        <f t="shared" si="11"/>
        <v>6130-5</v>
      </c>
      <c r="D45" s="538" t="s">
        <v>257</v>
      </c>
      <c r="E45" s="808"/>
      <c r="F45" s="809">
        <v>242000</v>
      </c>
      <c r="G45" s="795"/>
      <c r="H45" s="539">
        <v>2.5499999999999998E-2</v>
      </c>
      <c r="I45" s="529">
        <f t="shared" si="9"/>
        <v>6171</v>
      </c>
      <c r="J45" s="529">
        <f t="shared" ca="1" si="10"/>
        <v>-7671.37</v>
      </c>
      <c r="K45" s="529">
        <f t="shared" ca="1" si="13"/>
        <v>-1500.37</v>
      </c>
      <c r="L45" s="540">
        <v>5838.99</v>
      </c>
      <c r="N45" s="966"/>
      <c r="O45" s="965"/>
      <c r="P45" s="306"/>
      <c r="Q45" s="306"/>
      <c r="R45" s="962"/>
      <c r="S45" s="975"/>
    </row>
    <row r="46" spans="1:19" ht="15" customHeight="1" x14ac:dyDescent="0.4">
      <c r="A46" s="555"/>
      <c r="B46" s="627"/>
      <c r="C46" s="111" t="str">
        <f t="shared" si="11"/>
        <v>6130-6</v>
      </c>
      <c r="D46" s="536" t="s">
        <v>258</v>
      </c>
      <c r="E46" s="810"/>
      <c r="F46" s="810">
        <v>0</v>
      </c>
      <c r="G46" s="794"/>
      <c r="H46" s="560">
        <v>0.02</v>
      </c>
      <c r="I46" s="532">
        <f t="shared" si="9"/>
        <v>0</v>
      </c>
      <c r="J46" s="532">
        <f t="shared" ca="1" si="10"/>
        <v>-0.42</v>
      </c>
      <c r="K46" s="533">
        <f t="shared" ca="1" si="13"/>
        <v>-0.42</v>
      </c>
      <c r="L46" s="532">
        <v>509.36</v>
      </c>
      <c r="N46" s="966"/>
      <c r="O46" s="965"/>
      <c r="P46" s="306"/>
      <c r="Q46" s="306"/>
      <c r="R46" s="962"/>
      <c r="S46" s="976"/>
    </row>
    <row r="47" spans="1:19" ht="15" customHeight="1" x14ac:dyDescent="0.4">
      <c r="A47" s="527"/>
      <c r="B47" s="628"/>
      <c r="C47" s="133" t="str">
        <f>LEFT($C46,4)&amp;"-"&amp;VALUE(MID($C46,FIND("-",$C46)+1,256))+1</f>
        <v>6130-7</v>
      </c>
      <c r="D47" s="562" t="s">
        <v>259</v>
      </c>
      <c r="E47" s="811"/>
      <c r="F47" s="809">
        <v>242000</v>
      </c>
      <c r="G47" s="795"/>
      <c r="H47" s="563">
        <v>3.5000000000000003E-2</v>
      </c>
      <c r="I47" s="529">
        <f t="shared" si="9"/>
        <v>8470</v>
      </c>
      <c r="J47" s="529">
        <f t="shared" ca="1" si="10"/>
        <v>-9416.84</v>
      </c>
      <c r="K47" s="529">
        <f t="shared" ca="1" si="13"/>
        <v>-946.84000000000015</v>
      </c>
      <c r="L47" s="540">
        <v>8014.3</v>
      </c>
      <c r="N47" s="966"/>
      <c r="O47" s="965"/>
      <c r="P47" s="306"/>
      <c r="Q47" s="306"/>
      <c r="R47" s="962"/>
      <c r="S47" s="976"/>
    </row>
    <row r="48" spans="1:19" ht="15" customHeight="1" x14ac:dyDescent="0.4">
      <c r="A48" s="555"/>
      <c r="B48" s="627"/>
      <c r="C48" s="111" t="str">
        <f t="shared" si="11"/>
        <v>6130-8</v>
      </c>
      <c r="D48" s="559" t="s">
        <v>260</v>
      </c>
      <c r="E48" s="812"/>
      <c r="F48" s="812">
        <v>204500</v>
      </c>
      <c r="G48" s="794"/>
      <c r="H48" s="560">
        <v>8.0000000000000002E-3</v>
      </c>
      <c r="I48" s="532">
        <f t="shared" si="9"/>
        <v>1636</v>
      </c>
      <c r="J48" s="532">
        <f t="shared" ca="1" si="10"/>
        <v>0</v>
      </c>
      <c r="K48" s="533">
        <f t="shared" ca="1" si="13"/>
        <v>1636</v>
      </c>
      <c r="L48" s="532">
        <v>1831.84</v>
      </c>
      <c r="N48" s="966"/>
      <c r="O48" s="965"/>
      <c r="P48" s="306"/>
      <c r="Q48" s="306"/>
      <c r="R48" s="962"/>
      <c r="S48" s="975"/>
    </row>
    <row r="49" spans="1:19" ht="15" customHeight="1" x14ac:dyDescent="0.4">
      <c r="A49" s="527"/>
      <c r="B49" s="866"/>
      <c r="C49" s="133" t="str">
        <f t="shared" si="11"/>
        <v>6130-9</v>
      </c>
      <c r="D49" s="562" t="s">
        <v>261</v>
      </c>
      <c r="E49" s="811"/>
      <c r="F49" s="811">
        <v>4000</v>
      </c>
      <c r="G49" s="795"/>
      <c r="H49" s="539">
        <v>0.5</v>
      </c>
      <c r="I49" s="529">
        <f t="shared" si="9"/>
        <v>2000</v>
      </c>
      <c r="J49" s="529">
        <f t="shared" ca="1" si="10"/>
        <v>-457.01000000000005</v>
      </c>
      <c r="K49" s="529">
        <f t="shared" ca="1" si="13"/>
        <v>1542.99</v>
      </c>
      <c r="L49" s="540">
        <v>1950</v>
      </c>
      <c r="N49" s="966"/>
      <c r="O49" s="965"/>
      <c r="P49" s="306"/>
      <c r="Q49" s="306"/>
      <c r="R49" s="962"/>
      <c r="S49" s="976"/>
    </row>
    <row r="50" spans="1:19" ht="15" customHeight="1" x14ac:dyDescent="0.4">
      <c r="A50" s="555"/>
      <c r="B50" s="627"/>
      <c r="C50" s="111" t="str">
        <f t="shared" si="11"/>
        <v>6130-10</v>
      </c>
      <c r="D50" s="536" t="s">
        <v>262</v>
      </c>
      <c r="E50" s="810"/>
      <c r="F50" s="810">
        <v>2</v>
      </c>
      <c r="G50" s="794"/>
      <c r="H50" s="537">
        <v>76</v>
      </c>
      <c r="I50" s="532">
        <f t="shared" si="9"/>
        <v>152</v>
      </c>
      <c r="J50" s="532">
        <f t="shared" ca="1" si="10"/>
        <v>-43.04</v>
      </c>
      <c r="K50" s="533">
        <f t="shared" ca="1" si="13"/>
        <v>108.96000000000001</v>
      </c>
      <c r="L50" s="532">
        <v>152</v>
      </c>
      <c r="N50" s="966"/>
      <c r="O50" s="965"/>
      <c r="P50" s="306"/>
      <c r="Q50" s="306"/>
      <c r="R50" s="962"/>
      <c r="S50" s="976"/>
    </row>
    <row r="51" spans="1:19" ht="15" customHeight="1" x14ac:dyDescent="0.4">
      <c r="A51" s="527"/>
      <c r="B51" s="625"/>
      <c r="C51" s="64" t="str">
        <f t="shared" si="11"/>
        <v>6130-11</v>
      </c>
      <c r="D51" s="572" t="s">
        <v>263</v>
      </c>
      <c r="E51" s="813"/>
      <c r="F51" s="813">
        <v>28000</v>
      </c>
      <c r="G51" s="798"/>
      <c r="H51" s="528">
        <v>0.109</v>
      </c>
      <c r="I51" s="529">
        <f t="shared" si="9"/>
        <v>3052</v>
      </c>
      <c r="J51" s="529">
        <f t="shared" ca="1" si="10"/>
        <v>0</v>
      </c>
      <c r="K51" s="529">
        <f ca="1">SUM(I51:J51)</f>
        <v>3052</v>
      </c>
      <c r="L51" s="529">
        <v>2517.9</v>
      </c>
      <c r="N51" s="966"/>
      <c r="O51" s="965"/>
      <c r="P51" s="306"/>
      <c r="Q51" s="306"/>
      <c r="R51" s="962"/>
      <c r="S51" s="976"/>
    </row>
    <row r="52" spans="1:19" ht="15" customHeight="1" x14ac:dyDescent="0.4">
      <c r="A52" s="555"/>
      <c r="B52" s="627"/>
      <c r="C52" s="111" t="str">
        <f t="shared" si="11"/>
        <v>6130-12</v>
      </c>
      <c r="D52" s="536" t="s">
        <v>264</v>
      </c>
      <c r="E52" s="794">
        <v>7500</v>
      </c>
      <c r="F52" s="794">
        <v>9270</v>
      </c>
      <c r="G52" s="794">
        <v>500</v>
      </c>
      <c r="H52" s="537">
        <v>0.09</v>
      </c>
      <c r="I52" s="532">
        <f t="shared" si="9"/>
        <v>1554.3</v>
      </c>
      <c r="J52" s="532">
        <f t="shared" ca="1" si="10"/>
        <v>-753</v>
      </c>
      <c r="K52" s="541">
        <f t="shared" ca="1" si="13"/>
        <v>801.3</v>
      </c>
      <c r="L52" s="532">
        <v>2184.3000000000002</v>
      </c>
      <c r="N52" s="966"/>
      <c r="O52" s="965"/>
      <c r="P52" s="306"/>
      <c r="Q52" s="306"/>
      <c r="R52" s="962"/>
      <c r="S52" s="976"/>
    </row>
    <row r="53" spans="1:19" ht="15" customHeight="1" x14ac:dyDescent="0.4">
      <c r="A53" s="527"/>
      <c r="B53" s="639"/>
      <c r="C53" s="64" t="str">
        <f t="shared" si="11"/>
        <v>6130-13</v>
      </c>
      <c r="D53" s="573" t="s">
        <v>265</v>
      </c>
      <c r="E53" s="814">
        <v>8000</v>
      </c>
      <c r="F53" s="799"/>
      <c r="G53" s="798">
        <v>15000</v>
      </c>
      <c r="H53" s="539">
        <v>0.08</v>
      </c>
      <c r="I53" s="529">
        <f t="shared" si="9"/>
        <v>1840</v>
      </c>
      <c r="J53" s="529">
        <f t="shared" ca="1" si="10"/>
        <v>-2097.27</v>
      </c>
      <c r="K53" s="529">
        <f t="shared" ca="1" si="13"/>
        <v>-257.27</v>
      </c>
      <c r="L53" s="540">
        <v>1200</v>
      </c>
      <c r="N53" s="966"/>
      <c r="O53" s="965"/>
      <c r="P53" s="306"/>
      <c r="Q53" s="306"/>
      <c r="R53" s="968"/>
      <c r="S53" s="975"/>
    </row>
    <row r="54" spans="1:19" ht="15" customHeight="1" x14ac:dyDescent="0.4">
      <c r="A54" s="555"/>
      <c r="B54" s="627"/>
      <c r="C54" s="111" t="str">
        <f t="shared" si="11"/>
        <v>6130-14</v>
      </c>
      <c r="D54" s="559" t="s">
        <v>266</v>
      </c>
      <c r="E54" s="812"/>
      <c r="F54" s="815"/>
      <c r="G54" s="815">
        <v>5000</v>
      </c>
      <c r="H54" s="560">
        <v>0.08</v>
      </c>
      <c r="I54" s="532">
        <f t="shared" si="9"/>
        <v>400</v>
      </c>
      <c r="J54" s="532">
        <f t="shared" ca="1" si="10"/>
        <v>-678.59</v>
      </c>
      <c r="K54" s="541">
        <f t="shared" ca="1" si="13"/>
        <v>-278.59000000000003</v>
      </c>
      <c r="L54" s="532">
        <v>0</v>
      </c>
      <c r="N54" s="966"/>
      <c r="O54" s="965"/>
      <c r="P54" s="306"/>
      <c r="Q54" s="306"/>
      <c r="R54" s="962"/>
      <c r="S54" s="975"/>
    </row>
    <row r="55" spans="1:19" ht="15" customHeight="1" x14ac:dyDescent="0.4">
      <c r="A55" s="527"/>
      <c r="B55" s="628"/>
      <c r="C55" s="64" t="str">
        <f t="shared" si="11"/>
        <v>6130-15</v>
      </c>
      <c r="D55" s="538" t="s">
        <v>267</v>
      </c>
      <c r="E55" s="808"/>
      <c r="F55" s="799">
        <v>15800</v>
      </c>
      <c r="G55" s="799"/>
      <c r="H55" s="539">
        <v>0.08</v>
      </c>
      <c r="I55" s="529">
        <f t="shared" si="9"/>
        <v>1264</v>
      </c>
      <c r="J55" s="529">
        <f t="shared" ca="1" si="10"/>
        <v>-890.76</v>
      </c>
      <c r="K55" s="529">
        <f t="shared" ca="1" si="13"/>
        <v>373.24</v>
      </c>
      <c r="L55" s="540">
        <v>1058.4000000000001</v>
      </c>
      <c r="N55" s="966"/>
      <c r="O55" s="965"/>
      <c r="P55" s="306"/>
      <c r="Q55" s="306"/>
      <c r="R55" s="962"/>
      <c r="S55" s="975"/>
    </row>
    <row r="56" spans="1:19" ht="15" customHeight="1" x14ac:dyDescent="0.4">
      <c r="A56" s="555"/>
      <c r="B56" s="627"/>
      <c r="C56" s="111" t="str">
        <f t="shared" si="11"/>
        <v>6130-16</v>
      </c>
      <c r="D56" s="536" t="s">
        <v>268</v>
      </c>
      <c r="E56" s="810">
        <v>1300</v>
      </c>
      <c r="F56" s="794"/>
      <c r="G56" s="794"/>
      <c r="H56" s="560">
        <v>0.41</v>
      </c>
      <c r="I56" s="532">
        <f t="shared" si="9"/>
        <v>533</v>
      </c>
      <c r="J56" s="532">
        <f t="shared" ca="1" si="10"/>
        <v>0</v>
      </c>
      <c r="K56" s="532">
        <f t="shared" ref="K56" ca="1" si="14">SUM(I56:J56)</f>
        <v>533</v>
      </c>
      <c r="L56" s="532">
        <v>902</v>
      </c>
      <c r="N56" s="966"/>
      <c r="O56" s="965"/>
      <c r="P56" s="306"/>
      <c r="Q56" s="306"/>
      <c r="R56" s="962"/>
    </row>
    <row r="57" spans="1:19" ht="15" customHeight="1" x14ac:dyDescent="0.4">
      <c r="A57" s="527"/>
      <c r="B57" s="628"/>
      <c r="C57" s="64" t="str">
        <f t="shared" si="11"/>
        <v>6130-17</v>
      </c>
      <c r="D57" s="574" t="s">
        <v>269</v>
      </c>
      <c r="E57" s="799"/>
      <c r="F57" s="799"/>
      <c r="G57" s="799">
        <v>1</v>
      </c>
      <c r="H57" s="539">
        <v>1300</v>
      </c>
      <c r="I57" s="529">
        <f t="shared" si="9"/>
        <v>1300</v>
      </c>
      <c r="J57" s="529">
        <f t="shared" ca="1" si="10"/>
        <v>-1717.65</v>
      </c>
      <c r="K57" s="540">
        <f ca="1">SUM(I57:J57)</f>
        <v>-417.65000000000009</v>
      </c>
      <c r="L57" s="540">
        <v>1300</v>
      </c>
      <c r="N57" s="966"/>
      <c r="O57" s="965"/>
      <c r="P57" s="306"/>
      <c r="Q57" s="306"/>
      <c r="R57" s="962"/>
    </row>
    <row r="58" spans="1:19" ht="15" customHeight="1" x14ac:dyDescent="0.4">
      <c r="A58" s="555"/>
      <c r="B58" s="627"/>
      <c r="C58" s="111" t="str">
        <f t="shared" si="11"/>
        <v>6130-18</v>
      </c>
      <c r="D58" s="559" t="s">
        <v>270</v>
      </c>
      <c r="E58" s="815">
        <v>19000</v>
      </c>
      <c r="F58" s="815"/>
      <c r="G58" s="812"/>
      <c r="H58" s="560">
        <v>0.41</v>
      </c>
      <c r="I58" s="532">
        <f t="shared" si="9"/>
        <v>7789.9999999999991</v>
      </c>
      <c r="J58" s="532">
        <f t="shared" ca="1" si="10"/>
        <v>-3285.4700000000003</v>
      </c>
      <c r="K58" s="532">
        <f t="shared" ca="1" si="13"/>
        <v>4504.5299999999988</v>
      </c>
      <c r="L58" s="532">
        <v>7789.9999999999991</v>
      </c>
      <c r="N58" s="966"/>
      <c r="O58" s="965"/>
      <c r="P58" s="306"/>
      <c r="Q58" s="306"/>
      <c r="R58" s="962"/>
      <c r="S58" s="975"/>
    </row>
    <row r="59" spans="1:19" ht="15" customHeight="1" x14ac:dyDescent="0.4">
      <c r="A59" s="527"/>
      <c r="B59" s="628"/>
      <c r="C59" s="64" t="str">
        <f t="shared" si="11"/>
        <v>6130-19</v>
      </c>
      <c r="D59" s="538" t="s">
        <v>271</v>
      </c>
      <c r="E59" s="799">
        <v>0</v>
      </c>
      <c r="F59" s="799"/>
      <c r="G59" s="808"/>
      <c r="H59" s="539">
        <v>0.12</v>
      </c>
      <c r="I59" s="529">
        <f t="shared" si="9"/>
        <v>0</v>
      </c>
      <c r="J59" s="529">
        <f t="shared" ca="1" si="10"/>
        <v>0</v>
      </c>
      <c r="K59" s="540">
        <f t="shared" ca="1" si="13"/>
        <v>0</v>
      </c>
      <c r="L59" s="540">
        <v>0</v>
      </c>
      <c r="N59" s="966"/>
      <c r="O59" s="965"/>
      <c r="P59" s="306"/>
      <c r="Q59" s="306"/>
      <c r="R59" s="962"/>
      <c r="S59" s="975"/>
    </row>
    <row r="60" spans="1:19" ht="15" customHeight="1" x14ac:dyDescent="0.4">
      <c r="A60" s="555"/>
      <c r="B60" s="627"/>
      <c r="C60" s="111" t="str">
        <f t="shared" si="11"/>
        <v>6130-20</v>
      </c>
      <c r="D60" s="536" t="s">
        <v>272</v>
      </c>
      <c r="E60" s="810">
        <v>1000</v>
      </c>
      <c r="F60" s="794"/>
      <c r="G60" s="794"/>
      <c r="H60" s="537">
        <v>0.1</v>
      </c>
      <c r="I60" s="532">
        <f t="shared" si="9"/>
        <v>100</v>
      </c>
      <c r="J60" s="532">
        <f t="shared" ca="1" si="10"/>
        <v>-526.35</v>
      </c>
      <c r="K60" s="532">
        <f t="shared" ca="1" si="13"/>
        <v>-426.35</v>
      </c>
      <c r="L60" s="532">
        <v>50</v>
      </c>
      <c r="N60" s="966"/>
      <c r="O60" s="965"/>
      <c r="P60" s="306"/>
      <c r="Q60" s="306"/>
      <c r="R60" s="962"/>
      <c r="S60" s="976"/>
    </row>
    <row r="61" spans="1:19" ht="15" customHeight="1" x14ac:dyDescent="0.4">
      <c r="A61" s="527"/>
      <c r="B61" s="625"/>
      <c r="C61" s="64" t="str">
        <f t="shared" si="11"/>
        <v>6130-21</v>
      </c>
      <c r="D61" s="572" t="s">
        <v>247</v>
      </c>
      <c r="E61" s="813"/>
      <c r="F61" s="798">
        <v>235000</v>
      </c>
      <c r="G61" s="798"/>
      <c r="H61" s="528">
        <v>0.13</v>
      </c>
      <c r="I61" s="529">
        <f t="shared" si="9"/>
        <v>30550</v>
      </c>
      <c r="J61" s="529">
        <f t="shared" ca="1" si="10"/>
        <v>-13002.08</v>
      </c>
      <c r="K61" s="529">
        <f t="shared" ca="1" si="13"/>
        <v>17547.919999999998</v>
      </c>
      <c r="L61" s="529">
        <v>29767.4</v>
      </c>
      <c r="N61" s="966"/>
      <c r="O61" s="965"/>
      <c r="P61" s="306"/>
      <c r="Q61" s="306"/>
      <c r="R61" s="962"/>
      <c r="S61" s="976"/>
    </row>
    <row r="62" spans="1:19" ht="15" customHeight="1" thickBot="1" x14ac:dyDescent="0.45">
      <c r="B62" s="625"/>
      <c r="D62" s="544" t="s">
        <v>106</v>
      </c>
      <c r="E62" s="545"/>
      <c r="F62" s="545"/>
      <c r="G62" s="421"/>
      <c r="H62" s="546">
        <f>(I62-L62)/L62</f>
        <v>4.7686038314555416E-2</v>
      </c>
      <c r="I62" s="547">
        <f>SUM(I41:I61)</f>
        <v>101655.3</v>
      </c>
      <c r="J62" s="547">
        <f ca="1">SUM(J41:J61)</f>
        <v>-82569.240000000005</v>
      </c>
      <c r="K62" s="547">
        <f ca="1">SUM(K41:K61)</f>
        <v>19086.059999999998</v>
      </c>
      <c r="L62" s="548">
        <f>SUM(L41:L61)</f>
        <v>97028.4</v>
      </c>
      <c r="O62" s="965"/>
      <c r="P62" s="306"/>
      <c r="Q62" s="306"/>
      <c r="R62" s="962"/>
    </row>
    <row r="63" spans="1:19" ht="10.5" customHeight="1" thickTop="1" x14ac:dyDescent="0.4">
      <c r="B63" s="526"/>
      <c r="C63" s="48"/>
      <c r="D63" s="544"/>
      <c r="E63" s="545"/>
      <c r="F63" s="545"/>
      <c r="G63" s="448"/>
      <c r="H63" s="575"/>
      <c r="I63" s="568"/>
      <c r="J63" s="568"/>
      <c r="K63" s="568"/>
      <c r="L63" s="568"/>
      <c r="O63" s="969"/>
      <c r="P63" s="306"/>
      <c r="Q63" s="306"/>
      <c r="R63" s="962"/>
    </row>
    <row r="64" spans="1:19" ht="19.5" customHeight="1" x14ac:dyDescent="0.5">
      <c r="A64" s="950" t="s">
        <v>273</v>
      </c>
      <c r="B64" s="950"/>
      <c r="C64" s="950"/>
      <c r="D64" s="950"/>
      <c r="E64" s="950"/>
      <c r="F64" s="950"/>
      <c r="G64" s="950"/>
      <c r="H64" s="950"/>
      <c r="I64" s="950"/>
      <c r="J64" s="950"/>
      <c r="K64" s="950"/>
      <c r="L64" s="950"/>
      <c r="O64" s="969"/>
      <c r="P64" s="306"/>
      <c r="Q64" s="306"/>
      <c r="R64" s="962"/>
    </row>
    <row r="65" spans="1:19" ht="15" customHeight="1" x14ac:dyDescent="0.4">
      <c r="B65" s="622"/>
      <c r="C65" s="90" t="str">
        <f>LEFT($A64,4)&amp;"-1"</f>
        <v>6140-1</v>
      </c>
      <c r="D65" s="551" t="s">
        <v>274</v>
      </c>
      <c r="E65" s="576"/>
      <c r="F65" s="793">
        <v>12</v>
      </c>
      <c r="G65" s="576"/>
      <c r="H65" s="535">
        <v>600</v>
      </c>
      <c r="I65" s="577">
        <f>(E65+F65+G65)*H65</f>
        <v>7200</v>
      </c>
      <c r="J65" s="577">
        <f ca="1">-(SUMIF(INDIRECT(LEFT($A$64,4)&amp;"!i3:i200"),"="&amp;C65&amp;" *",INDIRECT(LEFT($A$64,4)&amp;"!k3:k200")))</f>
        <v>-7207.8000000000011</v>
      </c>
      <c r="K65" s="577">
        <f ca="1">SUM(I65:J65)</f>
        <v>-7.8000000000010914</v>
      </c>
      <c r="L65" s="529">
        <v>7200</v>
      </c>
      <c r="N65" s="966"/>
      <c r="O65" s="965"/>
      <c r="P65" s="306"/>
      <c r="Q65" s="306"/>
      <c r="R65" s="962"/>
    </row>
    <row r="66" spans="1:19" ht="15" customHeight="1" thickBot="1" x14ac:dyDescent="0.45">
      <c r="B66" s="636"/>
      <c r="C66" s="133"/>
      <c r="D66" s="544" t="s">
        <v>106</v>
      </c>
      <c r="E66" s="545"/>
      <c r="F66" s="545"/>
      <c r="G66" s="421"/>
      <c r="H66" s="546" t="e">
        <f>SUM(Summary!$H$12)</f>
        <v>#REF!</v>
      </c>
      <c r="I66" s="578">
        <f>SUM(I65)</f>
        <v>7200</v>
      </c>
      <c r="J66" s="578">
        <f t="shared" ref="J66:K66" ca="1" si="15">SUM(J65)</f>
        <v>-7207.8000000000011</v>
      </c>
      <c r="K66" s="578">
        <f t="shared" ca="1" si="15"/>
        <v>-7.8000000000010914</v>
      </c>
      <c r="L66" s="548">
        <f>SUM(L65)</f>
        <v>7200</v>
      </c>
      <c r="O66" s="965"/>
      <c r="P66" s="306"/>
      <c r="Q66" s="306"/>
      <c r="R66" s="962"/>
    </row>
    <row r="67" spans="1:19" ht="9.75" customHeight="1" thickTop="1" x14ac:dyDescent="0.4">
      <c r="B67" s="526"/>
      <c r="C67" s="48"/>
      <c r="D67" s="69"/>
      <c r="E67" s="70"/>
      <c r="F67" s="70"/>
      <c r="G67" s="70"/>
      <c r="H67" s="53"/>
      <c r="I67" s="37"/>
      <c r="J67" s="37"/>
      <c r="K67" s="37"/>
      <c r="L67" s="37"/>
      <c r="O67" s="965"/>
      <c r="P67" s="306"/>
      <c r="Q67" s="306"/>
      <c r="R67" s="962"/>
    </row>
    <row r="68" spans="1:19" ht="19.5" customHeight="1" x14ac:dyDescent="0.5">
      <c r="A68" s="952" t="s">
        <v>275</v>
      </c>
      <c r="B68" s="952"/>
      <c r="C68" s="952"/>
      <c r="D68" s="952"/>
      <c r="E68" s="952"/>
      <c r="F68" s="952"/>
      <c r="G68" s="952"/>
      <c r="H68" s="952"/>
      <c r="I68" s="952"/>
      <c r="J68" s="952"/>
      <c r="K68" s="952"/>
      <c r="L68" s="952"/>
      <c r="O68" s="965"/>
      <c r="P68" s="306"/>
      <c r="Q68" s="306"/>
      <c r="R68" s="962"/>
    </row>
    <row r="69" spans="1:19" ht="15" customHeight="1" x14ac:dyDescent="0.4">
      <c r="A69" s="527"/>
      <c r="B69" s="625"/>
      <c r="C69" s="64" t="str">
        <f>LEFT($A68,4)&amp;"-1"</f>
        <v>6150-1</v>
      </c>
      <c r="D69" s="581" t="s">
        <v>276</v>
      </c>
      <c r="E69" s="582"/>
      <c r="F69" s="793">
        <v>22</v>
      </c>
      <c r="G69" s="583"/>
      <c r="H69" s="535">
        <v>250</v>
      </c>
      <c r="I69" s="529">
        <f t="shared" ref="I69:I79" si="16">(E69+F69+G69)*H69</f>
        <v>5500</v>
      </c>
      <c r="J69" s="529">
        <f t="shared" ref="J69:J79" ca="1" si="17">-(SUMIF(INDIRECT(LEFT($A$68,4)&amp;"!i3:i200"),"="&amp;C69&amp;" *",INDIRECT(LEFT($A$68,4)&amp;"!k3:k200")))</f>
        <v>-5452.52</v>
      </c>
      <c r="K69" s="529">
        <f t="shared" ref="K69" ca="1" si="18">SUM(I69:J69)</f>
        <v>47.479999999999563</v>
      </c>
      <c r="L69" s="419">
        <v>5500</v>
      </c>
      <c r="N69" s="966"/>
      <c r="O69" s="965"/>
      <c r="P69" s="306"/>
      <c r="Q69" s="306"/>
      <c r="R69" s="977"/>
    </row>
    <row r="70" spans="1:19" ht="15" customHeight="1" x14ac:dyDescent="0.4">
      <c r="A70" s="555"/>
      <c r="B70" s="632"/>
      <c r="C70" s="111" t="str">
        <f>LEFT($C69,4)&amp;"-"&amp;VALUE(MID($C69,FIND("-",$C69)+1,256))+1</f>
        <v>6150-2</v>
      </c>
      <c r="D70" s="530" t="s">
        <v>277</v>
      </c>
      <c r="E70" s="615"/>
      <c r="F70" s="800">
        <v>7</v>
      </c>
      <c r="G70" s="615"/>
      <c r="H70" s="531">
        <v>320</v>
      </c>
      <c r="I70" s="532">
        <f t="shared" si="16"/>
        <v>2240</v>
      </c>
      <c r="J70" s="541">
        <f t="shared" ca="1" si="17"/>
        <v>-6044</v>
      </c>
      <c r="K70" s="541">
        <f t="shared" ref="K70:K79" ca="1" si="19">SUM(I70:J70)</f>
        <v>-3804</v>
      </c>
      <c r="L70" s="604">
        <v>2240</v>
      </c>
      <c r="N70" s="966"/>
      <c r="O70" s="965"/>
      <c r="P70" s="306"/>
      <c r="Q70" s="306"/>
      <c r="R70" s="962"/>
      <c r="S70" s="978"/>
    </row>
    <row r="71" spans="1:19" ht="15" customHeight="1" x14ac:dyDescent="0.4">
      <c r="A71" s="527"/>
      <c r="B71" s="622"/>
      <c r="C71" s="64" t="str">
        <f t="shared" ref="C71:C79" si="20">LEFT($C70,4)&amp;"-"&amp;VALUE(MID($C70,FIND("-",$C70)+1,256))+1</f>
        <v>6150-3</v>
      </c>
      <c r="D71" s="572" t="s">
        <v>278</v>
      </c>
      <c r="E71" s="589"/>
      <c r="F71" s="798">
        <v>2</v>
      </c>
      <c r="G71" s="589"/>
      <c r="H71" s="535">
        <v>2000</v>
      </c>
      <c r="I71" s="529">
        <f t="shared" si="16"/>
        <v>4000</v>
      </c>
      <c r="J71" s="529">
        <f t="shared" ca="1" si="17"/>
        <v>-1932.76</v>
      </c>
      <c r="K71" s="529">
        <f t="shared" ca="1" si="19"/>
        <v>2067.2399999999998</v>
      </c>
      <c r="L71" s="419">
        <v>4000</v>
      </c>
      <c r="M71" s="979"/>
      <c r="N71" s="966"/>
      <c r="O71" s="965"/>
      <c r="P71" s="306"/>
      <c r="Q71" s="306"/>
      <c r="R71" s="964"/>
    </row>
    <row r="72" spans="1:19" ht="15" customHeight="1" x14ac:dyDescent="0.4">
      <c r="A72" s="555"/>
      <c r="B72" s="634"/>
      <c r="C72" s="111" t="str">
        <f t="shared" si="20"/>
        <v>6150-4</v>
      </c>
      <c r="D72" s="590" t="s">
        <v>279</v>
      </c>
      <c r="E72" s="592"/>
      <c r="F72" s="794">
        <v>9</v>
      </c>
      <c r="G72" s="587"/>
      <c r="H72" s="560">
        <v>2000</v>
      </c>
      <c r="I72" s="532">
        <f t="shared" si="16"/>
        <v>18000</v>
      </c>
      <c r="J72" s="541">
        <f t="shared" ca="1" si="17"/>
        <v>400</v>
      </c>
      <c r="K72" s="541">
        <f t="shared" ca="1" si="19"/>
        <v>18400</v>
      </c>
      <c r="L72" s="588">
        <v>16000</v>
      </c>
      <c r="N72" s="966"/>
      <c r="O72" s="965"/>
      <c r="P72" s="306"/>
      <c r="Q72" s="306"/>
      <c r="S72" s="962"/>
    </row>
    <row r="73" spans="1:19" ht="15" customHeight="1" x14ac:dyDescent="0.4">
      <c r="A73" s="527"/>
      <c r="B73" s="719"/>
      <c r="C73" s="64" t="str">
        <f t="shared" si="20"/>
        <v>6150-5</v>
      </c>
      <c r="D73" s="686" t="s">
        <v>280</v>
      </c>
      <c r="E73" s="777"/>
      <c r="F73" s="798">
        <v>6</v>
      </c>
      <c r="G73" s="589"/>
      <c r="H73" s="535">
        <v>2500</v>
      </c>
      <c r="I73" s="529">
        <f t="shared" si="16"/>
        <v>15000</v>
      </c>
      <c r="J73" s="540">
        <f t="shared" ca="1" si="17"/>
        <v>-18849.189999999999</v>
      </c>
      <c r="K73" s="540">
        <f t="shared" ca="1" si="19"/>
        <v>-3849.1899999999987</v>
      </c>
      <c r="L73" s="419">
        <v>15000</v>
      </c>
      <c r="N73" s="964"/>
      <c r="O73" s="965"/>
      <c r="P73" s="306"/>
      <c r="Q73" s="306"/>
      <c r="R73" s="980"/>
    </row>
    <row r="74" spans="1:19" ht="15" customHeight="1" x14ac:dyDescent="0.4">
      <c r="A74" s="555"/>
      <c r="B74" s="632"/>
      <c r="C74" s="111" t="str">
        <f t="shared" si="20"/>
        <v>6150-6</v>
      </c>
      <c r="D74" s="542" t="s">
        <v>281</v>
      </c>
      <c r="E74" s="609"/>
      <c r="F74" s="796">
        <v>1</v>
      </c>
      <c r="G74" s="609"/>
      <c r="H74" s="531">
        <v>5000</v>
      </c>
      <c r="I74" s="532">
        <f t="shared" si="16"/>
        <v>5000</v>
      </c>
      <c r="J74" s="532">
        <f t="shared" ca="1" si="17"/>
        <v>-10543.05</v>
      </c>
      <c r="K74" s="532">
        <f t="shared" ca="1" si="19"/>
        <v>-5543.0499999999993</v>
      </c>
      <c r="L74" s="604">
        <v>5000</v>
      </c>
      <c r="N74" s="966"/>
      <c r="O74" s="965"/>
      <c r="P74" s="306"/>
      <c r="Q74" s="306"/>
      <c r="R74" s="962"/>
    </row>
    <row r="75" spans="1:19" ht="15" customHeight="1" x14ac:dyDescent="0.4">
      <c r="A75" s="527"/>
      <c r="B75" s="622"/>
      <c r="C75" s="64" t="str">
        <f t="shared" si="20"/>
        <v>6150-7</v>
      </c>
      <c r="D75" s="534" t="s">
        <v>282</v>
      </c>
      <c r="E75" s="778"/>
      <c r="F75" s="793">
        <v>2</v>
      </c>
      <c r="G75" s="779"/>
      <c r="H75" s="535">
        <v>3500</v>
      </c>
      <c r="I75" s="529">
        <f t="shared" si="16"/>
        <v>7000</v>
      </c>
      <c r="J75" s="540">
        <f t="shared" ca="1" si="17"/>
        <v>-2132.34</v>
      </c>
      <c r="K75" s="540">
        <f t="shared" ca="1" si="19"/>
        <v>4867.66</v>
      </c>
      <c r="L75" s="529">
        <v>7000</v>
      </c>
      <c r="N75" s="966"/>
      <c r="O75" s="965"/>
      <c r="P75" s="306"/>
      <c r="Q75" s="306"/>
      <c r="R75" s="962"/>
      <c r="S75" s="962"/>
    </row>
    <row r="76" spans="1:19" ht="15" customHeight="1" x14ac:dyDescent="0.4">
      <c r="A76" s="555"/>
      <c r="B76" s="632"/>
      <c r="C76" s="111" t="str">
        <f t="shared" si="20"/>
        <v>6150-8</v>
      </c>
      <c r="D76" s="530" t="s">
        <v>283</v>
      </c>
      <c r="E76" s="615"/>
      <c r="F76" s="800">
        <v>19</v>
      </c>
      <c r="G76" s="780"/>
      <c r="H76" s="531">
        <v>1300</v>
      </c>
      <c r="I76" s="532">
        <f t="shared" si="16"/>
        <v>24700</v>
      </c>
      <c r="J76" s="532">
        <f t="shared" ca="1" si="17"/>
        <v>-24067.279999999999</v>
      </c>
      <c r="K76" s="532">
        <f t="shared" ca="1" si="19"/>
        <v>632.72000000000116</v>
      </c>
      <c r="L76" s="604">
        <v>23400</v>
      </c>
      <c r="N76" s="966"/>
      <c r="O76" s="965"/>
      <c r="P76" s="306"/>
      <c r="Q76" s="306"/>
      <c r="R76" s="962"/>
    </row>
    <row r="77" spans="1:19" ht="15" customHeight="1" x14ac:dyDescent="0.4">
      <c r="A77" s="527"/>
      <c r="B77" s="622"/>
      <c r="C77" s="64" t="str">
        <f>LEFT($C76,4)&amp;"-"&amp;VALUE(MID($C76,FIND("-",$C76)+1,256))+1</f>
        <v>6150-9</v>
      </c>
      <c r="D77" s="534" t="s">
        <v>284</v>
      </c>
      <c r="E77" s="576"/>
      <c r="F77" s="793">
        <v>5</v>
      </c>
      <c r="G77" s="593"/>
      <c r="H77" s="535">
        <v>300</v>
      </c>
      <c r="I77" s="529">
        <f t="shared" si="16"/>
        <v>1500</v>
      </c>
      <c r="J77" s="540">
        <f t="shared" ca="1" si="17"/>
        <v>0</v>
      </c>
      <c r="K77" s="540">
        <f t="shared" ca="1" si="19"/>
        <v>1500</v>
      </c>
      <c r="L77" s="419">
        <v>1500</v>
      </c>
      <c r="N77" s="966"/>
      <c r="O77" s="965"/>
      <c r="P77" s="306"/>
      <c r="Q77" s="306"/>
      <c r="R77" s="962"/>
    </row>
    <row r="78" spans="1:19" ht="15" customHeight="1" x14ac:dyDescent="0.4">
      <c r="A78" s="555"/>
      <c r="B78" s="632"/>
      <c r="C78" s="111" t="str">
        <f>LEFT($C77,4)&amp;"-"&amp;VALUE(MID($C77,FIND("-",$C77)+1,256))+1</f>
        <v>6150-10</v>
      </c>
      <c r="D78" s="716" t="s">
        <v>285</v>
      </c>
      <c r="E78" s="615"/>
      <c r="F78" s="800">
        <v>4</v>
      </c>
      <c r="G78" s="603"/>
      <c r="H78" s="531">
        <v>750</v>
      </c>
      <c r="I78" s="532">
        <f t="shared" si="16"/>
        <v>3000</v>
      </c>
      <c r="J78" s="532">
        <f t="shared" ca="1" si="17"/>
        <v>-299.99</v>
      </c>
      <c r="K78" s="532">
        <f t="shared" ca="1" si="19"/>
        <v>2700.01</v>
      </c>
      <c r="L78" s="604">
        <v>3000</v>
      </c>
      <c r="M78" s="981"/>
      <c r="N78" s="966"/>
      <c r="O78" s="965"/>
      <c r="P78" s="306"/>
      <c r="Q78" s="306"/>
      <c r="R78" s="962"/>
      <c r="S78" s="978"/>
    </row>
    <row r="79" spans="1:19" ht="15" customHeight="1" x14ac:dyDescent="0.4">
      <c r="A79" s="527"/>
      <c r="B79" s="719"/>
      <c r="C79" s="64" t="str">
        <f t="shared" si="20"/>
        <v>6150-11</v>
      </c>
      <c r="D79" s="686" t="s">
        <v>286</v>
      </c>
      <c r="E79" s="576"/>
      <c r="F79" s="798">
        <v>20</v>
      </c>
      <c r="G79" s="589"/>
      <c r="H79" s="535">
        <v>250</v>
      </c>
      <c r="I79" s="529">
        <f t="shared" si="16"/>
        <v>5000</v>
      </c>
      <c r="J79" s="540">
        <f t="shared" ca="1" si="17"/>
        <v>-3359.88</v>
      </c>
      <c r="K79" s="540">
        <f t="shared" ca="1" si="19"/>
        <v>1640.12</v>
      </c>
      <c r="L79" s="419">
        <v>5000</v>
      </c>
      <c r="N79" s="966"/>
      <c r="O79" s="965"/>
      <c r="P79" s="306"/>
      <c r="Q79" s="306"/>
      <c r="R79" s="980"/>
    </row>
    <row r="80" spans="1:19" ht="15" customHeight="1" thickBot="1" x14ac:dyDescent="0.45">
      <c r="B80" s="625"/>
      <c r="D80" s="544" t="s">
        <v>106</v>
      </c>
      <c r="E80" s="545"/>
      <c r="F80" s="545"/>
      <c r="G80" s="421"/>
      <c r="H80" s="546">
        <f>(I80-L80)/L80</f>
        <v>3.7654039251483341E-2</v>
      </c>
      <c r="I80" s="547">
        <f>SUM(I69:I79)</f>
        <v>90940</v>
      </c>
      <c r="J80" s="547">
        <f ca="1">SUM(J69:J79)</f>
        <v>-72281.010000000009</v>
      </c>
      <c r="K80" s="547">
        <f ca="1">SUM(K69:K79)</f>
        <v>18658.990000000002</v>
      </c>
      <c r="L80" s="597">
        <f>SUM(L69:L79)</f>
        <v>87640</v>
      </c>
      <c r="O80" s="965"/>
      <c r="P80" s="306"/>
      <c r="Q80" s="306"/>
      <c r="R80" s="962"/>
    </row>
    <row r="81" spans="1:19" ht="9.75" customHeight="1" thickTop="1" x14ac:dyDescent="0.4">
      <c r="B81" s="113"/>
      <c r="D81" s="66"/>
      <c r="E81" s="67"/>
      <c r="F81" s="67"/>
      <c r="G81" s="18"/>
      <c r="H81" s="50"/>
      <c r="I81" s="81"/>
      <c r="J81" s="81"/>
      <c r="K81" s="81"/>
      <c r="L81" s="92"/>
      <c r="O81" s="969"/>
      <c r="P81" s="306"/>
      <c r="Q81" s="306"/>
      <c r="R81" s="962"/>
    </row>
    <row r="82" spans="1:19" ht="19.5" customHeight="1" x14ac:dyDescent="0.5">
      <c r="A82" s="950" t="s">
        <v>287</v>
      </c>
      <c r="B82" s="950"/>
      <c r="C82" s="950"/>
      <c r="D82" s="950"/>
      <c r="E82" s="950"/>
      <c r="F82" s="950"/>
      <c r="G82" s="950"/>
      <c r="H82" s="950"/>
      <c r="I82" s="950"/>
      <c r="J82" s="950"/>
      <c r="K82" s="950"/>
      <c r="L82" s="950"/>
      <c r="O82" s="969"/>
      <c r="P82" s="306"/>
      <c r="Q82" s="306"/>
      <c r="R82" s="962"/>
    </row>
    <row r="83" spans="1:19" ht="15" customHeight="1" x14ac:dyDescent="0.4">
      <c r="A83" s="527"/>
      <c r="B83" s="622"/>
      <c r="C83" s="135" t="str">
        <f>LEFT($A82,4)&amp;"-1"</f>
        <v>6160-1</v>
      </c>
      <c r="D83" s="534" t="s">
        <v>288</v>
      </c>
      <c r="E83" s="598"/>
      <c r="F83" s="793">
        <v>1</v>
      </c>
      <c r="G83" s="598"/>
      <c r="H83" s="535">
        <v>250</v>
      </c>
      <c r="I83" s="529">
        <f t="shared" ref="I83:I93" si="21">(E83+F83+G83)*H83</f>
        <v>250</v>
      </c>
      <c r="J83" s="529">
        <f t="shared" ref="J83:J93" ca="1" si="22">-(SUMIF(INDIRECT(LEFT($A$82,4)&amp;"!i3:i200"),"="&amp;C83&amp;" *",INDIRECT(LEFT($A$82,4)&amp;"!k3:k200")))</f>
        <v>-69.989999999999995</v>
      </c>
      <c r="K83" s="529">
        <f t="shared" ref="K83" ca="1" si="23">SUM(I83:J83)</f>
        <v>180.01</v>
      </c>
      <c r="L83" s="419">
        <v>250</v>
      </c>
      <c r="N83" s="966"/>
      <c r="O83" s="965"/>
      <c r="P83" s="306"/>
      <c r="Q83" s="306"/>
      <c r="R83" s="962"/>
    </row>
    <row r="84" spans="1:19" ht="15" customHeight="1" x14ac:dyDescent="0.4">
      <c r="A84" s="555"/>
      <c r="B84" s="633"/>
      <c r="C84" s="112" t="str">
        <f>LEFT($C83,4)&amp;"-"&amp;VALUE(MID($C83,FIND("-",$C83)+1,256))+1</f>
        <v>6160-2</v>
      </c>
      <c r="D84" s="564" t="s">
        <v>289</v>
      </c>
      <c r="E84" s="599"/>
      <c r="F84" s="794">
        <v>0</v>
      </c>
      <c r="G84" s="599"/>
      <c r="H84" s="560">
        <v>65</v>
      </c>
      <c r="I84" s="532">
        <f t="shared" si="21"/>
        <v>0</v>
      </c>
      <c r="J84" s="532">
        <f t="shared" ca="1" si="22"/>
        <v>0</v>
      </c>
      <c r="K84" s="532">
        <f t="shared" ref="K84" ca="1" si="24">SUM(I84:J84)</f>
        <v>0</v>
      </c>
      <c r="L84" s="588">
        <v>650</v>
      </c>
      <c r="N84" s="966"/>
      <c r="O84" s="965"/>
      <c r="P84" s="306"/>
      <c r="Q84" s="306"/>
      <c r="R84" s="962"/>
      <c r="S84" s="973"/>
    </row>
    <row r="85" spans="1:19" ht="15" customHeight="1" x14ac:dyDescent="0.4">
      <c r="A85" s="527"/>
      <c r="B85" s="626"/>
      <c r="C85" s="90" t="str">
        <f t="shared" ref="C85:C93" si="25">LEFT($C84,4)&amp;"-"&amp;VALUE(MID($C84,FIND("-",$C84)+1,256))+1</f>
        <v>6160-3</v>
      </c>
      <c r="D85" s="562" t="s">
        <v>290</v>
      </c>
      <c r="E85" s="600"/>
      <c r="F85" s="795">
        <v>0</v>
      </c>
      <c r="G85" s="600"/>
      <c r="H85" s="539">
        <v>95</v>
      </c>
      <c r="I85" s="529">
        <f t="shared" si="21"/>
        <v>0</v>
      </c>
      <c r="J85" s="529">
        <f t="shared" ca="1" si="22"/>
        <v>0</v>
      </c>
      <c r="K85" s="529">
        <f t="shared" ref="K85:K93" ca="1" si="26">SUM(I85:J85)</f>
        <v>0</v>
      </c>
      <c r="L85" s="586">
        <v>285</v>
      </c>
      <c r="N85" s="966"/>
      <c r="O85" s="965"/>
      <c r="P85" s="306"/>
      <c r="Q85" s="306"/>
      <c r="R85" s="962"/>
      <c r="S85" s="973"/>
    </row>
    <row r="86" spans="1:19" ht="15" customHeight="1" x14ac:dyDescent="0.4">
      <c r="A86" s="555"/>
      <c r="B86" s="632"/>
      <c r="C86" s="112" t="str">
        <f t="shared" si="25"/>
        <v>6160-4</v>
      </c>
      <c r="D86" s="542" t="s">
        <v>291</v>
      </c>
      <c r="E86" s="609"/>
      <c r="F86" s="796">
        <v>1</v>
      </c>
      <c r="G86" s="671"/>
      <c r="H86" s="531">
        <v>400</v>
      </c>
      <c r="I86" s="532">
        <f t="shared" si="21"/>
        <v>400</v>
      </c>
      <c r="J86" s="532">
        <f t="shared" ca="1" si="22"/>
        <v>-90.96</v>
      </c>
      <c r="K86" s="532">
        <f t="shared" ca="1" si="26"/>
        <v>309.04000000000002</v>
      </c>
      <c r="L86" s="604">
        <v>350</v>
      </c>
      <c r="N86" s="966"/>
      <c r="O86" s="965"/>
      <c r="P86" s="306"/>
      <c r="Q86" s="306"/>
      <c r="R86" s="962"/>
    </row>
    <row r="87" spans="1:19" ht="15" customHeight="1" x14ac:dyDescent="0.4">
      <c r="A87" s="527"/>
      <c r="B87" s="625"/>
      <c r="C87" s="90" t="str">
        <f t="shared" si="25"/>
        <v>6160-5</v>
      </c>
      <c r="D87" s="657" t="s">
        <v>292</v>
      </c>
      <c r="E87" s="545"/>
      <c r="F87" s="793">
        <v>4</v>
      </c>
      <c r="G87" s="448"/>
      <c r="H87" s="539">
        <v>1200</v>
      </c>
      <c r="I87" s="529">
        <f t="shared" si="21"/>
        <v>4800</v>
      </c>
      <c r="J87" s="529">
        <f t="shared" ca="1" si="22"/>
        <v>-4350</v>
      </c>
      <c r="K87" s="529">
        <f t="shared" ca="1" si="26"/>
        <v>450</v>
      </c>
      <c r="L87" s="419">
        <v>4800</v>
      </c>
      <c r="N87" s="966"/>
      <c r="O87" s="965"/>
      <c r="P87" s="306"/>
      <c r="Q87" s="306"/>
      <c r="R87" s="962"/>
    </row>
    <row r="88" spans="1:19" ht="15" customHeight="1" x14ac:dyDescent="0.4">
      <c r="A88" s="555"/>
      <c r="B88" s="633"/>
      <c r="C88" s="112" t="str">
        <f t="shared" si="25"/>
        <v>6160-6</v>
      </c>
      <c r="D88" s="536" t="s">
        <v>293</v>
      </c>
      <c r="E88" s="601"/>
      <c r="F88" s="794">
        <v>0</v>
      </c>
      <c r="G88" s="601"/>
      <c r="H88" s="560">
        <v>300</v>
      </c>
      <c r="I88" s="532">
        <f t="shared" si="21"/>
        <v>0</v>
      </c>
      <c r="J88" s="532">
        <f t="shared" ca="1" si="22"/>
        <v>0</v>
      </c>
      <c r="K88" s="532">
        <f t="shared" ca="1" si="26"/>
        <v>0</v>
      </c>
      <c r="L88" s="588">
        <v>300</v>
      </c>
      <c r="N88" s="966"/>
      <c r="O88" s="965"/>
      <c r="P88" s="306"/>
      <c r="Q88" s="306"/>
      <c r="R88" s="962"/>
    </row>
    <row r="89" spans="1:19" ht="15" customHeight="1" x14ac:dyDescent="0.4">
      <c r="A89" s="527"/>
      <c r="B89" s="626"/>
      <c r="C89" s="90" t="str">
        <f t="shared" si="25"/>
        <v>6160-7</v>
      </c>
      <c r="D89" s="562" t="s">
        <v>294</v>
      </c>
      <c r="E89" s="591"/>
      <c r="F89" s="797">
        <v>1</v>
      </c>
      <c r="G89" s="600"/>
      <c r="H89" s="539">
        <v>5000</v>
      </c>
      <c r="I89" s="529">
        <f t="shared" si="21"/>
        <v>5000</v>
      </c>
      <c r="J89" s="529">
        <f t="shared" ca="1" si="22"/>
        <v>-3005.98</v>
      </c>
      <c r="K89" s="529">
        <f t="shared" ca="1" si="26"/>
        <v>1994.02</v>
      </c>
      <c r="L89" s="586">
        <v>5000</v>
      </c>
      <c r="N89" s="966"/>
      <c r="O89" s="965"/>
      <c r="P89" s="306"/>
      <c r="Q89" s="306"/>
      <c r="R89" s="962"/>
    </row>
    <row r="90" spans="1:19" ht="15" customHeight="1" x14ac:dyDescent="0.4">
      <c r="A90" s="555"/>
      <c r="B90" s="633"/>
      <c r="C90" s="112" t="str">
        <f t="shared" si="25"/>
        <v>6160-8</v>
      </c>
      <c r="D90" s="536" t="s">
        <v>295</v>
      </c>
      <c r="E90" s="601"/>
      <c r="F90" s="794">
        <v>10</v>
      </c>
      <c r="G90" s="601"/>
      <c r="H90" s="560">
        <v>35</v>
      </c>
      <c r="I90" s="532">
        <f t="shared" si="21"/>
        <v>350</v>
      </c>
      <c r="J90" s="532">
        <f t="shared" ca="1" si="22"/>
        <v>-602.71</v>
      </c>
      <c r="K90" s="532">
        <f t="shared" ca="1" si="26"/>
        <v>-252.71000000000004</v>
      </c>
      <c r="L90" s="588">
        <v>300</v>
      </c>
      <c r="N90" s="966"/>
      <c r="O90" s="965"/>
      <c r="P90" s="306"/>
      <c r="Q90" s="306"/>
      <c r="R90" s="962"/>
    </row>
    <row r="91" spans="1:19" ht="15" customHeight="1" x14ac:dyDescent="0.4">
      <c r="A91" s="527"/>
      <c r="B91" s="622"/>
      <c r="C91" s="90" t="str">
        <f t="shared" si="25"/>
        <v>6160-9</v>
      </c>
      <c r="D91" s="572" t="s">
        <v>296</v>
      </c>
      <c r="E91" s="672"/>
      <c r="F91" s="798">
        <v>20</v>
      </c>
      <c r="G91" s="672"/>
      <c r="H91" s="535">
        <v>10</v>
      </c>
      <c r="I91" s="529">
        <f t="shared" si="21"/>
        <v>200</v>
      </c>
      <c r="J91" s="529">
        <f t="shared" ca="1" si="22"/>
        <v>0</v>
      </c>
      <c r="K91" s="529">
        <f ca="1">SUM(I91:J91)</f>
        <v>200</v>
      </c>
      <c r="L91" s="419">
        <v>200</v>
      </c>
      <c r="N91" s="966"/>
      <c r="O91" s="965"/>
      <c r="P91" s="306"/>
      <c r="Q91" s="306"/>
      <c r="R91" s="962"/>
    </row>
    <row r="92" spans="1:19" ht="15" customHeight="1" x14ac:dyDescent="0.4">
      <c r="A92" s="555"/>
      <c r="B92" s="633"/>
      <c r="C92" s="112" t="str">
        <f t="shared" si="25"/>
        <v>6160-10</v>
      </c>
      <c r="D92" s="536" t="s">
        <v>297</v>
      </c>
      <c r="E92" s="601"/>
      <c r="F92" s="794">
        <v>30</v>
      </c>
      <c r="G92" s="587"/>
      <c r="H92" s="560">
        <v>7</v>
      </c>
      <c r="I92" s="532">
        <f t="shared" si="21"/>
        <v>210</v>
      </c>
      <c r="J92" s="532">
        <f t="shared" ca="1" si="22"/>
        <v>0</v>
      </c>
      <c r="K92" s="532">
        <f t="shared" ca="1" si="26"/>
        <v>210</v>
      </c>
      <c r="L92" s="588">
        <v>210</v>
      </c>
      <c r="N92" s="966"/>
      <c r="O92" s="965"/>
      <c r="P92" s="306"/>
      <c r="Q92" s="306"/>
      <c r="R92" s="962"/>
    </row>
    <row r="93" spans="1:19" ht="15" customHeight="1" x14ac:dyDescent="0.4">
      <c r="A93" s="527"/>
      <c r="B93" s="626"/>
      <c r="C93" s="90" t="str">
        <f t="shared" si="25"/>
        <v>6160-11</v>
      </c>
      <c r="D93" s="573" t="s">
        <v>298</v>
      </c>
      <c r="E93" s="596"/>
      <c r="F93" s="799">
        <v>1</v>
      </c>
      <c r="G93" s="596"/>
      <c r="H93" s="539">
        <v>1000</v>
      </c>
      <c r="I93" s="529">
        <f t="shared" si="21"/>
        <v>1000</v>
      </c>
      <c r="J93" s="529">
        <f t="shared" ca="1" si="22"/>
        <v>-1079.2</v>
      </c>
      <c r="K93" s="529">
        <f t="shared" ca="1" si="26"/>
        <v>-79.200000000000045</v>
      </c>
      <c r="L93" s="586">
        <v>1000</v>
      </c>
      <c r="N93" s="966"/>
      <c r="O93" s="965"/>
      <c r="P93" s="306"/>
      <c r="Q93" s="306"/>
      <c r="R93" s="962"/>
    </row>
    <row r="94" spans="1:19" ht="15" customHeight="1" thickBot="1" x14ac:dyDescent="0.45">
      <c r="B94" s="625"/>
      <c r="C94" s="135"/>
      <c r="D94" s="544" t="s">
        <v>106</v>
      </c>
      <c r="E94" s="545"/>
      <c r="F94" s="545"/>
      <c r="G94" s="421"/>
      <c r="H94" s="546">
        <f>(I94-L94)/L94</f>
        <v>-8.5050580741850887E-2</v>
      </c>
      <c r="I94" s="547">
        <f>SUM(I83:I93)</f>
        <v>12210</v>
      </c>
      <c r="J94" s="547">
        <f ca="1">SUM(J83:J93)</f>
        <v>-9198.84</v>
      </c>
      <c r="K94" s="547">
        <f ca="1">SUM(K83:K93)</f>
        <v>3011.16</v>
      </c>
      <c r="L94" s="597">
        <f>SUM(L83:L93)</f>
        <v>13345</v>
      </c>
      <c r="O94" s="965"/>
      <c r="P94" s="306"/>
      <c r="Q94" s="306"/>
      <c r="R94" s="962"/>
    </row>
    <row r="95" spans="1:19" ht="9.75" customHeight="1" thickTop="1" x14ac:dyDescent="0.4">
      <c r="B95" s="625"/>
      <c r="C95" s="90"/>
      <c r="D95" s="69"/>
      <c r="E95" s="70"/>
      <c r="F95" s="70"/>
      <c r="G95" s="70"/>
      <c r="H95" s="53"/>
      <c r="I95" s="37"/>
      <c r="J95" s="37"/>
      <c r="K95" s="37"/>
      <c r="L95" s="37"/>
      <c r="O95" s="969"/>
      <c r="P95" s="306"/>
      <c r="Q95" s="306"/>
      <c r="R95" s="962"/>
    </row>
    <row r="96" spans="1:19" ht="19.5" customHeight="1" x14ac:dyDescent="0.5">
      <c r="A96" s="950" t="s">
        <v>299</v>
      </c>
      <c r="B96" s="950"/>
      <c r="C96" s="950"/>
      <c r="D96" s="950"/>
      <c r="E96" s="950"/>
      <c r="F96" s="950"/>
      <c r="G96" s="950"/>
      <c r="H96" s="950"/>
      <c r="I96" s="950"/>
      <c r="J96" s="950"/>
      <c r="K96" s="950"/>
      <c r="L96" s="950"/>
      <c r="N96" s="966"/>
      <c r="O96" s="969"/>
      <c r="P96" s="306"/>
      <c r="Q96" s="306"/>
      <c r="R96" s="962"/>
    </row>
    <row r="97" spans="1:19" ht="15" customHeight="1" x14ac:dyDescent="0.4">
      <c r="A97" s="527"/>
      <c r="B97" s="626"/>
      <c r="C97" s="135" t="str">
        <f>LEFT($A96,4)&amp;"-1"</f>
        <v>6210-1</v>
      </c>
      <c r="D97" s="574" t="s">
        <v>300</v>
      </c>
      <c r="E97" s="814"/>
      <c r="F97" s="799">
        <v>1</v>
      </c>
      <c r="G97" s="814"/>
      <c r="H97" s="539">
        <v>300</v>
      </c>
      <c r="I97" s="529">
        <f t="shared" ref="I97:I105" si="27">SUM((E97+F97+G97)*H97)</f>
        <v>300</v>
      </c>
      <c r="J97" s="529">
        <f t="shared" ref="J97:J131" ca="1" si="28">-(SUMIF(INDIRECT(LEFT($A$96,4)&amp;"!i3:i553"),"="&amp;C97&amp;" *",INDIRECT(LEFT($A$96,4)&amp;"!k3:k553")))</f>
        <v>0</v>
      </c>
      <c r="K97" s="529">
        <f t="shared" ref="K97:K98" ca="1" si="29">SUM(I97:J97)</f>
        <v>300</v>
      </c>
      <c r="L97" s="606">
        <v>300</v>
      </c>
      <c r="N97" s="966"/>
      <c r="O97" s="965"/>
      <c r="P97" s="306"/>
      <c r="Q97" s="306"/>
      <c r="R97" s="962"/>
    </row>
    <row r="98" spans="1:19" ht="15" customHeight="1" x14ac:dyDescent="0.4">
      <c r="A98" s="555"/>
      <c r="B98" s="627"/>
      <c r="C98" s="112" t="str">
        <f>LEFT($C97,4)&amp;"-"&amp;VALUE(MID($C97,FIND("-",$C97)+1,256))+1</f>
        <v>6210-2</v>
      </c>
      <c r="D98" s="536" t="s">
        <v>301</v>
      </c>
      <c r="E98" s="810"/>
      <c r="F98" s="794"/>
      <c r="G98" s="794">
        <v>2</v>
      </c>
      <c r="H98" s="537">
        <v>400</v>
      </c>
      <c r="I98" s="532">
        <f t="shared" si="27"/>
        <v>800</v>
      </c>
      <c r="J98" s="532">
        <f t="shared" ca="1" si="28"/>
        <v>-936</v>
      </c>
      <c r="K98" s="532">
        <f t="shared" ca="1" si="29"/>
        <v>-136</v>
      </c>
      <c r="L98" s="588">
        <v>800</v>
      </c>
      <c r="N98" s="966"/>
      <c r="O98" s="965"/>
      <c r="P98" s="306"/>
      <c r="Q98" s="306"/>
      <c r="R98" s="962"/>
    </row>
    <row r="99" spans="1:19" ht="15" customHeight="1" x14ac:dyDescent="0.4">
      <c r="A99" s="527"/>
      <c r="B99" s="628"/>
      <c r="C99" s="135" t="str">
        <f t="shared" ref="C99:C131" si="30">LEFT($C98,4)&amp;"-"&amp;VALUE(MID($C98,FIND("-",$C98)+1,256))+1</f>
        <v>6210-3</v>
      </c>
      <c r="D99" s="538" t="s">
        <v>302</v>
      </c>
      <c r="E99" s="808"/>
      <c r="F99" s="799"/>
      <c r="G99" s="799">
        <v>1</v>
      </c>
      <c r="H99" s="563">
        <v>4000</v>
      </c>
      <c r="I99" s="529">
        <f t="shared" si="27"/>
        <v>4000</v>
      </c>
      <c r="J99" s="529">
        <f t="shared" ca="1" si="28"/>
        <v>-5197.1099999999988</v>
      </c>
      <c r="K99" s="529">
        <f t="shared" ref="K99:K131" ca="1" si="31">SUM(I99:J99)</f>
        <v>-1197.1099999999988</v>
      </c>
      <c r="L99" s="586">
        <v>4000</v>
      </c>
      <c r="N99" s="966"/>
      <c r="O99" s="965"/>
      <c r="P99" s="306"/>
      <c r="Q99" s="306"/>
      <c r="R99" s="962"/>
      <c r="S99" s="982"/>
    </row>
    <row r="100" spans="1:19" ht="15" customHeight="1" x14ac:dyDescent="0.4">
      <c r="A100" s="555"/>
      <c r="B100" s="627"/>
      <c r="C100" s="112" t="str">
        <f t="shared" si="30"/>
        <v>6210-4</v>
      </c>
      <c r="D100" s="536" t="s">
        <v>303</v>
      </c>
      <c r="E100" s="794"/>
      <c r="F100" s="794">
        <v>2</v>
      </c>
      <c r="G100" s="794"/>
      <c r="H100" s="537">
        <v>3500</v>
      </c>
      <c r="I100" s="532">
        <f t="shared" si="27"/>
        <v>7000</v>
      </c>
      <c r="J100" s="532">
        <f t="shared" ca="1" si="28"/>
        <v>-1817.81</v>
      </c>
      <c r="K100" s="532">
        <f t="shared" ca="1" si="31"/>
        <v>5182.1900000000005</v>
      </c>
      <c r="L100" s="588">
        <v>6000</v>
      </c>
      <c r="M100" s="983"/>
      <c r="N100" s="966"/>
      <c r="O100" s="965"/>
      <c r="P100" s="306"/>
      <c r="Q100" s="306"/>
      <c r="R100" s="962"/>
    </row>
    <row r="101" spans="1:19" ht="15" customHeight="1" x14ac:dyDescent="0.4">
      <c r="A101" s="527"/>
      <c r="B101" s="625"/>
      <c r="C101" s="90" t="str">
        <f t="shared" si="30"/>
        <v>6210-5</v>
      </c>
      <c r="D101" s="534" t="s">
        <v>304</v>
      </c>
      <c r="E101" s="801"/>
      <c r="F101" s="793">
        <v>2</v>
      </c>
      <c r="G101" s="801"/>
      <c r="H101" s="528">
        <v>2500</v>
      </c>
      <c r="I101" s="529">
        <f t="shared" si="27"/>
        <v>5000</v>
      </c>
      <c r="J101" s="529">
        <f t="shared" ca="1" si="28"/>
        <v>0</v>
      </c>
      <c r="K101" s="529">
        <f t="shared" ca="1" si="31"/>
        <v>5000</v>
      </c>
      <c r="L101" s="419">
        <v>4000</v>
      </c>
      <c r="M101" s="983"/>
      <c r="N101" s="966"/>
      <c r="O101" s="965"/>
      <c r="P101" s="306"/>
      <c r="Q101" s="306"/>
      <c r="R101" s="962"/>
    </row>
    <row r="102" spans="1:19" ht="15" customHeight="1" x14ac:dyDescent="0.4">
      <c r="A102" s="555"/>
      <c r="B102" s="629"/>
      <c r="C102" s="131" t="str">
        <f t="shared" si="30"/>
        <v>6210-6</v>
      </c>
      <c r="D102" s="542" t="s">
        <v>305</v>
      </c>
      <c r="E102" s="796"/>
      <c r="F102" s="796"/>
      <c r="G102" s="796">
        <v>3</v>
      </c>
      <c r="H102" s="543">
        <v>1000</v>
      </c>
      <c r="I102" s="532">
        <f t="shared" si="27"/>
        <v>3000</v>
      </c>
      <c r="J102" s="532">
        <f t="shared" ca="1" si="28"/>
        <v>-3550.2099999999991</v>
      </c>
      <c r="K102" s="532">
        <f t="shared" ca="1" si="31"/>
        <v>-550.20999999999913</v>
      </c>
      <c r="L102" s="604">
        <v>3000</v>
      </c>
      <c r="N102" s="966"/>
      <c r="O102" s="965"/>
      <c r="P102" s="306"/>
      <c r="Q102" s="306"/>
      <c r="R102" s="962"/>
    </row>
    <row r="103" spans="1:19" ht="15" customHeight="1" x14ac:dyDescent="0.4">
      <c r="A103" s="527"/>
      <c r="B103" s="622"/>
      <c r="C103" s="90" t="str">
        <f t="shared" si="30"/>
        <v>6210-7</v>
      </c>
      <c r="D103" s="572" t="s">
        <v>306</v>
      </c>
      <c r="E103" s="802"/>
      <c r="F103" s="798"/>
      <c r="G103" s="802">
        <v>2</v>
      </c>
      <c r="H103" s="528">
        <v>4000</v>
      </c>
      <c r="I103" s="529">
        <f t="shared" si="27"/>
        <v>8000</v>
      </c>
      <c r="J103" s="529">
        <f t="shared" ca="1" si="28"/>
        <v>-5639</v>
      </c>
      <c r="K103" s="529">
        <f t="shared" ca="1" si="31"/>
        <v>2361</v>
      </c>
      <c r="L103" s="419">
        <v>8000</v>
      </c>
      <c r="N103" s="966"/>
      <c r="O103" s="965"/>
      <c r="P103" s="306"/>
      <c r="Q103" s="306"/>
      <c r="R103" s="962"/>
    </row>
    <row r="104" spans="1:19" ht="15" customHeight="1" x14ac:dyDescent="0.4">
      <c r="A104" s="555"/>
      <c r="B104" s="630"/>
      <c r="C104" s="226" t="str">
        <f t="shared" si="30"/>
        <v>6210-8</v>
      </c>
      <c r="D104" s="611" t="s">
        <v>307</v>
      </c>
      <c r="E104" s="831"/>
      <c r="F104" s="816"/>
      <c r="G104" s="831">
        <v>2</v>
      </c>
      <c r="H104" s="553">
        <v>2000</v>
      </c>
      <c r="I104" s="571">
        <f t="shared" si="27"/>
        <v>4000</v>
      </c>
      <c r="J104" s="571">
        <f t="shared" ca="1" si="28"/>
        <v>-8705.5600000000031</v>
      </c>
      <c r="K104" s="571">
        <f t="shared" ca="1" si="31"/>
        <v>-4705.5600000000031</v>
      </c>
      <c r="L104" s="613">
        <v>4000</v>
      </c>
      <c r="N104" s="966"/>
      <c r="O104" s="965"/>
      <c r="P104" s="306"/>
      <c r="Q104" s="306"/>
      <c r="R104" s="962"/>
    </row>
    <row r="105" spans="1:19" ht="15" customHeight="1" x14ac:dyDescent="0.4">
      <c r="A105" s="527"/>
      <c r="B105" s="631"/>
      <c r="C105" s="135" t="str">
        <f t="shared" si="30"/>
        <v>6210-9</v>
      </c>
      <c r="D105" s="527" t="s">
        <v>308</v>
      </c>
      <c r="E105" s="802"/>
      <c r="F105" s="798"/>
      <c r="G105" s="802">
        <v>2</v>
      </c>
      <c r="H105" s="528">
        <v>1500</v>
      </c>
      <c r="I105" s="529">
        <f t="shared" si="27"/>
        <v>3000</v>
      </c>
      <c r="J105" s="529">
        <f t="shared" ca="1" si="28"/>
        <v>0</v>
      </c>
      <c r="K105" s="529">
        <f t="shared" ca="1" si="31"/>
        <v>3000</v>
      </c>
      <c r="L105" s="419">
        <v>3000</v>
      </c>
      <c r="N105" s="966"/>
      <c r="O105" s="965"/>
      <c r="P105" s="306"/>
      <c r="Q105" s="306"/>
      <c r="R105" s="962"/>
    </row>
    <row r="106" spans="1:19" ht="15" customHeight="1" x14ac:dyDescent="0.4">
      <c r="A106" s="555"/>
      <c r="B106" s="629" t="s">
        <v>309</v>
      </c>
      <c r="C106" s="112" t="str">
        <f t="shared" si="30"/>
        <v>6210-10</v>
      </c>
      <c r="D106" s="561" t="s">
        <v>310</v>
      </c>
      <c r="E106" s="822">
        <v>9</v>
      </c>
      <c r="F106" s="796">
        <v>4</v>
      </c>
      <c r="G106" s="822">
        <v>2</v>
      </c>
      <c r="H106" s="543">
        <v>225</v>
      </c>
      <c r="I106" s="532">
        <f>SUM((E106+F106+G106)*H106)+(170*11)+(85*3)+(80*3)+(50*6)</f>
        <v>6040</v>
      </c>
      <c r="J106" s="532">
        <f t="shared" ca="1" si="28"/>
        <v>-6275</v>
      </c>
      <c r="K106" s="532">
        <f t="shared" ca="1" si="31"/>
        <v>-235</v>
      </c>
      <c r="L106" s="604">
        <v>5600</v>
      </c>
      <c r="N106" s="966"/>
      <c r="O106" s="965"/>
      <c r="P106" s="306"/>
      <c r="Q106" s="306"/>
      <c r="R106" s="962"/>
    </row>
    <row r="107" spans="1:19" ht="15" customHeight="1" x14ac:dyDescent="0.4">
      <c r="A107" s="527"/>
      <c r="B107" s="622"/>
      <c r="C107" s="90" t="str">
        <f t="shared" si="30"/>
        <v>6210-11</v>
      </c>
      <c r="D107" s="534" t="s">
        <v>311</v>
      </c>
      <c r="E107" s="845"/>
      <c r="F107" s="793"/>
      <c r="G107" s="793">
        <v>8</v>
      </c>
      <c r="H107" s="528">
        <v>600</v>
      </c>
      <c r="I107" s="529">
        <f t="shared" ref="I107:I124" si="32">SUM((E107+F107+G107)*H107)</f>
        <v>4800</v>
      </c>
      <c r="J107" s="529">
        <f t="shared" ca="1" si="28"/>
        <v>-6093.7300000000005</v>
      </c>
      <c r="K107" s="529">
        <f t="shared" ca="1" si="31"/>
        <v>-1293.7300000000005</v>
      </c>
      <c r="L107" s="419">
        <v>4800</v>
      </c>
      <c r="N107" s="966"/>
      <c r="O107" s="965"/>
      <c r="P107" s="306"/>
      <c r="Q107" s="306"/>
      <c r="R107" s="980"/>
    </row>
    <row r="108" spans="1:19" ht="15" customHeight="1" x14ac:dyDescent="0.4">
      <c r="A108" s="555"/>
      <c r="B108" s="630"/>
      <c r="C108" s="224" t="str">
        <f t="shared" si="30"/>
        <v>6210-12</v>
      </c>
      <c r="D108" s="618" t="s">
        <v>312</v>
      </c>
      <c r="E108" s="833"/>
      <c r="F108" s="834"/>
      <c r="G108" s="834">
        <v>4</v>
      </c>
      <c r="H108" s="553">
        <v>1500</v>
      </c>
      <c r="I108" s="571">
        <f t="shared" si="32"/>
        <v>6000</v>
      </c>
      <c r="J108" s="571">
        <f t="shared" ca="1" si="28"/>
        <v>-483.95</v>
      </c>
      <c r="K108" s="571">
        <f t="shared" ca="1" si="31"/>
        <v>5516.05</v>
      </c>
      <c r="L108" s="613">
        <v>6000</v>
      </c>
      <c r="N108" s="966"/>
      <c r="O108" s="965"/>
      <c r="P108" s="306"/>
      <c r="Q108" s="306"/>
      <c r="R108" s="962"/>
    </row>
    <row r="109" spans="1:19" ht="15" customHeight="1" x14ac:dyDescent="0.4">
      <c r="A109" s="527"/>
      <c r="B109" s="846"/>
      <c r="C109" s="90" t="str">
        <f t="shared" si="30"/>
        <v>6210-13</v>
      </c>
      <c r="D109" s="572" t="s">
        <v>313</v>
      </c>
      <c r="E109" s="798"/>
      <c r="F109" s="798"/>
      <c r="G109" s="798">
        <v>3</v>
      </c>
      <c r="H109" s="528">
        <v>295</v>
      </c>
      <c r="I109" s="529">
        <f t="shared" si="32"/>
        <v>885</v>
      </c>
      <c r="J109" s="529">
        <f t="shared" ca="1" si="28"/>
        <v>0</v>
      </c>
      <c r="K109" s="529">
        <f t="shared" ca="1" si="31"/>
        <v>885</v>
      </c>
      <c r="L109" s="419">
        <v>885</v>
      </c>
      <c r="N109" s="966"/>
      <c r="O109" s="965"/>
      <c r="P109" s="306"/>
      <c r="Q109" s="306"/>
      <c r="R109" s="962"/>
    </row>
    <row r="110" spans="1:19" ht="15" customHeight="1" x14ac:dyDescent="0.4">
      <c r="A110" s="555"/>
      <c r="B110" s="632"/>
      <c r="C110" s="112" t="str">
        <f t="shared" si="30"/>
        <v>6210-14</v>
      </c>
      <c r="D110" s="530" t="s">
        <v>314</v>
      </c>
      <c r="E110" s="821"/>
      <c r="F110" s="800">
        <v>2</v>
      </c>
      <c r="G110" s="800"/>
      <c r="H110" s="543">
        <v>2800</v>
      </c>
      <c r="I110" s="532">
        <f t="shared" si="32"/>
        <v>5600</v>
      </c>
      <c r="J110" s="532">
        <f t="shared" ca="1" si="28"/>
        <v>0</v>
      </c>
      <c r="K110" s="532">
        <f t="shared" ca="1" si="31"/>
        <v>5600</v>
      </c>
      <c r="L110" s="604">
        <v>5600</v>
      </c>
      <c r="M110" s="983"/>
      <c r="N110" s="966"/>
      <c r="O110" s="965"/>
      <c r="P110" s="306"/>
      <c r="Q110" s="306"/>
      <c r="R110" s="962"/>
    </row>
    <row r="111" spans="1:19" ht="15" customHeight="1" x14ac:dyDescent="0.4">
      <c r="A111" s="527"/>
      <c r="B111" s="626"/>
      <c r="C111" s="90" t="str">
        <f t="shared" si="30"/>
        <v>6210-15</v>
      </c>
      <c r="D111" s="538" t="s">
        <v>315</v>
      </c>
      <c r="E111" s="799"/>
      <c r="F111" s="799">
        <v>3</v>
      </c>
      <c r="G111" s="799"/>
      <c r="H111" s="563">
        <v>2800</v>
      </c>
      <c r="I111" s="529">
        <f t="shared" si="32"/>
        <v>8400</v>
      </c>
      <c r="J111" s="529">
        <f t="shared" ca="1" si="28"/>
        <v>-4099</v>
      </c>
      <c r="K111" s="529">
        <f t="shared" ca="1" si="31"/>
        <v>4301</v>
      </c>
      <c r="L111" s="586">
        <v>8400</v>
      </c>
      <c r="N111" s="966"/>
      <c r="O111" s="965"/>
      <c r="P111" s="306"/>
      <c r="Q111" s="306"/>
      <c r="R111" s="962"/>
    </row>
    <row r="112" spans="1:19" ht="15" customHeight="1" x14ac:dyDescent="0.4">
      <c r="A112" s="555"/>
      <c r="B112" s="627"/>
      <c r="C112" s="112" t="str">
        <f t="shared" si="30"/>
        <v>6210-16</v>
      </c>
      <c r="D112" s="559" t="s">
        <v>316</v>
      </c>
      <c r="E112" s="832"/>
      <c r="F112" s="815"/>
      <c r="G112" s="832">
        <v>1</v>
      </c>
      <c r="H112" s="537">
        <f>2000+1200</f>
        <v>3200</v>
      </c>
      <c r="I112" s="532">
        <f t="shared" si="32"/>
        <v>3200</v>
      </c>
      <c r="J112" s="532">
        <f t="shared" ca="1" si="28"/>
        <v>-2958</v>
      </c>
      <c r="K112" s="532">
        <f t="shared" ca="1" si="31"/>
        <v>242</v>
      </c>
      <c r="L112" s="588">
        <v>3200</v>
      </c>
      <c r="N112" s="966"/>
      <c r="O112" s="965"/>
      <c r="P112" s="306"/>
      <c r="Q112" s="306"/>
      <c r="R112" s="962"/>
    </row>
    <row r="113" spans="1:19" ht="15" customHeight="1" x14ac:dyDescent="0.4">
      <c r="A113" s="527"/>
      <c r="B113" s="626"/>
      <c r="C113" s="90" t="str">
        <f t="shared" si="30"/>
        <v>6210-17</v>
      </c>
      <c r="D113" s="562" t="s">
        <v>317</v>
      </c>
      <c r="E113" s="795"/>
      <c r="F113" s="795"/>
      <c r="G113" s="795">
        <v>1</v>
      </c>
      <c r="H113" s="563">
        <v>1500</v>
      </c>
      <c r="I113" s="529">
        <f t="shared" si="32"/>
        <v>1500</v>
      </c>
      <c r="J113" s="529">
        <f t="shared" ca="1" si="28"/>
        <v>-592.22</v>
      </c>
      <c r="K113" s="529">
        <f t="shared" ca="1" si="31"/>
        <v>907.78</v>
      </c>
      <c r="L113" s="586">
        <v>1500</v>
      </c>
      <c r="N113" s="966"/>
      <c r="O113" s="965"/>
      <c r="P113" s="306"/>
      <c r="Q113" s="306"/>
      <c r="R113" s="962"/>
    </row>
    <row r="114" spans="1:19" ht="15" customHeight="1" x14ac:dyDescent="0.4">
      <c r="A114" s="555"/>
      <c r="B114" s="633"/>
      <c r="C114" s="112" t="str">
        <f t="shared" si="30"/>
        <v>6210-18</v>
      </c>
      <c r="D114" s="536" t="s">
        <v>318</v>
      </c>
      <c r="E114" s="806"/>
      <c r="F114" s="794"/>
      <c r="G114" s="806">
        <v>1</v>
      </c>
      <c r="H114" s="537">
        <v>2000</v>
      </c>
      <c r="I114" s="532">
        <f t="shared" si="32"/>
        <v>2000</v>
      </c>
      <c r="J114" s="532">
        <f t="shared" ca="1" si="28"/>
        <v>-8717.4800000000014</v>
      </c>
      <c r="K114" s="532">
        <f t="shared" ca="1" si="31"/>
        <v>-6717.4800000000014</v>
      </c>
      <c r="L114" s="588">
        <v>2000</v>
      </c>
      <c r="N114" s="966"/>
      <c r="O114" s="965"/>
      <c r="P114" s="306"/>
      <c r="Q114" s="306"/>
      <c r="R114" s="962"/>
    </row>
    <row r="115" spans="1:19" ht="15" customHeight="1" x14ac:dyDescent="0.4">
      <c r="A115" s="527"/>
      <c r="B115" s="626"/>
      <c r="C115" s="90" t="str">
        <f t="shared" si="30"/>
        <v>6210-19</v>
      </c>
      <c r="D115" s="565" t="s">
        <v>319</v>
      </c>
      <c r="E115" s="797"/>
      <c r="F115" s="795"/>
      <c r="G115" s="797">
        <v>5</v>
      </c>
      <c r="H115" s="563">
        <v>120</v>
      </c>
      <c r="I115" s="529">
        <f t="shared" si="32"/>
        <v>600</v>
      </c>
      <c r="J115" s="529">
        <f t="shared" ca="1" si="28"/>
        <v>-114.95</v>
      </c>
      <c r="K115" s="529">
        <f t="shared" ca="1" si="31"/>
        <v>485.05</v>
      </c>
      <c r="L115" s="586">
        <v>330</v>
      </c>
      <c r="N115" s="966"/>
      <c r="O115" s="965"/>
      <c r="P115" s="306"/>
      <c r="Q115" s="306"/>
      <c r="R115" s="962"/>
    </row>
    <row r="116" spans="1:19" ht="15" customHeight="1" x14ac:dyDescent="0.4">
      <c r="A116" s="555"/>
      <c r="B116" s="635"/>
      <c r="C116" s="226" t="str">
        <f t="shared" si="30"/>
        <v>6210-20</v>
      </c>
      <c r="D116" s="689" t="s">
        <v>320</v>
      </c>
      <c r="E116" s="807">
        <v>3</v>
      </c>
      <c r="F116" s="847">
        <v>3</v>
      </c>
      <c r="G116" s="807">
        <v>2</v>
      </c>
      <c r="H116" s="667">
        <v>250</v>
      </c>
      <c r="I116" s="571">
        <f t="shared" si="32"/>
        <v>2000</v>
      </c>
      <c r="J116" s="571">
        <f t="shared" ca="1" si="28"/>
        <v>-6974.3499999999995</v>
      </c>
      <c r="K116" s="571">
        <f t="shared" ca="1" si="31"/>
        <v>-4974.3499999999995</v>
      </c>
      <c r="L116" s="595">
        <v>2000</v>
      </c>
      <c r="N116" s="966"/>
      <c r="O116" s="965"/>
      <c r="P116" s="306"/>
      <c r="Q116" s="306"/>
      <c r="R116" s="962"/>
    </row>
    <row r="117" spans="1:19" ht="15" customHeight="1" x14ac:dyDescent="0.4">
      <c r="A117" s="527"/>
      <c r="B117" s="626"/>
      <c r="C117" s="90" t="str">
        <f t="shared" si="30"/>
        <v>6210-21</v>
      </c>
      <c r="D117" s="565" t="s">
        <v>610</v>
      </c>
      <c r="E117" s="797">
        <v>4</v>
      </c>
      <c r="F117" s="795">
        <v>3</v>
      </c>
      <c r="G117" s="797">
        <v>4</v>
      </c>
      <c r="H117" s="563">
        <v>1000</v>
      </c>
      <c r="I117" s="529">
        <f t="shared" si="32"/>
        <v>11000</v>
      </c>
      <c r="J117" s="529">
        <f t="shared" ca="1" si="28"/>
        <v>-11928.449999999999</v>
      </c>
      <c r="K117" s="529">
        <f t="shared" ca="1" si="31"/>
        <v>-928.44999999999891</v>
      </c>
      <c r="L117" s="586">
        <v>11000</v>
      </c>
      <c r="N117" s="966"/>
      <c r="O117" s="965"/>
      <c r="P117" s="306"/>
      <c r="Q117" s="306"/>
      <c r="R117" s="962"/>
    </row>
    <row r="118" spans="1:19" ht="15" customHeight="1" x14ac:dyDescent="0.4">
      <c r="A118" s="555"/>
      <c r="B118" s="630"/>
      <c r="C118" s="112" t="str">
        <f t="shared" si="30"/>
        <v>6210-22</v>
      </c>
      <c r="D118" s="611" t="s">
        <v>321</v>
      </c>
      <c r="E118" s="831">
        <v>9</v>
      </c>
      <c r="F118" s="816">
        <v>4</v>
      </c>
      <c r="G118" s="831">
        <v>2</v>
      </c>
      <c r="H118" s="553">
        <v>25</v>
      </c>
      <c r="I118" s="571">
        <f t="shared" si="32"/>
        <v>375</v>
      </c>
      <c r="J118" s="571">
        <f t="shared" ca="1" si="28"/>
        <v>-410</v>
      </c>
      <c r="K118" s="532">
        <f t="shared" ca="1" si="31"/>
        <v>-35</v>
      </c>
      <c r="L118" s="613">
        <v>375</v>
      </c>
      <c r="N118" s="966"/>
      <c r="O118" s="965"/>
      <c r="P118" s="306"/>
      <c r="Q118" s="306"/>
      <c r="R118" s="962"/>
    </row>
    <row r="119" spans="1:19" ht="15" customHeight="1" x14ac:dyDescent="0.4">
      <c r="A119" s="527"/>
      <c r="B119" s="622" t="s">
        <v>322</v>
      </c>
      <c r="C119" s="90" t="str">
        <f t="shared" si="30"/>
        <v>6210-23</v>
      </c>
      <c r="D119" s="534" t="s">
        <v>323</v>
      </c>
      <c r="E119" s="845">
        <v>2</v>
      </c>
      <c r="F119" s="793">
        <v>2</v>
      </c>
      <c r="G119" s="793">
        <v>2</v>
      </c>
      <c r="H119" s="528">
        <v>700</v>
      </c>
      <c r="I119" s="529">
        <f t="shared" si="32"/>
        <v>4200</v>
      </c>
      <c r="J119" s="529">
        <f t="shared" ca="1" si="28"/>
        <v>-6397.7000000000007</v>
      </c>
      <c r="K119" s="529">
        <f t="shared" ca="1" si="31"/>
        <v>-2197.7000000000007</v>
      </c>
      <c r="L119" s="419">
        <v>0</v>
      </c>
      <c r="N119" s="966"/>
      <c r="O119" s="965"/>
      <c r="P119" s="306"/>
      <c r="Q119" s="306"/>
      <c r="R119" s="962"/>
      <c r="S119" s="973"/>
    </row>
    <row r="120" spans="1:19" ht="15" customHeight="1" x14ac:dyDescent="0.4">
      <c r="A120" s="555"/>
      <c r="B120" s="630" t="s">
        <v>222</v>
      </c>
      <c r="C120" s="112" t="str">
        <f t="shared" si="30"/>
        <v>6210-24</v>
      </c>
      <c r="D120" s="618" t="s">
        <v>324</v>
      </c>
      <c r="E120" s="833"/>
      <c r="F120" s="834"/>
      <c r="G120" s="834">
        <v>1</v>
      </c>
      <c r="H120" s="553">
        <v>2500</v>
      </c>
      <c r="I120" s="571">
        <f t="shared" si="32"/>
        <v>2500</v>
      </c>
      <c r="J120" s="571">
        <f t="shared" ca="1" si="28"/>
        <v>-2500</v>
      </c>
      <c r="K120" s="571">
        <f t="shared" ca="1" si="31"/>
        <v>0</v>
      </c>
      <c r="L120" s="613">
        <v>2000</v>
      </c>
      <c r="N120" s="966"/>
      <c r="O120" s="965"/>
      <c r="P120" s="306"/>
      <c r="Q120" s="306"/>
      <c r="R120" s="962"/>
    </row>
    <row r="121" spans="1:19" ht="15" customHeight="1" x14ac:dyDescent="0.4">
      <c r="A121" s="527"/>
      <c r="B121" s="622"/>
      <c r="C121" s="90" t="str">
        <f t="shared" si="30"/>
        <v>6210-25</v>
      </c>
      <c r="D121" s="572" t="s">
        <v>325</v>
      </c>
      <c r="E121" s="798">
        <v>4</v>
      </c>
      <c r="F121" s="798"/>
      <c r="G121" s="798"/>
      <c r="H121" s="528">
        <v>500</v>
      </c>
      <c r="I121" s="529">
        <f t="shared" si="32"/>
        <v>2000</v>
      </c>
      <c r="J121" s="529">
        <f t="shared" ca="1" si="28"/>
        <v>-800</v>
      </c>
      <c r="K121" s="529">
        <f t="shared" ca="1" si="31"/>
        <v>1200</v>
      </c>
      <c r="L121" s="419">
        <v>2000</v>
      </c>
      <c r="N121" s="966"/>
      <c r="O121" s="965"/>
      <c r="P121" s="306"/>
      <c r="Q121" s="306"/>
      <c r="R121" s="962"/>
    </row>
    <row r="122" spans="1:19" ht="15" customHeight="1" x14ac:dyDescent="0.4">
      <c r="A122" s="555"/>
      <c r="B122" s="630"/>
      <c r="C122" s="112" t="str">
        <f t="shared" si="30"/>
        <v>6210-26</v>
      </c>
      <c r="D122" s="618" t="s">
        <v>326</v>
      </c>
      <c r="E122" s="834"/>
      <c r="F122" s="834">
        <v>2</v>
      </c>
      <c r="G122" s="834"/>
      <c r="H122" s="553">
        <v>700</v>
      </c>
      <c r="I122" s="571">
        <f t="shared" si="32"/>
        <v>1400</v>
      </c>
      <c r="J122" s="571">
        <f t="shared" ca="1" si="28"/>
        <v>-500</v>
      </c>
      <c r="K122" s="571">
        <f t="shared" ca="1" si="31"/>
        <v>900</v>
      </c>
      <c r="L122" s="613">
        <v>1400</v>
      </c>
      <c r="N122" s="966"/>
      <c r="O122" s="965"/>
      <c r="P122" s="306"/>
      <c r="Q122" s="306"/>
      <c r="R122" s="962"/>
    </row>
    <row r="123" spans="1:19" ht="15" customHeight="1" x14ac:dyDescent="0.4">
      <c r="A123" s="527"/>
      <c r="B123" s="720"/>
      <c r="C123" s="90" t="str">
        <f t="shared" si="30"/>
        <v>6210-27</v>
      </c>
      <c r="D123" s="572" t="s">
        <v>327</v>
      </c>
      <c r="E123" s="798">
        <v>50</v>
      </c>
      <c r="F123" s="798">
        <v>10</v>
      </c>
      <c r="G123" s="798"/>
      <c r="H123" s="528">
        <v>300</v>
      </c>
      <c r="I123" s="529">
        <f t="shared" si="32"/>
        <v>18000</v>
      </c>
      <c r="J123" s="529">
        <f t="shared" ca="1" si="28"/>
        <v>-32711.170000000006</v>
      </c>
      <c r="K123" s="529">
        <f t="shared" ca="1" si="31"/>
        <v>-14711.170000000006</v>
      </c>
      <c r="L123" s="419">
        <v>14575</v>
      </c>
      <c r="N123" s="966"/>
      <c r="O123" s="965"/>
      <c r="P123" s="306"/>
      <c r="Q123" s="306"/>
      <c r="R123" s="968"/>
      <c r="S123" s="973"/>
    </row>
    <row r="124" spans="1:19" ht="15" customHeight="1" x14ac:dyDescent="0.4">
      <c r="A124" s="555"/>
      <c r="B124" s="630"/>
      <c r="C124" s="226" t="str">
        <f t="shared" si="30"/>
        <v>6210-28</v>
      </c>
      <c r="D124" s="618" t="s">
        <v>328</v>
      </c>
      <c r="E124" s="834">
        <v>2</v>
      </c>
      <c r="F124" s="834"/>
      <c r="G124" s="834"/>
      <c r="H124" s="553">
        <v>1000</v>
      </c>
      <c r="I124" s="571">
        <f t="shared" si="32"/>
        <v>2000</v>
      </c>
      <c r="J124" s="571">
        <f t="shared" ca="1" si="28"/>
        <v>0</v>
      </c>
      <c r="K124" s="571">
        <f t="shared" ca="1" si="31"/>
        <v>2000</v>
      </c>
      <c r="L124" s="613">
        <v>2000</v>
      </c>
      <c r="N124" s="966"/>
      <c r="O124" s="965"/>
      <c r="P124" s="306"/>
      <c r="Q124" s="306"/>
      <c r="R124" s="962"/>
    </row>
    <row r="125" spans="1:19" ht="15" customHeight="1" x14ac:dyDescent="0.4">
      <c r="A125" s="527"/>
      <c r="B125" s="622"/>
      <c r="C125" s="90" t="str">
        <f t="shared" si="30"/>
        <v>6210-29</v>
      </c>
      <c r="D125" s="534" t="s">
        <v>329</v>
      </c>
      <c r="E125" s="801">
        <v>5</v>
      </c>
      <c r="F125" s="793">
        <v>2</v>
      </c>
      <c r="G125" s="801">
        <v>2</v>
      </c>
      <c r="H125" s="528">
        <v>90</v>
      </c>
      <c r="I125" s="529">
        <f>SUM((E125+F125+G125)*H125)+(15*4)</f>
        <v>870</v>
      </c>
      <c r="J125" s="529">
        <f t="shared" ca="1" si="28"/>
        <v>-60</v>
      </c>
      <c r="K125" s="529">
        <f t="shared" ca="1" si="31"/>
        <v>810</v>
      </c>
      <c r="L125" s="419">
        <v>870</v>
      </c>
      <c r="N125" s="966"/>
      <c r="O125" s="965"/>
      <c r="P125" s="306"/>
      <c r="Q125" s="306"/>
      <c r="R125" s="962"/>
    </row>
    <row r="126" spans="1:19" ht="15" customHeight="1" x14ac:dyDescent="0.4">
      <c r="A126" s="555"/>
      <c r="B126" s="630"/>
      <c r="C126" s="226" t="str">
        <f t="shared" si="30"/>
        <v>6210-30</v>
      </c>
      <c r="D126" s="552" t="s">
        <v>330</v>
      </c>
      <c r="E126" s="816">
        <v>1</v>
      </c>
      <c r="F126" s="816"/>
      <c r="G126" s="816">
        <v>1</v>
      </c>
      <c r="H126" s="553">
        <v>1000</v>
      </c>
      <c r="I126" s="571">
        <f>SUM((E126+F126+G126)*H126)</f>
        <v>2000</v>
      </c>
      <c r="J126" s="571">
        <f t="shared" ca="1" si="28"/>
        <v>-1392.5</v>
      </c>
      <c r="K126" s="571">
        <f t="shared" ca="1" si="31"/>
        <v>607.5</v>
      </c>
      <c r="L126" s="613">
        <v>2000</v>
      </c>
      <c r="N126" s="966"/>
      <c r="O126" s="965"/>
      <c r="P126" s="306"/>
      <c r="Q126" s="306"/>
      <c r="R126" s="962"/>
    </row>
    <row r="127" spans="1:19" ht="15" customHeight="1" x14ac:dyDescent="0.4">
      <c r="A127" s="527"/>
      <c r="B127" s="622"/>
      <c r="C127" s="90" t="str">
        <f t="shared" si="30"/>
        <v>6210-31</v>
      </c>
      <c r="D127" s="572" t="s">
        <v>331</v>
      </c>
      <c r="E127" s="802"/>
      <c r="F127" s="798"/>
      <c r="G127" s="802">
        <v>2</v>
      </c>
      <c r="H127" s="528">
        <v>350</v>
      </c>
      <c r="I127" s="529">
        <f>SUM((E127+F127+G127)*H127)</f>
        <v>700</v>
      </c>
      <c r="J127" s="529">
        <f t="shared" ca="1" si="28"/>
        <v>-355.85</v>
      </c>
      <c r="K127" s="529">
        <f t="shared" ca="1" si="31"/>
        <v>344.15</v>
      </c>
      <c r="L127" s="419">
        <v>700</v>
      </c>
      <c r="N127" s="966"/>
      <c r="O127" s="965"/>
      <c r="P127" s="306"/>
      <c r="Q127" s="306"/>
      <c r="R127" s="962"/>
    </row>
    <row r="128" spans="1:19" ht="15" customHeight="1" x14ac:dyDescent="0.4">
      <c r="A128" s="555"/>
      <c r="B128" s="630"/>
      <c r="C128" s="112" t="str">
        <f t="shared" si="30"/>
        <v>6210-32</v>
      </c>
      <c r="D128" s="611" t="s">
        <v>332</v>
      </c>
      <c r="E128" s="831">
        <v>35</v>
      </c>
      <c r="F128" s="816">
        <v>4</v>
      </c>
      <c r="G128" s="831">
        <v>2</v>
      </c>
      <c r="H128" s="553">
        <v>60</v>
      </c>
      <c r="I128" s="571">
        <f>SUM((E128+F128+G128)*H128)+(125*2)</f>
        <v>2710</v>
      </c>
      <c r="J128" s="571">
        <f t="shared" ca="1" si="28"/>
        <v>-2165</v>
      </c>
      <c r="K128" s="571">
        <f t="shared" ca="1" si="31"/>
        <v>545</v>
      </c>
      <c r="L128" s="613">
        <v>2650</v>
      </c>
      <c r="N128" s="966"/>
      <c r="O128" s="965"/>
      <c r="P128" s="306"/>
      <c r="Q128" s="306"/>
      <c r="R128" s="962"/>
    </row>
    <row r="129" spans="1:19" ht="15" customHeight="1" x14ac:dyDescent="0.4">
      <c r="A129" s="527"/>
      <c r="B129" s="622"/>
      <c r="C129" s="90" t="str">
        <f t="shared" si="30"/>
        <v>6210-33</v>
      </c>
      <c r="D129" s="527" t="s">
        <v>333</v>
      </c>
      <c r="E129" s="802">
        <v>5</v>
      </c>
      <c r="F129" s="798"/>
      <c r="G129" s="802"/>
      <c r="H129" s="528">
        <v>450</v>
      </c>
      <c r="I129" s="529">
        <f>SUM((E129+F129+G129)*H129)</f>
        <v>2250</v>
      </c>
      <c r="J129" s="529">
        <f t="shared" ca="1" si="28"/>
        <v>-1242</v>
      </c>
      <c r="K129" s="529">
        <f t="shared" ca="1" si="31"/>
        <v>1008</v>
      </c>
      <c r="L129" s="419">
        <v>2250</v>
      </c>
      <c r="N129" s="966"/>
      <c r="O129" s="965"/>
      <c r="P129" s="306"/>
      <c r="Q129" s="306"/>
      <c r="R129" s="962"/>
    </row>
    <row r="130" spans="1:19" ht="15" customHeight="1" x14ac:dyDescent="0.4">
      <c r="A130" s="555"/>
      <c r="B130" s="630" t="s">
        <v>334</v>
      </c>
      <c r="C130" s="226" t="str">
        <f t="shared" si="30"/>
        <v>6210-34</v>
      </c>
      <c r="D130" s="611" t="s">
        <v>335</v>
      </c>
      <c r="E130" s="831">
        <v>1</v>
      </c>
      <c r="F130" s="816">
        <v>1</v>
      </c>
      <c r="G130" s="831">
        <v>2</v>
      </c>
      <c r="H130" s="553">
        <v>2000</v>
      </c>
      <c r="I130" s="571">
        <f>SUM((E130+F130+G130)*H130)</f>
        <v>8000</v>
      </c>
      <c r="J130" s="571">
        <f t="shared" ca="1" si="28"/>
        <v>-8184.83</v>
      </c>
      <c r="K130" s="571">
        <f t="shared" ca="1" si="31"/>
        <v>-184.82999999999993</v>
      </c>
      <c r="L130" s="613">
        <v>8000</v>
      </c>
      <c r="N130" s="966"/>
      <c r="O130" s="965"/>
      <c r="P130" s="306"/>
      <c r="Q130" s="306"/>
    </row>
    <row r="131" spans="1:19" ht="15" customHeight="1" x14ac:dyDescent="0.4">
      <c r="A131" s="527"/>
      <c r="B131" s="622"/>
      <c r="C131" s="90" t="str">
        <f t="shared" si="30"/>
        <v>6210-35</v>
      </c>
      <c r="D131" s="534" t="s">
        <v>336</v>
      </c>
      <c r="E131" s="845">
        <v>2</v>
      </c>
      <c r="F131" s="793"/>
      <c r="G131" s="793"/>
      <c r="H131" s="528">
        <v>75</v>
      </c>
      <c r="I131" s="529">
        <f>SUM((E131+F131+G131)*H131)</f>
        <v>150</v>
      </c>
      <c r="J131" s="529">
        <f t="shared" ca="1" si="28"/>
        <v>0</v>
      </c>
      <c r="K131" s="529">
        <f t="shared" ca="1" si="31"/>
        <v>150</v>
      </c>
      <c r="L131" s="419">
        <v>150</v>
      </c>
      <c r="N131" s="966"/>
      <c r="O131" s="965"/>
      <c r="P131" s="306"/>
      <c r="Q131" s="306"/>
      <c r="R131" s="962"/>
    </row>
    <row r="132" spans="1:19" ht="15" customHeight="1" thickBot="1" x14ac:dyDescent="0.45">
      <c r="B132" s="625"/>
      <c r="C132" s="135"/>
      <c r="D132" s="544" t="s">
        <v>337</v>
      </c>
      <c r="E132" s="545"/>
      <c r="F132" s="545"/>
      <c r="G132" s="421"/>
      <c r="H132" s="546">
        <f>(I132-L132)/L132</f>
        <v>8.8300846942497069E-2</v>
      </c>
      <c r="I132" s="547">
        <f>SUM(I97:I131)</f>
        <v>134280</v>
      </c>
      <c r="J132" s="547">
        <f ca="1">SUM(J97:J131)</f>
        <v>-130801.87000000001</v>
      </c>
      <c r="K132" s="547">
        <f ca="1">SUM(K97:K131)</f>
        <v>3478.1299999999887</v>
      </c>
      <c r="L132" s="597">
        <f>SUM(L97:L131)</f>
        <v>123385</v>
      </c>
      <c r="O132" s="965"/>
      <c r="P132" s="306"/>
      <c r="Q132" s="306"/>
      <c r="R132" s="962"/>
    </row>
    <row r="133" spans="1:19" ht="0.75" customHeight="1" thickTop="1" x14ac:dyDescent="0.5">
      <c r="B133" s="221"/>
      <c r="C133" s="135"/>
      <c r="D133" s="221"/>
      <c r="E133" s="221"/>
      <c r="F133" s="221"/>
      <c r="G133" s="221"/>
      <c r="H133" s="221"/>
      <c r="I133" s="222"/>
      <c r="J133" s="222"/>
      <c r="K133" s="222"/>
      <c r="L133" s="221"/>
      <c r="M133" s="967"/>
      <c r="O133" s="969"/>
      <c r="P133" s="306"/>
      <c r="Q133" s="306"/>
      <c r="R133" s="962"/>
    </row>
    <row r="134" spans="1:19" ht="19.5" customHeight="1" x14ac:dyDescent="0.5">
      <c r="A134" s="950" t="s">
        <v>338</v>
      </c>
      <c r="B134" s="950"/>
      <c r="C134" s="950"/>
      <c r="D134" s="950"/>
      <c r="E134" s="950"/>
      <c r="F134" s="950"/>
      <c r="G134" s="950"/>
      <c r="H134" s="950"/>
      <c r="I134" s="950"/>
      <c r="J134" s="950"/>
      <c r="K134" s="950"/>
      <c r="L134" s="950"/>
      <c r="O134" s="969"/>
      <c r="P134" s="306"/>
      <c r="Q134" s="306"/>
      <c r="R134" s="962"/>
    </row>
    <row r="135" spans="1:19" ht="15" customHeight="1" x14ac:dyDescent="0.4">
      <c r="A135" s="527"/>
      <c r="B135" s="622" t="s">
        <v>339</v>
      </c>
      <c r="C135" s="90" t="str">
        <f>LEFT($A134,4)&amp;"-1"</f>
        <v>6215-1</v>
      </c>
      <c r="D135" s="534" t="s">
        <v>340</v>
      </c>
      <c r="E135" s="809"/>
      <c r="F135" s="793">
        <v>12</v>
      </c>
      <c r="G135" s="793"/>
      <c r="H135" s="528">
        <v>250</v>
      </c>
      <c r="I135" s="529">
        <f t="shared" ref="I135:I140" si="33">((E135+F135+G135)*H135)</f>
        <v>3000</v>
      </c>
      <c r="J135" s="529">
        <f t="shared" ref="J135:J136" ca="1" si="34">-(SUMIF(INDIRECT(LEFT($A$134,4)&amp;"!i3:i500"),"="&amp;C135&amp;" *",INDIRECT(LEFT($A$134,4)&amp;"!k3:k500")))</f>
        <v>-1455.03</v>
      </c>
      <c r="K135" s="529">
        <f t="shared" ref="K135:K144" ca="1" si="35">SUM(I135:J135)</f>
        <v>1544.97</v>
      </c>
      <c r="L135" s="529">
        <v>3000</v>
      </c>
      <c r="N135" s="966"/>
      <c r="O135" s="965"/>
      <c r="P135" s="306"/>
      <c r="Q135" s="306"/>
      <c r="R135" s="962"/>
    </row>
    <row r="136" spans="1:19" ht="15" customHeight="1" x14ac:dyDescent="0.4">
      <c r="A136" s="555"/>
      <c r="B136" s="623"/>
      <c r="C136" s="124" t="str">
        <f t="shared" ref="C136:C140" si="36">LEFT($C135,4)&amp;"-"&amp;VALUE(MID($C135,FIND("-",$C135)+1,256))+1</f>
        <v>6215-2</v>
      </c>
      <c r="D136" s="642" t="s">
        <v>341</v>
      </c>
      <c r="E136" s="835"/>
      <c r="F136" s="836">
        <v>4</v>
      </c>
      <c r="G136" s="836"/>
      <c r="H136" s="556">
        <v>1257</v>
      </c>
      <c r="I136" s="533">
        <f t="shared" si="33"/>
        <v>5028</v>
      </c>
      <c r="J136" s="533">
        <f t="shared" ca="1" si="34"/>
        <v>-5730.24</v>
      </c>
      <c r="K136" s="533">
        <f t="shared" ca="1" si="35"/>
        <v>-702.23999999999978</v>
      </c>
      <c r="L136" s="533">
        <v>5028</v>
      </c>
      <c r="N136" s="966"/>
      <c r="O136" s="965"/>
      <c r="P136" s="306"/>
      <c r="Q136" s="306"/>
      <c r="R136" s="968"/>
    </row>
    <row r="137" spans="1:19" ht="15" customHeight="1" x14ac:dyDescent="0.4">
      <c r="A137" s="527"/>
      <c r="B137" s="622" t="s">
        <v>342</v>
      </c>
      <c r="C137" s="64" t="str">
        <f t="shared" si="36"/>
        <v>6215-3</v>
      </c>
      <c r="D137" s="551" t="s">
        <v>343</v>
      </c>
      <c r="E137" s="801"/>
      <c r="F137" s="793">
        <v>4</v>
      </c>
      <c r="G137" s="801"/>
      <c r="H137" s="528">
        <v>1429.47</v>
      </c>
      <c r="I137" s="529">
        <f t="shared" si="33"/>
        <v>5717.88</v>
      </c>
      <c r="J137" s="529">
        <f ca="1">-(SUMIF(INDIRECT(LEFT($A$134,4)&amp;"!i3:i500"),"="&amp;C137&amp;" *",INDIRECT(LEFT($A$134,4)&amp;"!k3:k500")))</f>
        <v>-5717.88</v>
      </c>
      <c r="K137" s="529">
        <f t="shared" ref="K137:K140" ca="1" si="37">SUM(I137:J137)</f>
        <v>0</v>
      </c>
      <c r="L137" s="529">
        <v>5717.88</v>
      </c>
      <c r="N137" s="966"/>
      <c r="O137" s="965"/>
      <c r="P137" s="306"/>
      <c r="Q137" s="306"/>
      <c r="R137" s="968"/>
    </row>
    <row r="138" spans="1:19" ht="15" customHeight="1" x14ac:dyDescent="0.4">
      <c r="A138" s="555"/>
      <c r="B138" s="624" t="s">
        <v>339</v>
      </c>
      <c r="C138" s="131" t="str">
        <f t="shared" si="36"/>
        <v>6215-4</v>
      </c>
      <c r="D138" s="644" t="s">
        <v>344</v>
      </c>
      <c r="E138" s="837"/>
      <c r="F138" s="819">
        <v>12</v>
      </c>
      <c r="G138" s="820"/>
      <c r="H138" s="645">
        <f>1292+345</f>
        <v>1637</v>
      </c>
      <c r="I138" s="646">
        <f t="shared" si="33"/>
        <v>19644</v>
      </c>
      <c r="J138" s="533">
        <f ca="1">-(SUMIF(INDIRECT(LEFT($A$134,4)&amp;"!i3:i500"),"="&amp;C138&amp;" *",INDIRECT(LEFT($A$134,4)&amp;"!k3:k500")))</f>
        <v>-20957.919999999998</v>
      </c>
      <c r="K138" s="533">
        <f t="shared" ca="1" si="37"/>
        <v>-1313.9199999999983</v>
      </c>
      <c r="L138" s="646">
        <v>19644</v>
      </c>
      <c r="N138" s="966"/>
      <c r="O138" s="965"/>
      <c r="P138" s="306"/>
      <c r="Q138" s="306"/>
      <c r="R138" s="962"/>
    </row>
    <row r="139" spans="1:19" ht="15" customHeight="1" x14ac:dyDescent="0.4">
      <c r="A139" s="527"/>
      <c r="B139" s="622"/>
      <c r="C139" s="135" t="str">
        <f>LEFT($C138,4)&amp;"-"&amp;VALUE(MID($C138,FIND("-",$C138)+1,256))+1</f>
        <v>6215-5</v>
      </c>
      <c r="D139" s="551" t="s">
        <v>345</v>
      </c>
      <c r="E139" s="801"/>
      <c r="F139" s="793">
        <v>1</v>
      </c>
      <c r="G139" s="801"/>
      <c r="H139" s="528">
        <v>2500</v>
      </c>
      <c r="I139" s="529">
        <f t="shared" si="33"/>
        <v>2500</v>
      </c>
      <c r="J139" s="529">
        <f ca="1">-(SUMIF(INDIRECT(LEFT($A$134,4)&amp;"!i3:i500"),"="&amp;C139&amp;" *",INDIRECT(LEFT($A$134,4)&amp;"!k3:k500")))</f>
        <v>-698.28000000000009</v>
      </c>
      <c r="K139" s="529">
        <f t="shared" ca="1" si="37"/>
        <v>1801.7199999999998</v>
      </c>
      <c r="L139" s="529">
        <v>2500</v>
      </c>
      <c r="N139" s="966"/>
      <c r="O139" s="965"/>
      <c r="P139" s="306"/>
      <c r="Q139" s="306"/>
      <c r="R139" s="962"/>
    </row>
    <row r="140" spans="1:19" ht="15" customHeight="1" x14ac:dyDescent="0.4">
      <c r="A140" s="555"/>
      <c r="B140" s="623"/>
      <c r="C140" s="112" t="str">
        <f t="shared" si="36"/>
        <v>6215-6</v>
      </c>
      <c r="D140" s="557" t="s">
        <v>346</v>
      </c>
      <c r="E140" s="838"/>
      <c r="F140" s="839">
        <v>12</v>
      </c>
      <c r="G140" s="839"/>
      <c r="H140" s="556">
        <v>428.56</v>
      </c>
      <c r="I140" s="533">
        <f t="shared" si="33"/>
        <v>5142.72</v>
      </c>
      <c r="J140" s="533">
        <f ca="1">-(SUMIF(INDIRECT(LEFT($A$134,4)&amp;"!i3:i500"),"="&amp;C140&amp;" *",INDIRECT(LEFT($A$134,4)&amp;"!k3:k500")))</f>
        <v>0</v>
      </c>
      <c r="K140" s="533">
        <f t="shared" ca="1" si="37"/>
        <v>5142.72</v>
      </c>
      <c r="L140" s="533">
        <v>5142.72</v>
      </c>
      <c r="N140" s="966"/>
      <c r="O140" s="965"/>
      <c r="P140" s="306"/>
      <c r="Q140" s="306"/>
      <c r="R140" s="962"/>
    </row>
    <row r="141" spans="1:19" ht="15" customHeight="1" thickBot="1" x14ac:dyDescent="0.45">
      <c r="B141" s="625"/>
      <c r="C141" s="135"/>
      <c r="D141" s="544" t="s">
        <v>106</v>
      </c>
      <c r="E141" s="545"/>
      <c r="F141" s="545"/>
      <c r="G141" s="421"/>
      <c r="H141" s="546">
        <f>(I141-L141)/L141</f>
        <v>0</v>
      </c>
      <c r="I141" s="548">
        <f>SUM(I135:I140)</f>
        <v>41032.600000000006</v>
      </c>
      <c r="J141" s="548">
        <f t="shared" ref="J141:K141" ca="1" si="38">SUM(J135:J140)</f>
        <v>-34559.35</v>
      </c>
      <c r="K141" s="548">
        <f t="shared" ca="1" si="38"/>
        <v>6473.2500000000018</v>
      </c>
      <c r="L141" s="548">
        <f>SUM(L135:L140)</f>
        <v>41032.600000000006</v>
      </c>
      <c r="O141" s="965"/>
      <c r="P141" s="306"/>
      <c r="Q141" s="306"/>
      <c r="R141" s="962"/>
    </row>
    <row r="142" spans="1:19" ht="10.5" customHeight="1" thickTop="1" x14ac:dyDescent="0.5">
      <c r="B142" s="621"/>
      <c r="C142" s="64"/>
      <c r="D142" s="647"/>
      <c r="E142" s="647"/>
      <c r="F142" s="647"/>
      <c r="G142" s="647"/>
      <c r="H142" s="647"/>
      <c r="I142" s="648"/>
      <c r="J142" s="648"/>
      <c r="K142" s="648"/>
      <c r="L142" s="647"/>
      <c r="M142" s="967"/>
      <c r="O142" s="969"/>
      <c r="P142" s="306"/>
      <c r="Q142" s="306"/>
      <c r="R142" s="962"/>
    </row>
    <row r="143" spans="1:19" ht="19.5" customHeight="1" x14ac:dyDescent="0.5">
      <c r="A143" s="950" t="s">
        <v>347</v>
      </c>
      <c r="B143" s="950"/>
      <c r="C143" s="950"/>
      <c r="D143" s="950"/>
      <c r="E143" s="950"/>
      <c r="F143" s="950"/>
      <c r="G143" s="950"/>
      <c r="H143" s="950"/>
      <c r="I143" s="950"/>
      <c r="J143" s="950"/>
      <c r="K143" s="950"/>
      <c r="L143" s="950"/>
      <c r="O143" s="969"/>
      <c r="P143" s="306"/>
      <c r="Q143" s="306"/>
      <c r="R143" s="962"/>
    </row>
    <row r="144" spans="1:19" ht="14.6" x14ac:dyDescent="0.4">
      <c r="A144" s="527"/>
      <c r="B144" s="625" t="s">
        <v>348</v>
      </c>
      <c r="C144" s="64" t="str">
        <f>LEFT($A143,4)&amp;"-1"</f>
        <v>6220-1</v>
      </c>
      <c r="D144" s="551" t="s">
        <v>349</v>
      </c>
      <c r="E144" s="801"/>
      <c r="F144" s="793">
        <v>12</v>
      </c>
      <c r="G144" s="801"/>
      <c r="H144" s="528">
        <v>3000</v>
      </c>
      <c r="I144" s="529">
        <f>(E144+F144+G144)*H144</f>
        <v>36000</v>
      </c>
      <c r="J144" s="529">
        <f t="shared" ref="J144:J150" ca="1" si="39">-(SUMIF(INDIRECT(LEFT($A$143,4)&amp;"!i3:i500"),"="&amp;C144&amp;" *",INDIRECT(LEFT($A$143,4)&amp;"!k3:k500")))</f>
        <v>-25317.379999999997</v>
      </c>
      <c r="K144" s="529">
        <f t="shared" ca="1" si="35"/>
        <v>10682.620000000003</v>
      </c>
      <c r="L144" s="529">
        <v>31200</v>
      </c>
      <c r="N144" s="964"/>
      <c r="O144" s="965"/>
      <c r="P144" s="306"/>
      <c r="Q144" s="306"/>
      <c r="R144" s="962"/>
      <c r="S144" s="973"/>
    </row>
    <row r="145" spans="1:22" ht="15" customHeight="1" x14ac:dyDescent="0.4">
      <c r="A145" s="555"/>
      <c r="B145" s="579"/>
      <c r="C145" s="230" t="str">
        <f>LEFT($C144,4)&amp;"-"&amp;VALUE(MID($C144,FIND("-",$C144)+1,256))+1</f>
        <v>6220-2</v>
      </c>
      <c r="D145" s="566" t="s">
        <v>350</v>
      </c>
      <c r="E145" s="832"/>
      <c r="F145" s="815">
        <v>12</v>
      </c>
      <c r="G145" s="832"/>
      <c r="H145" s="537">
        <v>1700</v>
      </c>
      <c r="I145" s="571">
        <f>(E145+F145+G145)*H145</f>
        <v>20400</v>
      </c>
      <c r="J145" s="532">
        <f t="shared" ca="1" si="39"/>
        <v>-17932.43</v>
      </c>
      <c r="K145" s="532">
        <f t="shared" ref="K145" ca="1" si="40">SUM(I145:J145)</f>
        <v>2467.5699999999997</v>
      </c>
      <c r="L145" s="532">
        <v>19971</v>
      </c>
      <c r="N145" s="964"/>
      <c r="O145" s="965"/>
      <c r="P145" s="306"/>
      <c r="Q145" s="306"/>
      <c r="R145" s="962"/>
    </row>
    <row r="146" spans="1:22" ht="15" customHeight="1" x14ac:dyDescent="0.4">
      <c r="A146" s="527"/>
      <c r="B146" s="580"/>
      <c r="C146" s="229" t="str">
        <f t="shared" ref="C146:C148" si="41">LEFT($C145,4)&amp;"-"&amp;VALUE(MID($C145,FIND("-",$C145)+1,256))+1</f>
        <v>6220-3</v>
      </c>
      <c r="D146" s="551" t="s">
        <v>351</v>
      </c>
      <c r="E146" s="801"/>
      <c r="F146" s="793">
        <v>12</v>
      </c>
      <c r="G146" s="801"/>
      <c r="H146" s="528">
        <v>4800</v>
      </c>
      <c r="I146" s="529">
        <f>SUM((E146+F146+G146)*H146)</f>
        <v>57600</v>
      </c>
      <c r="J146" s="529">
        <f t="shared" ca="1" si="39"/>
        <v>-59655.17</v>
      </c>
      <c r="K146" s="529">
        <f t="shared" ref="K146:K150" ca="1" si="42">SUM(I146:J146)</f>
        <v>-2055.1699999999983</v>
      </c>
      <c r="L146" s="529">
        <v>50375</v>
      </c>
      <c r="N146" s="964"/>
      <c r="O146" s="965"/>
      <c r="P146" s="306"/>
      <c r="Q146" s="306"/>
      <c r="R146" s="962"/>
    </row>
    <row r="147" spans="1:22" ht="15" customHeight="1" x14ac:dyDescent="0.4">
      <c r="A147" s="555"/>
      <c r="B147" s="579"/>
      <c r="C147" s="230" t="str">
        <f>LEFT($C146,4)&amp;"-"&amp;VALUE(MID($C146,FIND("-",$C146)+1,256))+1</f>
        <v>6220-4</v>
      </c>
      <c r="D147" s="561" t="s">
        <v>352</v>
      </c>
      <c r="E147" s="822"/>
      <c r="F147" s="796">
        <v>12</v>
      </c>
      <c r="G147" s="822"/>
      <c r="H147" s="543">
        <v>500</v>
      </c>
      <c r="I147" s="541">
        <f>SUM((E147+F147+G147)*H147)</f>
        <v>6000</v>
      </c>
      <c r="J147" s="532">
        <f t="shared" ca="1" si="39"/>
        <v>-5337.880000000001</v>
      </c>
      <c r="K147" s="532">
        <f t="shared" ca="1" si="42"/>
        <v>662.11999999999898</v>
      </c>
      <c r="L147" s="541">
        <v>5040</v>
      </c>
      <c r="N147" s="964"/>
      <c r="O147" s="965"/>
      <c r="P147" s="306"/>
      <c r="Q147" s="306"/>
      <c r="V147" s="980"/>
    </row>
    <row r="148" spans="1:22" ht="15" customHeight="1" x14ac:dyDescent="0.4">
      <c r="A148" s="527"/>
      <c r="B148" s="580"/>
      <c r="C148" s="229" t="str">
        <f t="shared" si="41"/>
        <v>6220-5</v>
      </c>
      <c r="D148" s="562" t="s">
        <v>353</v>
      </c>
      <c r="E148" s="795"/>
      <c r="F148" s="795">
        <v>12</v>
      </c>
      <c r="G148" s="795"/>
      <c r="H148" s="563">
        <v>3000</v>
      </c>
      <c r="I148" s="540">
        <f>SUM((E148+F148+G148)*H148)</f>
        <v>36000</v>
      </c>
      <c r="J148" s="529">
        <f t="shared" ca="1" si="39"/>
        <v>-39124.130000000005</v>
      </c>
      <c r="K148" s="529">
        <f t="shared" ca="1" si="42"/>
        <v>-3124.1300000000047</v>
      </c>
      <c r="L148" s="540">
        <v>31200</v>
      </c>
      <c r="N148" s="964"/>
      <c r="O148" s="965"/>
      <c r="P148" s="306"/>
      <c r="Q148" s="306"/>
      <c r="R148" s="962"/>
      <c r="S148" s="984"/>
    </row>
    <row r="149" spans="1:22" ht="15" customHeight="1" x14ac:dyDescent="0.4">
      <c r="A149" s="555"/>
      <c r="B149" s="605"/>
      <c r="C149" s="317" t="str">
        <f>LEFT($C148,4)&amp;"-"&amp;VALUE(MID($C148,FIND("-",$C148)+1,256))+1</f>
        <v>6220-6</v>
      </c>
      <c r="D149" s="564" t="s">
        <v>354</v>
      </c>
      <c r="E149" s="806"/>
      <c r="F149" s="794">
        <v>2</v>
      </c>
      <c r="G149" s="806"/>
      <c r="H149" s="537">
        <v>100</v>
      </c>
      <c r="I149" s="541">
        <f>SUM((E149+F149+G149)*H149)</f>
        <v>200</v>
      </c>
      <c r="J149" s="532">
        <f t="shared" ca="1" si="39"/>
        <v>-270</v>
      </c>
      <c r="K149" s="532">
        <f t="shared" ca="1" si="42"/>
        <v>-70</v>
      </c>
      <c r="L149" s="532">
        <v>200</v>
      </c>
      <c r="N149" s="964"/>
      <c r="O149" s="965"/>
      <c r="P149" s="306"/>
      <c r="Q149" s="306"/>
      <c r="R149" s="962"/>
    </row>
    <row r="150" spans="1:22" ht="14.6" x14ac:dyDescent="0.4">
      <c r="A150" s="527"/>
      <c r="B150" s="625"/>
      <c r="C150" s="229" t="str">
        <f>LEFT($C149,4)&amp;"-"&amp;VALUE(MID($C149,FIND("-",$C149)+1,256))+1</f>
        <v>6220-7</v>
      </c>
      <c r="D150" s="534" t="s">
        <v>355</v>
      </c>
      <c r="E150" s="809"/>
      <c r="F150" s="793">
        <v>12</v>
      </c>
      <c r="G150" s="793"/>
      <c r="H150" s="528">
        <v>6000</v>
      </c>
      <c r="I150" s="540">
        <f>SUM((E150+F150+G150)*H150)</f>
        <v>72000</v>
      </c>
      <c r="J150" s="529">
        <f t="shared" ca="1" si="39"/>
        <v>-69600.28</v>
      </c>
      <c r="K150" s="529">
        <f t="shared" ca="1" si="42"/>
        <v>2399.7200000000012</v>
      </c>
      <c r="L150" s="529">
        <v>77880</v>
      </c>
      <c r="N150" s="964"/>
      <c r="O150" s="965"/>
      <c r="P150" s="306"/>
      <c r="Q150" s="306"/>
      <c r="R150" s="962"/>
    </row>
    <row r="151" spans="1:22" ht="15" customHeight="1" thickBot="1" x14ac:dyDescent="0.45">
      <c r="B151" s="526"/>
      <c r="C151" s="48"/>
      <c r="D151" s="544" t="s">
        <v>106</v>
      </c>
      <c r="E151" s="593"/>
      <c r="F151" s="576"/>
      <c r="G151" s="421"/>
      <c r="H151" s="546">
        <f>(I151-L151)/L151</f>
        <v>5.7137298138660093E-2</v>
      </c>
      <c r="I151" s="548">
        <f>SUM(I144:I150)</f>
        <v>228200</v>
      </c>
      <c r="J151" s="548">
        <f ca="1">SUM(J144:J150)</f>
        <v>-217237.27</v>
      </c>
      <c r="K151" s="548">
        <f ca="1">SUM(K144:K150)</f>
        <v>10962.73</v>
      </c>
      <c r="L151" s="548">
        <f>SUM(L144:L150)</f>
        <v>215866</v>
      </c>
      <c r="O151" s="965"/>
      <c r="P151" s="306"/>
      <c r="Q151" s="306"/>
      <c r="R151" s="962"/>
    </row>
    <row r="152" spans="1:22" ht="9.75" customHeight="1" thickTop="1" x14ac:dyDescent="0.5">
      <c r="C152" s="133"/>
      <c r="D152" s="94"/>
      <c r="E152" s="94"/>
      <c r="F152" s="94"/>
      <c r="G152" s="94"/>
      <c r="H152" s="94"/>
      <c r="I152" s="137"/>
      <c r="J152" s="137"/>
      <c r="K152" s="137"/>
      <c r="L152" s="94"/>
      <c r="O152" s="969"/>
      <c r="P152" s="306"/>
      <c r="Q152" s="306"/>
      <c r="R152" s="962"/>
    </row>
    <row r="153" spans="1:22" ht="19.5" customHeight="1" x14ac:dyDescent="0.5">
      <c r="A153" s="950" t="s">
        <v>356</v>
      </c>
      <c r="B153" s="950"/>
      <c r="C153" s="950"/>
      <c r="D153" s="950"/>
      <c r="E153" s="950"/>
      <c r="F153" s="950"/>
      <c r="G153" s="950"/>
      <c r="H153" s="950"/>
      <c r="I153" s="950"/>
      <c r="J153" s="950"/>
      <c r="K153" s="950"/>
      <c r="L153" s="950"/>
      <c r="O153" s="969"/>
      <c r="P153" s="306"/>
      <c r="Q153" s="306"/>
      <c r="R153" s="962"/>
    </row>
    <row r="154" spans="1:22" ht="15" customHeight="1" x14ac:dyDescent="0.4">
      <c r="A154" s="527"/>
      <c r="B154" s="622"/>
      <c r="C154" s="90" t="str">
        <f>LEFT($A153,4)&amp;"-1"</f>
        <v>6225-1</v>
      </c>
      <c r="D154" s="551" t="s">
        <v>357</v>
      </c>
      <c r="E154" s="801"/>
      <c r="F154" s="793">
        <v>12</v>
      </c>
      <c r="G154" s="801"/>
      <c r="H154" s="528">
        <v>1104.17</v>
      </c>
      <c r="I154" s="540">
        <f t="shared" ref="I154:I178" si="43">SUM(E154+F154+G154)*H154</f>
        <v>13250.04</v>
      </c>
      <c r="J154" s="529">
        <f t="shared" ref="J154:J178" ca="1" si="44">-(SUMIF(INDIRECT(LEFT($A$153,4)&amp;"!i3:i200"),"="&amp;C154&amp;" *",INDIRECT(LEFT($A$153,4)&amp;"!k3:k200")))</f>
        <v>-9382.010000000002</v>
      </c>
      <c r="K154" s="529">
        <f t="shared" ref="K154:K155" ca="1" si="45">SUM(I154:J154)</f>
        <v>3868.0299999999988</v>
      </c>
      <c r="L154" s="419">
        <v>13250.04</v>
      </c>
      <c r="N154" s="966"/>
      <c r="O154" s="965"/>
      <c r="P154" s="306"/>
      <c r="Q154" s="306"/>
      <c r="R154" s="962"/>
    </row>
    <row r="155" spans="1:22" ht="15" customHeight="1" x14ac:dyDescent="0.4">
      <c r="A155" s="555"/>
      <c r="B155" s="623"/>
      <c r="C155" s="134" t="str">
        <f t="shared" ref="C155:C178" si="46">LEFT($C154,4)&amp;"-"&amp;VALUE(MID($C154,FIND("-",$C154)+1,256))+1</f>
        <v>6225-2</v>
      </c>
      <c r="D155" s="555" t="s">
        <v>358</v>
      </c>
      <c r="E155" s="804"/>
      <c r="F155" s="836">
        <v>3</v>
      </c>
      <c r="G155" s="804"/>
      <c r="H155" s="556">
        <v>5200</v>
      </c>
      <c r="I155" s="541">
        <f t="shared" si="43"/>
        <v>15600</v>
      </c>
      <c r="J155" s="533">
        <f t="shared" ca="1" si="44"/>
        <v>-35957.369999999995</v>
      </c>
      <c r="K155" s="533">
        <f t="shared" ca="1" si="45"/>
        <v>-20357.369999999995</v>
      </c>
      <c r="L155" s="420">
        <v>15600</v>
      </c>
      <c r="N155" s="966"/>
      <c r="O155" s="965"/>
      <c r="P155" s="306"/>
      <c r="Q155" s="306"/>
      <c r="R155" s="985"/>
    </row>
    <row r="156" spans="1:22" ht="15" customHeight="1" x14ac:dyDescent="0.4">
      <c r="A156" s="527"/>
      <c r="B156" s="625"/>
      <c r="C156" s="90" t="str">
        <f t="shared" si="46"/>
        <v>6225-3</v>
      </c>
      <c r="D156" s="572" t="s">
        <v>359</v>
      </c>
      <c r="E156" s="802"/>
      <c r="F156" s="798">
        <v>3</v>
      </c>
      <c r="G156" s="802"/>
      <c r="H156" s="528">
        <v>190</v>
      </c>
      <c r="I156" s="540">
        <f t="shared" si="43"/>
        <v>570</v>
      </c>
      <c r="J156" s="529">
        <f t="shared" ca="1" si="44"/>
        <v>0</v>
      </c>
      <c r="K156" s="529">
        <f t="shared" ref="K156:K178" ca="1" si="47">SUM(I156:J156)</f>
        <v>570</v>
      </c>
      <c r="L156" s="419">
        <v>570</v>
      </c>
      <c r="N156" s="966"/>
      <c r="O156" s="965"/>
      <c r="P156" s="306"/>
      <c r="Q156" s="306"/>
      <c r="R156" s="962"/>
    </row>
    <row r="157" spans="1:22" ht="15" customHeight="1" x14ac:dyDescent="0.4">
      <c r="A157" s="555"/>
      <c r="B157" s="637"/>
      <c r="C157" s="134" t="str">
        <f t="shared" si="46"/>
        <v>6225-4</v>
      </c>
      <c r="D157" s="557" t="s">
        <v>360</v>
      </c>
      <c r="E157" s="803"/>
      <c r="F157" s="839">
        <v>1</v>
      </c>
      <c r="G157" s="803"/>
      <c r="H157" s="556">
        <v>900</v>
      </c>
      <c r="I157" s="541">
        <f t="shared" si="43"/>
        <v>900</v>
      </c>
      <c r="J157" s="533">
        <f t="shared" ca="1" si="44"/>
        <v>0</v>
      </c>
      <c r="K157" s="533">
        <f t="shared" ca="1" si="47"/>
        <v>900</v>
      </c>
      <c r="L157" s="420">
        <v>900</v>
      </c>
      <c r="N157" s="966"/>
      <c r="O157" s="965"/>
      <c r="P157" s="306"/>
      <c r="Q157" s="306"/>
      <c r="R157" s="962"/>
    </row>
    <row r="158" spans="1:22" ht="15" customHeight="1" x14ac:dyDescent="0.4">
      <c r="A158" s="527"/>
      <c r="B158" s="625"/>
      <c r="C158" s="90" t="str">
        <f t="shared" si="46"/>
        <v>6225-5</v>
      </c>
      <c r="D158" s="534" t="s">
        <v>361</v>
      </c>
      <c r="E158" s="801"/>
      <c r="F158" s="793">
        <v>1</v>
      </c>
      <c r="G158" s="801"/>
      <c r="H158" s="528">
        <v>6000</v>
      </c>
      <c r="I158" s="540">
        <f t="shared" si="43"/>
        <v>6000</v>
      </c>
      <c r="J158" s="529">
        <f t="shared" ca="1" si="44"/>
        <v>-6170.84</v>
      </c>
      <c r="K158" s="529">
        <f t="shared" ca="1" si="47"/>
        <v>-170.84000000000015</v>
      </c>
      <c r="L158" s="419">
        <v>6000</v>
      </c>
      <c r="N158" s="966"/>
      <c r="O158" s="965"/>
      <c r="P158" s="306"/>
      <c r="Q158" s="306"/>
      <c r="R158" s="962"/>
    </row>
    <row r="159" spans="1:22" ht="15" customHeight="1" x14ac:dyDescent="0.4">
      <c r="A159" s="555"/>
      <c r="B159" s="633"/>
      <c r="C159" s="134" t="str">
        <f t="shared" si="46"/>
        <v>6225-6</v>
      </c>
      <c r="D159" s="559" t="s">
        <v>362</v>
      </c>
      <c r="E159" s="832"/>
      <c r="F159" s="815">
        <v>12</v>
      </c>
      <c r="G159" s="832"/>
      <c r="H159" s="537">
        <v>3100</v>
      </c>
      <c r="I159" s="541">
        <f t="shared" si="43"/>
        <v>37200</v>
      </c>
      <c r="J159" s="533">
        <f t="shared" ca="1" si="44"/>
        <v>-35615.910000000003</v>
      </c>
      <c r="K159" s="533">
        <f t="shared" ca="1" si="47"/>
        <v>1584.0899999999965</v>
      </c>
      <c r="L159" s="588">
        <v>37200</v>
      </c>
      <c r="N159" s="966"/>
      <c r="O159" s="965"/>
      <c r="P159" s="306"/>
      <c r="Q159" s="306"/>
      <c r="R159" s="974"/>
    </row>
    <row r="160" spans="1:22" ht="15" customHeight="1" x14ac:dyDescent="0.4">
      <c r="A160" s="527"/>
      <c r="B160" s="628"/>
      <c r="C160" s="90" t="str">
        <f t="shared" si="46"/>
        <v>6225-7</v>
      </c>
      <c r="D160" s="562" t="s">
        <v>363</v>
      </c>
      <c r="E160" s="797"/>
      <c r="F160" s="795">
        <v>1</v>
      </c>
      <c r="G160" s="797"/>
      <c r="H160" s="563">
        <v>7500</v>
      </c>
      <c r="I160" s="540">
        <f t="shared" si="43"/>
        <v>7500</v>
      </c>
      <c r="J160" s="529">
        <f t="shared" ca="1" si="44"/>
        <v>-5769.9</v>
      </c>
      <c r="K160" s="529">
        <f t="shared" ca="1" si="47"/>
        <v>1730.1000000000004</v>
      </c>
      <c r="L160" s="586">
        <v>7500</v>
      </c>
      <c r="N160" s="966"/>
      <c r="O160" s="965"/>
      <c r="P160" s="306"/>
      <c r="Q160" s="306"/>
      <c r="R160" s="962"/>
    </row>
    <row r="161" spans="1:19" ht="15" customHeight="1" x14ac:dyDescent="0.4">
      <c r="A161" s="555"/>
      <c r="B161" s="633"/>
      <c r="C161" s="913" t="str">
        <f t="shared" si="46"/>
        <v>6225-8</v>
      </c>
      <c r="D161" s="536" t="s">
        <v>364</v>
      </c>
      <c r="E161" s="806"/>
      <c r="F161" s="794">
        <v>1</v>
      </c>
      <c r="G161" s="806"/>
      <c r="H161" s="537">
        <v>4000</v>
      </c>
      <c r="I161" s="541">
        <f t="shared" si="43"/>
        <v>4000</v>
      </c>
      <c r="J161" s="646">
        <f t="shared" ca="1" si="44"/>
        <v>-3916</v>
      </c>
      <c r="K161" s="646">
        <f t="shared" ca="1" si="47"/>
        <v>84</v>
      </c>
      <c r="L161" s="588">
        <v>3700</v>
      </c>
      <c r="N161" s="966"/>
      <c r="O161" s="965"/>
      <c r="P161" s="306"/>
      <c r="Q161" s="306"/>
      <c r="R161" s="962"/>
    </row>
    <row r="162" spans="1:19" ht="15" customHeight="1" x14ac:dyDescent="0.4">
      <c r="A162" s="527"/>
      <c r="B162" s="626" t="s">
        <v>222</v>
      </c>
      <c r="C162" s="90" t="str">
        <f t="shared" si="46"/>
        <v>6225-9</v>
      </c>
      <c r="D162" s="538" t="s">
        <v>365</v>
      </c>
      <c r="E162" s="814"/>
      <c r="F162" s="799">
        <v>1</v>
      </c>
      <c r="G162" s="814"/>
      <c r="H162" s="563">
        <v>600</v>
      </c>
      <c r="I162" s="540">
        <f t="shared" si="43"/>
        <v>600</v>
      </c>
      <c r="J162" s="529">
        <f t="shared" ca="1" si="44"/>
        <v>-613</v>
      </c>
      <c r="K162" s="529">
        <f t="shared" ca="1" si="47"/>
        <v>-13</v>
      </c>
      <c r="L162" s="586">
        <v>450</v>
      </c>
      <c r="N162" s="966"/>
      <c r="O162" s="965"/>
      <c r="P162" s="306"/>
      <c r="Q162" s="306"/>
      <c r="R162" s="962"/>
    </row>
    <row r="163" spans="1:19" ht="15" customHeight="1" x14ac:dyDescent="0.4">
      <c r="A163" s="555"/>
      <c r="B163" s="633"/>
      <c r="C163" s="134" t="str">
        <f t="shared" si="46"/>
        <v>6225-10</v>
      </c>
      <c r="D163" s="536" t="s">
        <v>366</v>
      </c>
      <c r="E163" s="806"/>
      <c r="F163" s="794">
        <v>1</v>
      </c>
      <c r="G163" s="806"/>
      <c r="H163" s="537">
        <v>20</v>
      </c>
      <c r="I163" s="541">
        <f t="shared" si="43"/>
        <v>20</v>
      </c>
      <c r="J163" s="533">
        <f t="shared" ca="1" si="44"/>
        <v>0</v>
      </c>
      <c r="K163" s="533">
        <f t="shared" ca="1" si="47"/>
        <v>20</v>
      </c>
      <c r="L163" s="588">
        <v>20</v>
      </c>
      <c r="N163" s="966"/>
      <c r="O163" s="965"/>
      <c r="P163" s="306"/>
      <c r="Q163" s="306"/>
      <c r="R163" s="962"/>
    </row>
    <row r="164" spans="1:19" ht="15" customHeight="1" x14ac:dyDescent="0.4">
      <c r="A164" s="527"/>
      <c r="B164" s="626"/>
      <c r="C164" s="90" t="str">
        <f t="shared" si="46"/>
        <v>6225-11</v>
      </c>
      <c r="D164" s="538" t="s">
        <v>367</v>
      </c>
      <c r="E164" s="814"/>
      <c r="F164" s="799">
        <v>1</v>
      </c>
      <c r="G164" s="814"/>
      <c r="H164" s="563">
        <v>1500</v>
      </c>
      <c r="I164" s="540">
        <f t="shared" si="43"/>
        <v>1500</v>
      </c>
      <c r="J164" s="529">
        <f t="shared" ca="1" si="44"/>
        <v>-8144</v>
      </c>
      <c r="K164" s="529">
        <f t="shared" ca="1" si="47"/>
        <v>-6644</v>
      </c>
      <c r="L164" s="586">
        <v>1500</v>
      </c>
      <c r="N164" s="966"/>
      <c r="O164" s="965"/>
      <c r="P164" s="306"/>
      <c r="Q164" s="306"/>
      <c r="R164" s="962"/>
    </row>
    <row r="165" spans="1:19" ht="15" customHeight="1" x14ac:dyDescent="0.4">
      <c r="A165" s="555"/>
      <c r="B165" s="633" t="s">
        <v>368</v>
      </c>
      <c r="C165" s="134" t="str">
        <f t="shared" si="46"/>
        <v>6225-12</v>
      </c>
      <c r="D165" s="536" t="s">
        <v>369</v>
      </c>
      <c r="E165" s="806"/>
      <c r="F165" s="794">
        <v>1</v>
      </c>
      <c r="G165" s="806"/>
      <c r="H165" s="537">
        <v>45</v>
      </c>
      <c r="I165" s="541">
        <f t="shared" si="43"/>
        <v>45</v>
      </c>
      <c r="J165" s="533">
        <f t="shared" ca="1" si="44"/>
        <v>0</v>
      </c>
      <c r="K165" s="533">
        <f t="shared" ca="1" si="47"/>
        <v>45</v>
      </c>
      <c r="L165" s="588">
        <v>0</v>
      </c>
      <c r="N165" s="966"/>
      <c r="O165" s="965"/>
      <c r="P165" s="306"/>
      <c r="Q165" s="306"/>
      <c r="R165" s="962"/>
    </row>
    <row r="166" spans="1:19" ht="15" customHeight="1" x14ac:dyDescent="0.4">
      <c r="A166" s="527"/>
      <c r="B166" s="626"/>
      <c r="C166" s="90" t="str">
        <f t="shared" si="46"/>
        <v>6225-13</v>
      </c>
      <c r="D166" s="538" t="s">
        <v>370</v>
      </c>
      <c r="E166" s="814"/>
      <c r="F166" s="799">
        <v>13</v>
      </c>
      <c r="G166" s="814"/>
      <c r="H166" s="563">
        <f>1200+135</f>
        <v>1335</v>
      </c>
      <c r="I166" s="540">
        <f t="shared" si="43"/>
        <v>17355</v>
      </c>
      <c r="J166" s="529">
        <f t="shared" ca="1" si="44"/>
        <v>-10609.35</v>
      </c>
      <c r="K166" s="529">
        <f t="shared" ca="1" si="47"/>
        <v>6745.65</v>
      </c>
      <c r="L166" s="586">
        <v>16020</v>
      </c>
      <c r="N166" s="966"/>
      <c r="O166" s="965"/>
      <c r="P166" s="306"/>
      <c r="Q166" s="306"/>
      <c r="R166" s="962"/>
    </row>
    <row r="167" spans="1:19" ht="15" customHeight="1" x14ac:dyDescent="0.4">
      <c r="A167" s="555"/>
      <c r="B167" s="627"/>
      <c r="C167" s="134" t="str">
        <f t="shared" si="46"/>
        <v>6225-14</v>
      </c>
      <c r="D167" s="536" t="s">
        <v>371</v>
      </c>
      <c r="E167" s="806"/>
      <c r="F167" s="794">
        <v>2</v>
      </c>
      <c r="G167" s="806"/>
      <c r="H167" s="537">
        <v>500</v>
      </c>
      <c r="I167" s="541">
        <f t="shared" si="43"/>
        <v>1000</v>
      </c>
      <c r="J167" s="533">
        <f t="shared" ca="1" si="44"/>
        <v>-9494</v>
      </c>
      <c r="K167" s="533">
        <f t="shared" ca="1" si="47"/>
        <v>-8494</v>
      </c>
      <c r="L167" s="588">
        <v>1000</v>
      </c>
      <c r="N167" s="966"/>
      <c r="O167" s="965"/>
      <c r="P167" s="306"/>
      <c r="Q167" s="306"/>
      <c r="R167" s="962"/>
    </row>
    <row r="168" spans="1:19" ht="15" customHeight="1" x14ac:dyDescent="0.4">
      <c r="A168" s="527"/>
      <c r="B168" s="626"/>
      <c r="C168" s="90" t="str">
        <f t="shared" si="46"/>
        <v>6225-15</v>
      </c>
      <c r="D168" s="538" t="s">
        <v>372</v>
      </c>
      <c r="E168" s="840"/>
      <c r="F168" s="799">
        <v>6</v>
      </c>
      <c r="G168" s="808"/>
      <c r="H168" s="563">
        <v>350</v>
      </c>
      <c r="I168" s="540">
        <f t="shared" si="43"/>
        <v>2100</v>
      </c>
      <c r="J168" s="529">
        <f t="shared" ca="1" si="44"/>
        <v>-698.06999999999994</v>
      </c>
      <c r="K168" s="529">
        <f t="shared" ca="1" si="47"/>
        <v>1401.93</v>
      </c>
      <c r="L168" s="563">
        <v>2100</v>
      </c>
      <c r="N168" s="966"/>
      <c r="O168" s="965"/>
      <c r="P168" s="306"/>
      <c r="Q168" s="306"/>
      <c r="R168" s="962"/>
    </row>
    <row r="169" spans="1:19" ht="15" customHeight="1" x14ac:dyDescent="0.4">
      <c r="A169" s="555"/>
      <c r="B169" s="651"/>
      <c r="C169" s="134" t="str">
        <f t="shared" si="46"/>
        <v>6225-16</v>
      </c>
      <c r="D169" s="536" t="s">
        <v>373</v>
      </c>
      <c r="E169" s="806"/>
      <c r="F169" s="794">
        <v>2</v>
      </c>
      <c r="G169" s="806"/>
      <c r="H169" s="537">
        <v>7800</v>
      </c>
      <c r="I169" s="541">
        <f t="shared" si="43"/>
        <v>15600</v>
      </c>
      <c r="J169" s="533">
        <f t="shared" ca="1" si="44"/>
        <v>-12406.99</v>
      </c>
      <c r="K169" s="533">
        <f t="shared" ca="1" si="47"/>
        <v>3193.01</v>
      </c>
      <c r="L169" s="588">
        <v>15600</v>
      </c>
      <c r="N169" s="966"/>
      <c r="O169" s="965"/>
      <c r="P169" s="306"/>
      <c r="Q169" s="306"/>
      <c r="R169" s="962"/>
    </row>
    <row r="170" spans="1:19" ht="15" customHeight="1" x14ac:dyDescent="0.4">
      <c r="A170" s="527"/>
      <c r="B170" s="867"/>
      <c r="C170" s="90" t="str">
        <f t="shared" si="46"/>
        <v>6225-17</v>
      </c>
      <c r="D170" s="562" t="s">
        <v>374</v>
      </c>
      <c r="E170" s="797"/>
      <c r="F170" s="795">
        <v>10</v>
      </c>
      <c r="G170" s="797"/>
      <c r="H170" s="563">
        <v>2500</v>
      </c>
      <c r="I170" s="540">
        <f t="shared" si="43"/>
        <v>25000</v>
      </c>
      <c r="J170" s="529">
        <f t="shared" ca="1" si="44"/>
        <v>-3888.24</v>
      </c>
      <c r="K170" s="529">
        <f t="shared" ca="1" si="47"/>
        <v>21111.760000000002</v>
      </c>
      <c r="L170" s="586">
        <v>1600</v>
      </c>
      <c r="N170" s="966"/>
      <c r="O170" s="965"/>
      <c r="P170" s="306"/>
      <c r="Q170" s="306"/>
      <c r="R170" s="962"/>
      <c r="S170" s="973"/>
    </row>
    <row r="171" spans="1:19" ht="15" customHeight="1" x14ac:dyDescent="0.4">
      <c r="A171" s="555"/>
      <c r="B171" s="627"/>
      <c r="C171" s="134" t="str">
        <f t="shared" si="46"/>
        <v>6225-18</v>
      </c>
      <c r="D171" s="559" t="s">
        <v>375</v>
      </c>
      <c r="E171" s="832"/>
      <c r="F171" s="815">
        <v>1</v>
      </c>
      <c r="G171" s="832"/>
      <c r="H171" s="537">
        <v>2000</v>
      </c>
      <c r="I171" s="541">
        <f t="shared" si="43"/>
        <v>2000</v>
      </c>
      <c r="J171" s="533">
        <f t="shared" ca="1" si="44"/>
        <v>-2051</v>
      </c>
      <c r="K171" s="533">
        <f t="shared" ca="1" si="47"/>
        <v>-51</v>
      </c>
      <c r="L171" s="588">
        <v>2000</v>
      </c>
      <c r="N171" s="966"/>
      <c r="O171" s="965"/>
      <c r="P171" s="306"/>
      <c r="Q171" s="306"/>
      <c r="R171" s="962"/>
    </row>
    <row r="172" spans="1:19" ht="15" customHeight="1" x14ac:dyDescent="0.4">
      <c r="A172" s="527"/>
      <c r="B172" s="626"/>
      <c r="C172" s="90" t="str">
        <f t="shared" si="46"/>
        <v>6225-19</v>
      </c>
      <c r="D172" s="562" t="s">
        <v>376</v>
      </c>
      <c r="E172" s="797"/>
      <c r="F172" s="795">
        <v>10</v>
      </c>
      <c r="G172" s="797"/>
      <c r="H172" s="563">
        <v>140</v>
      </c>
      <c r="I172" s="540">
        <f t="shared" si="43"/>
        <v>1400</v>
      </c>
      <c r="J172" s="529">
        <f t="shared" ca="1" si="44"/>
        <v>-1432</v>
      </c>
      <c r="K172" s="529">
        <f t="shared" ca="1" si="47"/>
        <v>-32</v>
      </c>
      <c r="L172" s="586">
        <v>1400</v>
      </c>
      <c r="N172" s="966"/>
      <c r="O172" s="965"/>
      <c r="P172" s="306"/>
      <c r="Q172" s="306"/>
      <c r="R172" s="962"/>
    </row>
    <row r="173" spans="1:19" ht="15" customHeight="1" x14ac:dyDescent="0.4">
      <c r="A173" s="555"/>
      <c r="B173" s="627"/>
      <c r="C173" s="134" t="str">
        <f t="shared" si="46"/>
        <v>6225-20</v>
      </c>
      <c r="D173" s="559" t="s">
        <v>377</v>
      </c>
      <c r="E173" s="832"/>
      <c r="F173" s="815">
        <v>1</v>
      </c>
      <c r="G173" s="832"/>
      <c r="H173" s="537">
        <f>8500+1300</f>
        <v>9800</v>
      </c>
      <c r="I173" s="541">
        <f t="shared" si="43"/>
        <v>9800</v>
      </c>
      <c r="J173" s="533">
        <f t="shared" ca="1" si="44"/>
        <v>0</v>
      </c>
      <c r="K173" s="533">
        <f t="shared" ca="1" si="47"/>
        <v>9800</v>
      </c>
      <c r="L173" s="588">
        <v>9800</v>
      </c>
      <c r="N173" s="966"/>
      <c r="O173" s="965"/>
      <c r="P173" s="306"/>
      <c r="Q173" s="306"/>
      <c r="R173" s="962"/>
    </row>
    <row r="174" spans="1:19" ht="15" customHeight="1" x14ac:dyDescent="0.4">
      <c r="A174" s="527"/>
      <c r="B174" s="626"/>
      <c r="C174" s="90" t="str">
        <f t="shared" si="46"/>
        <v>6225-21</v>
      </c>
      <c r="D174" s="538" t="s">
        <v>378</v>
      </c>
      <c r="E174" s="814"/>
      <c r="F174" s="799">
        <v>1</v>
      </c>
      <c r="G174" s="814"/>
      <c r="H174" s="563">
        <v>2000</v>
      </c>
      <c r="I174" s="540">
        <f t="shared" si="43"/>
        <v>2000</v>
      </c>
      <c r="J174" s="529">
        <f t="shared" ca="1" si="44"/>
        <v>-255</v>
      </c>
      <c r="K174" s="529">
        <f t="shared" ca="1" si="47"/>
        <v>1745</v>
      </c>
      <c r="L174" s="586">
        <v>2000</v>
      </c>
      <c r="N174" s="966"/>
      <c r="O174" s="965"/>
      <c r="P174" s="306"/>
      <c r="Q174" s="306"/>
      <c r="R174" s="962"/>
    </row>
    <row r="175" spans="1:19" ht="15" customHeight="1" x14ac:dyDescent="0.4">
      <c r="A175" s="555"/>
      <c r="B175" s="632"/>
      <c r="C175" s="134" t="str">
        <f t="shared" si="46"/>
        <v>6225-22</v>
      </c>
      <c r="D175" s="561" t="s">
        <v>379</v>
      </c>
      <c r="E175" s="822"/>
      <c r="F175" s="796">
        <v>12</v>
      </c>
      <c r="G175" s="822"/>
      <c r="H175" s="543">
        <v>420</v>
      </c>
      <c r="I175" s="541">
        <f t="shared" si="43"/>
        <v>5040</v>
      </c>
      <c r="J175" s="533">
        <f t="shared" ca="1" si="44"/>
        <v>0</v>
      </c>
      <c r="K175" s="533">
        <f t="shared" ca="1" si="47"/>
        <v>5040</v>
      </c>
      <c r="L175" s="543">
        <v>5040</v>
      </c>
      <c r="N175" s="966"/>
      <c r="O175" s="965"/>
      <c r="P175" s="306"/>
      <c r="Q175" s="306"/>
      <c r="R175" s="986"/>
    </row>
    <row r="176" spans="1:19" ht="15" customHeight="1" x14ac:dyDescent="0.4">
      <c r="A176" s="527"/>
      <c r="B176" s="622"/>
      <c r="C176" s="90" t="str">
        <f t="shared" si="46"/>
        <v>6225-23</v>
      </c>
      <c r="D176" s="572" t="s">
        <v>380</v>
      </c>
      <c r="E176" s="802"/>
      <c r="F176" s="798">
        <v>1</v>
      </c>
      <c r="G176" s="802"/>
      <c r="H176" s="528">
        <v>2000</v>
      </c>
      <c r="I176" s="540">
        <f t="shared" si="43"/>
        <v>2000</v>
      </c>
      <c r="J176" s="529">
        <f t="shared" ca="1" si="44"/>
        <v>-2565</v>
      </c>
      <c r="K176" s="529">
        <f t="shared" ca="1" si="47"/>
        <v>-565</v>
      </c>
      <c r="L176" s="419">
        <v>2000</v>
      </c>
      <c r="N176" s="966"/>
      <c r="O176" s="965"/>
      <c r="P176" s="306"/>
      <c r="Q176" s="306"/>
      <c r="R176" s="962"/>
    </row>
    <row r="177" spans="1:18" ht="15" customHeight="1" x14ac:dyDescent="0.4">
      <c r="A177" s="555"/>
      <c r="B177" s="640"/>
      <c r="C177" s="224" t="str">
        <f t="shared" si="46"/>
        <v>6225-24</v>
      </c>
      <c r="D177" s="618" t="s">
        <v>381</v>
      </c>
      <c r="E177" s="841"/>
      <c r="F177" s="834">
        <v>1</v>
      </c>
      <c r="G177" s="841"/>
      <c r="H177" s="553">
        <v>6800</v>
      </c>
      <c r="I177" s="554">
        <f t="shared" si="43"/>
        <v>6800</v>
      </c>
      <c r="J177" s="554">
        <f t="shared" ca="1" si="44"/>
        <v>-4545</v>
      </c>
      <c r="K177" s="554">
        <f t="shared" ca="1" si="47"/>
        <v>2255</v>
      </c>
      <c r="L177" s="613">
        <v>6800</v>
      </c>
      <c r="N177" s="966"/>
      <c r="O177" s="965"/>
      <c r="P177" s="306"/>
      <c r="Q177" s="306"/>
      <c r="R177" s="962"/>
    </row>
    <row r="178" spans="1:18" ht="15" customHeight="1" x14ac:dyDescent="0.4">
      <c r="A178" s="527"/>
      <c r="B178" s="625"/>
      <c r="C178" s="90" t="str">
        <f t="shared" si="46"/>
        <v>6225-25</v>
      </c>
      <c r="D178" s="534" t="s">
        <v>382</v>
      </c>
      <c r="E178" s="801"/>
      <c r="F178" s="793">
        <v>1</v>
      </c>
      <c r="G178" s="801"/>
      <c r="H178" s="528">
        <v>2120</v>
      </c>
      <c r="I178" s="540">
        <f t="shared" si="43"/>
        <v>2120</v>
      </c>
      <c r="J178" s="529">
        <f t="shared" ca="1" si="44"/>
        <v>0</v>
      </c>
      <c r="K178" s="529">
        <f t="shared" ca="1" si="47"/>
        <v>2120</v>
      </c>
      <c r="L178" s="419">
        <v>2120</v>
      </c>
      <c r="N178" s="966"/>
      <c r="O178" s="965"/>
      <c r="P178" s="306"/>
      <c r="Q178" s="306"/>
      <c r="R178" s="980"/>
    </row>
    <row r="179" spans="1:18" ht="15" customHeight="1" thickBot="1" x14ac:dyDescent="0.45">
      <c r="B179" s="636"/>
      <c r="C179" s="90"/>
      <c r="D179" s="544" t="s">
        <v>106</v>
      </c>
      <c r="E179" s="545"/>
      <c r="F179" s="545"/>
      <c r="G179" s="421"/>
      <c r="H179" s="546">
        <f>(I179-L179)/L179</f>
        <v>0.16365047320478091</v>
      </c>
      <c r="I179" s="548">
        <f>SUM(I154:I178)</f>
        <v>179400.04</v>
      </c>
      <c r="J179" s="548">
        <f t="shared" ref="J179:K179" ca="1" si="48">SUM(J154:J178)</f>
        <v>-153513.68</v>
      </c>
      <c r="K179" s="548">
        <f t="shared" ca="1" si="48"/>
        <v>25886.360000000008</v>
      </c>
      <c r="L179" s="597">
        <f>SUM(L154:L178)</f>
        <v>154170.04</v>
      </c>
      <c r="O179" s="965"/>
      <c r="P179" s="306"/>
      <c r="Q179" s="306"/>
      <c r="R179" s="962"/>
    </row>
    <row r="180" spans="1:18" ht="10.5" customHeight="1" thickTop="1" x14ac:dyDescent="0.4">
      <c r="B180" s="48"/>
      <c r="C180" s="135"/>
      <c r="D180" s="66"/>
      <c r="E180" s="67"/>
      <c r="F180" s="67"/>
      <c r="G180" s="18"/>
      <c r="H180" s="95"/>
      <c r="I180" s="81"/>
      <c r="J180" s="81"/>
      <c r="K180" s="81"/>
      <c r="L180" s="92"/>
      <c r="O180" s="969"/>
      <c r="P180" s="306"/>
      <c r="Q180" s="306"/>
      <c r="R180" s="962"/>
    </row>
    <row r="181" spans="1:18" ht="19.5" customHeight="1" x14ac:dyDescent="0.5">
      <c r="A181" s="950" t="s">
        <v>383</v>
      </c>
      <c r="B181" s="950"/>
      <c r="C181" s="950"/>
      <c r="D181" s="950"/>
      <c r="E181" s="950"/>
      <c r="F181" s="950"/>
      <c r="G181" s="950"/>
      <c r="H181" s="950"/>
      <c r="I181" s="950"/>
      <c r="J181" s="950"/>
      <c r="K181" s="950"/>
      <c r="L181" s="950"/>
      <c r="O181" s="969"/>
      <c r="P181" s="306"/>
      <c r="Q181" s="306"/>
      <c r="R181" s="962"/>
    </row>
    <row r="182" spans="1:18" ht="15" customHeight="1" x14ac:dyDescent="0.4">
      <c r="A182" s="527"/>
      <c r="B182" s="910" t="s">
        <v>384</v>
      </c>
      <c r="C182" s="133" t="str">
        <f>LEFT($A181,4)&amp;"-1"</f>
        <v>6235-1</v>
      </c>
      <c r="D182" s="439" t="s">
        <v>385</v>
      </c>
      <c r="E182" s="911"/>
      <c r="F182" s="535"/>
      <c r="G182" s="593">
        <v>12</v>
      </c>
      <c r="H182" s="535">
        <f>(900*110%)</f>
        <v>990.00000000000011</v>
      </c>
      <c r="I182" s="529">
        <f>SUM((E182+F182+G182)*H182)</f>
        <v>11880.000000000002</v>
      </c>
      <c r="J182" s="535">
        <f ca="1">-(SUMIF(INDIRECT(LEFT($A$181,4)&amp;"!i3:i200"),"="&amp;C182&amp;" *",INDIRECT(LEFT($A$181,4)&amp;"!k3:k200")))</f>
        <v>-10800</v>
      </c>
      <c r="K182" s="654">
        <f t="shared" ref="K182:K183" ca="1" si="49">SUM(I182:J182)</f>
        <v>1080.0000000000018</v>
      </c>
      <c r="L182" s="529">
        <v>10200</v>
      </c>
      <c r="O182" s="965"/>
      <c r="P182" s="306"/>
      <c r="Q182" s="306"/>
      <c r="R182" s="962"/>
    </row>
    <row r="183" spans="1:18" ht="15" customHeight="1" x14ac:dyDescent="0.4">
      <c r="A183" s="555"/>
      <c r="B183" s="912"/>
      <c r="C183" s="112" t="str">
        <f t="shared" ref="C183:C184" si="50">LEFT($C182,4)&amp;"-"&amp;VALUE(MID($C182,FIND("-",$C182)+1,256))+1</f>
        <v>6235-2</v>
      </c>
      <c r="D183" s="715" t="s">
        <v>386</v>
      </c>
      <c r="E183" s="603"/>
      <c r="F183" s="615"/>
      <c r="G183" s="715">
        <v>12</v>
      </c>
      <c r="H183" s="531">
        <v>200</v>
      </c>
      <c r="I183" s="541">
        <f>SUM((E183+F183+G183)*H183)</f>
        <v>2400</v>
      </c>
      <c r="J183" s="541">
        <f ca="1">-(SUMIF(INDIRECT(LEFT($A$181,4)&amp;"!i3:i200"),"="&amp;C183&amp;" *",INDIRECT(LEFT($A$181,4)&amp;"!k3:k200")))</f>
        <v>-2400</v>
      </c>
      <c r="K183" s="541">
        <f t="shared" ca="1" si="49"/>
        <v>0</v>
      </c>
      <c r="L183" s="604">
        <v>1800</v>
      </c>
      <c r="O183" s="965"/>
      <c r="P183" s="306"/>
      <c r="Q183" s="306"/>
      <c r="R183" s="962"/>
    </row>
    <row r="184" spans="1:18" ht="15" customHeight="1" x14ac:dyDescent="0.4">
      <c r="A184" s="527"/>
      <c r="B184" s="113" t="s">
        <v>387</v>
      </c>
      <c r="C184" s="64" t="str">
        <f t="shared" si="50"/>
        <v>6235-3</v>
      </c>
      <c r="D184" s="450" t="s">
        <v>844</v>
      </c>
      <c r="E184" s="593"/>
      <c r="F184" s="576"/>
      <c r="G184" s="450"/>
      <c r="H184" s="528">
        <v>500</v>
      </c>
      <c r="I184" s="529">
        <f>SUM((E184+F184+G184)*H184)</f>
        <v>0</v>
      </c>
      <c r="J184" s="535">
        <f ca="1">-(SUMIF(INDIRECT(LEFT($A$181,4)&amp;"!i3:i200"),"="&amp;C184&amp;" *",INDIRECT(LEFT($A$181,4)&amp;"!k3:k200")))</f>
        <v>0</v>
      </c>
      <c r="K184" s="654">
        <f t="shared" ref="K184" ca="1" si="51">SUM(I184:J184)</f>
        <v>0</v>
      </c>
      <c r="L184" s="419">
        <v>0</v>
      </c>
      <c r="O184" s="965"/>
      <c r="P184" s="306"/>
      <c r="Q184" s="306"/>
      <c r="R184" s="962"/>
    </row>
    <row r="185" spans="1:18" ht="15" customHeight="1" thickBot="1" x14ac:dyDescent="0.45">
      <c r="B185" s="113"/>
      <c r="C185" s="135"/>
      <c r="D185" s="544" t="s">
        <v>106</v>
      </c>
      <c r="E185" s="593"/>
      <c r="F185" s="576"/>
      <c r="G185" s="421"/>
      <c r="H185" s="546">
        <f>(I185-L185)/L185</f>
        <v>0.19000000000000014</v>
      </c>
      <c r="I185" s="548">
        <f>SUM(I182:I184)</f>
        <v>14280.000000000002</v>
      </c>
      <c r="J185" s="548">
        <f t="shared" ref="J185:K185" ca="1" si="52">SUM(J182:J184)</f>
        <v>-13200</v>
      </c>
      <c r="K185" s="548">
        <f t="shared" ca="1" si="52"/>
        <v>1080.0000000000018</v>
      </c>
      <c r="L185" s="548">
        <f>SUM(L182:L184)</f>
        <v>12000</v>
      </c>
      <c r="O185" s="965"/>
      <c r="P185" s="306"/>
      <c r="Q185" s="306"/>
      <c r="R185" s="962"/>
    </row>
    <row r="186" spans="1:18" ht="10.5" customHeight="1" thickTop="1" x14ac:dyDescent="0.4">
      <c r="B186" s="113"/>
      <c r="C186" s="135"/>
      <c r="D186" s="544"/>
      <c r="E186" s="593"/>
      <c r="F186" s="576"/>
      <c r="G186" s="448"/>
      <c r="H186" s="528"/>
      <c r="I186" s="568"/>
      <c r="J186" s="568"/>
      <c r="K186" s="568"/>
      <c r="L186" s="568"/>
      <c r="O186" s="969"/>
      <c r="P186" s="306"/>
      <c r="Q186" s="306"/>
      <c r="R186" s="962"/>
    </row>
    <row r="187" spans="1:18" ht="19.5" customHeight="1" x14ac:dyDescent="0.5">
      <c r="A187" s="950" t="s">
        <v>388</v>
      </c>
      <c r="B187" s="950"/>
      <c r="C187" s="950"/>
      <c r="D187" s="950"/>
      <c r="E187" s="950"/>
      <c r="F187" s="950"/>
      <c r="G187" s="950"/>
      <c r="H187" s="950"/>
      <c r="I187" s="950"/>
      <c r="J187" s="950"/>
      <c r="K187" s="950"/>
      <c r="L187" s="950"/>
      <c r="O187" s="969"/>
      <c r="P187" s="306"/>
      <c r="Q187" s="306"/>
      <c r="R187" s="962"/>
    </row>
    <row r="188" spans="1:18" ht="26.25" customHeight="1" x14ac:dyDescent="0.4">
      <c r="B188" s="655"/>
      <c r="C188" s="135" t="str">
        <f>LEFT($A187,4)&amp;"-1"</f>
        <v>6236-1</v>
      </c>
      <c r="D188" s="657" t="s">
        <v>389</v>
      </c>
      <c r="E188" s="657"/>
      <c r="F188" s="657"/>
      <c r="G188" s="658">
        <v>6</v>
      </c>
      <c r="H188" s="654">
        <v>1000</v>
      </c>
      <c r="I188" s="529">
        <f>SUM(E188+F188+G188)*H188</f>
        <v>6000</v>
      </c>
      <c r="J188" s="529">
        <f ca="1">-(SUMIF(INDIRECT(LEFT($A$187,4)&amp;"!i3:i200"),"="&amp;C188&amp;" *",INDIRECT(LEFT($A$187,4)&amp;"!k3:k200")))</f>
        <v>-5738.0699999999988</v>
      </c>
      <c r="K188" s="529">
        <f ca="1">SUM(I188:J188)</f>
        <v>261.9300000000012</v>
      </c>
      <c r="L188" s="529">
        <v>6000</v>
      </c>
      <c r="O188" s="965"/>
      <c r="P188" s="306"/>
      <c r="Q188" s="306"/>
      <c r="R188" s="962"/>
    </row>
    <row r="189" spans="1:18" ht="15" customHeight="1" thickBot="1" x14ac:dyDescent="0.45">
      <c r="B189" s="656"/>
      <c r="C189" s="90"/>
      <c r="D189" s="657"/>
      <c r="E189" s="657"/>
      <c r="F189" s="657"/>
      <c r="G189" s="421"/>
      <c r="H189" s="546">
        <f>(I189-L189)/L189</f>
        <v>0</v>
      </c>
      <c r="I189" s="548">
        <f>SUM(I188)</f>
        <v>6000</v>
      </c>
      <c r="J189" s="548">
        <f t="shared" ref="J189:K189" ca="1" si="53">SUM(J188)</f>
        <v>-5738.0699999999988</v>
      </c>
      <c r="K189" s="548">
        <f t="shared" ca="1" si="53"/>
        <v>261.9300000000012</v>
      </c>
      <c r="L189" s="659">
        <f>SUM(L188)</f>
        <v>6000</v>
      </c>
      <c r="O189" s="965"/>
      <c r="P189" s="306"/>
      <c r="Q189" s="306"/>
      <c r="R189" s="962"/>
    </row>
    <row r="190" spans="1:18" ht="9.75" customHeight="1" thickTop="1" x14ac:dyDescent="0.4">
      <c r="B190" s="636"/>
      <c r="C190" s="133"/>
      <c r="D190" s="581"/>
      <c r="E190" s="593"/>
      <c r="F190" s="576"/>
      <c r="G190" s="593"/>
      <c r="H190" s="535"/>
      <c r="I190" s="529"/>
      <c r="J190" s="529"/>
      <c r="K190" s="529"/>
      <c r="L190" s="529"/>
      <c r="O190" s="965"/>
      <c r="P190" s="306"/>
      <c r="Q190" s="306"/>
      <c r="R190" s="962"/>
    </row>
    <row r="191" spans="1:18" ht="19.5" customHeight="1" x14ac:dyDescent="0.5">
      <c r="A191" s="950" t="s">
        <v>390</v>
      </c>
      <c r="B191" s="950"/>
      <c r="C191" s="950"/>
      <c r="D191" s="950"/>
      <c r="E191" s="950"/>
      <c r="F191" s="950"/>
      <c r="G191" s="950"/>
      <c r="H191" s="950"/>
      <c r="I191" s="950"/>
      <c r="J191" s="950"/>
      <c r="K191" s="950"/>
      <c r="L191" s="950"/>
      <c r="O191" s="965"/>
      <c r="P191" s="306"/>
      <c r="Q191" s="306"/>
      <c r="R191" s="962"/>
    </row>
    <row r="192" spans="1:18" ht="15" customHeight="1" x14ac:dyDescent="0.4">
      <c r="A192" s="527"/>
      <c r="B192" s="622" t="s">
        <v>222</v>
      </c>
      <c r="C192" s="113" t="str">
        <f>LEFT($A191,4)&amp;"-1"</f>
        <v>6240-1</v>
      </c>
      <c r="D192" s="534" t="s">
        <v>391</v>
      </c>
      <c r="E192" s="593">
        <v>1</v>
      </c>
      <c r="F192" s="576"/>
      <c r="G192" s="593"/>
      <c r="H192" s="528">
        <v>220</v>
      </c>
      <c r="I192" s="529">
        <f t="shared" ref="I192:I209" si="54">(E192+F192+G192)*H192</f>
        <v>220</v>
      </c>
      <c r="J192" s="529">
        <f t="shared" ref="J192:J200" ca="1" si="55">-(SUMIF(INDIRECT(LEFT($A$191,4)&amp;"!i3:i200"),"="&amp;C192&amp;" *",INDIRECT(LEFT($A$191,4)&amp;"!k3:k200")))</f>
        <v>-398</v>
      </c>
      <c r="K192" s="529">
        <f ca="1">SUM(I192:J192)</f>
        <v>-178</v>
      </c>
      <c r="L192" s="419">
        <v>160</v>
      </c>
      <c r="N192" s="964"/>
      <c r="O192" s="965"/>
      <c r="P192" s="306"/>
      <c r="Q192" s="306"/>
      <c r="R192" s="962"/>
    </row>
    <row r="193" spans="1:19" ht="15" customHeight="1" x14ac:dyDescent="0.4">
      <c r="A193" s="555"/>
      <c r="B193" s="623"/>
      <c r="C193" s="134" t="str">
        <f t="shared" ref="C193:C229" si="56">LEFT($C192,4)&amp;"-"&amp;VALUE(MID($C192,FIND("-",$C192)+1,256))+1</f>
        <v>6240-2</v>
      </c>
      <c r="D193" s="642" t="s">
        <v>392</v>
      </c>
      <c r="E193" s="652">
        <v>1</v>
      </c>
      <c r="F193" s="643"/>
      <c r="G193" s="652"/>
      <c r="H193" s="556">
        <v>100</v>
      </c>
      <c r="I193" s="533">
        <f t="shared" si="54"/>
        <v>100</v>
      </c>
      <c r="J193" s="532">
        <f t="shared" ca="1" si="55"/>
        <v>-79.95</v>
      </c>
      <c r="K193" s="532">
        <f ca="1">SUM(I193:J193)</f>
        <v>20.049999999999997</v>
      </c>
      <c r="L193" s="420">
        <v>100</v>
      </c>
      <c r="N193" s="964"/>
      <c r="O193" s="965"/>
      <c r="P193" s="306"/>
      <c r="Q193" s="306"/>
      <c r="R193" s="962"/>
    </row>
    <row r="194" spans="1:19" ht="15" customHeight="1" x14ac:dyDescent="0.4">
      <c r="A194" s="527"/>
      <c r="B194" s="626"/>
      <c r="C194" s="135" t="str">
        <f t="shared" si="56"/>
        <v>6240-3</v>
      </c>
      <c r="D194" s="562" t="s">
        <v>393</v>
      </c>
      <c r="E194" s="617">
        <v>1</v>
      </c>
      <c r="F194" s="591"/>
      <c r="G194" s="617"/>
      <c r="H194" s="563">
        <v>2000</v>
      </c>
      <c r="I194" s="540">
        <f t="shared" si="54"/>
        <v>2000</v>
      </c>
      <c r="J194" s="529">
        <f t="shared" ca="1" si="55"/>
        <v>-2762.5</v>
      </c>
      <c r="K194" s="529">
        <f ca="1">SUM(I194:J194)</f>
        <v>-762.5</v>
      </c>
      <c r="L194" s="586">
        <v>2000</v>
      </c>
      <c r="N194" s="964"/>
      <c r="O194" s="965"/>
      <c r="P194" s="306"/>
      <c r="Q194" s="306"/>
    </row>
    <row r="195" spans="1:19" ht="15" customHeight="1" x14ac:dyDescent="0.4">
      <c r="A195" s="555"/>
      <c r="B195" s="635"/>
      <c r="C195" s="134" t="str">
        <f t="shared" si="56"/>
        <v>6240-4</v>
      </c>
      <c r="D195" s="664" t="s">
        <v>394</v>
      </c>
      <c r="E195" s="665"/>
      <c r="F195" s="666"/>
      <c r="G195" s="665">
        <v>1</v>
      </c>
      <c r="H195" s="667">
        <v>200</v>
      </c>
      <c r="I195" s="571">
        <f t="shared" si="54"/>
        <v>200</v>
      </c>
      <c r="J195" s="571">
        <f t="shared" ca="1" si="55"/>
        <v>-185.67000000000002</v>
      </c>
      <c r="K195" s="571">
        <f t="shared" ref="K195:K229" ca="1" si="57">SUM(I195:J195)</f>
        <v>14.329999999999984</v>
      </c>
      <c r="L195" s="595">
        <v>200</v>
      </c>
      <c r="N195" s="964"/>
      <c r="O195" s="965"/>
      <c r="P195" s="306"/>
      <c r="Q195" s="306"/>
      <c r="R195" s="962"/>
    </row>
    <row r="196" spans="1:19" ht="15" customHeight="1" x14ac:dyDescent="0.4">
      <c r="A196" s="527"/>
      <c r="B196" s="626"/>
      <c r="C196" s="135" t="str">
        <f t="shared" si="56"/>
        <v>6240-5</v>
      </c>
      <c r="D196" s="573" t="s">
        <v>395</v>
      </c>
      <c r="E196" s="593"/>
      <c r="F196" s="585"/>
      <c r="G196" s="596">
        <v>1</v>
      </c>
      <c r="H196" s="563">
        <v>100</v>
      </c>
      <c r="I196" s="540">
        <f t="shared" si="54"/>
        <v>100</v>
      </c>
      <c r="J196" s="529">
        <f t="shared" ca="1" si="55"/>
        <v>-170</v>
      </c>
      <c r="K196" s="529">
        <f t="shared" ca="1" si="57"/>
        <v>-70</v>
      </c>
      <c r="L196" s="586">
        <v>100</v>
      </c>
      <c r="N196" s="964"/>
      <c r="O196" s="965"/>
      <c r="P196" s="306"/>
      <c r="Q196" s="306"/>
      <c r="R196" s="962"/>
    </row>
    <row r="197" spans="1:19" ht="15" customHeight="1" x14ac:dyDescent="0.4">
      <c r="A197" s="555"/>
      <c r="B197" s="662"/>
      <c r="C197" s="131" t="str">
        <f t="shared" si="56"/>
        <v>6240-6</v>
      </c>
      <c r="D197" s="564" t="s">
        <v>396</v>
      </c>
      <c r="E197" s="599">
        <v>1</v>
      </c>
      <c r="F197" s="587"/>
      <c r="G197" s="599"/>
      <c r="H197" s="537">
        <v>415</v>
      </c>
      <c r="I197" s="541">
        <f t="shared" si="54"/>
        <v>415</v>
      </c>
      <c r="J197" s="532">
        <f t="shared" ca="1" si="55"/>
        <v>0</v>
      </c>
      <c r="K197" s="532">
        <f t="shared" ca="1" si="57"/>
        <v>415</v>
      </c>
      <c r="L197" s="588">
        <v>415</v>
      </c>
      <c r="N197" s="964"/>
      <c r="O197" s="965"/>
      <c r="P197" s="306"/>
      <c r="Q197" s="306"/>
      <c r="R197" s="980"/>
      <c r="S197" s="973"/>
    </row>
    <row r="198" spans="1:19" ht="15" customHeight="1" x14ac:dyDescent="0.4">
      <c r="A198" s="527"/>
      <c r="B198" s="626"/>
      <c r="C198" s="135" t="str">
        <f t="shared" si="56"/>
        <v>6240-7</v>
      </c>
      <c r="D198" s="932" t="s">
        <v>622</v>
      </c>
      <c r="E198" s="585">
        <v>2</v>
      </c>
      <c r="F198" s="585"/>
      <c r="G198" s="607"/>
      <c r="H198" s="563">
        <v>250</v>
      </c>
      <c r="I198" s="540">
        <f t="shared" si="54"/>
        <v>500</v>
      </c>
      <c r="J198" s="529">
        <f t="shared" ca="1" si="55"/>
        <v>0</v>
      </c>
      <c r="K198" s="529">
        <f t="shared" ca="1" si="57"/>
        <v>500</v>
      </c>
      <c r="L198" s="586">
        <v>250</v>
      </c>
      <c r="N198" s="964"/>
      <c r="O198" s="965"/>
      <c r="P198" s="306"/>
      <c r="Q198" s="306"/>
      <c r="R198" s="962"/>
      <c r="S198" s="987"/>
    </row>
    <row r="199" spans="1:19" ht="15" customHeight="1" x14ac:dyDescent="0.4">
      <c r="A199" s="555"/>
      <c r="B199" s="635"/>
      <c r="C199" s="134" t="str">
        <f t="shared" si="56"/>
        <v>6240-8</v>
      </c>
      <c r="D199" s="664" t="s">
        <v>397</v>
      </c>
      <c r="E199" s="666">
        <v>1</v>
      </c>
      <c r="F199" s="666"/>
      <c r="G199" s="668"/>
      <c r="H199" s="667">
        <v>750</v>
      </c>
      <c r="I199" s="541">
        <f t="shared" si="54"/>
        <v>750</v>
      </c>
      <c r="J199" s="571">
        <f t="shared" ca="1" si="55"/>
        <v>0</v>
      </c>
      <c r="K199" s="532">
        <f t="shared" ca="1" si="57"/>
        <v>750</v>
      </c>
      <c r="L199" s="595">
        <v>750</v>
      </c>
      <c r="N199" s="964"/>
      <c r="O199" s="965"/>
      <c r="P199" s="306"/>
      <c r="Q199" s="306"/>
      <c r="R199" s="962"/>
      <c r="S199" s="973"/>
    </row>
    <row r="200" spans="1:19" ht="15" customHeight="1" x14ac:dyDescent="0.4">
      <c r="A200" s="527"/>
      <c r="B200" s="622"/>
      <c r="C200" s="135" t="str">
        <f t="shared" si="56"/>
        <v>6240-9</v>
      </c>
      <c r="D200" s="572" t="s">
        <v>398</v>
      </c>
      <c r="E200" s="589">
        <v>1</v>
      </c>
      <c r="F200" s="589"/>
      <c r="G200" s="672"/>
      <c r="H200" s="528">
        <v>10000</v>
      </c>
      <c r="I200" s="540">
        <f t="shared" si="54"/>
        <v>10000</v>
      </c>
      <c r="J200" s="529">
        <f t="shared" ca="1" si="55"/>
        <v>-5987.5</v>
      </c>
      <c r="K200" s="529">
        <f t="shared" ca="1" si="57"/>
        <v>4012.5</v>
      </c>
      <c r="L200" s="419"/>
      <c r="N200" s="964"/>
      <c r="O200" s="965"/>
      <c r="P200" s="306"/>
      <c r="Q200" s="306"/>
      <c r="R200" s="962"/>
      <c r="S200" s="971"/>
    </row>
    <row r="201" spans="1:19" ht="15" customHeight="1" x14ac:dyDescent="0.4">
      <c r="A201" s="555"/>
      <c r="B201" s="663"/>
      <c r="C201" s="131" t="str">
        <f t="shared" si="56"/>
        <v>6240-10</v>
      </c>
      <c r="D201" s="561" t="s">
        <v>399</v>
      </c>
      <c r="E201" s="614">
        <v>12</v>
      </c>
      <c r="F201" s="609"/>
      <c r="G201" s="614"/>
      <c r="H201" s="543">
        <v>3400</v>
      </c>
      <c r="I201" s="541">
        <f t="shared" si="54"/>
        <v>40800</v>
      </c>
      <c r="J201" s="532">
        <f ca="1">-(SUMIF(INDIRECT(LEFT($A$191,4)&amp;"!i3:i200"),"="&amp;C201&amp;" *",INDIRECT(LEFT($A$191,4)&amp;"!k3:k200")))</f>
        <v>-40816.47</v>
      </c>
      <c r="K201" s="532">
        <f t="shared" ca="1" si="57"/>
        <v>-16.470000000001164</v>
      </c>
      <c r="L201" s="604">
        <v>40800</v>
      </c>
      <c r="N201" s="964"/>
      <c r="O201" s="965"/>
      <c r="P201" s="306"/>
      <c r="Q201" s="306"/>
      <c r="R201" s="980"/>
    </row>
    <row r="202" spans="1:19" ht="15" customHeight="1" x14ac:dyDescent="0.4">
      <c r="A202" s="527"/>
      <c r="B202" s="661"/>
      <c r="C202" s="135" t="str">
        <f t="shared" si="56"/>
        <v>6240-11</v>
      </c>
      <c r="D202" s="565" t="s">
        <v>400</v>
      </c>
      <c r="E202" s="617">
        <v>1</v>
      </c>
      <c r="F202" s="591"/>
      <c r="G202" s="617"/>
      <c r="H202" s="563">
        <v>2419.1999999999998</v>
      </c>
      <c r="I202" s="540">
        <f t="shared" si="54"/>
        <v>2419.1999999999998</v>
      </c>
      <c r="J202" s="529">
        <f ca="1">-(SUMIF(INDIRECT(LEFT($A$191,4)&amp;"!i3:i200"),"="&amp;C202&amp;" *",INDIRECT(LEFT($A$191,4)&amp;"!k3:k200")))</f>
        <v>-2759.5</v>
      </c>
      <c r="K202" s="529">
        <f t="shared" ca="1" si="57"/>
        <v>-340.30000000000018</v>
      </c>
      <c r="L202" s="586"/>
      <c r="N202" s="964"/>
      <c r="O202" s="965"/>
      <c r="P202" s="306"/>
      <c r="Q202" s="306"/>
      <c r="R202" s="980"/>
      <c r="S202" s="973"/>
    </row>
    <row r="203" spans="1:19" ht="15" customHeight="1" x14ac:dyDescent="0.4">
      <c r="A203" s="555"/>
      <c r="B203" s="638" t="s">
        <v>222</v>
      </c>
      <c r="C203" s="131" t="str">
        <f t="shared" si="56"/>
        <v>6240-12</v>
      </c>
      <c r="D203" s="569" t="s">
        <v>401</v>
      </c>
      <c r="E203" s="594"/>
      <c r="F203" s="669"/>
      <c r="G203" s="670">
        <v>1</v>
      </c>
      <c r="H203" s="667">
        <v>3000</v>
      </c>
      <c r="I203" s="571">
        <f t="shared" si="54"/>
        <v>3000</v>
      </c>
      <c r="J203" s="571">
        <f ca="1">-(SUMIF(INDIRECT(LEFT($A$191,4)&amp;"!i3:i200"),"="&amp;C203&amp;" *",INDIRECT(LEFT($A$191,4)&amp;"!k3:k200")))</f>
        <v>-819</v>
      </c>
      <c r="K203" s="571">
        <f t="shared" ca="1" si="57"/>
        <v>2181</v>
      </c>
      <c r="L203" s="595">
        <v>2500</v>
      </c>
      <c r="N203" s="964"/>
      <c r="O203" s="965"/>
      <c r="P203" s="306"/>
      <c r="Q203" s="306"/>
      <c r="R203" s="962"/>
    </row>
    <row r="204" spans="1:19" ht="15" customHeight="1" x14ac:dyDescent="0.4">
      <c r="A204" s="527"/>
      <c r="B204" s="626"/>
      <c r="C204" s="135" t="str">
        <f t="shared" si="56"/>
        <v>6240-13</v>
      </c>
      <c r="D204" s="538" t="s">
        <v>402</v>
      </c>
      <c r="E204" s="585">
        <v>1</v>
      </c>
      <c r="F204" s="585"/>
      <c r="G204" s="596"/>
      <c r="H204" s="563">
        <v>3100</v>
      </c>
      <c r="I204" s="529">
        <f t="shared" si="54"/>
        <v>3100</v>
      </c>
      <c r="J204" s="529">
        <f ca="1">-(SUMIF(INDIRECT(LEFT($A$191,4)&amp;"!i3:i200"),"="&amp;C204&amp;" *",INDIRECT(LEFT($A$191,4)&amp;"!k3:k200")))</f>
        <v>-2875</v>
      </c>
      <c r="K204" s="529">
        <f t="shared" ca="1" si="57"/>
        <v>225</v>
      </c>
      <c r="L204" s="586">
        <v>1595</v>
      </c>
      <c r="N204" s="964"/>
      <c r="O204" s="965"/>
      <c r="P204" s="306"/>
      <c r="Q204" s="418"/>
      <c r="R204" s="962"/>
    </row>
    <row r="205" spans="1:19" ht="15" customHeight="1" x14ac:dyDescent="0.4">
      <c r="A205" s="555"/>
      <c r="B205" s="629" t="s">
        <v>222</v>
      </c>
      <c r="C205" s="131" t="str">
        <f t="shared" si="56"/>
        <v>6240-14</v>
      </c>
      <c r="D205" s="530" t="s">
        <v>403</v>
      </c>
      <c r="E205" s="615">
        <v>1</v>
      </c>
      <c r="F205" s="615"/>
      <c r="G205" s="616"/>
      <c r="H205" s="543">
        <v>5250</v>
      </c>
      <c r="I205" s="541">
        <f t="shared" si="54"/>
        <v>5250</v>
      </c>
      <c r="J205" s="532">
        <f t="shared" ref="J205:J224" ca="1" si="58">-(SUMIF(INDIRECT(LEFT($A$191,4)&amp;"!i3:i200"),"="&amp;C205&amp;" *",INDIRECT(LEFT($A$191,4)&amp;"!k3:k200")))</f>
        <v>-4900</v>
      </c>
      <c r="K205" s="532">
        <f t="shared" ca="1" si="57"/>
        <v>350</v>
      </c>
      <c r="L205" s="604">
        <v>5000</v>
      </c>
      <c r="N205" s="964"/>
      <c r="O205" s="965"/>
      <c r="P205" s="306"/>
      <c r="Q205" s="306"/>
      <c r="R205" s="962"/>
    </row>
    <row r="206" spans="1:19" ht="15" customHeight="1" x14ac:dyDescent="0.4">
      <c r="A206" s="527"/>
      <c r="B206" s="628"/>
      <c r="C206" s="135" t="str">
        <f t="shared" si="56"/>
        <v>6240-15</v>
      </c>
      <c r="D206" s="538" t="s">
        <v>404</v>
      </c>
      <c r="E206" s="585">
        <v>1</v>
      </c>
      <c r="F206" s="585"/>
      <c r="G206" s="607"/>
      <c r="H206" s="563">
        <v>200</v>
      </c>
      <c r="I206" s="540">
        <f t="shared" si="54"/>
        <v>200</v>
      </c>
      <c r="J206" s="529">
        <f t="shared" ca="1" si="58"/>
        <v>0</v>
      </c>
      <c r="K206" s="529">
        <f t="shared" ca="1" si="57"/>
        <v>200</v>
      </c>
      <c r="L206" s="586">
        <v>200</v>
      </c>
      <c r="N206" s="964"/>
      <c r="O206" s="965"/>
      <c r="P206" s="306"/>
      <c r="Q206" s="306"/>
    </row>
    <row r="207" spans="1:19" ht="15" customHeight="1" x14ac:dyDescent="0.4">
      <c r="A207" s="555"/>
      <c r="B207" s="662"/>
      <c r="C207" s="131" t="str">
        <f t="shared" si="56"/>
        <v>6240-16</v>
      </c>
      <c r="D207" s="564" t="s">
        <v>405</v>
      </c>
      <c r="E207" s="599"/>
      <c r="F207" s="587">
        <v>1</v>
      </c>
      <c r="G207" s="599"/>
      <c r="H207" s="537">
        <v>100</v>
      </c>
      <c r="I207" s="541">
        <f t="shared" si="54"/>
        <v>100</v>
      </c>
      <c r="J207" s="532">
        <f t="shared" ca="1" si="58"/>
        <v>0</v>
      </c>
      <c r="K207" s="532">
        <f t="shared" ca="1" si="57"/>
        <v>100</v>
      </c>
      <c r="L207" s="588">
        <v>100</v>
      </c>
      <c r="N207" s="966"/>
      <c r="O207" s="965"/>
      <c r="P207" s="306"/>
      <c r="Q207" s="306"/>
      <c r="R207" s="962"/>
    </row>
    <row r="208" spans="1:19" ht="15" customHeight="1" x14ac:dyDescent="0.4">
      <c r="A208" s="527"/>
      <c r="B208" s="626"/>
      <c r="C208" s="135" t="str">
        <f t="shared" si="56"/>
        <v>6240-17</v>
      </c>
      <c r="D208" s="562" t="s">
        <v>406</v>
      </c>
      <c r="E208" s="591"/>
      <c r="F208" s="591"/>
      <c r="G208" s="591">
        <v>4</v>
      </c>
      <c r="H208" s="563">
        <v>400</v>
      </c>
      <c r="I208" s="540">
        <f t="shared" si="54"/>
        <v>1600</v>
      </c>
      <c r="J208" s="529">
        <f t="shared" ca="1" si="58"/>
        <v>-325</v>
      </c>
      <c r="K208" s="529">
        <f t="shared" ca="1" si="57"/>
        <v>1275</v>
      </c>
      <c r="L208" s="586">
        <v>1600</v>
      </c>
      <c r="N208" s="964"/>
      <c r="O208" s="965"/>
      <c r="P208" s="306"/>
      <c r="Q208" s="306"/>
      <c r="R208" s="962"/>
    </row>
    <row r="209" spans="1:19" ht="15" customHeight="1" x14ac:dyDescent="0.4">
      <c r="A209" s="555"/>
      <c r="B209" s="627" t="s">
        <v>407</v>
      </c>
      <c r="C209" s="131" t="str">
        <f t="shared" si="56"/>
        <v>6240-18</v>
      </c>
      <c r="D209" s="559" t="s">
        <v>408</v>
      </c>
      <c r="E209" s="592">
        <v>1</v>
      </c>
      <c r="F209" s="592"/>
      <c r="G209" s="650"/>
      <c r="H209" s="537">
        <v>82</v>
      </c>
      <c r="I209" s="532">
        <f t="shared" si="54"/>
        <v>82</v>
      </c>
      <c r="J209" s="532">
        <f t="shared" ca="1" si="58"/>
        <v>0</v>
      </c>
      <c r="K209" s="532">
        <f t="shared" ca="1" si="57"/>
        <v>82</v>
      </c>
      <c r="L209" s="588">
        <v>0</v>
      </c>
      <c r="N209" s="964"/>
      <c r="O209" s="965"/>
      <c r="P209" s="306"/>
      <c r="Q209" s="306"/>
      <c r="R209" s="962"/>
    </row>
    <row r="210" spans="1:19" ht="15" customHeight="1" x14ac:dyDescent="0.4">
      <c r="A210" s="527"/>
      <c r="B210" s="626"/>
      <c r="C210" s="135" t="str">
        <f t="shared" si="56"/>
        <v>6240-19</v>
      </c>
      <c r="D210" s="538" t="s">
        <v>409</v>
      </c>
      <c r="E210" s="585"/>
      <c r="F210" s="585"/>
      <c r="G210" s="585">
        <v>1</v>
      </c>
      <c r="H210" s="563">
        <v>700</v>
      </c>
      <c r="I210" s="540">
        <f t="shared" ref="I210" si="59">(E210+F210+G210)*H210</f>
        <v>700</v>
      </c>
      <c r="J210" s="529">
        <f t="shared" ca="1" si="58"/>
        <v>0</v>
      </c>
      <c r="K210" s="529">
        <f t="shared" ca="1" si="57"/>
        <v>700</v>
      </c>
      <c r="L210" s="586">
        <v>700</v>
      </c>
      <c r="N210" s="964"/>
      <c r="O210" s="965"/>
      <c r="P210" s="306"/>
      <c r="Q210" s="306"/>
      <c r="R210" s="962"/>
    </row>
    <row r="211" spans="1:19" ht="15" customHeight="1" x14ac:dyDescent="0.4">
      <c r="A211" s="555"/>
      <c r="B211" s="781"/>
      <c r="C211" s="131" t="str">
        <f t="shared" si="56"/>
        <v>6240-20</v>
      </c>
      <c r="D211" s="559" t="s">
        <v>410</v>
      </c>
      <c r="E211" s="592"/>
      <c r="F211" s="592">
        <v>1</v>
      </c>
      <c r="G211" s="782"/>
      <c r="H211" s="537">
        <v>250</v>
      </c>
      <c r="I211" s="532">
        <f>(E211+F211+G211)*H211</f>
        <v>250</v>
      </c>
      <c r="J211" s="532">
        <f t="shared" ca="1" si="58"/>
        <v>0</v>
      </c>
      <c r="K211" s="532">
        <f t="shared" ca="1" si="57"/>
        <v>250</v>
      </c>
      <c r="L211" s="588">
        <v>250</v>
      </c>
      <c r="N211" s="966"/>
      <c r="O211" s="965"/>
      <c r="P211" s="306"/>
      <c r="Q211" s="306"/>
      <c r="R211" s="962"/>
    </row>
    <row r="212" spans="1:19" ht="29.15" x14ac:dyDescent="0.4">
      <c r="A212" s="527"/>
      <c r="B212" s="661"/>
      <c r="C212" s="135" t="str">
        <f t="shared" si="56"/>
        <v>6240-21</v>
      </c>
      <c r="D212" s="562" t="s">
        <v>411</v>
      </c>
      <c r="E212" s="617">
        <v>1</v>
      </c>
      <c r="F212" s="591"/>
      <c r="G212" s="617"/>
      <c r="H212" s="563">
        <v>13000</v>
      </c>
      <c r="I212" s="529">
        <f>(E212+F212+G212)*H212</f>
        <v>13000</v>
      </c>
      <c r="J212" s="529">
        <f t="shared" ca="1" si="58"/>
        <v>-8779.85</v>
      </c>
      <c r="K212" s="529">
        <f t="shared" ca="1" si="57"/>
        <v>4220.1499999999996</v>
      </c>
      <c r="L212" s="586">
        <v>8250</v>
      </c>
      <c r="N212" s="964"/>
      <c r="O212" s="965"/>
      <c r="P212" s="306"/>
      <c r="Q212" s="306"/>
      <c r="R212" s="962"/>
      <c r="S212" s="988"/>
    </row>
    <row r="213" spans="1:19" ht="15" customHeight="1" x14ac:dyDescent="0.4">
      <c r="A213" s="555"/>
      <c r="B213" s="633"/>
      <c r="C213" s="131" t="str">
        <f t="shared" si="56"/>
        <v>6240-22</v>
      </c>
      <c r="D213" s="687" t="s">
        <v>412</v>
      </c>
      <c r="E213" s="649"/>
      <c r="F213" s="592"/>
      <c r="G213" s="649">
        <v>1</v>
      </c>
      <c r="H213" s="537">
        <v>3750</v>
      </c>
      <c r="I213" s="532">
        <f>(E213+F213+G213)*H213</f>
        <v>3750</v>
      </c>
      <c r="J213" s="532">
        <f t="shared" ca="1" si="58"/>
        <v>-656.06999999999994</v>
      </c>
      <c r="K213" s="532">
        <f t="shared" ca="1" si="57"/>
        <v>3093.9300000000003</v>
      </c>
      <c r="L213" s="588">
        <v>3750</v>
      </c>
      <c r="M213" s="983"/>
      <c r="N213" s="964"/>
      <c r="O213" s="965"/>
      <c r="P213" s="306"/>
      <c r="Q213" s="306"/>
      <c r="R213" s="962"/>
    </row>
    <row r="214" spans="1:19" ht="15" customHeight="1" x14ac:dyDescent="0.4">
      <c r="A214" s="527"/>
      <c r="B214" s="661" t="s">
        <v>222</v>
      </c>
      <c r="C214" s="135" t="str">
        <f t="shared" si="56"/>
        <v>6240-23</v>
      </c>
      <c r="D214" s="573" t="s">
        <v>413</v>
      </c>
      <c r="E214" s="596">
        <v>20</v>
      </c>
      <c r="F214" s="585"/>
      <c r="G214" s="596"/>
      <c r="H214" s="563">
        <v>125</v>
      </c>
      <c r="I214" s="540">
        <f t="shared" ref="I214:I215" si="60">(E214+F214+G214)*H214</f>
        <v>2500</v>
      </c>
      <c r="J214" s="529">
        <f t="shared" ca="1" si="58"/>
        <v>-2250</v>
      </c>
      <c r="K214" s="529">
        <f t="shared" ca="1" si="57"/>
        <v>250</v>
      </c>
      <c r="L214" s="586">
        <v>1200</v>
      </c>
      <c r="N214" s="964"/>
      <c r="O214" s="965"/>
      <c r="P214" s="306"/>
      <c r="Q214" s="306"/>
      <c r="R214" s="962"/>
      <c r="S214" s="971"/>
    </row>
    <row r="215" spans="1:19" ht="15" customHeight="1" x14ac:dyDescent="0.4">
      <c r="A215" s="555"/>
      <c r="B215" s="633"/>
      <c r="C215" s="131" t="str">
        <f t="shared" si="56"/>
        <v>6240-24</v>
      </c>
      <c r="D215" s="559" t="s">
        <v>414</v>
      </c>
      <c r="E215" s="592">
        <v>1</v>
      </c>
      <c r="F215" s="592"/>
      <c r="G215" s="650"/>
      <c r="H215" s="537">
        <v>40</v>
      </c>
      <c r="I215" s="532">
        <f t="shared" si="60"/>
        <v>40</v>
      </c>
      <c r="J215" s="532">
        <f t="shared" ca="1" si="58"/>
        <v>0</v>
      </c>
      <c r="K215" s="532">
        <f t="shared" ca="1" si="57"/>
        <v>40</v>
      </c>
      <c r="L215" s="588">
        <v>40</v>
      </c>
      <c r="N215" s="964"/>
      <c r="O215" s="965"/>
      <c r="P215" s="306"/>
      <c r="Q215" s="306"/>
      <c r="R215" s="962"/>
    </row>
    <row r="216" spans="1:19" ht="15" customHeight="1" x14ac:dyDescent="0.4">
      <c r="A216" s="527"/>
      <c r="B216" s="622"/>
      <c r="C216" s="135" t="str">
        <f t="shared" si="56"/>
        <v>6240-25</v>
      </c>
      <c r="D216" s="534" t="s">
        <v>415</v>
      </c>
      <c r="E216" s="576">
        <v>1</v>
      </c>
      <c r="F216" s="576"/>
      <c r="G216" s="598"/>
      <c r="H216" s="528">
        <v>100</v>
      </c>
      <c r="I216" s="529">
        <f t="shared" ref="I216:I229" si="61">(E216+F216+G216)*H216</f>
        <v>100</v>
      </c>
      <c r="J216" s="529">
        <f t="shared" ca="1" si="58"/>
        <v>0</v>
      </c>
      <c r="K216" s="529">
        <f t="shared" ca="1" si="57"/>
        <v>100</v>
      </c>
      <c r="L216" s="419">
        <v>100</v>
      </c>
      <c r="N216" s="964"/>
      <c r="O216" s="965"/>
      <c r="P216" s="306"/>
      <c r="Q216" s="306"/>
      <c r="R216" s="962"/>
    </row>
    <row r="217" spans="1:19" ht="15" customHeight="1" x14ac:dyDescent="0.4">
      <c r="A217" s="555"/>
      <c r="B217" s="632"/>
      <c r="C217" s="131" t="str">
        <f t="shared" si="56"/>
        <v>6240-26</v>
      </c>
      <c r="D217" s="542" t="s">
        <v>416</v>
      </c>
      <c r="E217" s="609">
        <v>1</v>
      </c>
      <c r="F217" s="609"/>
      <c r="G217" s="671"/>
      <c r="H217" s="543">
        <v>85</v>
      </c>
      <c r="I217" s="541">
        <f t="shared" si="61"/>
        <v>85</v>
      </c>
      <c r="J217" s="532">
        <f t="shared" ca="1" si="58"/>
        <v>0</v>
      </c>
      <c r="K217" s="532">
        <f t="shared" ca="1" si="57"/>
        <v>85</v>
      </c>
      <c r="L217" s="604">
        <v>85</v>
      </c>
      <c r="N217" s="964"/>
      <c r="O217" s="965"/>
      <c r="P217" s="306"/>
      <c r="Q217" s="306"/>
      <c r="R217" s="962"/>
    </row>
    <row r="218" spans="1:19" ht="15" customHeight="1" x14ac:dyDescent="0.4">
      <c r="A218" s="527"/>
      <c r="B218" s="622"/>
      <c r="C218" s="135" t="str">
        <f t="shared" si="56"/>
        <v>6240-27</v>
      </c>
      <c r="D218" s="572" t="s">
        <v>417</v>
      </c>
      <c r="E218" s="589">
        <v>1</v>
      </c>
      <c r="F218" s="589"/>
      <c r="G218" s="672"/>
      <c r="H218" s="528">
        <v>650</v>
      </c>
      <c r="I218" s="540">
        <f t="shared" si="61"/>
        <v>650</v>
      </c>
      <c r="J218" s="529">
        <f t="shared" ca="1" si="58"/>
        <v>-649</v>
      </c>
      <c r="K218" s="529">
        <f t="shared" ca="1" si="57"/>
        <v>1</v>
      </c>
      <c r="L218" s="419">
        <v>650</v>
      </c>
      <c r="N218" s="964"/>
      <c r="O218" s="965"/>
      <c r="P218" s="306"/>
      <c r="Q218" s="306"/>
      <c r="R218" s="962"/>
    </row>
    <row r="219" spans="1:19" ht="15" customHeight="1" x14ac:dyDescent="0.4">
      <c r="A219" s="555"/>
      <c r="B219" s="632"/>
      <c r="C219" s="131" t="str">
        <f t="shared" si="56"/>
        <v>6240-28</v>
      </c>
      <c r="D219" s="542" t="s">
        <v>1093</v>
      </c>
      <c r="E219" s="609">
        <v>1</v>
      </c>
      <c r="F219" s="609"/>
      <c r="G219" s="671"/>
      <c r="H219" s="543">
        <v>300</v>
      </c>
      <c r="I219" s="541">
        <f t="shared" si="61"/>
        <v>300</v>
      </c>
      <c r="J219" s="532">
        <f t="shared" ca="1" si="58"/>
        <v>-495</v>
      </c>
      <c r="K219" s="532">
        <f t="shared" ca="1" si="57"/>
        <v>-195</v>
      </c>
      <c r="L219" s="604">
        <v>275</v>
      </c>
      <c r="N219" s="964"/>
      <c r="O219" s="965"/>
      <c r="P219" s="306"/>
      <c r="Q219" s="306"/>
      <c r="R219" s="962"/>
    </row>
    <row r="220" spans="1:19" ht="15" customHeight="1" x14ac:dyDescent="0.4">
      <c r="A220" s="527"/>
      <c r="B220" s="622"/>
      <c r="C220" s="135" t="str">
        <f t="shared" si="56"/>
        <v>6240-29</v>
      </c>
      <c r="D220" s="534" t="s">
        <v>418</v>
      </c>
      <c r="E220" s="576">
        <v>1</v>
      </c>
      <c r="F220" s="576"/>
      <c r="G220" s="598"/>
      <c r="H220" s="528">
        <v>275</v>
      </c>
      <c r="I220" s="540">
        <f t="shared" si="61"/>
        <v>275</v>
      </c>
      <c r="J220" s="529">
        <f t="shared" ca="1" si="58"/>
        <v>-249</v>
      </c>
      <c r="K220" s="529">
        <f t="shared" ca="1" si="57"/>
        <v>26</v>
      </c>
      <c r="L220" s="419">
        <v>275</v>
      </c>
      <c r="M220" s="989"/>
      <c r="N220" s="964"/>
      <c r="O220" s="965"/>
      <c r="P220" s="306"/>
      <c r="Q220" s="306"/>
      <c r="R220" s="962"/>
    </row>
    <row r="221" spans="1:19" ht="15" customHeight="1" x14ac:dyDescent="0.4">
      <c r="A221" s="555"/>
      <c r="B221" s="632"/>
      <c r="C221" s="131" t="str">
        <f t="shared" si="56"/>
        <v>6240-30</v>
      </c>
      <c r="D221" s="542" t="s">
        <v>419</v>
      </c>
      <c r="E221" s="609">
        <v>1</v>
      </c>
      <c r="F221" s="609"/>
      <c r="G221" s="614"/>
      <c r="H221" s="543">
        <v>300</v>
      </c>
      <c r="I221" s="541">
        <f t="shared" si="61"/>
        <v>300</v>
      </c>
      <c r="J221" s="532">
        <f t="shared" ca="1" si="58"/>
        <v>-207.9</v>
      </c>
      <c r="K221" s="532">
        <f t="shared" ca="1" si="57"/>
        <v>92.1</v>
      </c>
      <c r="L221" s="604">
        <v>300</v>
      </c>
      <c r="N221" s="964"/>
      <c r="O221" s="965"/>
      <c r="P221" s="306"/>
      <c r="Q221" s="306"/>
      <c r="R221" s="962"/>
    </row>
    <row r="222" spans="1:19" ht="15" customHeight="1" x14ac:dyDescent="0.4">
      <c r="A222" s="527"/>
      <c r="B222" s="660"/>
      <c r="C222" s="135" t="str">
        <f t="shared" si="56"/>
        <v>6240-31</v>
      </c>
      <c r="D222" s="527" t="s">
        <v>420</v>
      </c>
      <c r="E222" s="610">
        <v>1</v>
      </c>
      <c r="F222" s="589"/>
      <c r="G222" s="610"/>
      <c r="H222" s="528">
        <v>850</v>
      </c>
      <c r="I222" s="540">
        <f t="shared" si="61"/>
        <v>850</v>
      </c>
      <c r="J222" s="529">
        <f t="shared" ca="1" si="58"/>
        <v>0</v>
      </c>
      <c r="K222" s="529">
        <f t="shared" ca="1" si="57"/>
        <v>850</v>
      </c>
      <c r="L222" s="419">
        <v>850</v>
      </c>
      <c r="N222" s="964"/>
      <c r="O222" s="965"/>
      <c r="P222" s="306"/>
      <c r="Q222" s="306"/>
      <c r="R222" s="962"/>
    </row>
    <row r="223" spans="1:19" ht="15" customHeight="1" x14ac:dyDescent="0.4">
      <c r="A223" s="555"/>
      <c r="B223" s="662"/>
      <c r="C223" s="131" t="str">
        <f t="shared" si="56"/>
        <v>6240-32</v>
      </c>
      <c r="D223" s="673" t="s">
        <v>421</v>
      </c>
      <c r="E223" s="599">
        <v>1</v>
      </c>
      <c r="F223" s="587"/>
      <c r="G223" s="599"/>
      <c r="H223" s="537">
        <v>825</v>
      </c>
      <c r="I223" s="541">
        <f t="shared" si="61"/>
        <v>825</v>
      </c>
      <c r="J223" s="532">
        <f t="shared" ca="1" si="58"/>
        <v>0</v>
      </c>
      <c r="K223" s="532">
        <f t="shared" ca="1" si="57"/>
        <v>825</v>
      </c>
      <c r="L223" s="588">
        <v>825</v>
      </c>
      <c r="N223" s="964"/>
      <c r="O223" s="965"/>
      <c r="P223" s="306"/>
      <c r="Q223" s="306"/>
    </row>
    <row r="224" spans="1:19" ht="15" customHeight="1" x14ac:dyDescent="0.4">
      <c r="A224" s="527"/>
      <c r="B224" s="626"/>
      <c r="C224" s="135" t="str">
        <f t="shared" si="56"/>
        <v>6240-33</v>
      </c>
      <c r="D224" s="538" t="s">
        <v>422</v>
      </c>
      <c r="E224" s="585">
        <v>1</v>
      </c>
      <c r="F224" s="585"/>
      <c r="G224" s="596"/>
      <c r="H224" s="563">
        <v>650</v>
      </c>
      <c r="I224" s="529">
        <f>(E224+F224+G224)*H224</f>
        <v>650</v>
      </c>
      <c r="J224" s="529">
        <f t="shared" ca="1" si="58"/>
        <v>0</v>
      </c>
      <c r="K224" s="529">
        <f t="shared" ca="1" si="57"/>
        <v>650</v>
      </c>
      <c r="L224" s="586">
        <v>500</v>
      </c>
      <c r="N224" s="964"/>
      <c r="O224" s="965"/>
      <c r="P224" s="306"/>
      <c r="Q224" s="306"/>
      <c r="R224" s="962"/>
    </row>
    <row r="225" spans="1:19" ht="15" customHeight="1" x14ac:dyDescent="0.4">
      <c r="A225" s="555"/>
      <c r="B225" s="632"/>
      <c r="C225" s="131" t="str">
        <f t="shared" si="56"/>
        <v>6240-34</v>
      </c>
      <c r="D225" s="530" t="s">
        <v>423</v>
      </c>
      <c r="E225" s="615">
        <v>1</v>
      </c>
      <c r="F225" s="615"/>
      <c r="G225" s="603"/>
      <c r="H225" s="543">
        <v>275</v>
      </c>
      <c r="I225" s="541">
        <f t="shared" si="61"/>
        <v>275</v>
      </c>
      <c r="J225" s="532">
        <f ca="1">-(SUMIF(INDIRECT(LEFT($A$191,4)&amp;"!i3:i200"),"="&amp;C225&amp;" *",INDIRECT(LEFT($A$191,4)&amp;"!k3:k200")))</f>
        <v>0</v>
      </c>
      <c r="K225" s="532">
        <f t="shared" ca="1" si="57"/>
        <v>275</v>
      </c>
      <c r="L225" s="604">
        <v>225</v>
      </c>
      <c r="N225" s="964"/>
      <c r="O225" s="965"/>
      <c r="P225" s="306"/>
      <c r="Q225" s="306"/>
      <c r="R225" s="962"/>
    </row>
    <row r="226" spans="1:19" ht="15" customHeight="1" x14ac:dyDescent="0.4">
      <c r="A226" s="527"/>
      <c r="B226" s="626"/>
      <c r="C226" s="135" t="str">
        <f t="shared" si="56"/>
        <v>6240-35</v>
      </c>
      <c r="D226" s="538" t="s">
        <v>424</v>
      </c>
      <c r="E226" s="585">
        <v>1</v>
      </c>
      <c r="F226" s="585"/>
      <c r="G226" s="596"/>
      <c r="H226" s="563">
        <v>275</v>
      </c>
      <c r="I226" s="540">
        <f>(E226+F226+G226)*H226</f>
        <v>275</v>
      </c>
      <c r="J226" s="529">
        <f ca="1">-(SUMIF(INDIRECT(LEFT($A$191,4)&amp;"!i3:i200"),"="&amp;C226&amp;" *",INDIRECT(LEFT($A$191,4)&amp;"!k3:k200")))</f>
        <v>-400</v>
      </c>
      <c r="K226" s="529">
        <f t="shared" ca="1" si="57"/>
        <v>-125</v>
      </c>
      <c r="L226" s="586">
        <v>200</v>
      </c>
      <c r="N226" s="964"/>
      <c r="O226" s="965"/>
      <c r="P226" s="306"/>
      <c r="Q226" s="306"/>
      <c r="R226" s="962"/>
    </row>
    <row r="227" spans="1:19" ht="15" customHeight="1" x14ac:dyDescent="0.4">
      <c r="A227" s="555"/>
      <c r="B227" s="632"/>
      <c r="C227" s="131" t="str">
        <f t="shared" si="56"/>
        <v>6240-36</v>
      </c>
      <c r="D227" s="530" t="s">
        <v>425</v>
      </c>
      <c r="E227" s="615">
        <v>1</v>
      </c>
      <c r="F227" s="615"/>
      <c r="G227" s="603"/>
      <c r="H227" s="543">
        <v>200</v>
      </c>
      <c r="I227" s="541">
        <f t="shared" si="61"/>
        <v>200</v>
      </c>
      <c r="J227" s="532">
        <f ca="1">-(SUMIF(INDIRECT(LEFT($A$191,4)&amp;"!i3:i200"),"="&amp;C227&amp;" *",INDIRECT(LEFT($A$191,4)&amp;"!k3:k200")))</f>
        <v>-400</v>
      </c>
      <c r="K227" s="532">
        <f t="shared" ca="1" si="57"/>
        <v>-200</v>
      </c>
      <c r="L227" s="604">
        <v>150</v>
      </c>
      <c r="N227" s="964"/>
      <c r="O227" s="965"/>
      <c r="P227" s="306"/>
      <c r="Q227" s="306"/>
      <c r="R227" s="962"/>
    </row>
    <row r="228" spans="1:19" ht="15" customHeight="1" x14ac:dyDescent="0.4">
      <c r="A228" s="527"/>
      <c r="B228" s="626"/>
      <c r="C228" s="135" t="str">
        <f t="shared" si="56"/>
        <v>6240-37</v>
      </c>
      <c r="D228" s="538" t="s">
        <v>426</v>
      </c>
      <c r="E228" s="585">
        <v>1</v>
      </c>
      <c r="F228" s="585"/>
      <c r="G228" s="596"/>
      <c r="H228" s="563">
        <v>50</v>
      </c>
      <c r="I228" s="540">
        <f>(E228+F228+G228)*H228</f>
        <v>50</v>
      </c>
      <c r="J228" s="529">
        <f ca="1">-(SUMIF(INDIRECT(LEFT($A$191,4)&amp;"!i3:i200"),"="&amp;C228&amp;" *",INDIRECT(LEFT($A$191,4)&amp;"!k3:k200")))</f>
        <v>-52.5</v>
      </c>
      <c r="K228" s="529">
        <f t="shared" ca="1" si="57"/>
        <v>-2.5</v>
      </c>
      <c r="L228" s="586">
        <v>50</v>
      </c>
      <c r="N228" s="964"/>
      <c r="O228" s="965"/>
      <c r="P228" s="306"/>
      <c r="Q228" s="306"/>
      <c r="R228" s="962"/>
    </row>
    <row r="229" spans="1:19" ht="15" customHeight="1" x14ac:dyDescent="0.4">
      <c r="A229" s="555"/>
      <c r="B229" s="632"/>
      <c r="C229" s="131" t="str">
        <f t="shared" si="56"/>
        <v>6240-38</v>
      </c>
      <c r="D229" s="530" t="s">
        <v>427</v>
      </c>
      <c r="E229" s="615">
        <v>1</v>
      </c>
      <c r="F229" s="615"/>
      <c r="G229" s="603"/>
      <c r="H229" s="543">
        <v>36500</v>
      </c>
      <c r="I229" s="541">
        <f t="shared" si="61"/>
        <v>36500</v>
      </c>
      <c r="J229" s="532">
        <f ca="1">-(SUMIF(INDIRECT(LEFT($A$191,4)&amp;"!i3:i200"),"="&amp;C229&amp;" *",INDIRECT(LEFT($A$191,4)&amp;"!k3:k200")))</f>
        <v>-36491.660000000003</v>
      </c>
      <c r="K229" s="532">
        <f t="shared" ca="1" si="57"/>
        <v>8.3399999999965075</v>
      </c>
      <c r="L229" s="604">
        <v>35000</v>
      </c>
      <c r="N229" s="964"/>
      <c r="O229" s="965"/>
      <c r="P229" s="306"/>
      <c r="Q229" s="306"/>
      <c r="R229" s="962"/>
    </row>
    <row r="230" spans="1:19" ht="15" customHeight="1" thickBot="1" x14ac:dyDescent="0.45">
      <c r="B230" s="625"/>
      <c r="C230" s="90"/>
      <c r="D230" s="544" t="s">
        <v>106</v>
      </c>
      <c r="E230" s="593"/>
      <c r="F230" s="576"/>
      <c r="G230" s="421"/>
      <c r="H230" s="546">
        <f>(I230-L230)/L230</f>
        <v>0.20984238658687021</v>
      </c>
      <c r="I230" s="548">
        <f>SUM(I192:I229)</f>
        <v>132411.20000000001</v>
      </c>
      <c r="J230" s="548">
        <f ca="1">SUM(J192:J229)</f>
        <v>-112709.57</v>
      </c>
      <c r="K230" s="548">
        <f ca="1">SUM(K192:K229)</f>
        <v>19701.629999999994</v>
      </c>
      <c r="L230" s="597">
        <f>SUM(L192:L229)</f>
        <v>109445</v>
      </c>
      <c r="O230" s="965"/>
      <c r="P230" s="306"/>
      <c r="Q230" s="306"/>
      <c r="R230" s="962"/>
    </row>
    <row r="231" spans="1:19" ht="7.5" customHeight="1" thickTop="1" x14ac:dyDescent="0.4">
      <c r="B231" s="48"/>
      <c r="C231" s="135"/>
      <c r="D231" s="69"/>
      <c r="E231" s="97"/>
      <c r="F231" s="54"/>
      <c r="G231" s="97"/>
      <c r="H231" s="55"/>
      <c r="I231" s="71"/>
      <c r="J231" s="71"/>
      <c r="K231" s="71"/>
      <c r="L231" s="71"/>
      <c r="O231" s="969"/>
      <c r="P231" s="306"/>
      <c r="Q231" s="306"/>
      <c r="R231" s="962"/>
    </row>
    <row r="232" spans="1:19" ht="19.5" customHeight="1" x14ac:dyDescent="0.5">
      <c r="A232" s="950" t="s">
        <v>428</v>
      </c>
      <c r="B232" s="950"/>
      <c r="C232" s="950"/>
      <c r="D232" s="950"/>
      <c r="E232" s="950"/>
      <c r="F232" s="950"/>
      <c r="G232" s="950"/>
      <c r="H232" s="950"/>
      <c r="I232" s="950"/>
      <c r="J232" s="950"/>
      <c r="K232" s="950"/>
      <c r="L232" s="950"/>
      <c r="M232" s="990"/>
      <c r="O232" s="969"/>
      <c r="P232" s="306"/>
      <c r="Q232" s="306"/>
      <c r="R232" s="962"/>
    </row>
    <row r="233" spans="1:19" ht="15" customHeight="1" x14ac:dyDescent="0.4">
      <c r="B233" s="620"/>
      <c r="C233" s="90" t="str">
        <f>LEFT($A232,4)&amp;"-1"</f>
        <v>6250-1</v>
      </c>
      <c r="D233" s="551" t="s">
        <v>429</v>
      </c>
      <c r="E233" s="593"/>
      <c r="F233" s="576"/>
      <c r="G233" s="608">
        <v>1</v>
      </c>
      <c r="H233" s="535">
        <v>500</v>
      </c>
      <c r="I233" s="529">
        <f>(E233+F233+G233)*H233</f>
        <v>500</v>
      </c>
      <c r="J233" s="529">
        <f ca="1">-(SUMIF(INDIRECT(LEFT(A232,4)&amp;"!i3:i200"),"="&amp;C233&amp;" *",INDIRECT(LEFT(A232,4)&amp;"!k3:F200")))</f>
        <v>0</v>
      </c>
      <c r="K233" s="529">
        <f t="shared" ref="K233:K238" ca="1" si="62">SUM(I233:J233)</f>
        <v>500</v>
      </c>
      <c r="L233" s="529">
        <v>500</v>
      </c>
      <c r="M233" s="991"/>
      <c r="O233" s="965"/>
      <c r="P233" s="306"/>
      <c r="Q233" s="306"/>
      <c r="R233" s="962"/>
    </row>
    <row r="234" spans="1:19" ht="15" customHeight="1" thickBot="1" x14ac:dyDescent="0.45">
      <c r="B234" s="37"/>
      <c r="C234" s="136"/>
      <c r="D234" s="544" t="s">
        <v>106</v>
      </c>
      <c r="E234" s="593"/>
      <c r="F234" s="576"/>
      <c r="G234" s="421"/>
      <c r="H234" s="546">
        <f>(I234-L234)/L234</f>
        <v>0</v>
      </c>
      <c r="I234" s="548">
        <f>SUM(I233)</f>
        <v>500</v>
      </c>
      <c r="J234" s="548">
        <f t="shared" ref="J234:K234" ca="1" si="63">SUM(J233)</f>
        <v>0</v>
      </c>
      <c r="K234" s="548">
        <f t="shared" ca="1" si="63"/>
        <v>500</v>
      </c>
      <c r="L234" s="548">
        <f>SUM(L233)</f>
        <v>500</v>
      </c>
      <c r="M234" s="991"/>
      <c r="O234" s="965"/>
      <c r="P234" s="306"/>
      <c r="Q234" s="306"/>
      <c r="R234" s="962"/>
    </row>
    <row r="235" spans="1:19" ht="9.75" hidden="1" customHeight="1" thickTop="1" x14ac:dyDescent="0.4">
      <c r="B235" s="48"/>
      <c r="C235" s="90"/>
      <c r="D235" s="48"/>
      <c r="E235" s="97"/>
      <c r="F235" s="54"/>
      <c r="G235" s="97"/>
      <c r="H235" s="55"/>
      <c r="I235" s="37"/>
      <c r="J235" s="37"/>
      <c r="K235" s="37"/>
      <c r="L235" s="37"/>
      <c r="O235" s="965"/>
      <c r="P235" s="306"/>
      <c r="Q235" s="306"/>
      <c r="R235" s="962"/>
    </row>
    <row r="236" spans="1:19" ht="19.5" customHeight="1" thickTop="1" x14ac:dyDescent="0.5">
      <c r="A236" s="950" t="s">
        <v>430</v>
      </c>
      <c r="B236" s="950"/>
      <c r="C236" s="950"/>
      <c r="D236" s="950"/>
      <c r="E236" s="950"/>
      <c r="F236" s="950"/>
      <c r="G236" s="950"/>
      <c r="H236" s="950"/>
      <c r="I236" s="950"/>
      <c r="J236" s="950"/>
      <c r="K236" s="950"/>
      <c r="L236" s="950"/>
      <c r="O236" s="965"/>
      <c r="P236" s="306"/>
      <c r="Q236" s="306"/>
      <c r="R236" s="962"/>
    </row>
    <row r="237" spans="1:19" ht="15" customHeight="1" x14ac:dyDescent="0.4">
      <c r="A237" s="527"/>
      <c r="B237" s="622"/>
      <c r="C237" s="90" t="str">
        <f>LEFT($A236,4)&amp;"-1"</f>
        <v>6260-1</v>
      </c>
      <c r="D237" s="551" t="s">
        <v>431</v>
      </c>
      <c r="E237" s="593"/>
      <c r="F237" s="576"/>
      <c r="G237" s="608">
        <v>1</v>
      </c>
      <c r="H237" s="528">
        <v>8900</v>
      </c>
      <c r="I237" s="529">
        <f t="shared" ref="I237:I254" si="64">(E237+F237+G237)*H237</f>
        <v>8900</v>
      </c>
      <c r="J237" s="529">
        <f t="shared" ref="J237:J254" ca="1" si="65">-(SUMIF(INDIRECT(LEFT($A$236,4)&amp;"!i3:i280"),"="&amp;C237&amp;" *",INDIRECT(LEFT($A$236,4)&amp;"!k3:k280")))</f>
        <v>-11050</v>
      </c>
      <c r="K237" s="529">
        <f t="shared" ca="1" si="62"/>
        <v>-2150</v>
      </c>
      <c r="L237" s="419">
        <v>10000</v>
      </c>
      <c r="N237" s="964"/>
      <c r="O237" s="965"/>
      <c r="P237" s="306"/>
      <c r="Q237" s="306"/>
      <c r="R237" s="962"/>
    </row>
    <row r="238" spans="1:19" ht="15" customHeight="1" x14ac:dyDescent="0.4">
      <c r="A238" s="555"/>
      <c r="B238" s="632"/>
      <c r="C238" s="131" t="str">
        <f t="shared" ref="C238:C254" si="66">LEFT($C237,4)&amp;"-"&amp;VALUE(MID($C237,FIND("-",$C237)+1,256))+1</f>
        <v>6260-2</v>
      </c>
      <c r="D238" s="561" t="s">
        <v>432</v>
      </c>
      <c r="E238" s="614"/>
      <c r="F238" s="609"/>
      <c r="G238" s="614">
        <v>2</v>
      </c>
      <c r="H238" s="543">
        <v>15000</v>
      </c>
      <c r="I238" s="571">
        <f t="shared" si="64"/>
        <v>30000</v>
      </c>
      <c r="J238" s="541">
        <f t="shared" ca="1" si="65"/>
        <v>-55000</v>
      </c>
      <c r="K238" s="541">
        <f t="shared" ca="1" si="62"/>
        <v>-25000</v>
      </c>
      <c r="L238" s="604">
        <v>30000</v>
      </c>
      <c r="N238" s="964"/>
      <c r="O238" s="965"/>
      <c r="P238" s="306"/>
      <c r="Q238" s="306"/>
      <c r="R238" s="962"/>
    </row>
    <row r="239" spans="1:19" ht="15" customHeight="1" x14ac:dyDescent="0.4">
      <c r="A239" s="527"/>
      <c r="B239" s="626" t="s">
        <v>433</v>
      </c>
      <c r="C239" s="90" t="str">
        <f t="shared" si="66"/>
        <v>6260-3</v>
      </c>
      <c r="D239" s="538" t="s">
        <v>434</v>
      </c>
      <c r="E239" s="585"/>
      <c r="F239" s="585">
        <v>1</v>
      </c>
      <c r="G239" s="607"/>
      <c r="H239" s="563">
        <v>17304</v>
      </c>
      <c r="I239" s="540">
        <f t="shared" si="64"/>
        <v>17304</v>
      </c>
      <c r="J239" s="529">
        <f t="shared" ca="1" si="65"/>
        <v>-17304</v>
      </c>
      <c r="K239" s="529">
        <f t="shared" ref="K239:K254" ca="1" si="67">SUM(I239:J239)</f>
        <v>0</v>
      </c>
      <c r="L239" s="586">
        <v>16800</v>
      </c>
      <c r="N239" s="966"/>
      <c r="O239" s="965"/>
      <c r="P239" s="306"/>
      <c r="Q239" s="306"/>
      <c r="R239" s="962"/>
    </row>
    <row r="240" spans="1:19" ht="15" customHeight="1" x14ac:dyDescent="0.4">
      <c r="A240" s="555"/>
      <c r="B240" s="632"/>
      <c r="C240" s="131" t="str">
        <f t="shared" si="66"/>
        <v>6260-4</v>
      </c>
      <c r="D240" s="530" t="s">
        <v>435</v>
      </c>
      <c r="E240" s="615"/>
      <c r="F240" s="615"/>
      <c r="G240" s="615">
        <v>1</v>
      </c>
      <c r="H240" s="543">
        <v>20000</v>
      </c>
      <c r="I240" s="554">
        <f t="shared" si="64"/>
        <v>20000</v>
      </c>
      <c r="J240" s="541">
        <f t="shared" ca="1" si="65"/>
        <v>-19200</v>
      </c>
      <c r="K240" s="541">
        <f t="shared" ca="1" si="67"/>
        <v>800</v>
      </c>
      <c r="L240" s="604">
        <v>15000</v>
      </c>
      <c r="N240" s="966"/>
      <c r="O240" s="965"/>
      <c r="P240" s="306"/>
      <c r="Q240" s="306"/>
      <c r="R240" s="962"/>
      <c r="S240" s="971"/>
    </row>
    <row r="241" spans="1:19" ht="15" customHeight="1" x14ac:dyDescent="0.4">
      <c r="A241" s="527"/>
      <c r="B241" s="622"/>
      <c r="C241" s="135" t="str">
        <f>LEFT($C240,4)&amp;"-"&amp;VALUE(MID($C240,FIND("-",$C240)+1,256))+1</f>
        <v>6260-5</v>
      </c>
      <c r="D241" s="551" t="s">
        <v>436</v>
      </c>
      <c r="E241" s="593"/>
      <c r="F241" s="576">
        <v>1</v>
      </c>
      <c r="G241" s="593"/>
      <c r="H241" s="528">
        <v>35000</v>
      </c>
      <c r="I241" s="529">
        <f t="shared" si="64"/>
        <v>35000</v>
      </c>
      <c r="J241" s="529">
        <f t="shared" ca="1" si="65"/>
        <v>-54036.25</v>
      </c>
      <c r="K241" s="529">
        <f t="shared" ca="1" si="67"/>
        <v>-19036.25</v>
      </c>
      <c r="L241" s="419">
        <v>30000</v>
      </c>
      <c r="N241" s="966"/>
      <c r="O241" s="965"/>
      <c r="P241" s="306"/>
      <c r="Q241" s="306"/>
      <c r="R241" s="962"/>
      <c r="S241" s="971"/>
    </row>
    <row r="242" spans="1:19" ht="58.5" customHeight="1" x14ac:dyDescent="0.4">
      <c r="A242" s="555"/>
      <c r="B242" s="627" t="s">
        <v>437</v>
      </c>
      <c r="C242" s="131" t="str">
        <f>LEFT($C241,4)&amp;"-"&amp;VALUE(MID($C241,FIND("-",$C241)+1,256))+1</f>
        <v>6260-6</v>
      </c>
      <c r="D242" s="566" t="s">
        <v>438</v>
      </c>
      <c r="E242" s="649"/>
      <c r="F242" s="592">
        <v>1</v>
      </c>
      <c r="G242" s="649"/>
      <c r="H242" s="537">
        <v>287159</v>
      </c>
      <c r="I242" s="532">
        <f t="shared" si="64"/>
        <v>287159</v>
      </c>
      <c r="J242" s="532">
        <f t="shared" ca="1" si="65"/>
        <v>-552939.78</v>
      </c>
      <c r="K242" s="532">
        <f t="shared" ca="1" si="67"/>
        <v>-265780.78000000003</v>
      </c>
      <c r="L242" s="588">
        <v>287159</v>
      </c>
      <c r="N242" s="966"/>
      <c r="O242" s="965"/>
      <c r="P242" s="306"/>
      <c r="Q242" s="306"/>
      <c r="R242" s="962"/>
    </row>
    <row r="243" spans="1:19" ht="22.3" x14ac:dyDescent="0.4">
      <c r="A243" s="527"/>
      <c r="B243" s="625" t="s">
        <v>439</v>
      </c>
      <c r="C243" s="135" t="str">
        <f>LEFT($C242,4)&amp;"-"&amp;VALUE(MID($C242,FIND("-",$C242)+1,256))+1</f>
        <v>6260-7</v>
      </c>
      <c r="D243" s="572" t="s">
        <v>440</v>
      </c>
      <c r="E243" s="610"/>
      <c r="F243" s="589"/>
      <c r="G243" s="610">
        <v>5</v>
      </c>
      <c r="H243" s="528">
        <v>145</v>
      </c>
      <c r="I243" s="529">
        <f t="shared" si="64"/>
        <v>725</v>
      </c>
      <c r="J243" s="529">
        <f t="shared" ca="1" si="65"/>
        <v>-1207.55</v>
      </c>
      <c r="K243" s="529">
        <f t="shared" ca="1" si="67"/>
        <v>-482.54999999999995</v>
      </c>
      <c r="L243" s="419">
        <v>725</v>
      </c>
      <c r="N243" s="964"/>
      <c r="O243" s="965"/>
      <c r="P243" s="306"/>
      <c r="Q243" s="306"/>
      <c r="R243" s="962"/>
    </row>
    <row r="244" spans="1:19" ht="15" customHeight="1" x14ac:dyDescent="0.4">
      <c r="A244" s="555"/>
      <c r="B244" s="640" t="s">
        <v>441</v>
      </c>
      <c r="C244" s="868" t="str">
        <f>LEFT($C243,4)&amp;"-"&amp;VALUE(MID($C243,FIND("-",$C243)+1,256))+1</f>
        <v>6260-8</v>
      </c>
      <c r="D244" s="664" t="s">
        <v>442</v>
      </c>
      <c r="E244" s="869">
        <v>20000</v>
      </c>
      <c r="F244" s="870"/>
      <c r="G244" s="871"/>
      <c r="H244" s="872">
        <v>0.2</v>
      </c>
      <c r="I244" s="873">
        <f t="shared" si="64"/>
        <v>4000</v>
      </c>
      <c r="J244" s="532">
        <f t="shared" ca="1" si="65"/>
        <v>-3770.55</v>
      </c>
      <c r="K244" s="532">
        <f t="shared" ca="1" si="67"/>
        <v>229.44999999999982</v>
      </c>
      <c r="L244" s="874"/>
      <c r="N244" s="966"/>
      <c r="O244" s="965"/>
      <c r="P244" s="306"/>
      <c r="Q244" s="306"/>
      <c r="R244" s="962"/>
      <c r="S244" s="973"/>
    </row>
    <row r="245" spans="1:19" ht="15" customHeight="1" x14ac:dyDescent="0.4">
      <c r="A245" s="527"/>
      <c r="B245" s="626"/>
      <c r="C245" s="135" t="str">
        <f>LEFT($C244,4)&amp;"-"&amp;VALUE(MID($C244,FIND("-",$C244)+1,256))+1</f>
        <v>6260-9</v>
      </c>
      <c r="D245" s="573" t="s">
        <v>443</v>
      </c>
      <c r="E245" s="596"/>
      <c r="F245" s="585"/>
      <c r="G245" s="596">
        <v>1</v>
      </c>
      <c r="H245" s="563">
        <v>350000</v>
      </c>
      <c r="I245" s="529">
        <f t="shared" si="64"/>
        <v>350000</v>
      </c>
      <c r="J245" s="540">
        <f t="shared" ca="1" si="65"/>
        <v>-522912.98000000004</v>
      </c>
      <c r="K245" s="540">
        <f t="shared" ca="1" si="67"/>
        <v>-172912.98000000004</v>
      </c>
      <c r="L245" s="586">
        <v>350000</v>
      </c>
      <c r="N245" s="964"/>
      <c r="O245" s="965"/>
      <c r="P245" s="306"/>
      <c r="Q245" s="306"/>
      <c r="R245" s="962"/>
    </row>
    <row r="246" spans="1:19" ht="15" customHeight="1" x14ac:dyDescent="0.4">
      <c r="A246" s="555"/>
      <c r="B246" s="635" t="s">
        <v>444</v>
      </c>
      <c r="C246" s="875" t="str">
        <f t="shared" si="66"/>
        <v>6260-10</v>
      </c>
      <c r="D246" s="876" t="s">
        <v>445</v>
      </c>
      <c r="E246" s="877">
        <v>1</v>
      </c>
      <c r="F246" s="594"/>
      <c r="G246" s="878"/>
      <c r="H246" s="667">
        <v>78332</v>
      </c>
      <c r="I246" s="571">
        <f t="shared" si="64"/>
        <v>78332</v>
      </c>
      <c r="J246" s="571">
        <f t="shared" ca="1" si="65"/>
        <v>-78000</v>
      </c>
      <c r="K246" s="571">
        <f t="shared" ca="1" si="67"/>
        <v>332</v>
      </c>
      <c r="L246" s="595">
        <v>78332</v>
      </c>
      <c r="N246" s="964"/>
      <c r="O246" s="965"/>
      <c r="P246" s="306"/>
      <c r="Q246" s="306"/>
      <c r="R246" s="980"/>
    </row>
    <row r="247" spans="1:19" ht="15" customHeight="1" x14ac:dyDescent="0.4">
      <c r="A247" s="527"/>
      <c r="B247" s="622" t="s">
        <v>446</v>
      </c>
      <c r="C247" s="289" t="str">
        <f>LEFT($C246,4)&amp;"-"&amp;VALUE(MID($C246,FIND("-",$C246)+1,256))+1</f>
        <v>6260-11</v>
      </c>
      <c r="D247" s="551" t="s">
        <v>447</v>
      </c>
      <c r="E247" s="593"/>
      <c r="F247" s="576">
        <v>1</v>
      </c>
      <c r="G247" s="608"/>
      <c r="H247" s="528">
        <v>35000</v>
      </c>
      <c r="I247" s="529">
        <f t="shared" si="64"/>
        <v>35000</v>
      </c>
      <c r="J247" s="529">
        <f t="shared" ca="1" si="65"/>
        <v>-28870</v>
      </c>
      <c r="K247" s="529">
        <f t="shared" ca="1" si="67"/>
        <v>6130</v>
      </c>
      <c r="L247" s="419">
        <v>35000</v>
      </c>
      <c r="N247" s="964"/>
      <c r="O247" s="965"/>
      <c r="P247" s="306"/>
      <c r="Q247" s="306"/>
      <c r="R247" s="980"/>
    </row>
    <row r="248" spans="1:19" ht="15" customHeight="1" x14ac:dyDescent="0.4">
      <c r="A248" s="555"/>
      <c r="B248" s="638"/>
      <c r="C248" s="875" t="str">
        <f>LEFT($C247,4)&amp;"-"&amp;VALUE(MID($C247,FIND("-",$C247)+1,256))+1</f>
        <v>6260-12</v>
      </c>
      <c r="D248" s="618" t="s">
        <v>448</v>
      </c>
      <c r="E248" s="879"/>
      <c r="F248" s="619">
        <v>12</v>
      </c>
      <c r="G248" s="880"/>
      <c r="H248" s="553">
        <v>228</v>
      </c>
      <c r="I248" s="554">
        <f t="shared" si="64"/>
        <v>2736</v>
      </c>
      <c r="J248" s="554">
        <f t="shared" ca="1" si="65"/>
        <v>-2736</v>
      </c>
      <c r="K248" s="532">
        <f t="shared" ca="1" si="67"/>
        <v>0</v>
      </c>
      <c r="L248" s="613">
        <v>2736</v>
      </c>
      <c r="N248" s="966"/>
      <c r="O248" s="965"/>
      <c r="P248" s="306"/>
      <c r="Q248" s="306"/>
      <c r="R248" s="962"/>
    </row>
    <row r="249" spans="1:19" ht="15" customHeight="1" x14ac:dyDescent="0.4">
      <c r="A249" s="527"/>
      <c r="B249" s="628"/>
      <c r="C249" s="289" t="str">
        <f t="shared" si="66"/>
        <v>6260-13</v>
      </c>
      <c r="D249" s="538" t="s">
        <v>449</v>
      </c>
      <c r="E249" s="760"/>
      <c r="F249" s="585">
        <v>12</v>
      </c>
      <c r="G249" s="607"/>
      <c r="H249" s="563">
        <v>150</v>
      </c>
      <c r="I249" s="540">
        <f t="shared" si="64"/>
        <v>1800</v>
      </c>
      <c r="J249" s="540">
        <f t="shared" ca="1" si="65"/>
        <v>-580</v>
      </c>
      <c r="K249" s="540">
        <f t="shared" ca="1" si="67"/>
        <v>1220</v>
      </c>
      <c r="L249" s="586">
        <v>1800</v>
      </c>
      <c r="N249" s="966"/>
      <c r="O249" s="965"/>
      <c r="P249" s="306"/>
      <c r="Q249" s="306"/>
      <c r="R249" s="968"/>
      <c r="S249" s="978"/>
    </row>
    <row r="250" spans="1:19" ht="15" customHeight="1" x14ac:dyDescent="0.4">
      <c r="A250" s="555"/>
      <c r="B250" s="633" t="s">
        <v>450</v>
      </c>
      <c r="C250" s="131" t="str">
        <f>LEFT($C249,4)&amp;"-"&amp;VALUE(MID($C249,FIND("-",$C249)+1,256))+1</f>
        <v>6260-14</v>
      </c>
      <c r="D250" s="530" t="s">
        <v>451</v>
      </c>
      <c r="E250" s="675"/>
      <c r="F250" s="615">
        <v>1</v>
      </c>
      <c r="G250" s="616"/>
      <c r="H250" s="543">
        <v>10000</v>
      </c>
      <c r="I250" s="541">
        <f t="shared" si="64"/>
        <v>10000</v>
      </c>
      <c r="J250" s="541">
        <f t="shared" ca="1" si="65"/>
        <v>-2376</v>
      </c>
      <c r="K250" s="541">
        <f t="shared" ref="K250:K251" ca="1" si="68">SUM(I250:J250)</f>
        <v>7624</v>
      </c>
      <c r="L250" s="604"/>
      <c r="N250" s="966"/>
      <c r="O250" s="965"/>
      <c r="P250" s="306"/>
      <c r="Q250" s="306"/>
      <c r="R250" s="962"/>
      <c r="S250" s="971"/>
    </row>
    <row r="251" spans="1:19" ht="33" x14ac:dyDescent="0.4">
      <c r="A251" s="527"/>
      <c r="B251" s="914" t="s">
        <v>452</v>
      </c>
      <c r="C251" s="289" t="str">
        <f>LEFT($C250,4)&amp;"-"&amp;VALUE(MID($C250,FIND("-",$C250)+1,256))+1</f>
        <v>6260-15</v>
      </c>
      <c r="D251" s="538" t="s">
        <v>453</v>
      </c>
      <c r="E251" s="760"/>
      <c r="F251" s="915"/>
      <c r="G251" s="607"/>
      <c r="H251" s="563"/>
      <c r="I251" s="916">
        <v>100000</v>
      </c>
      <c r="J251" s="540">
        <f t="shared" ca="1" si="65"/>
        <v>0</v>
      </c>
      <c r="K251" s="540">
        <f t="shared" ca="1" si="68"/>
        <v>100000</v>
      </c>
      <c r="L251" s="586">
        <v>0</v>
      </c>
      <c r="N251" s="966"/>
      <c r="O251" s="965"/>
      <c r="P251" s="306"/>
      <c r="Q251" s="306"/>
      <c r="R251" s="968"/>
      <c r="S251" s="992"/>
    </row>
    <row r="252" spans="1:19" ht="15" customHeight="1" x14ac:dyDescent="0.4">
      <c r="A252" s="555"/>
      <c r="B252" s="633" t="s">
        <v>454</v>
      </c>
      <c r="C252" s="115" t="str">
        <f>LEFT($C251,4)&amp;"-"&amp;VALUE(MID($C251,FIND("-",$C251)+1,256))+1</f>
        <v>6260-16</v>
      </c>
      <c r="D252" s="536" t="s">
        <v>455</v>
      </c>
      <c r="E252" s="599"/>
      <c r="F252" s="587">
        <v>0</v>
      </c>
      <c r="G252" s="599"/>
      <c r="H252" s="537">
        <v>2000</v>
      </c>
      <c r="I252" s="532">
        <f t="shared" si="64"/>
        <v>0</v>
      </c>
      <c r="J252" s="532">
        <f t="shared" ca="1" si="65"/>
        <v>0</v>
      </c>
      <c r="K252" s="532">
        <f t="shared" ref="K252" ca="1" si="69">SUM(I252:J252)</f>
        <v>0</v>
      </c>
      <c r="L252" s="588">
        <v>2000</v>
      </c>
      <c r="N252" s="966"/>
      <c r="O252" s="965"/>
      <c r="P252" s="306"/>
      <c r="Q252" s="306"/>
      <c r="R252" s="986"/>
    </row>
    <row r="253" spans="1:19" ht="15" customHeight="1" x14ac:dyDescent="0.4">
      <c r="A253" s="527"/>
      <c r="C253" s="289" t="str">
        <f t="shared" si="66"/>
        <v>6260-17</v>
      </c>
      <c r="D253" s="572" t="s">
        <v>456</v>
      </c>
      <c r="E253" s="610"/>
      <c r="F253" s="589">
        <v>6</v>
      </c>
      <c r="G253" s="610"/>
      <c r="H253" s="528">
        <v>5000</v>
      </c>
      <c r="I253" s="529">
        <f t="shared" si="64"/>
        <v>30000</v>
      </c>
      <c r="J253" s="529">
        <f t="shared" ca="1" si="65"/>
        <v>-54800</v>
      </c>
      <c r="K253" s="529">
        <f t="shared" ca="1" si="67"/>
        <v>-24800</v>
      </c>
      <c r="L253" s="419">
        <v>60000</v>
      </c>
      <c r="N253" s="966"/>
      <c r="O253" s="965"/>
      <c r="P253" s="306"/>
      <c r="Q253" s="306"/>
      <c r="R253" s="986"/>
      <c r="S253" s="971"/>
    </row>
    <row r="254" spans="1:19" ht="15" customHeight="1" x14ac:dyDescent="0.4">
      <c r="A254" s="555"/>
      <c r="B254" s="633" t="s">
        <v>457</v>
      </c>
      <c r="C254" s="131" t="str">
        <f t="shared" si="66"/>
        <v>6260-18</v>
      </c>
      <c r="D254" s="530" t="s">
        <v>458</v>
      </c>
      <c r="E254" s="675"/>
      <c r="F254" s="615">
        <v>0</v>
      </c>
      <c r="G254" s="616"/>
      <c r="H254" s="543">
        <v>125</v>
      </c>
      <c r="I254" s="541">
        <f t="shared" si="64"/>
        <v>0</v>
      </c>
      <c r="J254" s="541">
        <f t="shared" ca="1" si="65"/>
        <v>0</v>
      </c>
      <c r="K254" s="541">
        <f t="shared" ca="1" si="67"/>
        <v>0</v>
      </c>
      <c r="L254" s="604">
        <v>5000</v>
      </c>
      <c r="N254" s="966"/>
      <c r="O254" s="965"/>
      <c r="P254" s="306"/>
      <c r="Q254" s="306"/>
      <c r="R254" s="962"/>
    </row>
    <row r="255" spans="1:19" ht="15" customHeight="1" x14ac:dyDescent="0.4">
      <c r="B255" s="674"/>
      <c r="C255" s="133"/>
      <c r="D255" s="544" t="s">
        <v>106</v>
      </c>
      <c r="E255" s="545"/>
      <c r="F255" s="545"/>
      <c r="G255" s="421"/>
      <c r="H255" s="546">
        <f>(I255-L255)/L255</f>
        <v>9.3454992255708705E-2</v>
      </c>
      <c r="I255" s="548">
        <f>SUM(I237:I254)</f>
        <v>1010956</v>
      </c>
      <c r="J255" s="548">
        <f ca="1">SUM(J237:J254)</f>
        <v>-1404783.11</v>
      </c>
      <c r="K255" s="548">
        <f ca="1">SUM(K237:K254)</f>
        <v>-393827.11000000004</v>
      </c>
      <c r="L255" s="548">
        <f>SUM(L237:L254)</f>
        <v>924552</v>
      </c>
      <c r="O255" s="965"/>
      <c r="P255" s="306"/>
      <c r="Q255" s="306"/>
      <c r="R255" s="962"/>
    </row>
    <row r="256" spans="1:19" ht="10.5" customHeight="1" thickTop="1" x14ac:dyDescent="0.4">
      <c r="B256" s="98"/>
      <c r="C256" s="90"/>
      <c r="D256" s="66"/>
      <c r="E256" s="67"/>
      <c r="F256" s="67"/>
      <c r="G256" s="18"/>
      <c r="H256" s="40"/>
      <c r="I256" s="81"/>
      <c r="J256" s="81"/>
      <c r="K256" s="81"/>
      <c r="L256" s="92"/>
      <c r="O256" s="969"/>
      <c r="P256" s="306"/>
      <c r="Q256" s="306"/>
      <c r="R256" s="962"/>
    </row>
    <row r="257" spans="1:18" ht="19.5" customHeight="1" x14ac:dyDescent="0.5">
      <c r="A257" s="950" t="s">
        <v>459</v>
      </c>
      <c r="B257" s="950"/>
      <c r="C257" s="950"/>
      <c r="D257" s="950"/>
      <c r="E257" s="950"/>
      <c r="F257" s="950"/>
      <c r="G257" s="950"/>
      <c r="H257" s="950"/>
      <c r="I257" s="950"/>
      <c r="J257" s="950"/>
      <c r="K257" s="950"/>
      <c r="L257" s="950"/>
      <c r="O257" s="969"/>
      <c r="P257" s="306"/>
      <c r="Q257" s="306"/>
      <c r="R257" s="962"/>
    </row>
    <row r="258" spans="1:18" ht="15" customHeight="1" x14ac:dyDescent="0.4">
      <c r="A258" s="527"/>
      <c r="B258" s="626"/>
      <c r="C258" s="135" t="str">
        <f>LEFT($A257,4)&amp;"-1"</f>
        <v>6280-1</v>
      </c>
      <c r="D258" s="525" t="s">
        <v>460</v>
      </c>
      <c r="E258" s="617"/>
      <c r="F258" s="591">
        <v>1</v>
      </c>
      <c r="G258" s="617"/>
      <c r="H258" s="563">
        <v>5180</v>
      </c>
      <c r="I258" s="540">
        <f>(E258+F258+G258)*H258</f>
        <v>5180</v>
      </c>
      <c r="J258" s="540">
        <f t="shared" ref="J258:J290" ca="1" si="70">-(SUMIF(INDIRECT(LEFT($A$257,4)&amp;"!i3:i200"),"="&amp;C258&amp;" *",INDIRECT(LEFT($A$257,4)&amp;"!k3:k200")))</f>
        <v>-4180</v>
      </c>
      <c r="K258" s="540">
        <f t="shared" ref="K258" ca="1" si="71">SUM(I258:J258)</f>
        <v>1000</v>
      </c>
      <c r="L258" s="586">
        <v>5180</v>
      </c>
      <c r="N258" s="964"/>
      <c r="O258" s="965"/>
      <c r="P258" s="306"/>
      <c r="Q258" s="306"/>
      <c r="R258" s="962"/>
    </row>
    <row r="259" spans="1:18" ht="15" customHeight="1" x14ac:dyDescent="0.4">
      <c r="A259" s="555"/>
      <c r="B259" s="676" t="s">
        <v>433</v>
      </c>
      <c r="C259" s="112" t="str">
        <f>LEFT(C258,4)&amp;"-"&amp;VALUE(MID(C258,FIND("-",C258)+1,256))+1</f>
        <v>6280-2</v>
      </c>
      <c r="D259" s="561" t="s">
        <v>461</v>
      </c>
      <c r="E259" s="614"/>
      <c r="F259" s="609">
        <v>1</v>
      </c>
      <c r="G259" s="614"/>
      <c r="H259" s="543">
        <v>12840</v>
      </c>
      <c r="I259" s="532">
        <f>SUM(E259:G259)*H259</f>
        <v>12840</v>
      </c>
      <c r="J259" s="541">
        <f t="shared" ca="1" si="70"/>
        <v>-12840</v>
      </c>
      <c r="K259" s="541">
        <f t="shared" ref="K259:K301" ca="1" si="72">SUM(I259:J259)</f>
        <v>0</v>
      </c>
      <c r="L259" s="604">
        <v>12000</v>
      </c>
      <c r="N259" s="993"/>
      <c r="O259" s="965"/>
      <c r="P259" s="306"/>
      <c r="Q259" s="306"/>
      <c r="R259" s="994"/>
    </row>
    <row r="260" spans="1:18" ht="15" customHeight="1" x14ac:dyDescent="0.4">
      <c r="A260" s="527"/>
      <c r="B260" s="677" t="s">
        <v>433</v>
      </c>
      <c r="C260" s="90" t="str">
        <f>LEFT(C259,4)&amp;"-"&amp;VALUE(MID(C259,FIND("-",C259)+1,256))+1</f>
        <v>6280-3</v>
      </c>
      <c r="D260" s="565" t="s">
        <v>462</v>
      </c>
      <c r="E260" s="617"/>
      <c r="F260" s="591">
        <v>1</v>
      </c>
      <c r="G260" s="617"/>
      <c r="H260" s="563">
        <v>8240</v>
      </c>
      <c r="I260" s="529">
        <f t="shared" ref="I260:I265" si="73">(E260+F260+G260)*H260</f>
        <v>8240</v>
      </c>
      <c r="J260" s="540">
        <f t="shared" ca="1" si="70"/>
        <v>-8240</v>
      </c>
      <c r="K260" s="540">
        <f t="shared" ca="1" si="72"/>
        <v>0</v>
      </c>
      <c r="L260" s="586">
        <v>8000</v>
      </c>
      <c r="N260" s="993"/>
      <c r="O260" s="965"/>
      <c r="P260" s="306"/>
      <c r="Q260" s="306"/>
      <c r="R260" s="994"/>
    </row>
    <row r="261" spans="1:18" ht="15" customHeight="1" x14ac:dyDescent="0.4">
      <c r="A261" s="555"/>
      <c r="B261" s="788" t="s">
        <v>433</v>
      </c>
      <c r="C261" s="112" t="str">
        <f>LEFT(C260,4)&amp;"-"&amp;VALUE(MID(C260,FIND("-",C260)+1,256))+1</f>
        <v>6280-4</v>
      </c>
      <c r="D261" s="679" t="s">
        <v>463</v>
      </c>
      <c r="E261" s="680"/>
      <c r="F261" s="681">
        <v>1</v>
      </c>
      <c r="G261" s="680"/>
      <c r="H261" s="682">
        <v>1375</v>
      </c>
      <c r="I261" s="683">
        <f t="shared" si="73"/>
        <v>1375</v>
      </c>
      <c r="J261" s="684">
        <f t="shared" ca="1" si="70"/>
        <v>-1375</v>
      </c>
      <c r="K261" s="684">
        <f ca="1">SUM(I261:J261)</f>
        <v>0</v>
      </c>
      <c r="L261" s="685">
        <v>1200</v>
      </c>
      <c r="N261" s="993"/>
      <c r="O261" s="965"/>
      <c r="P261" s="306"/>
      <c r="Q261" s="306"/>
      <c r="R261" s="994"/>
    </row>
    <row r="262" spans="1:18" ht="15" customHeight="1" x14ac:dyDescent="0.4">
      <c r="A262" s="527"/>
      <c r="B262" s="626"/>
      <c r="C262" s="90" t="str">
        <f>LEFT(C261,4)&amp;"-"&amp;VALUE(MID(C261,FIND("-",C261)+1,256))+1</f>
        <v>6280-5</v>
      </c>
      <c r="D262" s="565" t="s">
        <v>464</v>
      </c>
      <c r="E262" s="617"/>
      <c r="F262" s="591">
        <v>1</v>
      </c>
      <c r="G262" s="617"/>
      <c r="H262" s="563">
        <v>6700</v>
      </c>
      <c r="I262" s="540">
        <f t="shared" si="73"/>
        <v>6700</v>
      </c>
      <c r="J262" s="540">
        <f t="shared" ca="1" si="70"/>
        <v>0</v>
      </c>
      <c r="K262" s="540">
        <f ca="1">SUM(I262:J262)</f>
        <v>6700</v>
      </c>
      <c r="L262" s="586">
        <v>5760</v>
      </c>
      <c r="N262" s="993"/>
      <c r="O262" s="965"/>
      <c r="P262" s="306"/>
      <c r="Q262" s="306"/>
      <c r="R262" s="995"/>
    </row>
    <row r="263" spans="1:18" ht="15" customHeight="1" x14ac:dyDescent="0.4">
      <c r="A263" s="555"/>
      <c r="B263" s="632"/>
      <c r="C263" s="112" t="str">
        <f>LEFT(C262,4)&amp;"-"&amp;VALUE(MID(C262,FIND("-",C262)+1,256))+1</f>
        <v>6280-6</v>
      </c>
      <c r="D263" s="602" t="s">
        <v>465</v>
      </c>
      <c r="E263" s="614"/>
      <c r="F263" s="609">
        <v>1</v>
      </c>
      <c r="G263" s="614"/>
      <c r="H263" s="543">
        <v>15500</v>
      </c>
      <c r="I263" s="532">
        <f t="shared" si="73"/>
        <v>15500</v>
      </c>
      <c r="J263" s="541">
        <f t="shared" ca="1" si="70"/>
        <v>-13655.32</v>
      </c>
      <c r="K263" s="541">
        <f t="shared" ca="1" si="72"/>
        <v>1844.6800000000003</v>
      </c>
      <c r="L263" s="604">
        <v>14500</v>
      </c>
      <c r="N263" s="964"/>
      <c r="O263" s="965"/>
      <c r="P263" s="306"/>
      <c r="Q263" s="306"/>
      <c r="R263" s="986"/>
    </row>
    <row r="264" spans="1:18" ht="15" customHeight="1" x14ac:dyDescent="0.4">
      <c r="A264" s="527"/>
      <c r="B264" s="625" t="s">
        <v>466</v>
      </c>
      <c r="C264" s="90" t="str">
        <f>LEFT($C263,4)&amp;"-"&amp;VALUE(MID($C263,FIND("-",$C263)+1,256))+1</f>
        <v>6280-7</v>
      </c>
      <c r="D264" s="686" t="s">
        <v>467</v>
      </c>
      <c r="E264" s="610"/>
      <c r="F264" s="589">
        <v>0</v>
      </c>
      <c r="G264" s="610"/>
      <c r="H264" s="528">
        <v>91</v>
      </c>
      <c r="I264" s="540">
        <f t="shared" si="73"/>
        <v>0</v>
      </c>
      <c r="J264" s="540">
        <f t="shared" ca="1" si="70"/>
        <v>-1006.77</v>
      </c>
      <c r="K264" s="540">
        <f t="shared" ca="1" si="72"/>
        <v>-1006.77</v>
      </c>
      <c r="L264" s="419">
        <v>816</v>
      </c>
      <c r="N264" s="966"/>
      <c r="O264" s="965"/>
      <c r="P264" s="306"/>
      <c r="Q264" s="306"/>
      <c r="R264" s="996"/>
    </row>
    <row r="265" spans="1:18" ht="15" customHeight="1" x14ac:dyDescent="0.4">
      <c r="A265" s="555"/>
      <c r="B265" s="633"/>
      <c r="C265" s="124" t="str">
        <f t="shared" ref="C265:C271" si="74">LEFT($C264,4)&amp;"-"&amp;VALUE(MID($C264,FIND("-",$C264)+1,256))+1</f>
        <v>6280-8</v>
      </c>
      <c r="D265" s="564" t="s">
        <v>468</v>
      </c>
      <c r="E265" s="599"/>
      <c r="F265" s="587">
        <v>1</v>
      </c>
      <c r="G265" s="599"/>
      <c r="H265" s="537">
        <v>8800</v>
      </c>
      <c r="I265" s="532">
        <f t="shared" si="73"/>
        <v>8800</v>
      </c>
      <c r="J265" s="541">
        <f t="shared" ca="1" si="70"/>
        <v>-728</v>
      </c>
      <c r="K265" s="541">
        <f t="shared" ca="1" si="72"/>
        <v>8072</v>
      </c>
      <c r="L265" s="588">
        <v>8800</v>
      </c>
      <c r="N265" s="993"/>
      <c r="O265" s="965"/>
      <c r="P265" s="306"/>
      <c r="Q265" s="306"/>
      <c r="R265" s="997"/>
    </row>
    <row r="266" spans="1:18" ht="15" customHeight="1" x14ac:dyDescent="0.4">
      <c r="A266" s="527"/>
      <c r="B266" s="626"/>
      <c r="C266" s="90" t="str">
        <f>LEFT($C265,4)&amp;"-"&amp;VALUE(MID($C265,FIND("-",$C265)+1,256))+1</f>
        <v>6280-9</v>
      </c>
      <c r="D266" s="565" t="s">
        <v>469</v>
      </c>
      <c r="E266" s="600"/>
      <c r="F266" s="591">
        <v>1</v>
      </c>
      <c r="G266" s="600"/>
      <c r="H266" s="563">
        <v>3528</v>
      </c>
      <c r="I266" s="540">
        <f>SUM(E266:G266)*H266</f>
        <v>3528</v>
      </c>
      <c r="J266" s="540">
        <f t="shared" ca="1" si="70"/>
        <v>-3324.75</v>
      </c>
      <c r="K266" s="540">
        <f t="shared" ca="1" si="72"/>
        <v>203.25</v>
      </c>
      <c r="L266" s="563">
        <v>3360</v>
      </c>
      <c r="N266" s="966"/>
      <c r="O266" s="965"/>
      <c r="P266" s="306"/>
      <c r="Q266" s="306"/>
      <c r="R266" s="977"/>
    </row>
    <row r="267" spans="1:18" ht="15" customHeight="1" x14ac:dyDescent="0.4">
      <c r="A267" s="555"/>
      <c r="B267" s="627"/>
      <c r="C267" s="112" t="str">
        <f t="shared" si="74"/>
        <v>6280-10</v>
      </c>
      <c r="D267" s="559" t="s">
        <v>470</v>
      </c>
      <c r="E267" s="687"/>
      <c r="F267" s="592">
        <v>1</v>
      </c>
      <c r="G267" s="687"/>
      <c r="H267" s="687">
        <v>1423</v>
      </c>
      <c r="I267" s="532">
        <f>SUM(E267:G267)*H267</f>
        <v>1423</v>
      </c>
      <c r="J267" s="541">
        <f t="shared" ca="1" si="70"/>
        <v>-1329.9</v>
      </c>
      <c r="K267" s="541">
        <f t="shared" ca="1" si="72"/>
        <v>93.099999999999909</v>
      </c>
      <c r="L267" s="560">
        <v>1355</v>
      </c>
      <c r="N267" s="966"/>
      <c r="O267" s="965"/>
      <c r="P267" s="306"/>
      <c r="Q267" s="306"/>
      <c r="R267" s="977"/>
    </row>
    <row r="268" spans="1:18" ht="15" customHeight="1" x14ac:dyDescent="0.4">
      <c r="A268" s="527"/>
      <c r="B268" s="626"/>
      <c r="C268" s="90" t="str">
        <f t="shared" si="74"/>
        <v>6280-11</v>
      </c>
      <c r="D268" s="562" t="s">
        <v>471</v>
      </c>
      <c r="E268" s="600"/>
      <c r="F268" s="591">
        <v>1</v>
      </c>
      <c r="G268" s="600"/>
      <c r="H268" s="563">
        <v>1764</v>
      </c>
      <c r="I268" s="540">
        <f>SUM(E268:G268)*H268</f>
        <v>1764</v>
      </c>
      <c r="J268" s="540">
        <f t="shared" ca="1" si="70"/>
        <v>-1662.38</v>
      </c>
      <c r="K268" s="540">
        <f t="shared" ca="1" si="72"/>
        <v>101.61999999999989</v>
      </c>
      <c r="L268" s="586">
        <v>1680</v>
      </c>
      <c r="N268" s="966"/>
      <c r="O268" s="965"/>
      <c r="P268" s="306"/>
      <c r="Q268" s="306"/>
      <c r="R268" s="977"/>
    </row>
    <row r="269" spans="1:18" ht="15" customHeight="1" x14ac:dyDescent="0.4">
      <c r="A269" s="555"/>
      <c r="B269" s="633"/>
      <c r="C269" s="112" t="str">
        <f t="shared" si="74"/>
        <v>6280-12</v>
      </c>
      <c r="D269" s="536" t="s">
        <v>472</v>
      </c>
      <c r="E269" s="601"/>
      <c r="F269" s="592">
        <v>5</v>
      </c>
      <c r="G269" s="650"/>
      <c r="H269" s="537">
        <v>1390</v>
      </c>
      <c r="I269" s="532">
        <f>SUM(E269:G269)*H269</f>
        <v>6950</v>
      </c>
      <c r="J269" s="541">
        <f t="shared" ca="1" si="70"/>
        <v>-5319.6</v>
      </c>
      <c r="K269" s="541">
        <f t="shared" ca="1" si="72"/>
        <v>1630.3999999999996</v>
      </c>
      <c r="L269" s="588">
        <v>6615</v>
      </c>
      <c r="M269" s="983"/>
      <c r="N269" s="966"/>
      <c r="O269" s="965"/>
      <c r="P269" s="306"/>
      <c r="Q269" s="306"/>
      <c r="R269" s="977"/>
    </row>
    <row r="270" spans="1:18" ht="15" customHeight="1" x14ac:dyDescent="0.4">
      <c r="A270" s="527"/>
      <c r="B270" s="626"/>
      <c r="C270" s="90" t="str">
        <f>LEFT($C269,4)&amp;"-"&amp;VALUE(MID($C269,FIND("-",$C269)+1,256))+1</f>
        <v>6280-13</v>
      </c>
      <c r="D270" s="562" t="s">
        <v>473</v>
      </c>
      <c r="E270" s="600"/>
      <c r="F270" s="591">
        <v>1</v>
      </c>
      <c r="G270" s="617"/>
      <c r="H270" s="563">
        <v>470</v>
      </c>
      <c r="I270" s="540">
        <f>SUM(E270:G270)*H270</f>
        <v>470</v>
      </c>
      <c r="J270" s="540">
        <f t="shared" ca="1" si="70"/>
        <v>-443.3</v>
      </c>
      <c r="K270" s="540">
        <f t="shared" ca="1" si="72"/>
        <v>26.699999999999989</v>
      </c>
      <c r="L270" s="586">
        <v>447</v>
      </c>
      <c r="N270" s="966"/>
      <c r="O270" s="965"/>
      <c r="P270" s="306"/>
      <c r="Q270" s="306"/>
      <c r="R270" s="977"/>
    </row>
    <row r="271" spans="1:18" ht="15" customHeight="1" x14ac:dyDescent="0.4">
      <c r="A271" s="555"/>
      <c r="B271" s="678"/>
      <c r="C271" s="112" t="str">
        <f t="shared" si="74"/>
        <v>6280-14</v>
      </c>
      <c r="D271" s="559" t="s">
        <v>474</v>
      </c>
      <c r="E271" s="688"/>
      <c r="F271" s="592">
        <v>2</v>
      </c>
      <c r="G271" s="559"/>
      <c r="H271" s="537">
        <v>353</v>
      </c>
      <c r="I271" s="532">
        <f>SUM(E271+F271+G271)*H271</f>
        <v>706</v>
      </c>
      <c r="J271" s="541">
        <f t="shared" ca="1" si="70"/>
        <v>-664.96</v>
      </c>
      <c r="K271" s="541">
        <f t="shared" ca="1" si="72"/>
        <v>41.039999999999964</v>
      </c>
      <c r="L271" s="560">
        <v>672</v>
      </c>
      <c r="N271" s="966"/>
      <c r="O271" s="965"/>
      <c r="P271" s="306"/>
      <c r="Q271" s="306"/>
      <c r="R271" s="977"/>
    </row>
    <row r="272" spans="1:18" ht="15" customHeight="1" x14ac:dyDescent="0.4">
      <c r="A272" s="527"/>
      <c r="B272" s="626"/>
      <c r="C272" s="90" t="str">
        <f>LEFT($C271,4)&amp;"-"&amp;VALUE(MID($C271,FIND("-",$C271)+1,256))+1</f>
        <v>6280-15</v>
      </c>
      <c r="D272" s="565" t="s">
        <v>475</v>
      </c>
      <c r="E272" s="600"/>
      <c r="F272" s="591">
        <v>2</v>
      </c>
      <c r="G272" s="617"/>
      <c r="H272" s="563">
        <v>5849</v>
      </c>
      <c r="I272" s="540">
        <f t="shared" ref="I272:I301" si="75">(E272+F272+G272)*H272</f>
        <v>11698</v>
      </c>
      <c r="J272" s="540">
        <f t="shared" ca="1" si="70"/>
        <v>-11082.5</v>
      </c>
      <c r="K272" s="540">
        <f t="shared" ca="1" si="72"/>
        <v>615.5</v>
      </c>
      <c r="L272" s="586">
        <v>11140</v>
      </c>
      <c r="N272" s="966"/>
      <c r="O272" s="965"/>
      <c r="P272" s="306"/>
      <c r="Q272" s="306"/>
      <c r="R272" s="977"/>
    </row>
    <row r="273" spans="1:19" ht="15" customHeight="1" x14ac:dyDescent="0.4">
      <c r="A273" s="555"/>
      <c r="B273" s="633"/>
      <c r="C273" s="112" t="str">
        <f t="shared" ref="C273:C281" si="76">LEFT($C272,4)&amp;"-"&amp;VALUE(MID($C272,FIND("-",$C272)+1,256))+1</f>
        <v>6280-16</v>
      </c>
      <c r="D273" s="559" t="s">
        <v>476</v>
      </c>
      <c r="E273" s="601"/>
      <c r="F273" s="592">
        <v>1</v>
      </c>
      <c r="G273" s="650"/>
      <c r="H273" s="537">
        <v>585</v>
      </c>
      <c r="I273" s="532">
        <f t="shared" si="75"/>
        <v>585</v>
      </c>
      <c r="J273" s="541">
        <f t="shared" ca="1" si="70"/>
        <v>-554.13</v>
      </c>
      <c r="K273" s="541">
        <f t="shared" ca="1" si="72"/>
        <v>30.870000000000005</v>
      </c>
      <c r="L273" s="588">
        <v>557</v>
      </c>
      <c r="N273" s="966"/>
      <c r="O273" s="965"/>
      <c r="P273" s="306"/>
      <c r="Q273" s="306"/>
      <c r="R273" s="977"/>
    </row>
    <row r="274" spans="1:19" ht="15" customHeight="1" x14ac:dyDescent="0.4">
      <c r="A274" s="527"/>
      <c r="B274" s="626"/>
      <c r="C274" s="90" t="str">
        <f t="shared" ref="C274:C279" si="77">LEFT($C273,4)&amp;"-"&amp;VALUE(MID($C273,FIND("-",$C273)+1,256))+1</f>
        <v>6280-17</v>
      </c>
      <c r="D274" s="538" t="s">
        <v>477</v>
      </c>
      <c r="E274" s="600"/>
      <c r="F274" s="585">
        <v>1</v>
      </c>
      <c r="G274" s="607"/>
      <c r="H274" s="563">
        <v>585</v>
      </c>
      <c r="I274" s="540">
        <f t="shared" si="75"/>
        <v>585</v>
      </c>
      <c r="J274" s="540">
        <f t="shared" ca="1" si="70"/>
        <v>-554.13</v>
      </c>
      <c r="K274" s="540">
        <f ca="1">SUM(I274:J274)</f>
        <v>30.870000000000005</v>
      </c>
      <c r="L274" s="586">
        <v>557</v>
      </c>
      <c r="N274" s="966"/>
      <c r="O274" s="965"/>
      <c r="P274" s="306"/>
      <c r="Q274" s="306"/>
      <c r="R274" s="977"/>
    </row>
    <row r="275" spans="1:19" ht="15" customHeight="1" x14ac:dyDescent="0.4">
      <c r="A275" s="555"/>
      <c r="B275" s="632"/>
      <c r="C275" s="112" t="str">
        <f t="shared" si="77"/>
        <v>6280-18</v>
      </c>
      <c r="D275" s="530" t="s">
        <v>478</v>
      </c>
      <c r="E275" s="671"/>
      <c r="F275" s="615">
        <v>1</v>
      </c>
      <c r="G275" s="616"/>
      <c r="H275" s="543">
        <v>684</v>
      </c>
      <c r="I275" s="541">
        <f t="shared" si="75"/>
        <v>684</v>
      </c>
      <c r="J275" s="541">
        <f t="shared" ca="1" si="70"/>
        <v>-554.13</v>
      </c>
      <c r="K275" s="541">
        <f t="shared" ca="1" si="72"/>
        <v>129.87</v>
      </c>
      <c r="L275" s="604">
        <v>651</v>
      </c>
      <c r="N275" s="966"/>
      <c r="O275" s="965"/>
      <c r="P275" s="306"/>
      <c r="Q275" s="306"/>
      <c r="R275" s="977"/>
    </row>
    <row r="276" spans="1:19" ht="15" customHeight="1" x14ac:dyDescent="0.4">
      <c r="A276" s="527"/>
      <c r="B276" s="626"/>
      <c r="C276" s="90" t="str">
        <f t="shared" si="77"/>
        <v>6280-19</v>
      </c>
      <c r="D276" s="525" t="s">
        <v>479</v>
      </c>
      <c r="E276" s="617"/>
      <c r="F276" s="591">
        <v>1</v>
      </c>
      <c r="G276" s="617"/>
      <c r="H276" s="563">
        <v>105</v>
      </c>
      <c r="I276" s="540">
        <f t="shared" si="75"/>
        <v>105</v>
      </c>
      <c r="J276" s="540">
        <f t="shared" ca="1" si="70"/>
        <v>-98.74</v>
      </c>
      <c r="K276" s="540">
        <f t="shared" ref="K276:K277" ca="1" si="78">SUM(I276:J276)</f>
        <v>6.2600000000000051</v>
      </c>
      <c r="L276" s="586">
        <v>0</v>
      </c>
      <c r="N276" s="966"/>
      <c r="O276" s="965"/>
      <c r="P276" s="306"/>
      <c r="Q276" s="306"/>
      <c r="R276" s="977"/>
    </row>
    <row r="277" spans="1:19" ht="15" customHeight="1" x14ac:dyDescent="0.4">
      <c r="A277" s="555"/>
      <c r="B277" s="632"/>
      <c r="C277" s="112" t="str">
        <f t="shared" si="77"/>
        <v>6280-20</v>
      </c>
      <c r="D277" s="561" t="s">
        <v>480</v>
      </c>
      <c r="E277" s="614"/>
      <c r="F277" s="609">
        <v>1</v>
      </c>
      <c r="G277" s="614"/>
      <c r="H277" s="543">
        <v>574</v>
      </c>
      <c r="I277" s="532">
        <f t="shared" si="75"/>
        <v>574</v>
      </c>
      <c r="J277" s="541">
        <f t="shared" ca="1" si="70"/>
        <v>-554.13</v>
      </c>
      <c r="K277" s="541">
        <f t="shared" ca="1" si="78"/>
        <v>19.870000000000005</v>
      </c>
      <c r="L277" s="604">
        <v>546</v>
      </c>
      <c r="N277" s="966"/>
      <c r="O277" s="965"/>
      <c r="P277" s="306"/>
      <c r="Q277" s="306"/>
      <c r="R277" s="977"/>
    </row>
    <row r="278" spans="1:19" ht="15" customHeight="1" x14ac:dyDescent="0.4">
      <c r="A278" s="527"/>
      <c r="B278" s="626"/>
      <c r="C278" s="90" t="str">
        <f t="shared" si="77"/>
        <v>6280-21</v>
      </c>
      <c r="D278" s="525" t="s">
        <v>481</v>
      </c>
      <c r="E278" s="617">
        <v>2</v>
      </c>
      <c r="F278" s="591">
        <v>1</v>
      </c>
      <c r="G278" s="617"/>
      <c r="H278" s="563">
        <v>574</v>
      </c>
      <c r="I278" s="540">
        <f t="shared" si="75"/>
        <v>1722</v>
      </c>
      <c r="J278" s="540">
        <f t="shared" ca="1" si="70"/>
        <v>-542.04</v>
      </c>
      <c r="K278" s="540">
        <f t="shared" ca="1" si="72"/>
        <v>1179.96</v>
      </c>
      <c r="L278" s="586">
        <v>1638</v>
      </c>
      <c r="N278" s="966"/>
      <c r="O278" s="965"/>
      <c r="P278" s="306"/>
      <c r="Q278" s="306"/>
      <c r="R278" s="977"/>
    </row>
    <row r="279" spans="1:19" ht="15" customHeight="1" x14ac:dyDescent="0.4">
      <c r="A279" s="555"/>
      <c r="B279" s="632"/>
      <c r="C279" s="112" t="str">
        <f t="shared" si="77"/>
        <v>6280-22</v>
      </c>
      <c r="D279" s="561" t="s">
        <v>482</v>
      </c>
      <c r="E279" s="614"/>
      <c r="F279" s="609">
        <v>50</v>
      </c>
      <c r="G279" s="614"/>
      <c r="H279" s="543">
        <v>231</v>
      </c>
      <c r="I279" s="532">
        <f t="shared" si="75"/>
        <v>11550</v>
      </c>
      <c r="J279" s="541">
        <f t="shared" ca="1" si="70"/>
        <v>-11082.5</v>
      </c>
      <c r="K279" s="541">
        <f t="shared" ca="1" si="72"/>
        <v>467.5</v>
      </c>
      <c r="L279" s="604">
        <v>11000</v>
      </c>
      <c r="M279" s="983"/>
      <c r="N279" s="966"/>
      <c r="O279" s="965"/>
      <c r="P279" s="306"/>
      <c r="Q279" s="306"/>
      <c r="R279" s="977"/>
    </row>
    <row r="280" spans="1:19" ht="15" customHeight="1" x14ac:dyDescent="0.4">
      <c r="A280" s="527"/>
      <c r="B280" s="626"/>
      <c r="C280" s="90" t="str">
        <f t="shared" si="76"/>
        <v>6280-23</v>
      </c>
      <c r="D280" s="525" t="s">
        <v>483</v>
      </c>
      <c r="E280" s="617"/>
      <c r="F280" s="591">
        <v>1</v>
      </c>
      <c r="G280" s="617"/>
      <c r="H280" s="563">
        <v>2500</v>
      </c>
      <c r="I280" s="540">
        <f t="shared" si="75"/>
        <v>2500</v>
      </c>
      <c r="J280" s="540">
        <f t="shared" ca="1" si="70"/>
        <v>0</v>
      </c>
      <c r="K280" s="540">
        <f t="shared" ca="1" si="72"/>
        <v>2500</v>
      </c>
      <c r="L280" s="586">
        <v>2500</v>
      </c>
      <c r="N280" s="993"/>
      <c r="O280" s="965"/>
      <c r="P280" s="306"/>
      <c r="Q280" s="306"/>
      <c r="R280" s="997"/>
    </row>
    <row r="281" spans="1:19" ht="15" customHeight="1" x14ac:dyDescent="0.4">
      <c r="A281" s="555"/>
      <c r="B281" s="632"/>
      <c r="C281" s="112" t="str">
        <f t="shared" si="76"/>
        <v>6280-24</v>
      </c>
      <c r="D281" s="561" t="s">
        <v>484</v>
      </c>
      <c r="E281" s="614"/>
      <c r="F281" s="609"/>
      <c r="G281" s="614">
        <v>1</v>
      </c>
      <c r="H281" s="543">
        <v>2000</v>
      </c>
      <c r="I281" s="532">
        <f t="shared" si="75"/>
        <v>2000</v>
      </c>
      <c r="J281" s="541">
        <f t="shared" ca="1" si="70"/>
        <v>-2390.5499999999997</v>
      </c>
      <c r="K281" s="541">
        <f t="shared" ca="1" si="72"/>
        <v>-390.54999999999973</v>
      </c>
      <c r="L281" s="604">
        <v>2000</v>
      </c>
      <c r="N281" s="966"/>
      <c r="O281" s="965"/>
      <c r="P281" s="306"/>
      <c r="Q281" s="306"/>
      <c r="R281" s="986"/>
    </row>
    <row r="282" spans="1:19" ht="15" customHeight="1" x14ac:dyDescent="0.4">
      <c r="A282" s="527"/>
      <c r="B282" s="626"/>
      <c r="C282" s="90" t="str">
        <f>LEFT($C281,4)&amp;"-"&amp;VALUE(MID($C281,FIND("-",$C281)+1,256))+1</f>
        <v>6280-25</v>
      </c>
      <c r="D282" s="525" t="s">
        <v>485</v>
      </c>
      <c r="E282" s="617"/>
      <c r="F282" s="591">
        <v>1</v>
      </c>
      <c r="G282" s="617"/>
      <c r="H282" s="563">
        <v>900</v>
      </c>
      <c r="I282" s="540">
        <f t="shared" si="75"/>
        <v>900</v>
      </c>
      <c r="J282" s="540">
        <f t="shared" ca="1" si="70"/>
        <v>-494.99</v>
      </c>
      <c r="K282" s="540">
        <f t="shared" ca="1" si="72"/>
        <v>405.01</v>
      </c>
      <c r="L282" s="586">
        <v>900</v>
      </c>
      <c r="N282" s="966"/>
      <c r="O282" s="965"/>
      <c r="P282" s="306"/>
      <c r="Q282" s="306"/>
      <c r="R282" s="977"/>
    </row>
    <row r="283" spans="1:19" ht="15" customHeight="1" x14ac:dyDescent="0.4">
      <c r="A283" s="555"/>
      <c r="B283" s="632"/>
      <c r="C283" s="112" t="str">
        <f t="shared" ref="C283:C289" si="79">LEFT($C282,4)&amp;"-"&amp;VALUE(MID($C282,FIND("-",$C282)+1,256))+1</f>
        <v>6280-26</v>
      </c>
      <c r="D283" s="561" t="s">
        <v>486</v>
      </c>
      <c r="E283" s="614"/>
      <c r="F283" s="609"/>
      <c r="G283" s="614"/>
      <c r="H283" s="543">
        <v>500</v>
      </c>
      <c r="I283" s="532">
        <f t="shared" si="75"/>
        <v>0</v>
      </c>
      <c r="J283" s="541">
        <f t="shared" ca="1" si="70"/>
        <v>0</v>
      </c>
      <c r="K283" s="541">
        <f t="shared" ca="1" si="72"/>
        <v>0</v>
      </c>
      <c r="L283" s="604">
        <v>500</v>
      </c>
      <c r="N283" s="966"/>
      <c r="O283" s="965"/>
      <c r="P283" s="306"/>
      <c r="Q283" s="306"/>
      <c r="R283" s="962"/>
      <c r="S283" s="971"/>
    </row>
    <row r="284" spans="1:19" ht="15" customHeight="1" x14ac:dyDescent="0.4">
      <c r="A284" s="527"/>
      <c r="B284" s="626" t="s">
        <v>466</v>
      </c>
      <c r="C284" s="90" t="str">
        <f t="shared" si="79"/>
        <v>6280-27</v>
      </c>
      <c r="D284" s="525" t="s">
        <v>487</v>
      </c>
      <c r="E284" s="617"/>
      <c r="F284" s="591">
        <v>0</v>
      </c>
      <c r="G284" s="617"/>
      <c r="H284" s="563">
        <v>4950</v>
      </c>
      <c r="I284" s="540">
        <f t="shared" si="75"/>
        <v>0</v>
      </c>
      <c r="J284" s="540">
        <f t="shared" ca="1" si="70"/>
        <v>0</v>
      </c>
      <c r="K284" s="540">
        <f t="shared" ca="1" si="72"/>
        <v>0</v>
      </c>
      <c r="L284" s="586">
        <v>4950</v>
      </c>
      <c r="N284" s="964"/>
      <c r="O284" s="965"/>
      <c r="P284" s="306"/>
      <c r="Q284" s="306"/>
      <c r="R284" s="986"/>
      <c r="S284" s="971"/>
    </row>
    <row r="285" spans="1:19" ht="15" customHeight="1" x14ac:dyDescent="0.4">
      <c r="A285" s="555"/>
      <c r="B285" s="632"/>
      <c r="C285" s="112" t="str">
        <f t="shared" si="79"/>
        <v>6280-28</v>
      </c>
      <c r="D285" s="561" t="s">
        <v>488</v>
      </c>
      <c r="E285" s="614"/>
      <c r="F285" s="609">
        <v>1</v>
      </c>
      <c r="G285" s="614"/>
      <c r="H285" s="543">
        <v>7016</v>
      </c>
      <c r="I285" s="532">
        <f t="shared" si="75"/>
        <v>7016</v>
      </c>
      <c r="J285" s="541">
        <f t="shared" ca="1" si="70"/>
        <v>-3911.3100000000004</v>
      </c>
      <c r="K285" s="541">
        <f t="shared" ca="1" si="72"/>
        <v>3104.6899999999996</v>
      </c>
      <c r="L285" s="604">
        <v>6682</v>
      </c>
      <c r="N285" s="964"/>
      <c r="O285" s="965"/>
      <c r="P285" s="306"/>
      <c r="Q285" s="306"/>
      <c r="R285" s="986"/>
    </row>
    <row r="286" spans="1:19" ht="15" customHeight="1" x14ac:dyDescent="0.4">
      <c r="A286" s="527"/>
      <c r="B286" s="626"/>
      <c r="C286" s="90" t="str">
        <f t="shared" si="79"/>
        <v>6280-29</v>
      </c>
      <c r="D286" s="525" t="s">
        <v>489</v>
      </c>
      <c r="E286" s="617"/>
      <c r="F286" s="591">
        <v>1</v>
      </c>
      <c r="G286" s="617"/>
      <c r="H286" s="563">
        <v>3769</v>
      </c>
      <c r="I286" s="540">
        <f t="shared" si="75"/>
        <v>3769</v>
      </c>
      <c r="J286" s="540">
        <f t="shared" ca="1" si="70"/>
        <v>-3349.01</v>
      </c>
      <c r="K286" s="540">
        <f t="shared" ca="1" si="72"/>
        <v>419.98999999999978</v>
      </c>
      <c r="L286" s="586">
        <v>3589</v>
      </c>
      <c r="N286" s="964"/>
      <c r="O286" s="965"/>
      <c r="P286" s="306"/>
      <c r="Q286" s="306"/>
      <c r="R286" s="986"/>
    </row>
    <row r="287" spans="1:19" ht="15" customHeight="1" x14ac:dyDescent="0.4">
      <c r="A287" s="555"/>
      <c r="B287" s="632"/>
      <c r="C287" s="112" t="str">
        <f t="shared" si="79"/>
        <v>6280-30</v>
      </c>
      <c r="D287" s="561" t="s">
        <v>490</v>
      </c>
      <c r="E287" s="614"/>
      <c r="F287" s="609">
        <v>1</v>
      </c>
      <c r="G287" s="614"/>
      <c r="H287" s="543">
        <v>3500</v>
      </c>
      <c r="I287" s="532">
        <f t="shared" si="75"/>
        <v>3500</v>
      </c>
      <c r="J287" s="541">
        <f t="shared" ca="1" si="70"/>
        <v>0</v>
      </c>
      <c r="K287" s="541">
        <f t="shared" ca="1" si="72"/>
        <v>3500</v>
      </c>
      <c r="L287" s="604">
        <v>3500</v>
      </c>
      <c r="O287" s="965"/>
      <c r="P287" s="306"/>
      <c r="Q287" s="306"/>
      <c r="R287" s="986"/>
    </row>
    <row r="288" spans="1:19" ht="15" customHeight="1" x14ac:dyDescent="0.4">
      <c r="A288" s="527"/>
      <c r="B288" s="626"/>
      <c r="C288" s="90" t="str">
        <f t="shared" si="79"/>
        <v>6280-31</v>
      </c>
      <c r="D288" s="525" t="s">
        <v>491</v>
      </c>
      <c r="E288" s="617"/>
      <c r="F288" s="591">
        <v>1</v>
      </c>
      <c r="G288" s="617"/>
      <c r="H288" s="563">
        <v>2200</v>
      </c>
      <c r="I288" s="540">
        <f t="shared" si="75"/>
        <v>2200</v>
      </c>
      <c r="J288" s="540">
        <f t="shared" ca="1" si="70"/>
        <v>-3150.8399999999992</v>
      </c>
      <c r="K288" s="540">
        <f t="shared" ca="1" si="72"/>
        <v>-950.83999999999924</v>
      </c>
      <c r="L288" s="586">
        <v>2200</v>
      </c>
      <c r="N288" s="966"/>
      <c r="O288" s="965"/>
      <c r="P288" s="306"/>
      <c r="Q288" s="306"/>
      <c r="R288" s="997"/>
    </row>
    <row r="289" spans="1:19" ht="15" customHeight="1" x14ac:dyDescent="0.4">
      <c r="A289" s="555"/>
      <c r="B289" s="632"/>
      <c r="C289" s="112" t="str">
        <f t="shared" si="79"/>
        <v>6280-32</v>
      </c>
      <c r="D289" s="561" t="s">
        <v>492</v>
      </c>
      <c r="E289" s="614"/>
      <c r="F289" s="609">
        <v>14</v>
      </c>
      <c r="G289" s="614"/>
      <c r="H289" s="543">
        <v>600</v>
      </c>
      <c r="I289" s="532">
        <f t="shared" si="75"/>
        <v>8400</v>
      </c>
      <c r="J289" s="541">
        <f t="shared" ca="1" si="70"/>
        <v>-634</v>
      </c>
      <c r="K289" s="541">
        <f t="shared" ca="1" si="72"/>
        <v>7766</v>
      </c>
      <c r="L289" s="604">
        <v>8400</v>
      </c>
      <c r="N289" s="966"/>
      <c r="O289" s="965"/>
      <c r="P289" s="306"/>
      <c r="Q289" s="306"/>
      <c r="R289" s="997"/>
    </row>
    <row r="290" spans="1:19" ht="14.6" x14ac:dyDescent="0.4">
      <c r="A290" s="527"/>
      <c r="B290" s="626"/>
      <c r="C290" s="90" t="str">
        <f>LEFT($C289,4)&amp;"-"&amp;VALUE(MID($C289,FIND("-",$C289)+1,256))+1</f>
        <v>6280-33</v>
      </c>
      <c r="D290" s="525" t="s">
        <v>493</v>
      </c>
      <c r="E290" s="617"/>
      <c r="F290" s="591">
        <v>1</v>
      </c>
      <c r="G290" s="617"/>
      <c r="H290" s="563">
        <v>78000</v>
      </c>
      <c r="I290" s="540">
        <f t="shared" si="75"/>
        <v>78000</v>
      </c>
      <c r="J290" s="540">
        <f t="shared" ca="1" si="70"/>
        <v>-78000</v>
      </c>
      <c r="K290" s="540">
        <f t="shared" ca="1" si="72"/>
        <v>0</v>
      </c>
      <c r="L290" s="586">
        <v>75000</v>
      </c>
      <c r="N290" s="966"/>
      <c r="O290" s="965"/>
      <c r="P290" s="306"/>
      <c r="Q290" s="306"/>
      <c r="R290" s="997"/>
    </row>
    <row r="291" spans="1:19" ht="15" customHeight="1" x14ac:dyDescent="0.4">
      <c r="A291" s="555"/>
      <c r="B291" s="632"/>
      <c r="C291" s="112" t="str">
        <f>LEFT($C290,4)&amp;"-"&amp;VALUE(MID($C290,FIND("-",$C290)+1,256))+1</f>
        <v>6280-34</v>
      </c>
      <c r="D291" s="561" t="s">
        <v>494</v>
      </c>
      <c r="E291" s="614"/>
      <c r="F291" s="609">
        <v>1</v>
      </c>
      <c r="G291" s="614"/>
      <c r="H291" s="543">
        <v>131450</v>
      </c>
      <c r="I291" s="532">
        <f t="shared" si="75"/>
        <v>131450</v>
      </c>
      <c r="J291" s="541">
        <f t="shared" ref="J291:J299" ca="1" si="80">-(SUMIF(INDIRECT(LEFT($A$257,4)&amp;"!i3:i200"),"="&amp;C291&amp;" *",INDIRECT(LEFT($A$257,4)&amp;"!k3:k200")))</f>
        <v>-130493.28</v>
      </c>
      <c r="K291" s="541">
        <f t="shared" ca="1" si="72"/>
        <v>956.72000000000116</v>
      </c>
      <c r="L291" s="604">
        <v>121540</v>
      </c>
      <c r="N291" s="966"/>
      <c r="O291" s="965"/>
      <c r="P291" s="306"/>
      <c r="Q291" s="306"/>
      <c r="R291" s="986"/>
    </row>
    <row r="292" spans="1:19" ht="15" customHeight="1" x14ac:dyDescent="0.4">
      <c r="A292" s="527"/>
      <c r="B292" s="626"/>
      <c r="C292" s="90" t="str">
        <f t="shared" ref="C292:C298" si="81">LEFT($C291,4)&amp;"-"&amp;VALUE(MID($C291,FIND("-",$C291)+1,256))+1</f>
        <v>6280-35</v>
      </c>
      <c r="D292" s="525" t="s">
        <v>495</v>
      </c>
      <c r="E292" s="617"/>
      <c r="F292" s="591">
        <v>1</v>
      </c>
      <c r="G292" s="617"/>
      <c r="H292" s="563">
        <v>1925</v>
      </c>
      <c r="I292" s="540">
        <f t="shared" si="75"/>
        <v>1925</v>
      </c>
      <c r="J292" s="540">
        <f t="shared" ca="1" si="80"/>
        <v>-1921.66</v>
      </c>
      <c r="K292" s="540">
        <f t="shared" ca="1" si="72"/>
        <v>3.3399999999999181</v>
      </c>
      <c r="L292" s="586">
        <v>1867.39</v>
      </c>
      <c r="N292" s="966"/>
      <c r="O292" s="965"/>
      <c r="P292" s="306"/>
      <c r="Q292" s="306"/>
      <c r="R292" s="986"/>
    </row>
    <row r="293" spans="1:19" ht="15" customHeight="1" x14ac:dyDescent="0.4">
      <c r="A293" s="555"/>
      <c r="B293" s="632"/>
      <c r="C293" s="112" t="str">
        <f t="shared" si="81"/>
        <v>6280-36</v>
      </c>
      <c r="D293" s="561" t="s">
        <v>496</v>
      </c>
      <c r="E293" s="614"/>
      <c r="F293" s="609">
        <v>1</v>
      </c>
      <c r="G293" s="614"/>
      <c r="H293" s="543">
        <v>4600</v>
      </c>
      <c r="I293" s="532">
        <f t="shared" si="75"/>
        <v>4600</v>
      </c>
      <c r="J293" s="541">
        <f t="shared" ca="1" si="80"/>
        <v>-4532.1000000000004</v>
      </c>
      <c r="K293" s="541">
        <f t="shared" ca="1" si="72"/>
        <v>67.899999999999636</v>
      </c>
      <c r="L293" s="604">
        <v>4409.43</v>
      </c>
      <c r="N293" s="966"/>
      <c r="O293" s="965"/>
      <c r="P293" s="306"/>
      <c r="Q293" s="306"/>
      <c r="R293" s="986"/>
    </row>
    <row r="294" spans="1:19" ht="15" customHeight="1" x14ac:dyDescent="0.4">
      <c r="A294" s="527"/>
      <c r="B294" s="626"/>
      <c r="C294" s="90" t="str">
        <f t="shared" si="81"/>
        <v>6280-37</v>
      </c>
      <c r="D294" s="525" t="s">
        <v>497</v>
      </c>
      <c r="E294" s="617"/>
      <c r="F294" s="591">
        <v>1</v>
      </c>
      <c r="G294" s="617"/>
      <c r="H294" s="563">
        <v>4000</v>
      </c>
      <c r="I294" s="540">
        <f t="shared" si="75"/>
        <v>4000</v>
      </c>
      <c r="J294" s="540">
        <f t="shared" ca="1" si="80"/>
        <v>-3918.56</v>
      </c>
      <c r="K294" s="540">
        <f t="shared" ca="1" si="72"/>
        <v>81.440000000000055</v>
      </c>
      <c r="L294" s="586">
        <v>3806.88</v>
      </c>
      <c r="N294" s="966"/>
      <c r="O294" s="965"/>
      <c r="P294" s="306"/>
      <c r="Q294" s="306"/>
      <c r="R294" s="986"/>
    </row>
    <row r="295" spans="1:19" ht="15" customHeight="1" x14ac:dyDescent="0.4">
      <c r="A295" s="555"/>
      <c r="B295" s="632"/>
      <c r="C295" s="112" t="str">
        <f t="shared" si="81"/>
        <v>6280-38</v>
      </c>
      <c r="D295" s="561" t="s">
        <v>498</v>
      </c>
      <c r="E295" s="614"/>
      <c r="F295" s="609">
        <v>1</v>
      </c>
      <c r="G295" s="614"/>
      <c r="H295" s="543">
        <v>2000</v>
      </c>
      <c r="I295" s="532">
        <f t="shared" si="75"/>
        <v>2000</v>
      </c>
      <c r="J295" s="541">
        <f t="shared" ca="1" si="80"/>
        <v>0</v>
      </c>
      <c r="K295" s="541">
        <f t="shared" ca="1" si="72"/>
        <v>2000</v>
      </c>
      <c r="L295" s="604">
        <v>1866.36</v>
      </c>
      <c r="N295" s="966"/>
      <c r="O295" s="965"/>
      <c r="P295" s="306"/>
      <c r="Q295" s="306"/>
      <c r="R295" s="986"/>
    </row>
    <row r="296" spans="1:19" ht="15" customHeight="1" x14ac:dyDescent="0.4">
      <c r="A296" s="527"/>
      <c r="B296" s="626"/>
      <c r="C296" s="90" t="str">
        <f t="shared" si="81"/>
        <v>6280-39</v>
      </c>
      <c r="D296" s="525" t="s">
        <v>499</v>
      </c>
      <c r="E296" s="617"/>
      <c r="F296" s="591">
        <v>1</v>
      </c>
      <c r="G296" s="617"/>
      <c r="H296" s="563">
        <v>7850</v>
      </c>
      <c r="I296" s="540">
        <f t="shared" si="75"/>
        <v>7850</v>
      </c>
      <c r="J296" s="540">
        <f t="shared" ca="1" si="80"/>
        <v>0</v>
      </c>
      <c r="K296" s="540">
        <f t="shared" ca="1" si="72"/>
        <v>7850</v>
      </c>
      <c r="L296" s="586">
        <v>7601.4</v>
      </c>
      <c r="N296" s="966"/>
      <c r="O296" s="965"/>
      <c r="P296" s="306"/>
      <c r="Q296" s="306"/>
      <c r="R296" s="986"/>
    </row>
    <row r="297" spans="1:19" ht="15" customHeight="1" x14ac:dyDescent="0.4">
      <c r="A297" s="555"/>
      <c r="B297" s="632"/>
      <c r="C297" s="112" t="str">
        <f t="shared" si="81"/>
        <v>6280-40</v>
      </c>
      <c r="D297" s="561" t="s">
        <v>500</v>
      </c>
      <c r="E297" s="614"/>
      <c r="F297" s="609">
        <v>1</v>
      </c>
      <c r="G297" s="614"/>
      <c r="H297" s="543">
        <v>3250</v>
      </c>
      <c r="I297" s="532">
        <f t="shared" si="75"/>
        <v>3250</v>
      </c>
      <c r="J297" s="541">
        <f t="shared" ca="1" si="80"/>
        <v>-3258.72</v>
      </c>
      <c r="K297" s="541">
        <f t="shared" ca="1" si="72"/>
        <v>-8.7199999999997999</v>
      </c>
      <c r="L297" s="604">
        <v>3144.59</v>
      </c>
      <c r="N297" s="966"/>
      <c r="O297" s="965"/>
      <c r="P297" s="306"/>
      <c r="Q297" s="306"/>
      <c r="R297" s="986"/>
    </row>
    <row r="298" spans="1:19" ht="15" customHeight="1" x14ac:dyDescent="0.4">
      <c r="A298" s="527"/>
      <c r="B298" s="626"/>
      <c r="C298" s="90" t="str">
        <f t="shared" si="81"/>
        <v>6280-41</v>
      </c>
      <c r="D298" s="525" t="s">
        <v>501</v>
      </c>
      <c r="E298" s="617"/>
      <c r="F298" s="591">
        <v>1</v>
      </c>
      <c r="G298" s="617"/>
      <c r="H298" s="563">
        <v>13400</v>
      </c>
      <c r="I298" s="540">
        <f t="shared" si="75"/>
        <v>13400</v>
      </c>
      <c r="J298" s="540">
        <f t="shared" ca="1" si="80"/>
        <v>-13350.75</v>
      </c>
      <c r="K298" s="540">
        <f t="shared" ca="1" si="72"/>
        <v>49.25</v>
      </c>
      <c r="L298" s="586">
        <v>12978</v>
      </c>
      <c r="N298" s="966"/>
      <c r="O298" s="965"/>
      <c r="P298" s="306"/>
      <c r="Q298" s="306"/>
      <c r="R298" s="997"/>
    </row>
    <row r="299" spans="1:19" ht="14.6" x14ac:dyDescent="0.4">
      <c r="A299" s="555"/>
      <c r="B299" s="632" t="s">
        <v>502</v>
      </c>
      <c r="C299" s="112" t="str">
        <f>LEFT($C298,4)&amp;"-"&amp;VALUE(MID($C298,FIND("-",$C298)+1,256))+1</f>
        <v>6280-42</v>
      </c>
      <c r="D299" s="561" t="s">
        <v>503</v>
      </c>
      <c r="E299" s="614"/>
      <c r="F299" s="609">
        <v>1</v>
      </c>
      <c r="G299" s="614"/>
      <c r="H299" s="543">
        <v>38000</v>
      </c>
      <c r="I299" s="532">
        <f t="shared" si="75"/>
        <v>38000</v>
      </c>
      <c r="J299" s="541">
        <f t="shared" ca="1" si="80"/>
        <v>-38000</v>
      </c>
      <c r="K299" s="541">
        <f t="shared" ca="1" si="72"/>
        <v>0</v>
      </c>
      <c r="L299" s="604">
        <v>25282.5</v>
      </c>
      <c r="N299" s="966"/>
      <c r="O299" s="965"/>
      <c r="P299" s="306"/>
      <c r="Q299" s="306"/>
      <c r="R299" s="997"/>
      <c r="S299" s="971"/>
    </row>
    <row r="300" spans="1:19" ht="15" customHeight="1" x14ac:dyDescent="0.4">
      <c r="A300" s="527"/>
      <c r="B300" s="626"/>
      <c r="C300" s="90" t="str">
        <f>LEFT($C299,4)&amp;"-"&amp;VALUE(MID($C299,FIND("-",$C299)+1,256))+1</f>
        <v>6280-43</v>
      </c>
      <c r="D300" s="525" t="s">
        <v>504</v>
      </c>
      <c r="E300" s="617"/>
      <c r="F300" s="591">
        <v>2</v>
      </c>
      <c r="G300" s="617"/>
      <c r="H300" s="563">
        <v>2500</v>
      </c>
      <c r="I300" s="540">
        <f t="shared" si="75"/>
        <v>5000</v>
      </c>
      <c r="J300" s="540">
        <f ca="1">-(SUMIF(INDIRECT(LEFT($A$257,4)&amp;"!i3:i200"),"="&amp;C300&amp;" *",INDIRECT(LEFT($A$257,4)&amp;"!k3:k200")))</f>
        <v>-3297.98</v>
      </c>
      <c r="K300" s="540">
        <f t="shared" ref="K300" ca="1" si="82">SUM(I300:J300)</f>
        <v>1702.02</v>
      </c>
      <c r="L300" s="586">
        <v>5000</v>
      </c>
      <c r="N300" s="993"/>
      <c r="O300" s="965"/>
      <c r="P300" s="306"/>
      <c r="Q300" s="306"/>
      <c r="R300" s="994"/>
    </row>
    <row r="301" spans="1:19" ht="15" customHeight="1" x14ac:dyDescent="0.4">
      <c r="A301" s="555"/>
      <c r="B301" s="632"/>
      <c r="C301" s="112" t="str">
        <f t="shared" ref="C301" si="83">LEFT($C300,4)&amp;"-"&amp;VALUE(MID($C300,FIND("-",$C300)+1,256))+1</f>
        <v>6280-44</v>
      </c>
      <c r="D301" s="561" t="s">
        <v>505</v>
      </c>
      <c r="E301" s="614"/>
      <c r="F301" s="609">
        <v>2</v>
      </c>
      <c r="G301" s="614"/>
      <c r="H301" s="543">
        <v>250</v>
      </c>
      <c r="I301" s="532">
        <f t="shared" si="75"/>
        <v>500</v>
      </c>
      <c r="J301" s="541">
        <f ca="1">-(SUMIF(INDIRECT(LEFT($A$257,4)&amp;"!i3:i200"),"="&amp;C301&amp;" *",INDIRECT(LEFT($A$257,4)&amp;"!k3:k200")))</f>
        <v>0</v>
      </c>
      <c r="K301" s="541">
        <f t="shared" ca="1" si="72"/>
        <v>500</v>
      </c>
      <c r="L301" s="604">
        <v>500</v>
      </c>
      <c r="N301" s="993"/>
      <c r="O301" s="965"/>
      <c r="P301" s="306"/>
      <c r="Q301" s="306"/>
      <c r="R301" s="994"/>
    </row>
    <row r="302" spans="1:19" ht="15" customHeight="1" thickBot="1" x14ac:dyDescent="0.45">
      <c r="B302" s="636"/>
      <c r="C302" s="90"/>
      <c r="D302" s="544" t="s">
        <v>106</v>
      </c>
      <c r="E302" s="545"/>
      <c r="F302" s="545"/>
      <c r="G302" s="421"/>
      <c r="H302" s="546">
        <f>(I302-L302)/L302</f>
        <v>6.7261257556691934E-2</v>
      </c>
      <c r="I302" s="548">
        <f>SUM(I258:I301)</f>
        <v>421239</v>
      </c>
      <c r="J302" s="548">
        <f ca="1">SUM(J258:J273) + SUM(J274:J301)</f>
        <v>-370496.02999999997</v>
      </c>
      <c r="K302" s="548">
        <f ca="1">SUM(K258:K273) + SUM(K274:K301)</f>
        <v>50742.97</v>
      </c>
      <c r="L302" s="597">
        <f>SUM(L258:M301)</f>
        <v>394691.55000000005</v>
      </c>
      <c r="O302" s="965"/>
      <c r="P302" s="306"/>
      <c r="Q302" s="306"/>
      <c r="R302" s="962"/>
    </row>
    <row r="303" spans="1:19" ht="11.25" customHeight="1" thickTop="1" x14ac:dyDescent="0.4">
      <c r="B303" s="86"/>
      <c r="C303" s="90"/>
      <c r="D303" s="66"/>
      <c r="E303" s="67"/>
      <c r="F303" s="67"/>
      <c r="G303" s="18"/>
      <c r="H303" s="220"/>
      <c r="I303" s="227"/>
      <c r="J303" s="227"/>
      <c r="K303" s="227"/>
      <c r="L303" s="228"/>
      <c r="O303" s="965"/>
      <c r="P303" s="306"/>
      <c r="Q303" s="306"/>
      <c r="R303" s="962"/>
    </row>
    <row r="304" spans="1:19" ht="19.5" customHeight="1" x14ac:dyDescent="0.5">
      <c r="A304" s="950" t="s">
        <v>506</v>
      </c>
      <c r="B304" s="950"/>
      <c r="C304" s="950"/>
      <c r="D304" s="950"/>
      <c r="E304" s="950"/>
      <c r="F304" s="950"/>
      <c r="G304" s="950"/>
      <c r="H304" s="950"/>
      <c r="I304" s="950"/>
      <c r="J304" s="950"/>
      <c r="K304" s="950"/>
      <c r="L304" s="950"/>
      <c r="O304" s="965"/>
      <c r="P304" s="306"/>
      <c r="Q304" s="306"/>
      <c r="R304" s="962"/>
    </row>
    <row r="305" spans="1:30" ht="15" customHeight="1" x14ac:dyDescent="0.4">
      <c r="A305" s="527"/>
      <c r="B305" s="622"/>
      <c r="C305" s="90" t="str">
        <f>LEFT($A304,4)&amp;"-1"</f>
        <v>6285-1</v>
      </c>
      <c r="D305" s="534" t="s">
        <v>507</v>
      </c>
      <c r="E305" s="468"/>
      <c r="F305" s="591">
        <v>17</v>
      </c>
      <c r="G305" s="468"/>
      <c r="H305" s="528">
        <v>204</v>
      </c>
      <c r="I305" s="529">
        <f t="shared" ref="I305:I323" si="84">(E305+F305+G305)*H305</f>
        <v>3468</v>
      </c>
      <c r="J305" s="529">
        <f ca="1">-(SUMIF(INDIRECT(LEFT($A$304,4)&amp;"!i3:i200"),"="&amp;C305&amp;" *",INDIRECT(LEFT($A$304,4)&amp;"!k3:k200")))</f>
        <v>-2878.8</v>
      </c>
      <c r="K305" s="529">
        <f t="shared" ref="K305:K306" ca="1" si="85">SUM(I305:J305)</f>
        <v>589.19999999999982</v>
      </c>
      <c r="L305" s="419">
        <v>3060</v>
      </c>
      <c r="M305" s="983"/>
      <c r="N305" s="966"/>
      <c r="O305" s="965"/>
      <c r="P305" s="306"/>
      <c r="Q305" s="306"/>
    </row>
    <row r="306" spans="1:30" ht="15" customHeight="1" x14ac:dyDescent="0.4">
      <c r="A306" s="555"/>
      <c r="B306" s="635"/>
      <c r="C306" s="224" t="str">
        <f t="shared" ref="C306:C322" si="86">LEFT($C305,4)&amp;"-"&amp;VALUE(MID($C305,FIND("-",$C305)+1,256))+1</f>
        <v>6285-2</v>
      </c>
      <c r="D306" s="689" t="s">
        <v>508</v>
      </c>
      <c r="E306" s="665"/>
      <c r="F306" s="666">
        <v>24</v>
      </c>
      <c r="G306" s="665"/>
      <c r="H306" s="667">
        <v>250</v>
      </c>
      <c r="I306" s="571">
        <f>(E306+F306+G306)*H306</f>
        <v>6000</v>
      </c>
      <c r="J306" s="571">
        <f ca="1">-(SUMIF(INDIRECT(LEFT($A$304,4)&amp;"!i3:i200"),"="&amp;C306&amp;" *",INDIRECT(LEFT($A$304,4)&amp;"!k3:k200")))</f>
        <v>-4399.25</v>
      </c>
      <c r="K306" s="571">
        <f t="shared" ca="1" si="85"/>
        <v>1600.75</v>
      </c>
      <c r="L306" s="595">
        <v>5500</v>
      </c>
      <c r="N306" s="993"/>
      <c r="O306" s="965"/>
      <c r="P306" s="306"/>
      <c r="Q306" s="306"/>
      <c r="R306" s="980"/>
    </row>
    <row r="307" spans="1:30" ht="15" customHeight="1" x14ac:dyDescent="0.4">
      <c r="A307" s="527"/>
      <c r="B307" s="625" t="s">
        <v>79</v>
      </c>
      <c r="C307" s="135" t="str">
        <f t="shared" si="86"/>
        <v>6285-3</v>
      </c>
      <c r="D307" s="534" t="s">
        <v>509</v>
      </c>
      <c r="E307" s="545"/>
      <c r="F307" s="576">
        <v>1</v>
      </c>
      <c r="G307" s="448"/>
      <c r="H307" s="528">
        <v>6000</v>
      </c>
      <c r="I307" s="529">
        <f>(E307+F307+G307)*H307</f>
        <v>6000</v>
      </c>
      <c r="J307" s="529">
        <f ca="1">-(SUMIF(INDIRECT(LEFT($A$304,4)&amp;"!i3:i200"),"="&amp;C307&amp;" *",INDIRECT(LEFT($A$304,4)&amp;"!k3:k200")))</f>
        <v>-5996.25</v>
      </c>
      <c r="K307" s="529"/>
      <c r="L307" s="419">
        <v>3780</v>
      </c>
      <c r="N307" s="964"/>
      <c r="O307" s="965"/>
      <c r="P307" s="306"/>
      <c r="Q307" s="306"/>
      <c r="R307" s="962"/>
    </row>
    <row r="308" spans="1:30" ht="15" customHeight="1" x14ac:dyDescent="0.4">
      <c r="A308" s="555"/>
      <c r="B308" s="633"/>
      <c r="C308" s="224" t="str">
        <f t="shared" si="86"/>
        <v>6285-4</v>
      </c>
      <c r="D308" s="566" t="s">
        <v>510</v>
      </c>
      <c r="E308" s="649"/>
      <c r="F308" s="592">
        <v>4</v>
      </c>
      <c r="G308" s="649"/>
      <c r="H308" s="537">
        <v>500</v>
      </c>
      <c r="I308" s="532">
        <f t="shared" si="84"/>
        <v>2000</v>
      </c>
      <c r="J308" s="532">
        <f ca="1">-(SUMIF(INDIRECT(LEFT($A$304,4)&amp;"!i3:i200"),"="&amp;C308&amp;" *",INDIRECT(LEFT($A$304,4)&amp;"!k3:k200")))</f>
        <v>-2499.89</v>
      </c>
      <c r="K308" s="532">
        <f t="shared" ref="K308:K322" ca="1" si="87">SUM(I308:J308)</f>
        <v>-499.88999999999987</v>
      </c>
      <c r="L308" s="588">
        <v>2000</v>
      </c>
      <c r="N308" s="964"/>
      <c r="O308" s="965"/>
      <c r="P308" s="306"/>
      <c r="Q308" s="306"/>
      <c r="R308" s="962"/>
    </row>
    <row r="309" spans="1:30" ht="15" customHeight="1" x14ac:dyDescent="0.4">
      <c r="A309" s="527"/>
      <c r="B309" s="625" t="s">
        <v>466</v>
      </c>
      <c r="C309" s="135" t="str">
        <f t="shared" si="86"/>
        <v>6285-5</v>
      </c>
      <c r="D309" s="551" t="s">
        <v>511</v>
      </c>
      <c r="E309" s="593"/>
      <c r="F309" s="576">
        <v>0</v>
      </c>
      <c r="G309" s="593"/>
      <c r="H309" s="528">
        <v>900</v>
      </c>
      <c r="I309" s="529">
        <f>(E309+F309+G309)*H309</f>
        <v>0</v>
      </c>
      <c r="J309" s="529"/>
      <c r="K309" s="529"/>
      <c r="L309" s="419">
        <v>10800</v>
      </c>
      <c r="N309" s="964"/>
      <c r="O309" s="965"/>
      <c r="P309" s="306"/>
      <c r="Q309" s="306"/>
      <c r="R309" s="962"/>
    </row>
    <row r="310" spans="1:30" ht="15" customHeight="1" x14ac:dyDescent="0.4">
      <c r="A310" s="555"/>
      <c r="B310" s="632"/>
      <c r="C310" s="224" t="str">
        <f t="shared" si="86"/>
        <v>6285-6</v>
      </c>
      <c r="D310" s="602" t="s">
        <v>512</v>
      </c>
      <c r="E310" s="603"/>
      <c r="F310" s="615"/>
      <c r="G310" s="603">
        <v>1</v>
      </c>
      <c r="H310" s="543">
        <v>20000</v>
      </c>
      <c r="I310" s="532">
        <f t="shared" si="84"/>
        <v>20000</v>
      </c>
      <c r="J310" s="532">
        <f t="shared" ref="J310:J323" ca="1" si="88">-(SUMIF(INDIRECT(LEFT($A$304,4)&amp;"!i3:i200"),"="&amp;C310&amp;" *",INDIRECT(LEFT($A$304,4)&amp;"!k3:k200")))</f>
        <v>-17823.189999999999</v>
      </c>
      <c r="K310" s="532">
        <f t="shared" ca="1" si="87"/>
        <v>2176.8100000000013</v>
      </c>
      <c r="L310" s="604">
        <v>15000</v>
      </c>
      <c r="N310" s="964"/>
      <c r="O310" s="965"/>
      <c r="P310" s="306"/>
      <c r="Q310" s="306"/>
      <c r="R310" s="962"/>
      <c r="S310" s="971"/>
    </row>
    <row r="311" spans="1:30" ht="15" customHeight="1" x14ac:dyDescent="0.4">
      <c r="A311" s="527"/>
      <c r="B311" s="625"/>
      <c r="C311" s="135" t="str">
        <f t="shared" si="86"/>
        <v>6285-7</v>
      </c>
      <c r="D311" s="534" t="s">
        <v>513</v>
      </c>
      <c r="E311" s="545"/>
      <c r="F311" s="576">
        <v>12</v>
      </c>
      <c r="G311" s="448"/>
      <c r="H311" s="528">
        <v>5042</v>
      </c>
      <c r="I311" s="529">
        <f t="shared" si="84"/>
        <v>60504</v>
      </c>
      <c r="J311" s="529">
        <f t="shared" ca="1" si="88"/>
        <v>-60500.039999999986</v>
      </c>
      <c r="K311" s="529">
        <f t="shared" ca="1" si="87"/>
        <v>3.9600000000136788</v>
      </c>
      <c r="L311" s="419">
        <v>60504</v>
      </c>
      <c r="N311" s="964"/>
      <c r="O311" s="965"/>
      <c r="P311" s="306"/>
      <c r="Q311" s="306"/>
      <c r="R311" s="962"/>
      <c r="S311" s="978"/>
      <c r="T311" s="966"/>
      <c r="U311" s="966"/>
      <c r="V311" s="966"/>
      <c r="W311" s="966"/>
      <c r="X311" s="3"/>
      <c r="Y311" s="3"/>
      <c r="Z311" s="3"/>
      <c r="AA311" s="3"/>
      <c r="AB311" s="3"/>
      <c r="AC311" s="3"/>
      <c r="AD311" s="3"/>
    </row>
    <row r="312" spans="1:30" ht="15" customHeight="1" x14ac:dyDescent="0.4">
      <c r="A312" s="555"/>
      <c r="B312" s="633"/>
      <c r="C312" s="224" t="str">
        <f t="shared" si="86"/>
        <v>6285-8</v>
      </c>
      <c r="D312" s="564" t="s">
        <v>514</v>
      </c>
      <c r="E312" s="599"/>
      <c r="F312" s="587">
        <v>1</v>
      </c>
      <c r="G312" s="599"/>
      <c r="H312" s="537">
        <v>50</v>
      </c>
      <c r="I312" s="532">
        <f t="shared" si="84"/>
        <v>50</v>
      </c>
      <c r="J312" s="532">
        <f t="shared" ca="1" si="88"/>
        <v>0</v>
      </c>
      <c r="K312" s="532">
        <f t="shared" ca="1" si="87"/>
        <v>50</v>
      </c>
      <c r="L312" s="588">
        <v>0</v>
      </c>
      <c r="N312" s="993"/>
      <c r="O312" s="965"/>
      <c r="P312" s="306"/>
      <c r="Q312" s="306"/>
      <c r="R312" s="962"/>
    </row>
    <row r="313" spans="1:30" ht="15" customHeight="1" x14ac:dyDescent="0.4">
      <c r="A313" s="527"/>
      <c r="B313" s="622"/>
      <c r="C313" s="135" t="str">
        <f t="shared" si="86"/>
        <v>6285-9</v>
      </c>
      <c r="D313" s="581" t="s">
        <v>515</v>
      </c>
      <c r="E313" s="593"/>
      <c r="F313" s="576">
        <v>1</v>
      </c>
      <c r="G313" s="593"/>
      <c r="H313" s="528">
        <v>1000</v>
      </c>
      <c r="I313" s="529">
        <f t="shared" si="84"/>
        <v>1000</v>
      </c>
      <c r="J313" s="529">
        <f t="shared" ca="1" si="88"/>
        <v>-947</v>
      </c>
      <c r="K313" s="529">
        <f t="shared" ca="1" si="87"/>
        <v>53</v>
      </c>
      <c r="L313" s="419">
        <v>1000</v>
      </c>
      <c r="N313" s="966"/>
      <c r="O313" s="965"/>
      <c r="P313" s="306"/>
      <c r="Q313" s="306"/>
      <c r="R313" s="962"/>
    </row>
    <row r="314" spans="1:30" ht="15" customHeight="1" x14ac:dyDescent="0.4">
      <c r="A314" s="555"/>
      <c r="B314" s="632"/>
      <c r="C314" s="224" t="str">
        <f t="shared" si="86"/>
        <v>6285-10</v>
      </c>
      <c r="D314" s="690" t="s">
        <v>516</v>
      </c>
      <c r="E314" s="614"/>
      <c r="F314" s="609">
        <v>1</v>
      </c>
      <c r="G314" s="614"/>
      <c r="H314" s="543">
        <v>4000</v>
      </c>
      <c r="I314" s="532">
        <f t="shared" si="84"/>
        <v>4000</v>
      </c>
      <c r="J314" s="532">
        <f t="shared" ca="1" si="88"/>
        <v>-2998.33</v>
      </c>
      <c r="K314" s="532">
        <f t="shared" ca="1" si="87"/>
        <v>1001.6700000000001</v>
      </c>
      <c r="L314" s="604">
        <v>4000</v>
      </c>
      <c r="N314" s="964"/>
      <c r="O314" s="965"/>
      <c r="P314" s="306"/>
      <c r="Q314" s="306"/>
      <c r="R314" s="962"/>
    </row>
    <row r="315" spans="1:30" ht="15" customHeight="1" x14ac:dyDescent="0.4">
      <c r="A315" s="527"/>
      <c r="B315" s="626"/>
      <c r="C315" s="135" t="str">
        <f t="shared" si="86"/>
        <v>6285-11</v>
      </c>
      <c r="D315" s="691" t="s">
        <v>517</v>
      </c>
      <c r="E315" s="617"/>
      <c r="F315" s="591">
        <v>1</v>
      </c>
      <c r="G315" s="617"/>
      <c r="H315" s="563">
        <v>1000</v>
      </c>
      <c r="I315" s="529">
        <f t="shared" si="84"/>
        <v>1000</v>
      </c>
      <c r="J315" s="529">
        <f t="shared" ca="1" si="88"/>
        <v>-911.58</v>
      </c>
      <c r="K315" s="529">
        <f t="shared" ca="1" si="87"/>
        <v>88.419999999999959</v>
      </c>
      <c r="L315" s="586">
        <v>2000</v>
      </c>
      <c r="N315" s="966"/>
      <c r="O315" s="965"/>
      <c r="P315" s="306"/>
      <c r="Q315" s="306"/>
      <c r="R315" s="962"/>
    </row>
    <row r="316" spans="1:30" ht="15" customHeight="1" x14ac:dyDescent="0.4">
      <c r="A316" s="555"/>
      <c r="B316" s="633" t="s">
        <v>518</v>
      </c>
      <c r="C316" s="224" t="str">
        <f t="shared" si="86"/>
        <v>6285-12</v>
      </c>
      <c r="D316" s="590" t="s">
        <v>519</v>
      </c>
      <c r="E316" s="599"/>
      <c r="F316" s="587">
        <v>11</v>
      </c>
      <c r="G316" s="599"/>
      <c r="H316" s="537">
        <v>2300</v>
      </c>
      <c r="I316" s="532">
        <f t="shared" si="84"/>
        <v>25300</v>
      </c>
      <c r="J316" s="532">
        <f t="shared" ca="1" si="88"/>
        <v>-32921.94</v>
      </c>
      <c r="K316" s="532">
        <f t="shared" ca="1" si="87"/>
        <v>-7621.9400000000023</v>
      </c>
      <c r="L316" s="588">
        <v>23400</v>
      </c>
      <c r="N316" s="966"/>
      <c r="O316" s="965"/>
      <c r="P316" s="306"/>
      <c r="Q316" s="306"/>
      <c r="R316" s="962"/>
    </row>
    <row r="317" spans="1:30" ht="15" customHeight="1" x14ac:dyDescent="0.4">
      <c r="A317" s="527"/>
      <c r="B317" s="625" t="s">
        <v>518</v>
      </c>
      <c r="C317" s="135" t="str">
        <f t="shared" si="86"/>
        <v>6285-13</v>
      </c>
      <c r="D317" s="534" t="s">
        <v>520</v>
      </c>
      <c r="E317" s="545"/>
      <c r="F317" s="576">
        <v>1</v>
      </c>
      <c r="G317" s="448"/>
      <c r="H317" s="528">
        <v>200</v>
      </c>
      <c r="I317" s="529">
        <f t="shared" si="84"/>
        <v>200</v>
      </c>
      <c r="J317" s="529">
        <f t="shared" ca="1" si="88"/>
        <v>-231.21999999999997</v>
      </c>
      <c r="K317" s="529">
        <f t="shared" ca="1" si="87"/>
        <v>-31.21999999999997</v>
      </c>
      <c r="L317" s="419">
        <v>100</v>
      </c>
      <c r="N317" s="966"/>
      <c r="O317" s="965"/>
      <c r="P317" s="306"/>
      <c r="Q317" s="306"/>
      <c r="R317" s="962"/>
    </row>
    <row r="318" spans="1:30" ht="15" customHeight="1" x14ac:dyDescent="0.4">
      <c r="A318" s="555"/>
      <c r="B318" s="633"/>
      <c r="C318" s="224" t="str">
        <f t="shared" si="86"/>
        <v>6285-14</v>
      </c>
      <c r="D318" s="564" t="s">
        <v>521</v>
      </c>
      <c r="E318" s="599"/>
      <c r="F318" s="587">
        <v>13</v>
      </c>
      <c r="G318" s="599"/>
      <c r="H318" s="537">
        <v>350</v>
      </c>
      <c r="I318" s="532">
        <f t="shared" si="84"/>
        <v>4550</v>
      </c>
      <c r="J318" s="532">
        <f t="shared" ca="1" si="88"/>
        <v>-3926.3999999999992</v>
      </c>
      <c r="K318" s="532">
        <f t="shared" ca="1" si="87"/>
        <v>623.60000000000082</v>
      </c>
      <c r="L318" s="588">
        <v>4550</v>
      </c>
      <c r="N318" s="966"/>
      <c r="O318" s="965"/>
      <c r="P318" s="306"/>
      <c r="Q318" s="306"/>
      <c r="R318" s="962"/>
    </row>
    <row r="319" spans="1:30" ht="15" customHeight="1" x14ac:dyDescent="0.4">
      <c r="A319" s="527"/>
      <c r="B319" s="626"/>
      <c r="C319" s="135" t="str">
        <f t="shared" si="86"/>
        <v>6285-15</v>
      </c>
      <c r="D319" s="691" t="s">
        <v>522</v>
      </c>
      <c r="E319" s="617"/>
      <c r="F319" s="591">
        <v>1</v>
      </c>
      <c r="G319" s="617"/>
      <c r="H319" s="563">
        <v>4500</v>
      </c>
      <c r="I319" s="529">
        <f t="shared" si="84"/>
        <v>4500</v>
      </c>
      <c r="J319" s="529">
        <f t="shared" ca="1" si="88"/>
        <v>-4498.8</v>
      </c>
      <c r="K319" s="529">
        <f t="shared" ca="1" si="87"/>
        <v>1.1999999999998181</v>
      </c>
      <c r="L319" s="586">
        <v>4500</v>
      </c>
      <c r="N319" s="966"/>
      <c r="O319" s="965"/>
      <c r="P319" s="306"/>
      <c r="Q319" s="306"/>
      <c r="R319" s="977"/>
    </row>
    <row r="320" spans="1:30" ht="15" customHeight="1" x14ac:dyDescent="0.4">
      <c r="A320" s="555"/>
      <c r="B320" s="633"/>
      <c r="C320" s="224" t="str">
        <f t="shared" si="86"/>
        <v>6285-16</v>
      </c>
      <c r="D320" s="564" t="s">
        <v>523</v>
      </c>
      <c r="E320" s="599"/>
      <c r="F320" s="587">
        <v>1</v>
      </c>
      <c r="G320" s="599"/>
      <c r="H320" s="537">
        <v>7180</v>
      </c>
      <c r="I320" s="532">
        <f t="shared" si="84"/>
        <v>7180</v>
      </c>
      <c r="J320" s="532">
        <f t="shared" ca="1" si="88"/>
        <v>-7320</v>
      </c>
      <c r="K320" s="532">
        <f t="shared" ca="1" si="87"/>
        <v>-140</v>
      </c>
      <c r="L320" s="588">
        <v>7180</v>
      </c>
      <c r="N320" s="966"/>
      <c r="O320" s="965"/>
      <c r="P320" s="306"/>
      <c r="Q320" s="306"/>
      <c r="R320" s="962"/>
    </row>
    <row r="321" spans="1:18" ht="36.65" customHeight="1" x14ac:dyDescent="0.4">
      <c r="A321" s="527"/>
      <c r="B321" s="625" t="s">
        <v>524</v>
      </c>
      <c r="C321" s="135" t="str">
        <f t="shared" si="86"/>
        <v>6285-17</v>
      </c>
      <c r="D321" s="534" t="s">
        <v>525</v>
      </c>
      <c r="E321" s="468"/>
      <c r="F321" s="576">
        <v>0</v>
      </c>
      <c r="G321" s="468"/>
      <c r="H321" s="528">
        <v>480</v>
      </c>
      <c r="I321" s="540">
        <f t="shared" si="84"/>
        <v>0</v>
      </c>
      <c r="J321" s="540">
        <f t="shared" ca="1" si="88"/>
        <v>0</v>
      </c>
      <c r="K321" s="540">
        <f t="shared" ca="1" si="87"/>
        <v>0</v>
      </c>
      <c r="L321" s="586">
        <v>10080</v>
      </c>
      <c r="M321" s="983"/>
      <c r="N321" s="966"/>
      <c r="O321" s="965"/>
      <c r="P321" s="306"/>
      <c r="Q321" s="306"/>
    </row>
    <row r="322" spans="1:18" ht="22.3" x14ac:dyDescent="0.4">
      <c r="A322" s="555"/>
      <c r="B322" s="629" t="s">
        <v>526</v>
      </c>
      <c r="C322" s="224" t="str">
        <f t="shared" si="86"/>
        <v>6285-18</v>
      </c>
      <c r="D322" s="530" t="s">
        <v>527</v>
      </c>
      <c r="E322" s="883"/>
      <c r="F322" s="615">
        <v>0</v>
      </c>
      <c r="G322" s="884"/>
      <c r="H322" s="543">
        <v>350</v>
      </c>
      <c r="I322" s="541">
        <f t="shared" si="84"/>
        <v>0</v>
      </c>
      <c r="J322" s="541">
        <f t="shared" ca="1" si="88"/>
        <v>0</v>
      </c>
      <c r="K322" s="541">
        <f t="shared" ca="1" si="87"/>
        <v>0</v>
      </c>
      <c r="L322" s="604">
        <v>300</v>
      </c>
      <c r="M322" s="967"/>
      <c r="N322" s="964"/>
      <c r="O322" s="965"/>
      <c r="P322" s="306"/>
      <c r="Q322" s="306"/>
      <c r="R322" s="962"/>
    </row>
    <row r="323" spans="1:18" ht="43.75" x14ac:dyDescent="0.4">
      <c r="A323" s="527"/>
      <c r="B323" s="881" t="s">
        <v>528</v>
      </c>
      <c r="C323" s="882" t="str">
        <f>LEFT($C322,4)&amp;"-"&amp;VALUE(MID($C322,FIND("-",$C322)+1,256))+1</f>
        <v>6285-19</v>
      </c>
      <c r="D323" s="691" t="s">
        <v>529</v>
      </c>
      <c r="E323" s="617"/>
      <c r="F323" s="591">
        <v>75</v>
      </c>
      <c r="G323" s="617"/>
      <c r="H323" s="563">
        <v>444</v>
      </c>
      <c r="I323" s="586">
        <f t="shared" si="84"/>
        <v>33300</v>
      </c>
      <c r="J323" s="540">
        <f t="shared" ca="1" si="88"/>
        <v>-36391.230000000003</v>
      </c>
      <c r="K323" s="540">
        <f ca="1">SUM(I323:J323)</f>
        <v>-3091.2300000000032</v>
      </c>
      <c r="L323" s="586"/>
      <c r="N323" s="964"/>
      <c r="O323" s="965"/>
      <c r="P323" s="306"/>
      <c r="Q323" s="306"/>
      <c r="R323" s="962"/>
    </row>
    <row r="324" spans="1:18" ht="15" customHeight="1" thickBot="1" x14ac:dyDescent="0.45">
      <c r="B324" s="625"/>
      <c r="C324" s="86"/>
      <c r="D324" s="544" t="s">
        <v>106</v>
      </c>
      <c r="E324" s="545"/>
      <c r="F324" s="545"/>
      <c r="G324" s="421"/>
      <c r="H324" s="546">
        <f>(I324-L324)/L324</f>
        <v>-7.6080479734269818E-2</v>
      </c>
      <c r="I324" s="548">
        <f>SUM(I305:I322)</f>
        <v>145752</v>
      </c>
      <c r="J324" s="548">
        <f ca="1">SUM(J305:J323)</f>
        <v>-184243.91999999998</v>
      </c>
      <c r="K324" s="548">
        <f ca="1">SUM(K305:K323)</f>
        <v>-5195.6699999999901</v>
      </c>
      <c r="L324" s="597">
        <f>SUM(L305:L322)</f>
        <v>157754</v>
      </c>
      <c r="O324" s="965"/>
      <c r="P324" s="306"/>
      <c r="Q324" s="306"/>
      <c r="R324" s="962"/>
    </row>
    <row r="325" spans="1:18" ht="17.25" customHeight="1" thickTop="1" x14ac:dyDescent="0.4">
      <c r="B325" s="625"/>
      <c r="C325" s="64"/>
      <c r="D325" s="66"/>
      <c r="E325" s="67"/>
      <c r="F325" s="67"/>
      <c r="G325" s="18"/>
      <c r="H325" s="223"/>
      <c r="I325" s="81"/>
      <c r="J325" s="81"/>
      <c r="K325" s="81"/>
      <c r="L325" s="119"/>
      <c r="O325" s="965"/>
      <c r="P325" s="306"/>
      <c r="Q325" s="306"/>
      <c r="R325" s="962"/>
    </row>
    <row r="326" spans="1:18" ht="19.5" customHeight="1" x14ac:dyDescent="0.5">
      <c r="A326" s="950" t="s">
        <v>530</v>
      </c>
      <c r="B326" s="950"/>
      <c r="C326" s="950"/>
      <c r="D326" s="950"/>
      <c r="E326" s="950"/>
      <c r="F326" s="950"/>
      <c r="G326" s="950"/>
      <c r="H326" s="950"/>
      <c r="I326" s="950"/>
      <c r="J326" s="950"/>
      <c r="K326" s="950"/>
      <c r="L326" s="950"/>
      <c r="O326" s="965"/>
      <c r="P326" s="306"/>
      <c r="Q326" s="306"/>
      <c r="R326" s="962"/>
    </row>
    <row r="327" spans="1:18" ht="15" customHeight="1" x14ac:dyDescent="0.4">
      <c r="A327" s="527"/>
      <c r="B327" s="622" t="s">
        <v>518</v>
      </c>
      <c r="C327" s="133" t="str">
        <f>LEFT($A326,4)&amp;"-1"</f>
        <v>6290-1</v>
      </c>
      <c r="D327" s="534" t="s">
        <v>531</v>
      </c>
      <c r="E327" s="593"/>
      <c r="F327" s="576"/>
      <c r="G327" s="593">
        <v>1</v>
      </c>
      <c r="H327" s="528">
        <v>70</v>
      </c>
      <c r="I327" s="529">
        <f t="shared" ref="I327:I331" si="89">SUM((E327+F327+G327)*H327)</f>
        <v>70</v>
      </c>
      <c r="J327" s="529">
        <f ca="1">-(SUMIF(INDIRECT(LEFT($A$326,4)&amp;"!i3:i200"),"="&amp;C327&amp;" *",INDIRECT(LEFT($A$326,4)&amp;"!k3:k200")))</f>
        <v>-239.12</v>
      </c>
      <c r="K327" s="529">
        <f t="shared" ref="K327:K339" ca="1" si="90">SUM(I327:J327)</f>
        <v>-169.12</v>
      </c>
      <c r="L327" s="529">
        <v>68.25</v>
      </c>
      <c r="N327" s="964"/>
      <c r="O327" s="965"/>
      <c r="P327" s="306"/>
      <c r="Q327" s="306"/>
      <c r="R327" s="962"/>
    </row>
    <row r="328" spans="1:18" ht="15" customHeight="1" x14ac:dyDescent="0.4">
      <c r="A328" s="555"/>
      <c r="B328" s="635" t="s">
        <v>518</v>
      </c>
      <c r="C328" s="112" t="str">
        <f t="shared" ref="C328:C331" si="91">LEFT($C327,4)&amp;"-"&amp;VALUE(MID($C327,FIND("-",$C327)+1,256))+1</f>
        <v>6290-2</v>
      </c>
      <c r="D328" s="642" t="s">
        <v>532</v>
      </c>
      <c r="E328" s="652"/>
      <c r="F328" s="643"/>
      <c r="G328" s="652">
        <v>1</v>
      </c>
      <c r="H328" s="556">
        <v>630</v>
      </c>
      <c r="I328" s="533">
        <f t="shared" si="89"/>
        <v>630</v>
      </c>
      <c r="J328" s="533">
        <f ca="1">-(SUMIF(INDIRECT(LEFT($A$326,4)&amp;"!i3:i200"),"="&amp;C328&amp;" *",INDIRECT(LEFT($A$326,4)&amp;"!k3:k200")))</f>
        <v>-588</v>
      </c>
      <c r="K328" s="533">
        <f t="shared" ca="1" si="90"/>
        <v>42</v>
      </c>
      <c r="L328" s="533">
        <v>630</v>
      </c>
      <c r="N328" s="964"/>
      <c r="O328" s="965"/>
      <c r="P328" s="306"/>
      <c r="Q328" s="306"/>
      <c r="R328" s="962"/>
    </row>
    <row r="329" spans="1:18" ht="15" customHeight="1" x14ac:dyDescent="0.4">
      <c r="A329" s="527"/>
      <c r="B329" s="622" t="s">
        <v>518</v>
      </c>
      <c r="C329" s="135" t="str">
        <f t="shared" si="91"/>
        <v>6290-3</v>
      </c>
      <c r="D329" s="572" t="s">
        <v>533</v>
      </c>
      <c r="E329" s="610"/>
      <c r="F329" s="589"/>
      <c r="G329" s="610">
        <v>1</v>
      </c>
      <c r="H329" s="528">
        <v>7500</v>
      </c>
      <c r="I329" s="529">
        <f t="shared" si="89"/>
        <v>7500</v>
      </c>
      <c r="J329" s="529">
        <f ca="1">-(SUMIF(INDIRECT(LEFT($A$326,4)&amp;"!i3:i200"),"="&amp;C329&amp;" *",INDIRECT(LEFT($A$326,4)&amp;"!k3:k200")))</f>
        <v>-7023.66</v>
      </c>
      <c r="K329" s="529">
        <f t="shared" ref="K329:K331" ca="1" si="92">SUM(I329:J329)</f>
        <v>476.34000000000015</v>
      </c>
      <c r="L329" s="529">
        <v>6873.3</v>
      </c>
      <c r="N329" s="964"/>
      <c r="O329" s="965"/>
      <c r="P329" s="306"/>
      <c r="Q329" s="306"/>
      <c r="R329" s="962"/>
    </row>
    <row r="330" spans="1:18" ht="15" customHeight="1" x14ac:dyDescent="0.4">
      <c r="A330" s="555"/>
      <c r="B330" s="635" t="s">
        <v>518</v>
      </c>
      <c r="C330" s="131" t="str">
        <f t="shared" si="91"/>
        <v>6290-4</v>
      </c>
      <c r="D330" s="557" t="s">
        <v>534</v>
      </c>
      <c r="E330" s="653"/>
      <c r="F330" s="584"/>
      <c r="G330" s="653">
        <v>1</v>
      </c>
      <c r="H330" s="556">
        <v>3000</v>
      </c>
      <c r="I330" s="533">
        <f t="shared" si="89"/>
        <v>3000</v>
      </c>
      <c r="J330" s="533">
        <f ca="1">-(SUMIF(INDIRECT(LEFT($A$326,4)&amp;"!i3:i200"),"="&amp;C330&amp;" *",INDIRECT(LEFT($A$326,4)&amp;"!k3:k200")))</f>
        <v>-3108.56</v>
      </c>
      <c r="K330" s="533">
        <f t="shared" ca="1" si="92"/>
        <v>-108.55999999999995</v>
      </c>
      <c r="L330" s="533">
        <v>2942.1</v>
      </c>
      <c r="N330" s="964"/>
      <c r="O330" s="965"/>
      <c r="P330" s="306"/>
      <c r="Q330" s="306"/>
      <c r="R330" s="962"/>
    </row>
    <row r="331" spans="1:18" ht="15" customHeight="1" x14ac:dyDescent="0.4">
      <c r="A331" s="527"/>
      <c r="B331" s="622" t="s">
        <v>518</v>
      </c>
      <c r="C331" s="90" t="str">
        <f t="shared" si="91"/>
        <v>6290-5</v>
      </c>
      <c r="D331" s="534" t="s">
        <v>535</v>
      </c>
      <c r="E331" s="593"/>
      <c r="F331" s="576"/>
      <c r="G331" s="593">
        <v>1</v>
      </c>
      <c r="H331" s="528">
        <v>10500</v>
      </c>
      <c r="I331" s="529">
        <f t="shared" si="89"/>
        <v>10500</v>
      </c>
      <c r="J331" s="529">
        <f ca="1">-(SUMIF(INDIRECT(LEFT($A$326,4)&amp;"!i3:i200"),"="&amp;C331&amp;" *",INDIRECT(LEFT($A$326,4)&amp;"!k3:k200")))</f>
        <v>-13239.8</v>
      </c>
      <c r="K331" s="529">
        <f t="shared" ca="1" si="92"/>
        <v>-2739.7999999999993</v>
      </c>
      <c r="L331" s="529">
        <v>9204.2999999999993</v>
      </c>
      <c r="N331" s="964"/>
      <c r="O331" s="965"/>
      <c r="P331" s="306"/>
      <c r="Q331" s="306"/>
      <c r="R331" s="962"/>
    </row>
    <row r="332" spans="1:18" ht="15" customHeight="1" thickBot="1" x14ac:dyDescent="0.45">
      <c r="B332" s="692"/>
      <c r="C332" s="90"/>
      <c r="D332" s="544" t="s">
        <v>106</v>
      </c>
      <c r="E332" s="545"/>
      <c r="F332" s="545"/>
      <c r="G332" s="421"/>
      <c r="H332" s="546" t="e">
        <f>SUM(Summary!H27)</f>
        <v>#REF!</v>
      </c>
      <c r="I332" s="548">
        <f>SUM(I327:I331)</f>
        <v>21700</v>
      </c>
      <c r="J332" s="548">
        <f t="shared" ref="J332:K332" ca="1" si="93">SUM(J327:J331)</f>
        <v>-24199.14</v>
      </c>
      <c r="K332" s="548">
        <f t="shared" ca="1" si="93"/>
        <v>-2499.139999999999</v>
      </c>
      <c r="L332" s="548">
        <f>SUM(L327:L331)</f>
        <v>19717.949999999997</v>
      </c>
      <c r="O332" s="965"/>
      <c r="P332" s="306"/>
      <c r="Q332" s="306"/>
      <c r="R332" s="962"/>
    </row>
    <row r="333" spans="1:18" ht="9.75" customHeight="1" thickTop="1" x14ac:dyDescent="0.4">
      <c r="B333" s="526"/>
      <c r="C333" s="135"/>
      <c r="D333" s="544"/>
      <c r="E333" s="545"/>
      <c r="F333" s="545"/>
      <c r="G333" s="545"/>
      <c r="H333" s="535"/>
      <c r="I333" s="568"/>
      <c r="J333" s="568"/>
      <c r="K333" s="568"/>
      <c r="L333" s="568"/>
      <c r="O333" s="965"/>
      <c r="P333" s="306"/>
      <c r="Q333" s="306"/>
      <c r="R333" s="962"/>
    </row>
    <row r="334" spans="1:18" ht="19.5" customHeight="1" x14ac:dyDescent="0.5">
      <c r="A334" s="950" t="s">
        <v>536</v>
      </c>
      <c r="B334" s="950"/>
      <c r="C334" s="950"/>
      <c r="D334" s="950"/>
      <c r="E334" s="950"/>
      <c r="F334" s="950"/>
      <c r="G334" s="950"/>
      <c r="H334" s="950"/>
      <c r="I334" s="950"/>
      <c r="J334" s="950"/>
      <c r="K334" s="950"/>
      <c r="L334" s="950"/>
      <c r="O334" s="965"/>
      <c r="P334" s="306"/>
      <c r="Q334" s="306"/>
      <c r="R334" s="962"/>
    </row>
    <row r="335" spans="1:18" ht="15" customHeight="1" x14ac:dyDescent="0.4">
      <c r="B335" s="655"/>
      <c r="C335" s="135"/>
      <c r="D335" s="657"/>
      <c r="E335" s="657"/>
      <c r="F335" s="657"/>
      <c r="G335" s="658"/>
      <c r="H335" s="654"/>
      <c r="I335" s="529">
        <f>SUM((E335+F335+G335)*H335)</f>
        <v>0</v>
      </c>
      <c r="J335" s="529">
        <f ca="1">-(SUMIF(INDIRECT(LEFT($A$334,4)&amp;"!i3:i200"),"="&amp;C335&amp;" *",INDIRECT(LEFT($A$334,4)&amp;"!k3:k200")))</f>
        <v>0</v>
      </c>
      <c r="K335" s="529">
        <f t="shared" ca="1" si="90"/>
        <v>0</v>
      </c>
      <c r="L335" s="529">
        <v>0</v>
      </c>
      <c r="O335" s="965"/>
      <c r="P335" s="306"/>
      <c r="Q335" s="306"/>
      <c r="R335" s="962"/>
    </row>
    <row r="336" spans="1:18" ht="15" customHeight="1" thickBot="1" x14ac:dyDescent="0.45">
      <c r="B336" s="93"/>
      <c r="C336" s="90"/>
      <c r="D336" s="544" t="s">
        <v>153</v>
      </c>
      <c r="E336" s="657"/>
      <c r="F336" s="657"/>
      <c r="G336" s="421"/>
      <c r="H336" s="546" t="e">
        <f>(I336-L336)/L336</f>
        <v>#DIV/0!</v>
      </c>
      <c r="I336" s="548">
        <f>SUM(I335)</f>
        <v>0</v>
      </c>
      <c r="J336" s="548">
        <f t="shared" ref="J336:K336" ca="1" si="94">SUM(J335)</f>
        <v>0</v>
      </c>
      <c r="K336" s="548">
        <f t="shared" ca="1" si="94"/>
        <v>0</v>
      </c>
      <c r="L336" s="548">
        <f>SUM(L335)</f>
        <v>0</v>
      </c>
      <c r="O336" s="965"/>
      <c r="P336" s="306"/>
      <c r="Q336" s="306"/>
      <c r="R336" s="962"/>
    </row>
    <row r="337" spans="1:19" ht="9.75" customHeight="1" thickTop="1" x14ac:dyDescent="0.4">
      <c r="B337" s="99"/>
      <c r="C337" s="135"/>
      <c r="D337" s="96"/>
      <c r="E337" s="49"/>
      <c r="F337" s="49"/>
      <c r="G337" s="49"/>
      <c r="H337" s="57"/>
      <c r="I337" s="35"/>
      <c r="L337" s="35"/>
      <c r="O337" s="965"/>
      <c r="P337" s="306"/>
      <c r="Q337" s="306"/>
      <c r="R337" s="962"/>
    </row>
    <row r="338" spans="1:19" ht="19.5" customHeight="1" x14ac:dyDescent="0.5">
      <c r="A338" s="950" t="s">
        <v>537</v>
      </c>
      <c r="B338" s="950"/>
      <c r="C338" s="950"/>
      <c r="D338" s="950"/>
      <c r="E338" s="950"/>
      <c r="F338" s="950"/>
      <c r="G338" s="950"/>
      <c r="H338" s="950"/>
      <c r="I338" s="950"/>
      <c r="J338" s="950"/>
      <c r="K338" s="950"/>
      <c r="L338" s="950"/>
      <c r="O338" s="965"/>
      <c r="P338" s="306"/>
      <c r="Q338" s="306"/>
      <c r="R338" s="962"/>
    </row>
    <row r="339" spans="1:19" ht="15" customHeight="1" x14ac:dyDescent="0.4">
      <c r="A339" s="527"/>
      <c r="B339" s="625"/>
      <c r="C339" s="135" t="str">
        <f>LEFT($A338,4)&amp;"-1"</f>
        <v>8010-1</v>
      </c>
      <c r="D339" s="657" t="s">
        <v>538</v>
      </c>
      <c r="E339" s="545"/>
      <c r="F339" s="576">
        <v>1</v>
      </c>
      <c r="G339" s="468"/>
      <c r="H339" s="528">
        <v>17500</v>
      </c>
      <c r="I339" s="540">
        <f>SUM((E339+F339+G339)*H339)</f>
        <v>17500</v>
      </c>
      <c r="J339" s="529">
        <f ca="1">-(SUMIF(INDIRECT(LEFT($A$338,4)&amp;"!i3:i200"),"="&amp;C339&amp;" *",INDIRECT(LEFT($A$338,4)&amp;"!k3:k200")))</f>
        <v>0</v>
      </c>
      <c r="K339" s="529">
        <f t="shared" ca="1" si="90"/>
        <v>17500</v>
      </c>
      <c r="L339" s="419">
        <v>17500</v>
      </c>
      <c r="N339" s="964"/>
      <c r="O339" s="965"/>
      <c r="P339" s="306"/>
      <c r="Q339" s="306"/>
      <c r="R339" s="962"/>
      <c r="S339" s="962"/>
    </row>
    <row r="340" spans="1:19" ht="15" customHeight="1" x14ac:dyDescent="0.4">
      <c r="A340" s="555"/>
      <c r="B340" s="633"/>
      <c r="C340" s="112" t="str">
        <f>LEFT($C339,4)&amp;"-"&amp;VALUE(MID($C339,FIND("-",$C339)+1,256))+1</f>
        <v>8010-2</v>
      </c>
      <c r="D340" s="559" t="s">
        <v>539</v>
      </c>
      <c r="E340" s="717"/>
      <c r="F340" s="592">
        <v>5</v>
      </c>
      <c r="G340" s="717"/>
      <c r="H340" s="537">
        <v>5000</v>
      </c>
      <c r="I340" s="541">
        <f>SUM((E340+F340+G340)*H340)</f>
        <v>25000</v>
      </c>
      <c r="J340" s="532">
        <f ca="1">-(SUMIF(INDIRECT(LEFT($A$338,4)&amp;"!i3:i200"),"="&amp;C340&amp;" *",INDIRECT(LEFT($A$338,4)&amp;"!k3:k200")))</f>
        <v>0</v>
      </c>
      <c r="K340" s="532">
        <f t="shared" ref="K340" ca="1" si="95">SUM(I340:J340)</f>
        <v>25000</v>
      </c>
      <c r="L340" s="532">
        <v>25000</v>
      </c>
      <c r="N340" s="964"/>
      <c r="O340" s="965"/>
      <c r="P340" s="306"/>
      <c r="Q340" s="306"/>
      <c r="R340" s="962"/>
      <c r="S340" s="962"/>
    </row>
    <row r="341" spans="1:19" ht="15" customHeight="1" x14ac:dyDescent="0.4">
      <c r="A341" s="527"/>
      <c r="B341" s="626"/>
      <c r="C341" s="90" t="str">
        <f>LEFT($C340,4)&amp;"-"&amp;VALUE(MID($C340,FIND("-",$C340)+1,256))+1</f>
        <v>8010-3</v>
      </c>
      <c r="D341" s="538" t="s">
        <v>540</v>
      </c>
      <c r="E341" s="471"/>
      <c r="F341" s="585">
        <v>3</v>
      </c>
      <c r="G341" s="471"/>
      <c r="H341" s="563">
        <v>7500</v>
      </c>
      <c r="I341" s="540">
        <f>SUM((E341+F341+G341)*H341)</f>
        <v>22500</v>
      </c>
      <c r="J341" s="529">
        <f ca="1">-(SUMIF(INDIRECT(LEFT($A$338,4)&amp;"!i3:i200"),"="&amp;C341&amp;" *",INDIRECT(LEFT($A$338,4)&amp;"!k3:k200")))</f>
        <v>0</v>
      </c>
      <c r="K341" s="529">
        <f ca="1">SUM(I341:J341)</f>
        <v>22500</v>
      </c>
      <c r="L341" s="540">
        <v>22500</v>
      </c>
      <c r="N341" s="964"/>
      <c r="O341" s="965"/>
      <c r="P341" s="306"/>
      <c r="Q341" s="306"/>
      <c r="R341" s="962"/>
      <c r="S341" s="962"/>
    </row>
    <row r="342" spans="1:19" ht="15" customHeight="1" thickBot="1" x14ac:dyDescent="0.45">
      <c r="B342" s="636"/>
      <c r="C342" s="135"/>
      <c r="D342" s="544" t="s">
        <v>106</v>
      </c>
      <c r="E342" s="545"/>
      <c r="F342" s="545"/>
      <c r="G342" s="421"/>
      <c r="H342" s="546">
        <f>(I342-L342)/L342</f>
        <v>0</v>
      </c>
      <c r="I342" s="548">
        <f>SUM(I339:I341)</f>
        <v>65000</v>
      </c>
      <c r="J342" s="548">
        <f ca="1">SUM(J339:J341)</f>
        <v>0</v>
      </c>
      <c r="K342" s="548">
        <f ca="1">SUM(K339:K341)</f>
        <v>65000</v>
      </c>
      <c r="L342" s="597">
        <f>SUM(L339:L341)</f>
        <v>65000</v>
      </c>
      <c r="O342" s="965"/>
      <c r="P342" s="306"/>
      <c r="Q342" s="306"/>
      <c r="R342" s="998"/>
      <c r="S342" s="999"/>
    </row>
    <row r="343" spans="1:19" ht="9.75" customHeight="1" thickTop="1" x14ac:dyDescent="0.4">
      <c r="B343" s="48"/>
      <c r="D343" s="69"/>
      <c r="E343" s="70"/>
      <c r="F343" s="70"/>
      <c r="G343" s="70"/>
      <c r="H343" s="53"/>
      <c r="I343" s="71"/>
      <c r="J343" s="71"/>
      <c r="K343" s="71"/>
      <c r="L343" s="71"/>
      <c r="O343" s="967"/>
      <c r="P343" s="306"/>
      <c r="Q343" s="306"/>
      <c r="R343" s="962"/>
    </row>
    <row r="344" spans="1:19" ht="19.5" customHeight="1" x14ac:dyDescent="0.5">
      <c r="A344" s="950" t="s">
        <v>541</v>
      </c>
      <c r="B344" s="950"/>
      <c r="C344" s="950"/>
      <c r="D344" s="950"/>
      <c r="E344" s="950"/>
      <c r="F344" s="950"/>
      <c r="G344" s="950"/>
      <c r="H344" s="950"/>
      <c r="I344" s="950"/>
      <c r="J344" s="950"/>
      <c r="K344" s="950"/>
      <c r="L344" s="950"/>
      <c r="R344" s="962"/>
    </row>
    <row r="345" spans="1:19" ht="15" customHeight="1" x14ac:dyDescent="0.4">
      <c r="B345" s="693"/>
      <c r="C345" s="90" t="str">
        <f>LEFT($A344,4)&amp;"-1"</f>
        <v>8020-1</v>
      </c>
      <c r="D345" s="439"/>
      <c r="E345" s="439"/>
      <c r="F345" s="439"/>
      <c r="G345" s="439"/>
      <c r="H345" s="529"/>
      <c r="I345" s="439"/>
      <c r="J345" s="529"/>
      <c r="K345" s="529"/>
      <c r="L345" s="439"/>
      <c r="R345" s="962"/>
    </row>
    <row r="346" spans="1:19" ht="15" customHeight="1" thickBot="1" x14ac:dyDescent="0.45">
      <c r="B346" s="636"/>
      <c r="C346" s="48"/>
      <c r="D346" s="544" t="s">
        <v>106</v>
      </c>
      <c r="E346" s="545"/>
      <c r="F346" s="545"/>
      <c r="G346" s="448"/>
      <c r="H346" s="567">
        <f>SUM(Summary!H30)</f>
        <v>0</v>
      </c>
      <c r="I346" s="548">
        <f>SUM(I345)</f>
        <v>0</v>
      </c>
      <c r="J346" s="548">
        <f t="shared" ref="J346:K346" si="96">SUM(J345)</f>
        <v>0</v>
      </c>
      <c r="K346" s="548">
        <f t="shared" si="96"/>
        <v>0</v>
      </c>
      <c r="L346" s="597">
        <f>SUM(L345)</f>
        <v>0</v>
      </c>
      <c r="R346" s="962"/>
    </row>
    <row r="347" spans="1:19" ht="15" customHeight="1" x14ac:dyDescent="0.4">
      <c r="B347" s="636"/>
      <c r="C347" s="133"/>
      <c r="D347" s="544"/>
      <c r="E347" s="545"/>
      <c r="F347" s="545"/>
      <c r="G347" s="545"/>
      <c r="H347" s="549"/>
      <c r="I347" s="550"/>
      <c r="J347" s="550"/>
      <c r="K347" s="550"/>
      <c r="L347" s="550"/>
      <c r="R347" s="962"/>
    </row>
    <row r="348" spans="1:19" ht="15" customHeight="1" x14ac:dyDescent="0.4">
      <c r="B348" s="694"/>
      <c r="C348" s="133"/>
      <c r="D348" s="544" t="s">
        <v>74</v>
      </c>
      <c r="E348" s="545"/>
      <c r="F348" s="545"/>
      <c r="G348" s="545"/>
      <c r="H348" s="546">
        <f>(I348-L348)/L348</f>
        <v>9.2294416076461785E-2</v>
      </c>
      <c r="I348" s="695">
        <f>SUM(I346,I342,I336,I332,I324,I302,I255,I234,I230,I189,I185,I179,I151,I141,I132,I94,I80,I66,I62,I38,I15)</f>
        <v>2917691.94</v>
      </c>
      <c r="J348" s="695">
        <f ca="1">SUM(J346,J342,J336,J332,J324,J302,J255,J234,J230,J189,J185,J179,J151,J141,J132,J94,J80,J66,J62,J38,J15)</f>
        <v>-3072407.85</v>
      </c>
      <c r="K348" s="695">
        <f ca="1">SUM(K346,K342,K336,K332,K324,K302,K255,K234,K230,K189,K185,K179,K151,K141,K132,K94,K80,K66,K62,K38,K15)</f>
        <v>-139160.46000000005</v>
      </c>
      <c r="L348" s="695">
        <f>SUM(L346,L342,L336,L332,L324,L302,L255,L234,L230,L189,L185,L179,L151,L141,L132,L94,L80,L66,L62,L38,L15)</f>
        <v>2671158.89</v>
      </c>
      <c r="R348" s="962"/>
    </row>
    <row r="349" spans="1:19" ht="15.75" customHeight="1" x14ac:dyDescent="0.4">
      <c r="B349" s="674"/>
      <c r="C349" s="59"/>
      <c r="H349" s="52"/>
      <c r="I349" s="3"/>
      <c r="R349" s="962"/>
    </row>
    <row r="350" spans="1:19" ht="15" customHeight="1" x14ac:dyDescent="0.4">
      <c r="I350" s="3"/>
    </row>
    <row r="351" spans="1:19" ht="15" customHeight="1" x14ac:dyDescent="0.4">
      <c r="I351" s="3"/>
    </row>
    <row r="352" spans="1:19" ht="15" customHeight="1" x14ac:dyDescent="0.4">
      <c r="I352" s="3"/>
    </row>
    <row r="353" spans="9:9" ht="15" customHeight="1" x14ac:dyDescent="0.4">
      <c r="I353" s="3"/>
    </row>
  </sheetData>
  <protectedRanges>
    <protectedRange sqref="I2:I1048576" name="Range1" securityDescriptor="O:WDG:WDD:(A;;CC;;;S-1-5-21-751916245-1090913435-1903153266-1213)"/>
  </protectedRanges>
  <mergeCells count="23">
    <mergeCell ref="B1:L1"/>
    <mergeCell ref="R342:S342"/>
    <mergeCell ref="A82:L82"/>
    <mergeCell ref="A96:L96"/>
    <mergeCell ref="A134:L134"/>
    <mergeCell ref="A143:L143"/>
    <mergeCell ref="A153:L153"/>
    <mergeCell ref="A181:L181"/>
    <mergeCell ref="A187:L187"/>
    <mergeCell ref="A191:L191"/>
    <mergeCell ref="A232:L232"/>
    <mergeCell ref="A3:L3"/>
    <mergeCell ref="A17:L17"/>
    <mergeCell ref="A40:L40"/>
    <mergeCell ref="A64:L64"/>
    <mergeCell ref="A68:L68"/>
    <mergeCell ref="A338:L338"/>
    <mergeCell ref="A344:L344"/>
    <mergeCell ref="A236:L236"/>
    <mergeCell ref="A257:L257"/>
    <mergeCell ref="A304:L304"/>
    <mergeCell ref="A326:L326"/>
    <mergeCell ref="A334:L334"/>
  </mergeCells>
  <phoneticPr fontId="107" type="noConversion"/>
  <conditionalFormatting sqref="H15">
    <cfRule type="cellIs" dxfId="116" priority="39" operator="equal">
      <formula>0</formula>
    </cfRule>
    <cfRule type="cellIs" dxfId="115" priority="38" operator="greaterThan">
      <formula>0</formula>
    </cfRule>
    <cfRule type="cellIs" dxfId="114" priority="37" operator="lessThan">
      <formula>0</formula>
    </cfRule>
  </conditionalFormatting>
  <conditionalFormatting sqref="H38">
    <cfRule type="cellIs" dxfId="113" priority="41" operator="greaterThan">
      <formula>0</formula>
    </cfRule>
    <cfRule type="cellIs" dxfId="112" priority="42" operator="equal">
      <formula>0</formula>
    </cfRule>
    <cfRule type="cellIs" dxfId="111" priority="40" operator="lessThan">
      <formula>0</formula>
    </cfRule>
  </conditionalFormatting>
  <conditionalFormatting sqref="H62">
    <cfRule type="cellIs" dxfId="110" priority="45" operator="equal">
      <formula>0</formula>
    </cfRule>
    <cfRule type="cellIs" dxfId="109" priority="44" operator="greaterThan">
      <formula>0</formula>
    </cfRule>
    <cfRule type="cellIs" dxfId="108" priority="43" operator="lessThan">
      <formula>0</formula>
    </cfRule>
  </conditionalFormatting>
  <conditionalFormatting sqref="H66">
    <cfRule type="cellIs" dxfId="107" priority="222" operator="equal">
      <formula>0</formula>
    </cfRule>
    <cfRule type="cellIs" dxfId="106" priority="220" operator="lessThan">
      <formula>0</formula>
    </cfRule>
    <cfRule type="cellIs" dxfId="105" priority="221" operator="greaterThan">
      <formula>0</formula>
    </cfRule>
  </conditionalFormatting>
  <conditionalFormatting sqref="H80">
    <cfRule type="cellIs" dxfId="104" priority="48" operator="equal">
      <formula>0</formula>
    </cfRule>
    <cfRule type="cellIs" dxfId="103" priority="47" operator="greaterThan">
      <formula>0</formula>
    </cfRule>
    <cfRule type="cellIs" dxfId="102" priority="46" operator="lessThan">
      <formula>0</formula>
    </cfRule>
  </conditionalFormatting>
  <conditionalFormatting sqref="H94">
    <cfRule type="cellIs" dxfId="101" priority="49" operator="lessThan">
      <formula>0</formula>
    </cfRule>
    <cfRule type="cellIs" dxfId="100" priority="50" operator="greaterThan">
      <formula>0</formula>
    </cfRule>
    <cfRule type="cellIs" dxfId="99" priority="51" operator="equal">
      <formula>0</formula>
    </cfRule>
  </conditionalFormatting>
  <conditionalFormatting sqref="H132">
    <cfRule type="cellIs" dxfId="98" priority="54" operator="equal">
      <formula>0</formula>
    </cfRule>
    <cfRule type="cellIs" dxfId="97" priority="52" operator="lessThan">
      <formula>0</formula>
    </cfRule>
    <cfRule type="cellIs" dxfId="96" priority="53" operator="greaterThan">
      <formula>0</formula>
    </cfRule>
  </conditionalFormatting>
  <conditionalFormatting sqref="H141">
    <cfRule type="cellIs" dxfId="95" priority="57" operator="equal">
      <formula>0</formula>
    </cfRule>
    <cfRule type="cellIs" dxfId="94" priority="56" operator="greaterThan">
      <formula>0</formula>
    </cfRule>
    <cfRule type="cellIs" dxfId="93" priority="55" operator="lessThan">
      <formula>0</formula>
    </cfRule>
  </conditionalFormatting>
  <conditionalFormatting sqref="H151">
    <cfRule type="cellIs" dxfId="92" priority="207" operator="equal">
      <formula>0</formula>
    </cfRule>
    <cfRule type="cellIs" dxfId="91" priority="206" operator="greaterThan">
      <formula>0</formula>
    </cfRule>
    <cfRule type="cellIs" dxfId="90" priority="205" operator="lessThan">
      <formula>0</formula>
    </cfRule>
  </conditionalFormatting>
  <conditionalFormatting sqref="H179">
    <cfRule type="cellIs" dxfId="89" priority="202" operator="lessThan">
      <formula>0</formula>
    </cfRule>
    <cfRule type="cellIs" dxfId="88" priority="204" operator="equal">
      <formula>0</formula>
    </cfRule>
    <cfRule type="cellIs" dxfId="87" priority="203" operator="greaterThan">
      <formula>0</formula>
    </cfRule>
  </conditionalFormatting>
  <conditionalFormatting sqref="H185">
    <cfRule type="cellIs" dxfId="86" priority="34" operator="lessThan">
      <formula>0</formula>
    </cfRule>
    <cfRule type="cellIs" dxfId="85" priority="35" operator="greaterThan">
      <formula>0</formula>
    </cfRule>
    <cfRule type="cellIs" dxfId="84" priority="36" operator="equal">
      <formula>0</formula>
    </cfRule>
  </conditionalFormatting>
  <conditionalFormatting sqref="H189">
    <cfRule type="cellIs" dxfId="83" priority="196" operator="lessThan">
      <formula>0</formula>
    </cfRule>
    <cfRule type="cellIs" dxfId="82" priority="197" operator="greaterThan">
      <formula>0</formula>
    </cfRule>
    <cfRule type="cellIs" dxfId="81" priority="198" operator="equal">
      <formula>0</formula>
    </cfRule>
  </conditionalFormatting>
  <conditionalFormatting sqref="H230">
    <cfRule type="cellIs" dxfId="80" priority="33" operator="equal">
      <formula>0</formula>
    </cfRule>
    <cfRule type="cellIs" dxfId="79" priority="32" operator="greaterThan">
      <formula>0</formula>
    </cfRule>
    <cfRule type="cellIs" dxfId="78" priority="31" operator="lessThan">
      <formula>0</formula>
    </cfRule>
  </conditionalFormatting>
  <conditionalFormatting sqref="H234">
    <cfRule type="cellIs" dxfId="77" priority="30" operator="equal">
      <formula>0</formula>
    </cfRule>
    <cfRule type="cellIs" dxfId="76" priority="28" operator="lessThan">
      <formula>0</formula>
    </cfRule>
    <cfRule type="cellIs" dxfId="75" priority="29" operator="greaterThan">
      <formula>0</formula>
    </cfRule>
  </conditionalFormatting>
  <conditionalFormatting sqref="H255">
    <cfRule type="cellIs" dxfId="74" priority="27" operator="equal">
      <formula>0</formula>
    </cfRule>
    <cfRule type="cellIs" dxfId="73" priority="26" operator="greaterThan">
      <formula>0</formula>
    </cfRule>
    <cfRule type="cellIs" dxfId="72" priority="25" operator="lessThan">
      <formula>0</formula>
    </cfRule>
  </conditionalFormatting>
  <conditionalFormatting sqref="H302:H303">
    <cfRule type="cellIs" dxfId="71" priority="24" operator="equal">
      <formula>0</formula>
    </cfRule>
    <cfRule type="cellIs" dxfId="70" priority="23" operator="greaterThan">
      <formula>0</formula>
    </cfRule>
    <cfRule type="cellIs" dxfId="69" priority="22" operator="lessThan">
      <formula>0</formula>
    </cfRule>
  </conditionalFormatting>
  <conditionalFormatting sqref="H324">
    <cfRule type="cellIs" dxfId="68" priority="20" operator="greaterThan">
      <formula>0</formula>
    </cfRule>
    <cfRule type="cellIs" dxfId="67" priority="21" operator="equal">
      <formula>0</formula>
    </cfRule>
    <cfRule type="cellIs" dxfId="66" priority="19" operator="lessThan">
      <formula>0</formula>
    </cfRule>
  </conditionalFormatting>
  <conditionalFormatting sqref="H332">
    <cfRule type="cellIs" dxfId="65" priority="178" operator="lessThan">
      <formula>0</formula>
    </cfRule>
    <cfRule type="cellIs" dxfId="64" priority="179" operator="greaterThan">
      <formula>0</formula>
    </cfRule>
    <cfRule type="cellIs" dxfId="63" priority="180" operator="equal">
      <formula>0</formula>
    </cfRule>
  </conditionalFormatting>
  <conditionalFormatting sqref="H336">
    <cfRule type="cellIs" dxfId="62" priority="14" operator="greaterThan">
      <formula>0</formula>
    </cfRule>
    <cfRule type="cellIs" dxfId="61" priority="15" operator="equal">
      <formula>0</formula>
    </cfRule>
    <cfRule type="cellIs" dxfId="60" priority="13" operator="lessThan">
      <formula>0</formula>
    </cfRule>
  </conditionalFormatting>
  <conditionalFormatting sqref="H342">
    <cfRule type="cellIs" dxfId="59" priority="18" operator="equal">
      <formula>0</formula>
    </cfRule>
    <cfRule type="cellIs" dxfId="58" priority="16" operator="lessThan">
      <formula>0</formula>
    </cfRule>
    <cfRule type="cellIs" dxfId="57" priority="17" operator="greaterThan">
      <formula>0</formula>
    </cfRule>
  </conditionalFormatting>
  <conditionalFormatting sqref="H348">
    <cfRule type="cellIs" dxfId="56" priority="12" operator="equal">
      <formula>0</formula>
    </cfRule>
    <cfRule type="cellIs" dxfId="55" priority="11" operator="greaterThan">
      <formula>0</formula>
    </cfRule>
    <cfRule type="cellIs" dxfId="54" priority="10" operator="lessThan">
      <formula>0</formula>
    </cfRule>
  </conditionalFormatting>
  <conditionalFormatting sqref="I4:I16 I18:I39 I41:I63 I65:I67 I69:I81 J80:K80 I83:I95 J94:K94 J132:K132 I135:I142 J141:K141 I144:I152 J151:K151 I154:I180 I182:I186 J185:K185 I188:I190 J189:K189 I192:I231 I233:I235 J234:K234 J302:K303 I305:I325 J324:K324 I327:I333 J332:K332 I335:I337 J336:K336 I339:I343 J342:K342 I345:I1048576 J346:K346 J348:K348">
    <cfRule type="expression" dxfId="53" priority="238">
      <formula>I4=L4</formula>
    </cfRule>
    <cfRule type="expression" dxfId="52" priority="236">
      <formula>I4&lt;L4</formula>
    </cfRule>
    <cfRule type="expression" dxfId="51" priority="237">
      <formula>I4&gt;L4</formula>
    </cfRule>
  </conditionalFormatting>
  <conditionalFormatting sqref="I97:I133">
    <cfRule type="expression" dxfId="50" priority="148">
      <formula>I97&lt;L97</formula>
    </cfRule>
    <cfRule type="expression" dxfId="49" priority="149">
      <formula>I97&gt;L97</formula>
    </cfRule>
    <cfRule type="expression" dxfId="48" priority="150">
      <formula>I97=L97</formula>
    </cfRule>
  </conditionalFormatting>
  <conditionalFormatting sqref="I237:I256">
    <cfRule type="expression" dxfId="47" priority="5">
      <formula>I237&gt;L237</formula>
    </cfRule>
    <cfRule type="expression" dxfId="46" priority="4">
      <formula>I237&lt;L237</formula>
    </cfRule>
    <cfRule type="expression" dxfId="45" priority="6">
      <formula>I237=L237</formula>
    </cfRule>
  </conditionalFormatting>
  <conditionalFormatting sqref="I258:I303">
    <cfRule type="expression" dxfId="44" priority="145">
      <formula>I258&lt;L258</formula>
    </cfRule>
    <cfRule type="expression" dxfId="43" priority="147">
      <formula>I258=L258</formula>
    </cfRule>
    <cfRule type="expression" dxfId="42" priority="146">
      <formula>I258&gt;L258</formula>
    </cfRule>
  </conditionalFormatting>
  <conditionalFormatting sqref="O4:O15 O65:O80 O83:O94 O144:O151 O233:O255 O258:O342">
    <cfRule type="expression" dxfId="41" priority="94">
      <formula>O4&gt;5000</formula>
    </cfRule>
  </conditionalFormatting>
  <conditionalFormatting sqref="O4:O342">
    <cfRule type="expression" dxfId="40" priority="95">
      <formula>O4&gt;1</formula>
    </cfRule>
  </conditionalFormatting>
  <conditionalFormatting sqref="O17:O38">
    <cfRule type="expression" dxfId="39" priority="91">
      <formula>O17&gt;5000</formula>
    </cfRule>
  </conditionalFormatting>
  <conditionalFormatting sqref="O41:O62">
    <cfRule type="expression" dxfId="38" priority="90">
      <formula>O41&gt;5000</formula>
    </cfRule>
  </conditionalFormatting>
  <conditionalFormatting sqref="O97:O132">
    <cfRule type="expression" dxfId="37" priority="87">
      <formula>O97&gt;5000</formula>
    </cfRule>
  </conditionalFormatting>
  <conditionalFormatting sqref="O135:O141">
    <cfRule type="expression" dxfId="36" priority="86">
      <formula>O135&gt;5000</formula>
    </cfRule>
  </conditionalFormatting>
  <conditionalFormatting sqref="O154:O179">
    <cfRule type="expression" dxfId="35" priority="84">
      <formula>O154&gt;5000</formula>
    </cfRule>
  </conditionalFormatting>
  <conditionalFormatting sqref="O182:O185">
    <cfRule type="expression" dxfId="34" priority="83">
      <formula>O182&gt;5000</formula>
    </cfRule>
  </conditionalFormatting>
  <conditionalFormatting sqref="O188:O230">
    <cfRule type="expression" dxfId="33" priority="82">
      <formula>O188&gt;5000</formula>
    </cfRule>
  </conditionalFormatting>
  <conditionalFormatting sqref="P4:Q343">
    <cfRule type="cellIs" dxfId="32" priority="103" stopIfTrue="1" operator="equal">
      <formula>0</formula>
    </cfRule>
    <cfRule type="cellIs" dxfId="31" priority="104" stopIfTrue="1" operator="lessThan">
      <formula>0</formula>
    </cfRule>
    <cfRule type="cellIs" dxfId="30" priority="105" stopIfTrue="1" operator="greaterThan">
      <formula>0</formula>
    </cfRule>
    <cfRule type="cellIs" dxfId="29" priority="106" operator="equal">
      <formula>0</formula>
    </cfRule>
    <cfRule type="cellIs" dxfId="28" priority="107" operator="lessThan">
      <formula>0</formula>
    </cfRule>
    <cfRule type="cellIs" dxfId="27" priority="108" operator="greaterThan">
      <formula>0</formula>
    </cfRule>
  </conditionalFormatting>
  <printOptions horizontalCentered="1"/>
  <pageMargins left="0.45" right="0.45" top="0.6" bottom="0.25" header="0.3" footer="0"/>
  <pageSetup scale="74" fitToHeight="0" orientation="landscape" r:id="rId1"/>
  <headerFooter>
    <oddHeader xml:space="preserve">&amp;C&amp;"Calibri,Bold"&amp;20 </oddHeader>
  </headerFooter>
  <rowBreaks count="9" manualBreakCount="9">
    <brk id="39" max="11" man="1"/>
    <brk id="67" max="11" man="1"/>
    <brk id="95" max="11" man="1"/>
    <brk id="132" max="11" man="1"/>
    <brk id="152" max="11" man="1"/>
    <brk id="190" max="11" man="1"/>
    <brk id="230" max="11" man="1"/>
    <brk id="303" max="11" man="1"/>
    <brk id="333" max="11" man="1"/>
  </row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M48"/>
  <sheetViews>
    <sheetView zoomScale="110" zoomScaleNormal="110" workbookViewId="0">
      <pane ySplit="2" topLeftCell="A3" activePane="bottomLeft" state="frozen"/>
      <selection activeCell="K39" sqref="K39"/>
      <selection pane="bottomLeft" activeCell="A5" sqref="A5"/>
    </sheetView>
  </sheetViews>
  <sheetFormatPr defaultColWidth="14.3828125" defaultRowHeight="15" customHeight="1" x14ac:dyDescent="0.4"/>
  <cols>
    <col min="1" max="1" width="19.53515625" customWidth="1"/>
    <col min="2" max="2" width="5.84375" style="132" bestFit="1" customWidth="1"/>
    <col min="3" max="3" width="72.3828125" customWidth="1"/>
    <col min="4" max="4" width="7.3046875" customWidth="1"/>
    <col min="5" max="5" width="11" customWidth="1"/>
    <col min="6" max="6" width="13.53515625" customWidth="1"/>
    <col min="7" max="7" width="13.3046875" bestFit="1" customWidth="1"/>
    <col min="8" max="8" width="12.69140625" bestFit="1" customWidth="1"/>
    <col min="9" max="9" width="13.3046875" customWidth="1"/>
    <col min="10" max="10" width="17.3828125" customWidth="1"/>
    <col min="11" max="12" width="9.69140625" customWidth="1"/>
    <col min="13" max="16" width="13.3046875" customWidth="1"/>
    <col min="17" max="17" width="4.3828125" customWidth="1"/>
    <col min="18" max="20" width="13.3046875" customWidth="1"/>
    <col min="21" max="28" width="15.15234375" customWidth="1"/>
  </cols>
  <sheetData>
    <row r="1" spans="1:13" ht="26.15" x14ac:dyDescent="0.7">
      <c r="A1" s="940" t="s">
        <v>616</v>
      </c>
      <c r="B1" s="940"/>
      <c r="C1" s="940"/>
      <c r="D1" s="940"/>
      <c r="E1" s="940"/>
      <c r="F1" s="940"/>
      <c r="G1" s="940"/>
      <c r="H1" s="940"/>
      <c r="I1" s="940"/>
    </row>
    <row r="2" spans="1:13" ht="52.5" customHeight="1" x14ac:dyDescent="0.4">
      <c r="A2" s="772" t="s">
        <v>65</v>
      </c>
      <c r="B2" s="772" t="s">
        <v>207</v>
      </c>
      <c r="C2" s="772" t="s">
        <v>77</v>
      </c>
      <c r="D2" s="785"/>
      <c r="E2" s="774" t="s">
        <v>211</v>
      </c>
      <c r="F2" s="774" t="s">
        <v>617</v>
      </c>
      <c r="G2" s="774" t="s">
        <v>79</v>
      </c>
      <c r="H2" s="774" t="s">
        <v>80</v>
      </c>
      <c r="I2" s="786" t="s">
        <v>170</v>
      </c>
      <c r="J2" s="91"/>
    </row>
    <row r="3" spans="1:13" ht="19.5" customHeight="1" x14ac:dyDescent="0.5">
      <c r="A3" s="950" t="s">
        <v>542</v>
      </c>
      <c r="B3" s="950"/>
      <c r="C3" s="951"/>
      <c r="D3" s="951"/>
      <c r="E3" s="951"/>
      <c r="F3" s="951"/>
      <c r="G3" s="951"/>
      <c r="H3" s="951"/>
      <c r="I3" s="951"/>
      <c r="J3" s="885"/>
      <c r="K3" s="37"/>
      <c r="L3" s="37"/>
    </row>
    <row r="4" spans="1:13" ht="15" customHeight="1" x14ac:dyDescent="0.4">
      <c r="A4" s="761"/>
      <c r="B4" s="917" t="str">
        <f>LEFT(A3,4)&amp;"-1"</f>
        <v>6310-1</v>
      </c>
      <c r="C4" s="918" t="s">
        <v>543</v>
      </c>
      <c r="D4" s="915">
        <v>6</v>
      </c>
      <c r="E4" s="563">
        <f>(220+220+190+220+220+190)/6</f>
        <v>210</v>
      </c>
      <c r="F4" s="700">
        <f>E4*D4</f>
        <v>1260</v>
      </c>
      <c r="G4" s="540">
        <f ca="1">(-SUMIF(INDIRECT(LEFT($A$3,4)&amp;"!i3:i200"),"="&amp;B4&amp;" *",INDIRECT(LEFT($A$3,4)&amp;"!k3:k200")))</f>
        <v>-3820</v>
      </c>
      <c r="H4" s="539">
        <f ca="1">SUM(F4:G4)</f>
        <v>-2560</v>
      </c>
      <c r="I4" s="539">
        <v>3120</v>
      </c>
      <c r="K4" s="886"/>
      <c r="L4" s="123"/>
    </row>
    <row r="5" spans="1:13" ht="15" customHeight="1" x14ac:dyDescent="0.4">
      <c r="A5" s="919"/>
      <c r="B5" s="131" t="str">
        <f>LEFT($B4,4)&amp;"-"&amp;VALUE(MID($B4,FIND("-",$B4)+1,256))+1</f>
        <v>6310-2</v>
      </c>
      <c r="C5" s="541" t="s">
        <v>544</v>
      </c>
      <c r="D5" s="615">
        <v>5</v>
      </c>
      <c r="E5" s="543">
        <v>190</v>
      </c>
      <c r="F5" s="709">
        <f>(D5*E5)*70</f>
        <v>66500</v>
      </c>
      <c r="G5" s="541">
        <f t="shared" ref="G5:G9" ca="1" si="0">(-SUMIF(INDIRECT(LEFT($A$3,4)&amp;"!i3:i200"),"="&amp;B5&amp;" *",INDIRECT(LEFT($A$3,4)&amp;"!k3:k200")))</f>
        <v>-45505</v>
      </c>
      <c r="H5" s="541">
        <f t="shared" ref="H5" ca="1" si="1">SUM(F5:G5)</f>
        <v>20995</v>
      </c>
      <c r="I5" s="531">
        <f>21700+35700</f>
        <v>57400</v>
      </c>
      <c r="J5" s="42"/>
      <c r="K5" s="37"/>
      <c r="L5" s="37"/>
    </row>
    <row r="6" spans="1:13" ht="15" customHeight="1" x14ac:dyDescent="0.4">
      <c r="A6" s="761"/>
      <c r="B6" s="135" t="str">
        <f t="shared" ref="B6:B9" si="2">LEFT($B5,4)&amp;"-"&amp;VALUE(MID($B5,FIND("-",$B5)+1,256))+1</f>
        <v>6310-3</v>
      </c>
      <c r="C6" s="540" t="s">
        <v>545</v>
      </c>
      <c r="D6" s="585">
        <v>5</v>
      </c>
      <c r="E6" s="563">
        <v>220</v>
      </c>
      <c r="F6" s="700">
        <f>(D6*E6)*70</f>
        <v>77000</v>
      </c>
      <c r="G6" s="540">
        <f t="shared" ca="1" si="0"/>
        <v>-55660</v>
      </c>
      <c r="H6" s="540">
        <f t="shared" ref="H6" ca="1" si="3">SUM(F6:G6)</f>
        <v>21340</v>
      </c>
      <c r="I6" s="539">
        <v>68250</v>
      </c>
      <c r="J6" s="42"/>
      <c r="K6" s="37"/>
      <c r="L6" s="37"/>
      <c r="M6" s="123"/>
    </row>
    <row r="7" spans="1:13" ht="15" customHeight="1" x14ac:dyDescent="0.4">
      <c r="A7" s="919"/>
      <c r="B7" s="131" t="str">
        <f t="shared" si="2"/>
        <v>6310-4</v>
      </c>
      <c r="C7" s="541" t="s">
        <v>546</v>
      </c>
      <c r="D7" s="615">
        <v>6</v>
      </c>
      <c r="E7" s="543">
        <v>250</v>
      </c>
      <c r="F7" s="709">
        <f>(D7*E7)*70</f>
        <v>105000</v>
      </c>
      <c r="G7" s="541">
        <f t="shared" ca="1" si="0"/>
        <v>-82140</v>
      </c>
      <c r="H7" s="541">
        <f t="shared" ref="H7:H9" ca="1" si="4">SUM(F7:G7)</f>
        <v>22860</v>
      </c>
      <c r="I7" s="531">
        <v>77000</v>
      </c>
      <c r="J7" s="42"/>
      <c r="K7" s="37"/>
      <c r="L7" s="37"/>
      <c r="M7" s="123"/>
    </row>
    <row r="8" spans="1:13" ht="15" customHeight="1" x14ac:dyDescent="0.4">
      <c r="A8" s="761"/>
      <c r="B8" s="135" t="str">
        <f t="shared" si="2"/>
        <v>6310-5</v>
      </c>
      <c r="C8" s="540" t="s">
        <v>547</v>
      </c>
      <c r="D8" s="585">
        <v>1</v>
      </c>
      <c r="E8" s="563">
        <v>15</v>
      </c>
      <c r="F8" s="700">
        <f>(D8*E8)*70</f>
        <v>1050</v>
      </c>
      <c r="G8" s="540">
        <f t="shared" ca="1" si="0"/>
        <v>-840</v>
      </c>
      <c r="H8" s="540">
        <f ca="1">SUM(F8:G8)</f>
        <v>210</v>
      </c>
      <c r="I8" s="539"/>
      <c r="J8" s="42"/>
      <c r="K8" s="37"/>
      <c r="L8" s="37"/>
      <c r="M8" s="123"/>
    </row>
    <row r="9" spans="1:13" ht="15" customHeight="1" x14ac:dyDescent="0.4">
      <c r="A9" s="789"/>
      <c r="B9" s="131" t="str">
        <f t="shared" si="2"/>
        <v>6310-6</v>
      </c>
      <c r="C9" s="554" t="s">
        <v>548</v>
      </c>
      <c r="D9" s="612">
        <v>1</v>
      </c>
      <c r="E9" s="553">
        <v>30</v>
      </c>
      <c r="F9" s="790">
        <f>(D9*E9)*70</f>
        <v>2100</v>
      </c>
      <c r="G9" s="554">
        <f t="shared" ca="1" si="0"/>
        <v>-2505</v>
      </c>
      <c r="H9" s="554">
        <f t="shared" ca="1" si="4"/>
        <v>-405</v>
      </c>
      <c r="I9" s="791">
        <v>2550</v>
      </c>
      <c r="J9" s="42"/>
      <c r="K9" s="37"/>
      <c r="L9" s="37"/>
    </row>
    <row r="10" spans="1:13" ht="15" customHeight="1" x14ac:dyDescent="0.4">
      <c r="A10" s="636"/>
      <c r="B10" s="138"/>
      <c r="C10" s="549" t="s">
        <v>106</v>
      </c>
      <c r="D10" s="576"/>
      <c r="E10" s="698">
        <f>(F10-I10)/I10</f>
        <v>0.21404569892473119</v>
      </c>
      <c r="F10" s="699">
        <f>SUM(F4:F9)</f>
        <v>252910</v>
      </c>
      <c r="G10" s="699">
        <f t="shared" ref="G10" ca="1" si="5">SUM(G4:G9)</f>
        <v>-190470</v>
      </c>
      <c r="H10" s="699">
        <f ca="1">SUM(H4:H9)</f>
        <v>62440</v>
      </c>
      <c r="I10" s="548">
        <f>SUM(I4:I9)</f>
        <v>208320</v>
      </c>
      <c r="J10" s="887"/>
      <c r="K10" s="37"/>
      <c r="L10" s="37"/>
    </row>
    <row r="11" spans="1:13" ht="15" customHeight="1" x14ac:dyDescent="0.4">
      <c r="A11" s="636"/>
      <c r="B11" s="138"/>
      <c r="C11" s="53"/>
      <c r="D11" s="54"/>
      <c r="E11" s="55"/>
      <c r="F11" s="56"/>
      <c r="G11" s="56"/>
      <c r="H11" s="56"/>
      <c r="I11" s="35"/>
      <c r="J11" s="42"/>
      <c r="K11" s="37"/>
      <c r="L11" s="37"/>
    </row>
    <row r="12" spans="1:13" ht="19.5" customHeight="1" x14ac:dyDescent="0.5">
      <c r="A12" s="950" t="s">
        <v>549</v>
      </c>
      <c r="B12" s="950"/>
      <c r="C12" s="951"/>
      <c r="D12" s="951"/>
      <c r="E12" s="951"/>
      <c r="F12" s="951"/>
      <c r="G12" s="951"/>
      <c r="H12" s="951"/>
      <c r="I12" s="951"/>
      <c r="J12" s="42"/>
      <c r="K12" s="37"/>
      <c r="L12" s="37"/>
    </row>
    <row r="13" spans="1:13" ht="15" customHeight="1" x14ac:dyDescent="0.4">
      <c r="A13" s="622"/>
      <c r="B13" s="139" t="str">
        <f>LEFT(A12,4)&amp;"-1"</f>
        <v>6320-1</v>
      </c>
      <c r="C13" s="529" t="s">
        <v>550</v>
      </c>
      <c r="D13" s="576">
        <v>1</v>
      </c>
      <c r="E13" s="535">
        <v>1000</v>
      </c>
      <c r="F13" s="696">
        <f>E13*D13</f>
        <v>1000</v>
      </c>
      <c r="G13" s="529">
        <f ca="1">(-SUMIF(INDIRECT(LEFT($A$12,4)&amp;"!i3:i200"),"="&amp;B13&amp;" *",INDIRECT(LEFT($A$12,4)&amp;"!k3:k200")))</f>
        <v>-315.53999999999996</v>
      </c>
      <c r="H13" s="529">
        <f ca="1">SUM(F13:G13)</f>
        <v>684.46</v>
      </c>
      <c r="I13" s="529">
        <v>1000</v>
      </c>
      <c r="J13" s="42"/>
      <c r="K13" s="37"/>
      <c r="L13" s="37"/>
    </row>
    <row r="14" spans="1:13" ht="15" customHeight="1" x14ac:dyDescent="0.4">
      <c r="A14" s="623"/>
      <c r="B14" s="140" t="str">
        <f>LEFT($B13,4)&amp;"-"&amp;VALUE(MID($B13,FIND("-",$B13)+1,256))+1</f>
        <v>6320-2</v>
      </c>
      <c r="C14" s="533" t="s">
        <v>551</v>
      </c>
      <c r="D14" s="584">
        <v>1</v>
      </c>
      <c r="E14" s="558">
        <v>60</v>
      </c>
      <c r="F14" s="697">
        <f>E14*D14</f>
        <v>60</v>
      </c>
      <c r="G14" s="533">
        <f ca="1">(-SUMIF(INDIRECT(LEFT($A$12,4)&amp;"!i3:i200"),"="&amp;B14&amp;" *",INDIRECT(LEFT($A$12,4)&amp;"!k3:k200")))</f>
        <v>0</v>
      </c>
      <c r="H14" s="533">
        <f t="shared" ref="H14" ca="1" si="6">SUM(F14:G14)</f>
        <v>60</v>
      </c>
      <c r="I14" s="533">
        <v>60</v>
      </c>
      <c r="J14" s="888"/>
      <c r="K14" s="37"/>
      <c r="L14" s="37"/>
    </row>
    <row r="15" spans="1:13" ht="15" customHeight="1" x14ac:dyDescent="0.4">
      <c r="A15" s="625"/>
      <c r="B15" s="138"/>
      <c r="C15" s="549" t="s">
        <v>106</v>
      </c>
      <c r="D15" s="576"/>
      <c r="E15" s="698">
        <f>(F15-I15)/I15</f>
        <v>0</v>
      </c>
      <c r="F15" s="699">
        <f>SUM(F13:F14)</f>
        <v>1060</v>
      </c>
      <c r="G15" s="699">
        <f t="shared" ref="G15:H15" ca="1" si="7">SUM(G13:G14)</f>
        <v>-315.53999999999996</v>
      </c>
      <c r="H15" s="699">
        <f t="shared" ca="1" si="7"/>
        <v>744.46</v>
      </c>
      <c r="I15" s="548">
        <f>SUM(I13:I14)</f>
        <v>1060</v>
      </c>
      <c r="J15" s="42"/>
      <c r="K15" s="37"/>
      <c r="L15" s="37"/>
    </row>
    <row r="16" spans="1:13" ht="15.75" customHeight="1" x14ac:dyDescent="0.4">
      <c r="A16" s="625"/>
      <c r="B16" s="138"/>
      <c r="C16" s="529"/>
      <c r="D16" s="576"/>
      <c r="E16" s="535"/>
      <c r="F16" s="529"/>
      <c r="G16" s="529"/>
      <c r="H16" s="529"/>
      <c r="I16" s="529"/>
      <c r="J16" s="42"/>
      <c r="K16" s="37"/>
      <c r="L16" s="37"/>
    </row>
    <row r="17" spans="1:12" ht="19.5" customHeight="1" x14ac:dyDescent="0.5">
      <c r="A17" s="950" t="s">
        <v>552</v>
      </c>
      <c r="B17" s="950"/>
      <c r="C17" s="951"/>
      <c r="D17" s="951"/>
      <c r="E17" s="951"/>
      <c r="F17" s="951"/>
      <c r="G17" s="951"/>
      <c r="H17" s="951"/>
      <c r="I17" s="951"/>
      <c r="J17" s="42"/>
      <c r="K17" s="37"/>
      <c r="L17" s="37"/>
    </row>
    <row r="18" spans="1:12" ht="15" customHeight="1" x14ac:dyDescent="0.4">
      <c r="A18" s="626"/>
      <c r="B18" s="135" t="str">
        <f>LEFT(A17,4)&amp;"-1"</f>
        <v>6330-1</v>
      </c>
      <c r="C18" s="574" t="s">
        <v>553</v>
      </c>
      <c r="D18" s="585">
        <v>1</v>
      </c>
      <c r="E18" s="563">
        <v>300</v>
      </c>
      <c r="F18" s="700">
        <f t="shared" ref="F18:F26" si="8">D18*E18</f>
        <v>300</v>
      </c>
      <c r="G18" s="529">
        <f ca="1">(-SUMIF(INDIRECT(LEFT($A$17,4)&amp;"!i3:i200"),"="&amp;B18&amp;" *",INDIRECT(LEFT($A$17,4)&amp;"!k3:k200")))</f>
        <v>0</v>
      </c>
      <c r="H18" s="701">
        <f ca="1">SUM(F18:G18)</f>
        <v>300</v>
      </c>
      <c r="I18" s="540">
        <v>300</v>
      </c>
      <c r="J18" s="42"/>
      <c r="K18" s="126"/>
      <c r="L18" s="325"/>
    </row>
    <row r="19" spans="1:12" ht="15" customHeight="1" x14ac:dyDescent="0.4">
      <c r="A19" s="627"/>
      <c r="B19" s="111" t="str">
        <f>LEFT($B18,4)&amp;"-"&amp;VALUE(MID($B18,FIND("-",$B18)+1,256))+1</f>
        <v>6330-2</v>
      </c>
      <c r="C19" s="702" t="s">
        <v>554</v>
      </c>
      <c r="D19" s="592">
        <v>9500</v>
      </c>
      <c r="E19" s="537">
        <v>0.8</v>
      </c>
      <c r="F19" s="703">
        <f t="shared" si="8"/>
        <v>7600</v>
      </c>
      <c r="G19" s="704">
        <f t="shared" ref="G19:G26" ca="1" si="9">(-SUMIF(INDIRECT(LEFT($A$17,4)&amp;"!i3:i200"),"="&amp;B19&amp;" *",INDIRECT(LEFT($A$17,4)&amp;"!k3:k200")))</f>
        <v>-11100</v>
      </c>
      <c r="H19" s="704">
        <f t="shared" ref="H19" ca="1" si="10">SUM(F19:G19)</f>
        <v>-3500</v>
      </c>
      <c r="I19" s="532">
        <v>7120</v>
      </c>
      <c r="J19" s="42"/>
      <c r="K19" s="37"/>
      <c r="L19" s="37"/>
    </row>
    <row r="20" spans="1:12" ht="15" customHeight="1" x14ac:dyDescent="0.4">
      <c r="A20" s="628"/>
      <c r="B20" s="133" t="str">
        <f t="shared" ref="B20:B26" si="11">LEFT($B19,4)&amp;"-"&amp;VALUE(MID($B19,FIND("-",$B19)+1,256))+1</f>
        <v>6330-3</v>
      </c>
      <c r="C20" s="565" t="s">
        <v>555</v>
      </c>
      <c r="D20" s="705">
        <v>9</v>
      </c>
      <c r="E20" s="563">
        <v>150</v>
      </c>
      <c r="F20" s="700">
        <f t="shared" si="8"/>
        <v>1350</v>
      </c>
      <c r="G20" s="706">
        <f t="shared" ca="1" si="9"/>
        <v>-3022.42</v>
      </c>
      <c r="H20" s="706">
        <f t="shared" ref="H20:H21" ca="1" si="12">SUM(F20:G20)</f>
        <v>-1672.42</v>
      </c>
      <c r="I20" s="540">
        <v>1350</v>
      </c>
      <c r="J20" s="42"/>
      <c r="K20" s="35"/>
      <c r="L20" s="35"/>
    </row>
    <row r="21" spans="1:12" ht="15" customHeight="1" x14ac:dyDescent="0.4">
      <c r="A21" s="627"/>
      <c r="B21" s="111" t="str">
        <f t="shared" si="11"/>
        <v>6330-4</v>
      </c>
      <c r="C21" s="673" t="s">
        <v>232</v>
      </c>
      <c r="D21" s="587">
        <v>2310</v>
      </c>
      <c r="E21" s="537">
        <v>4.25</v>
      </c>
      <c r="F21" s="703">
        <f t="shared" si="8"/>
        <v>9817.5</v>
      </c>
      <c r="G21" s="704">
        <f t="shared" ca="1" si="9"/>
        <v>-11171.46</v>
      </c>
      <c r="H21" s="704">
        <f t="shared" ca="1" si="12"/>
        <v>-1353.9599999999991</v>
      </c>
      <c r="I21" s="532">
        <v>9350</v>
      </c>
      <c r="J21" s="42"/>
      <c r="K21" s="37"/>
      <c r="L21" s="37"/>
    </row>
    <row r="22" spans="1:12" ht="15" customHeight="1" x14ac:dyDescent="0.4">
      <c r="A22" s="628"/>
      <c r="B22" s="133" t="str">
        <f t="shared" si="11"/>
        <v>6330-5</v>
      </c>
      <c r="C22" s="502" t="s">
        <v>238</v>
      </c>
      <c r="D22" s="585">
        <v>200</v>
      </c>
      <c r="E22" s="563">
        <v>0.54</v>
      </c>
      <c r="F22" s="700">
        <f t="shared" si="8"/>
        <v>108</v>
      </c>
      <c r="G22" s="706">
        <f t="shared" ca="1" si="9"/>
        <v>0</v>
      </c>
      <c r="H22" s="706">
        <f t="shared" ref="H22:H26" ca="1" si="13">SUM(F22:G22)</f>
        <v>108</v>
      </c>
      <c r="I22" s="540">
        <v>108</v>
      </c>
      <c r="J22" s="42"/>
      <c r="K22" s="37"/>
      <c r="L22" s="37"/>
    </row>
    <row r="23" spans="1:12" ht="15" customHeight="1" x14ac:dyDescent="0.4">
      <c r="A23" s="627"/>
      <c r="B23" s="111" t="str">
        <f t="shared" si="11"/>
        <v>6330-6</v>
      </c>
      <c r="C23" s="673" t="s">
        <v>265</v>
      </c>
      <c r="D23" s="599">
        <v>500</v>
      </c>
      <c r="E23" s="537">
        <v>0.09</v>
      </c>
      <c r="F23" s="703">
        <f t="shared" si="8"/>
        <v>45</v>
      </c>
      <c r="G23" s="704">
        <f t="shared" ca="1" si="9"/>
        <v>0</v>
      </c>
      <c r="H23" s="704">
        <f t="shared" ca="1" si="13"/>
        <v>45</v>
      </c>
      <c r="I23" s="532">
        <v>45</v>
      </c>
      <c r="J23" s="42"/>
      <c r="K23" s="37"/>
      <c r="L23" s="37"/>
    </row>
    <row r="24" spans="1:12" ht="15" customHeight="1" x14ac:dyDescent="0.4">
      <c r="A24" s="622"/>
      <c r="B24" s="133" t="str">
        <f t="shared" si="11"/>
        <v>6330-7</v>
      </c>
      <c r="C24" s="529" t="s">
        <v>556</v>
      </c>
      <c r="D24" s="576">
        <v>1</v>
      </c>
      <c r="E24" s="528">
        <v>900</v>
      </c>
      <c r="F24" s="696">
        <f t="shared" si="8"/>
        <v>900</v>
      </c>
      <c r="G24" s="706">
        <f t="shared" ca="1" si="9"/>
        <v>-3705</v>
      </c>
      <c r="H24" s="706">
        <f t="shared" ca="1" si="13"/>
        <v>-2805</v>
      </c>
      <c r="I24" s="529">
        <v>900</v>
      </c>
      <c r="J24" s="889"/>
      <c r="K24" s="126"/>
      <c r="L24" s="325"/>
    </row>
    <row r="25" spans="1:12" ht="15" customHeight="1" x14ac:dyDescent="0.4">
      <c r="A25" s="632"/>
      <c r="B25" s="111" t="str">
        <f t="shared" si="11"/>
        <v>6330-8</v>
      </c>
      <c r="C25" s="707" t="s">
        <v>557</v>
      </c>
      <c r="D25" s="615">
        <v>9500</v>
      </c>
      <c r="E25" s="708">
        <v>7.0000000000000007E-2</v>
      </c>
      <c r="F25" s="709">
        <f t="shared" si="8"/>
        <v>665.00000000000011</v>
      </c>
      <c r="G25" s="704">
        <f t="shared" ca="1" si="9"/>
        <v>0</v>
      </c>
      <c r="H25" s="704">
        <f t="shared" ca="1" si="13"/>
        <v>665.00000000000011</v>
      </c>
      <c r="I25" s="541">
        <v>623</v>
      </c>
      <c r="J25" s="42"/>
      <c r="K25" s="126"/>
      <c r="L25" s="325"/>
    </row>
    <row r="26" spans="1:12" ht="15" customHeight="1" x14ac:dyDescent="0.4">
      <c r="A26" s="622"/>
      <c r="B26" s="133" t="str">
        <f t="shared" si="11"/>
        <v>6330-9</v>
      </c>
      <c r="C26" s="529" t="s">
        <v>558</v>
      </c>
      <c r="D26" s="576">
        <v>0</v>
      </c>
      <c r="E26" s="528">
        <v>20</v>
      </c>
      <c r="F26" s="696">
        <f t="shared" si="8"/>
        <v>0</v>
      </c>
      <c r="G26" s="706">
        <f t="shared" ca="1" si="9"/>
        <v>0</v>
      </c>
      <c r="H26" s="706">
        <f t="shared" ca="1" si="13"/>
        <v>0</v>
      </c>
      <c r="I26" s="529">
        <v>440</v>
      </c>
      <c r="J26" s="42"/>
      <c r="K26" s="126"/>
      <c r="L26" s="325"/>
    </row>
    <row r="27" spans="1:12" ht="15" customHeight="1" x14ac:dyDescent="0.4">
      <c r="A27" s="625"/>
      <c r="B27" s="138"/>
      <c r="C27" s="549" t="s">
        <v>106</v>
      </c>
      <c r="D27" s="576"/>
      <c r="E27" s="698">
        <f>(F27-I27)/I27</f>
        <v>2.7154576003162682E-2</v>
      </c>
      <c r="F27" s="699">
        <f>SUM(F18:F26)</f>
        <v>20785.5</v>
      </c>
      <c r="G27" s="659">
        <f t="shared" ref="G27:H27" ca="1" si="14">SUM(G18:G26)</f>
        <v>-28998.879999999997</v>
      </c>
      <c r="H27" s="659">
        <f t="shared" ca="1" si="14"/>
        <v>-8213.3799999999992</v>
      </c>
      <c r="I27" s="548">
        <f>SUM(I18:I26)</f>
        <v>20236</v>
      </c>
      <c r="J27" s="42"/>
      <c r="K27" s="37"/>
      <c r="L27" s="37"/>
    </row>
    <row r="28" spans="1:12" ht="15.75" customHeight="1" x14ac:dyDescent="0.4">
      <c r="A28" s="625"/>
      <c r="B28" s="138"/>
      <c r="C28" s="549"/>
      <c r="D28" s="576"/>
      <c r="E28" s="535"/>
      <c r="F28" s="568"/>
      <c r="G28" s="568"/>
      <c r="H28" s="568"/>
      <c r="I28" s="529"/>
      <c r="J28" s="42"/>
      <c r="K28" s="37"/>
      <c r="L28" s="37"/>
    </row>
    <row r="29" spans="1:12" ht="19.5" customHeight="1" x14ac:dyDescent="0.5">
      <c r="A29" s="950" t="s">
        <v>559</v>
      </c>
      <c r="B29" s="950"/>
      <c r="C29" s="951"/>
      <c r="D29" s="951"/>
      <c r="E29" s="951"/>
      <c r="F29" s="951"/>
      <c r="G29" s="951"/>
      <c r="H29" s="951"/>
      <c r="I29" s="951"/>
      <c r="J29" s="42"/>
      <c r="K29" s="37"/>
      <c r="L29" s="37"/>
    </row>
    <row r="30" spans="1:12" ht="15" customHeight="1" x14ac:dyDescent="0.4">
      <c r="A30" s="622" t="s">
        <v>560</v>
      </c>
      <c r="B30" s="139" t="str">
        <f>LEFT(A29,4)&amp;"-1"</f>
        <v>6340-1</v>
      </c>
      <c r="C30" s="529" t="s">
        <v>561</v>
      </c>
      <c r="D30" s="576">
        <v>0</v>
      </c>
      <c r="E30" s="528">
        <v>120</v>
      </c>
      <c r="F30" s="696">
        <f>D30*E30</f>
        <v>0</v>
      </c>
      <c r="G30" s="706">
        <f ca="1">(-SUMIF(INDIRECT(LEFT($A$29,4)&amp;"!i3:i200"),"="&amp;B30&amp;" *",INDIRECT(LEFT($A$29,4)&amp;"!k3:k200")))</f>
        <v>0</v>
      </c>
      <c r="H30" s="529">
        <f ca="1">SUM(F30:G30)</f>
        <v>0</v>
      </c>
      <c r="I30" s="529">
        <v>2640</v>
      </c>
      <c r="J30" s="42"/>
      <c r="K30" s="37"/>
      <c r="L30" s="37"/>
    </row>
    <row r="31" spans="1:12" ht="15" customHeight="1" x14ac:dyDescent="0.4">
      <c r="A31" s="632" t="s">
        <v>560</v>
      </c>
      <c r="B31" s="920" t="str">
        <f>LEFT($B30,4)&amp;"-"&amp;VALUE(MID($B30,FIND("-",$B30)+1,256))+1</f>
        <v>6340-2</v>
      </c>
      <c r="C31" s="604" t="s">
        <v>562</v>
      </c>
      <c r="D31" s="609">
        <v>0</v>
      </c>
      <c r="E31" s="543">
        <v>120</v>
      </c>
      <c r="F31" s="709">
        <f>D31*E31</f>
        <v>0</v>
      </c>
      <c r="G31" s="541">
        <f ca="1">(-SUMIF(INDIRECT(LEFT($A$29,4)&amp;"!i3:i200"),"="&amp;B31&amp;" *",INDIRECT(LEFT($A$29,4)&amp;"!k3:k200")))</f>
        <v>0</v>
      </c>
      <c r="H31" s="921">
        <f t="shared" ref="H31" ca="1" si="15">SUM(F31:G31)</f>
        <v>0</v>
      </c>
      <c r="I31" s="541">
        <v>2640</v>
      </c>
      <c r="J31" s="42"/>
      <c r="K31" s="37"/>
      <c r="L31" s="37"/>
    </row>
    <row r="32" spans="1:12" ht="15" customHeight="1" x14ac:dyDescent="0.4">
      <c r="A32" s="625"/>
      <c r="B32" s="138"/>
      <c r="C32" s="549" t="s">
        <v>106</v>
      </c>
      <c r="D32" s="576"/>
      <c r="E32" s="698">
        <f>(F32-I32)/I32</f>
        <v>-1</v>
      </c>
      <c r="F32" s="699">
        <f>SUM(F30:F31)</f>
        <v>0</v>
      </c>
      <c r="G32" s="699">
        <f t="shared" ref="G32:H32" ca="1" si="16">SUM(G30:G31)</f>
        <v>0</v>
      </c>
      <c r="H32" s="699">
        <f t="shared" ca="1" si="16"/>
        <v>0</v>
      </c>
      <c r="I32" s="548">
        <f>SUM(I30:I31)</f>
        <v>5280</v>
      </c>
      <c r="J32" s="42"/>
      <c r="K32" s="37"/>
      <c r="L32" s="37"/>
    </row>
    <row r="33" spans="1:12" ht="15.75" customHeight="1" x14ac:dyDescent="0.4">
      <c r="A33" s="625"/>
      <c r="B33" s="138"/>
      <c r="C33" s="549"/>
      <c r="D33" s="576"/>
      <c r="E33" s="535"/>
      <c r="F33" s="568"/>
      <c r="G33" s="568"/>
      <c r="H33" s="568"/>
      <c r="I33" s="529"/>
      <c r="J33" s="37"/>
      <c r="K33" s="37"/>
      <c r="L33" s="37"/>
    </row>
    <row r="34" spans="1:12" ht="19.5" customHeight="1" x14ac:dyDescent="0.5">
      <c r="A34" s="950" t="s">
        <v>563</v>
      </c>
      <c r="B34" s="950"/>
      <c r="C34" s="951"/>
      <c r="D34" s="951"/>
      <c r="E34" s="951"/>
      <c r="F34" s="951"/>
      <c r="G34" s="951"/>
      <c r="H34" s="951"/>
      <c r="I34" s="951"/>
      <c r="J34" s="37"/>
      <c r="K34" s="37"/>
      <c r="L34" s="37"/>
    </row>
    <row r="35" spans="1:12" ht="15" customHeight="1" x14ac:dyDescent="0.4">
      <c r="A35" s="622"/>
      <c r="B35" s="139" t="str">
        <f>LEFT(A34,4)&amp;"-1"</f>
        <v>6350-1</v>
      </c>
      <c r="C35" s="529" t="s">
        <v>564</v>
      </c>
      <c r="D35" s="576">
        <v>2</v>
      </c>
      <c r="E35" s="535">
        <v>3000</v>
      </c>
      <c r="F35" s="696">
        <f>D35*E35</f>
        <v>6000</v>
      </c>
      <c r="G35" s="706">
        <f ca="1">(-SUMIF(INDIRECT(LEFT($A$34,4)&amp;"!i3:i200"),"="&amp;B35&amp;" *",INDIRECT(LEFT($A$34,4)&amp;"!k3:k200")))</f>
        <v>-1000</v>
      </c>
      <c r="H35" s="529">
        <f ca="1">SUM(F35:G35)</f>
        <v>5000</v>
      </c>
      <c r="I35" s="529">
        <v>6000</v>
      </c>
      <c r="J35" s="42"/>
      <c r="K35" s="37"/>
      <c r="L35" s="37"/>
    </row>
    <row r="36" spans="1:12" ht="15" customHeight="1" x14ac:dyDescent="0.4">
      <c r="A36" s="633"/>
      <c r="B36" s="125" t="str">
        <f>LEFT($B35,4)&amp;"-"&amp;VALUE(MID($B35,FIND("-",$B35)+1,256))+1</f>
        <v>6350-2</v>
      </c>
      <c r="C36" s="588" t="s">
        <v>565</v>
      </c>
      <c r="D36" s="587">
        <v>1</v>
      </c>
      <c r="E36" s="537">
        <v>1500</v>
      </c>
      <c r="F36" s="703">
        <f>SUM(D36*E36)</f>
        <v>1500</v>
      </c>
      <c r="G36" s="713">
        <f ca="1">(-SUMIF(INDIRECT(LEFT($A$34,4)&amp;"!i3:i200"),"="&amp;B36&amp;" *",INDIRECT(LEFT($A$34,4)&amp;"!k3:k200")))</f>
        <v>-1200</v>
      </c>
      <c r="H36" s="713">
        <f t="shared" ref="H36" ca="1" si="17">SUM(F36:G36)</f>
        <v>300</v>
      </c>
      <c r="I36" s="532">
        <v>1500</v>
      </c>
      <c r="J36" s="888"/>
      <c r="K36" s="37"/>
      <c r="L36" s="37"/>
    </row>
    <row r="37" spans="1:12" ht="15" customHeight="1" x14ac:dyDescent="0.4">
      <c r="A37" s="711"/>
      <c r="B37" s="138"/>
      <c r="C37" s="549" t="s">
        <v>106</v>
      </c>
      <c r="D37" s="576"/>
      <c r="E37" s="698">
        <f>(F37-I37)/I37</f>
        <v>0</v>
      </c>
      <c r="F37" s="699">
        <f>SUM(F35:F36)</f>
        <v>7500</v>
      </c>
      <c r="G37" s="699">
        <f t="shared" ref="G37:H37" ca="1" si="18">SUM(G35:G36)</f>
        <v>-2200</v>
      </c>
      <c r="H37" s="699">
        <f t="shared" ca="1" si="18"/>
        <v>5300</v>
      </c>
      <c r="I37" s="548">
        <f>SUM(I35:I36)</f>
        <v>7500</v>
      </c>
      <c r="J37" s="42"/>
      <c r="K37" s="37"/>
      <c r="L37" s="37"/>
    </row>
    <row r="38" spans="1:12" ht="15" customHeight="1" x14ac:dyDescent="0.4">
      <c r="A38" s="712"/>
      <c r="C38" s="450"/>
      <c r="D38" s="450"/>
      <c r="E38" s="450"/>
      <c r="F38" s="419"/>
      <c r="G38" s="419"/>
      <c r="H38" s="419"/>
      <c r="I38" s="419"/>
      <c r="J38" s="42"/>
    </row>
    <row r="39" spans="1:12" ht="15" customHeight="1" x14ac:dyDescent="0.4">
      <c r="A39" s="712"/>
      <c r="C39" s="495"/>
      <c r="D39" s="450"/>
      <c r="E39" s="698">
        <f>SUM(F39-I39)/I39</f>
        <v>0.16443959471278405</v>
      </c>
      <c r="F39" s="714">
        <f>SUM(F37+F32+F27+F15+F10)</f>
        <v>282255.5</v>
      </c>
      <c r="G39" s="714">
        <f t="shared" ref="G39:H39" ca="1" si="19">SUM(G37+G32+G27+G15+G10)</f>
        <v>-221984.41999999998</v>
      </c>
      <c r="H39" s="714">
        <f t="shared" ca="1" si="19"/>
        <v>60271.08</v>
      </c>
      <c r="I39" s="695">
        <f>SUM(I37+I32+I27+I15+I10)</f>
        <v>242396</v>
      </c>
      <c r="J39" s="42"/>
    </row>
    <row r="40" spans="1:12" ht="15.75" customHeight="1" x14ac:dyDescent="0.4"/>
    <row r="48" spans="1:12" ht="15" customHeight="1" x14ac:dyDescent="0.4">
      <c r="J48" s="42"/>
    </row>
  </sheetData>
  <mergeCells count="6">
    <mergeCell ref="A1:I1"/>
    <mergeCell ref="A3:I3"/>
    <mergeCell ref="A12:I12"/>
    <mergeCell ref="A17:I17"/>
    <mergeCell ref="A34:I34"/>
    <mergeCell ref="A29:I29"/>
  </mergeCells>
  <conditionalFormatting sqref="E10">
    <cfRule type="cellIs" dxfId="26" priority="16" operator="lessThan">
      <formula>0</formula>
    </cfRule>
    <cfRule type="cellIs" dxfId="25" priority="17" operator="greaterThan">
      <formula>0</formula>
    </cfRule>
    <cfRule type="cellIs" dxfId="24" priority="18" operator="equal">
      <formula>0</formula>
    </cfRule>
  </conditionalFormatting>
  <conditionalFormatting sqref="E15">
    <cfRule type="cellIs" dxfId="23" priority="13" operator="lessThan">
      <formula>0</formula>
    </cfRule>
    <cfRule type="cellIs" dxfId="22" priority="14" operator="greaterThan">
      <formula>0</formula>
    </cfRule>
    <cfRule type="cellIs" dxfId="21" priority="15" operator="equal">
      <formula>0</formula>
    </cfRule>
  </conditionalFormatting>
  <conditionalFormatting sqref="E27">
    <cfRule type="cellIs" dxfId="20" priority="10" operator="lessThan">
      <formula>0</formula>
    </cfRule>
    <cfRule type="cellIs" dxfId="19" priority="11" operator="greaterThan">
      <formula>0</formula>
    </cfRule>
    <cfRule type="cellIs" dxfId="18" priority="12" operator="equal">
      <formula>0</formula>
    </cfRule>
  </conditionalFormatting>
  <conditionalFormatting sqref="E32">
    <cfRule type="cellIs" dxfId="17" priority="7" operator="lessThan">
      <formula>0</formula>
    </cfRule>
    <cfRule type="cellIs" dxfId="16" priority="8" operator="greaterThan">
      <formula>0</formula>
    </cfRule>
    <cfRule type="cellIs" dxfId="15" priority="9" operator="equal">
      <formula>0</formula>
    </cfRule>
  </conditionalFormatting>
  <conditionalFormatting sqref="E37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equal">
      <formula>0</formula>
    </cfRule>
  </conditionalFormatting>
  <conditionalFormatting sqref="E39">
    <cfRule type="cellIs" dxfId="11" priority="4" operator="lessThan">
      <formula>0</formula>
    </cfRule>
    <cfRule type="cellIs" dxfId="10" priority="5" operator="greaterThan">
      <formula>0</formula>
    </cfRule>
    <cfRule type="cellIs" dxfId="9" priority="6" operator="equal">
      <formula>0</formula>
    </cfRule>
  </conditionalFormatting>
  <conditionalFormatting sqref="F3:F1048576 G10:H10 G15:H15 G27:H27 G32:H32 G37:H37 G39:H39">
    <cfRule type="expression" dxfId="8" priority="19">
      <formula>F3=I3</formula>
    </cfRule>
    <cfRule type="expression" dxfId="7" priority="20">
      <formula>F3&lt;I3</formula>
    </cfRule>
    <cfRule type="expression" dxfId="6" priority="21">
      <formula>F3&gt;I3</formula>
    </cfRule>
  </conditionalFormatting>
  <printOptions horizontalCentered="1"/>
  <pageMargins left="0.25" right="0.25" top="1" bottom="0.5" header="0.5" footer="0"/>
  <pageSetup scale="92" fitToHeight="0" orientation="landscape" r:id="rId1"/>
  <rowBreaks count="1" manualBreakCount="1">
    <brk id="28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8F702034066B4D9129FF55A60F1DEA" ma:contentTypeVersion="13" ma:contentTypeDescription="Create a new document." ma:contentTypeScope="" ma:versionID="6f13eef2147306f56d695dd7dbd0f5c4">
  <xsd:schema xmlns:xsd="http://www.w3.org/2001/XMLSchema" xmlns:xs="http://www.w3.org/2001/XMLSchema" xmlns:p="http://schemas.microsoft.com/office/2006/metadata/properties" xmlns:ns2="09b76f5d-b812-4149-92b4-4962d13e8ad1" xmlns:ns3="f3617d67-b5f8-4a1f-9dbe-65e972ca6e6f" targetNamespace="http://schemas.microsoft.com/office/2006/metadata/properties" ma:root="true" ma:fieldsID="e62f9758520fe75a973f7f7db5ddb251" ns2:_="" ns3:_="">
    <xsd:import namespace="09b76f5d-b812-4149-92b4-4962d13e8ad1"/>
    <xsd:import namespace="f3617d67-b5f8-4a1f-9dbe-65e972ca6e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b76f5d-b812-4149-92b4-4962d13e8ad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9b562f19-2b66-4e52-8dff-e4ebb5b264d2}" ma:internalName="TaxCatchAll" ma:showField="CatchAllData" ma:web="09b76f5d-b812-4149-92b4-4962d13e8a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617d67-b5f8-4a1f-9dbe-65e972ca6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01bd3b1c-8d9f-4714-a0f6-a1629dec6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b76f5d-b812-4149-92b4-4962d13e8ad1" xsi:nil="true"/>
    <lcf76f155ced4ddcb4097134ff3c332f xmlns="f3617d67-b5f8-4a1f-9dbe-65e972ca6e6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C715418-063B-41D2-95B2-FE202207DF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EAC83F-251A-4530-8F7C-D0C5DF3E1B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b76f5d-b812-4149-92b4-4962d13e8ad1"/>
    <ds:schemaRef ds:uri="f3617d67-b5f8-4a1f-9dbe-65e972ca6e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C9ABF7-CFA8-4C6D-B30A-295989FFF62A}">
  <ds:schemaRefs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f3617d67-b5f8-4a1f-9dbe-65e972ca6e6f"/>
    <ds:schemaRef ds:uri="09b76f5d-b812-4149-92b4-4962d13e8ad1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37</vt:i4>
      </vt:variant>
      <vt:variant>
        <vt:lpstr>Named Ranges</vt:lpstr>
      </vt:variant>
      <vt:variant>
        <vt:i4>63</vt:i4>
      </vt:variant>
    </vt:vector>
  </HeadingPairs>
  <TitlesOfParts>
    <vt:vector size="100" baseType="lpstr">
      <vt:lpstr>Summary</vt:lpstr>
      <vt:lpstr>1% Overview</vt:lpstr>
      <vt:lpstr>1% Personnel</vt:lpstr>
      <vt:lpstr>2% Overview</vt:lpstr>
      <vt:lpstr>2% Personnel</vt:lpstr>
      <vt:lpstr>4% Overview</vt:lpstr>
      <vt:lpstr>4% Personnel</vt:lpstr>
      <vt:lpstr>Budget-Services</vt:lpstr>
      <vt:lpstr>ARB Budget</vt:lpstr>
      <vt:lpstr>Recap chart</vt:lpstr>
      <vt:lpstr>Budget Recap</vt:lpstr>
      <vt:lpstr>6110</vt:lpstr>
      <vt:lpstr>6120</vt:lpstr>
      <vt:lpstr>6130</vt:lpstr>
      <vt:lpstr>6140</vt:lpstr>
      <vt:lpstr>6150</vt:lpstr>
      <vt:lpstr>6160</vt:lpstr>
      <vt:lpstr>6210</vt:lpstr>
      <vt:lpstr>6215</vt:lpstr>
      <vt:lpstr>6220</vt:lpstr>
      <vt:lpstr>6225</vt:lpstr>
      <vt:lpstr>6235</vt:lpstr>
      <vt:lpstr>6236</vt:lpstr>
      <vt:lpstr>6240</vt:lpstr>
      <vt:lpstr>6250</vt:lpstr>
      <vt:lpstr>6260</vt:lpstr>
      <vt:lpstr>6280</vt:lpstr>
      <vt:lpstr>6285</vt:lpstr>
      <vt:lpstr>6290</vt:lpstr>
      <vt:lpstr>Alert</vt:lpstr>
      <vt:lpstr>6310</vt:lpstr>
      <vt:lpstr>6320</vt:lpstr>
      <vt:lpstr>6330</vt:lpstr>
      <vt:lpstr>6340</vt:lpstr>
      <vt:lpstr>6350</vt:lpstr>
      <vt:lpstr>6810</vt:lpstr>
      <vt:lpstr>8010</vt:lpstr>
      <vt:lpstr>'1% Overview'!Print_Area</vt:lpstr>
      <vt:lpstr>'1% Personnel'!Print_Area</vt:lpstr>
      <vt:lpstr>'2% Overview'!Print_Area</vt:lpstr>
      <vt:lpstr>'2% Personnel'!Print_Area</vt:lpstr>
      <vt:lpstr>'4% Overview'!Print_Area</vt:lpstr>
      <vt:lpstr>'4% Personnel'!Print_Area</vt:lpstr>
      <vt:lpstr>'ARB Budget'!Print_Area</vt:lpstr>
      <vt:lpstr>'Budget-Services'!Print_Area</vt:lpstr>
      <vt:lpstr>'Recap chart'!Print_Area</vt:lpstr>
      <vt:lpstr>Summary!Print_Area</vt:lpstr>
      <vt:lpstr>'1% Personnel'!Print_Titles</vt:lpstr>
      <vt:lpstr>'2% Personnel'!Print_Titles</vt:lpstr>
      <vt:lpstr>'4% Personnel'!Print_Titles</vt:lpstr>
      <vt:lpstr>'6110'!Print_Titles</vt:lpstr>
      <vt:lpstr>'6120'!Print_Titles</vt:lpstr>
      <vt:lpstr>'6130'!Print_Titles</vt:lpstr>
      <vt:lpstr>'6140'!Print_Titles</vt:lpstr>
      <vt:lpstr>'6150'!Print_Titles</vt:lpstr>
      <vt:lpstr>'6160'!Print_Titles</vt:lpstr>
      <vt:lpstr>'6210'!Print_Titles</vt:lpstr>
      <vt:lpstr>'6215'!Print_Titles</vt:lpstr>
      <vt:lpstr>'6220'!Print_Titles</vt:lpstr>
      <vt:lpstr>'6225'!Print_Titles</vt:lpstr>
      <vt:lpstr>'6235'!Print_Titles</vt:lpstr>
      <vt:lpstr>'6236'!Print_Titles</vt:lpstr>
      <vt:lpstr>'6240'!Print_Titles</vt:lpstr>
      <vt:lpstr>'6260'!Print_Titles</vt:lpstr>
      <vt:lpstr>'6280'!Print_Titles</vt:lpstr>
      <vt:lpstr>'6285'!Print_Titles</vt:lpstr>
      <vt:lpstr>'6290'!Print_Titles</vt:lpstr>
      <vt:lpstr>'6310'!Print_Titles</vt:lpstr>
      <vt:lpstr>'6320'!Print_Titles</vt:lpstr>
      <vt:lpstr>'6330'!Print_Titles</vt:lpstr>
      <vt:lpstr>'6350'!Print_Titles</vt:lpstr>
      <vt:lpstr>'6810'!Print_Titles</vt:lpstr>
      <vt:lpstr>'ARB Budget'!Print_Titles</vt:lpstr>
      <vt:lpstr>'Budget-Services'!Print_Titles</vt:lpstr>
      <vt:lpstr>'ARB Budget'!Z_1E23C528_1A93_4869_8FED_629E3BA1C1FB_.wvu.Cols</vt:lpstr>
      <vt:lpstr>'Budget-Services'!Z_1E23C528_1A93_4869_8FED_629E3BA1C1FB_.wvu.Cols</vt:lpstr>
      <vt:lpstr>'ARB Budget'!Z_1E23C528_1A93_4869_8FED_629E3BA1C1FB_.wvu.PrintArea</vt:lpstr>
      <vt:lpstr>'Budget-Services'!Z_1E23C528_1A93_4869_8FED_629E3BA1C1FB_.wvu.PrintArea</vt:lpstr>
      <vt:lpstr>'Budget-Services'!Z_1E23C528_1A93_4869_8FED_629E3BA1C1FB_.wvu.PrintTitles</vt:lpstr>
      <vt:lpstr>'ARB Budget'!Z_240D0F1E_8A4A_44D9_9D18_FC2DB01D505B_.wvu.Cols</vt:lpstr>
      <vt:lpstr>'Budget-Services'!Z_311A91B1_0912_4AA5_9366_B03CF50601A2_.wvu.PrintTitles</vt:lpstr>
      <vt:lpstr>'Budget-Services'!Z_34964384_DFBD_46D8_9B9F_2D86A517A166_.wvu.PrintTitles</vt:lpstr>
      <vt:lpstr>'Budget-Services'!Z_462CB3DC_B2E4_454C_83C1_B844BA7D19AA_.wvu.PrintTitles</vt:lpstr>
      <vt:lpstr>'Budget-Services'!Z_6D2BABDE_BF95_4644_811C_B4DB4C5FF4DD_.wvu.PrintTitles</vt:lpstr>
      <vt:lpstr>'Budget-Services'!Z_7B966C76_DF97_4627_BB3C_77955DB39D00_.wvu.PrintTitles</vt:lpstr>
      <vt:lpstr>'Budget-Services'!Z_867852E4_99EF_4389_8FD0_AFAB4495F746_.wvu.PrintTitles</vt:lpstr>
      <vt:lpstr>'ARB Budget'!Z_87C375DB_B8D6_4CDB_A372_B6AF8E723C83_.wvu.Cols</vt:lpstr>
      <vt:lpstr>'ARB Budget'!Z_8AFAE271_A818_42D9_A8EF_972712D95EDE_.wvu.Cols</vt:lpstr>
      <vt:lpstr>'Budget-Services'!Z_8AFAE271_A818_42D9_A8EF_972712D95EDE_.wvu.Cols</vt:lpstr>
      <vt:lpstr>'Budget-Services'!Z_8AFAE271_A818_42D9_A8EF_972712D95EDE_.wvu.PrintArea</vt:lpstr>
      <vt:lpstr>'Budget-Services'!Z_8AFAE271_A818_42D9_A8EF_972712D95EDE_.wvu.PrintTitles</vt:lpstr>
      <vt:lpstr>'ARB Budget'!Z_C064177C_B77C_40AF_A193_4D3DF85CE067_.wvu.Cols</vt:lpstr>
      <vt:lpstr>'Budget-Services'!Z_C064177C_B77C_40AF_A193_4D3DF85CE067_.wvu.Cols</vt:lpstr>
      <vt:lpstr>'ARB Budget'!Z_C064177C_B77C_40AF_A193_4D3DF85CE067_.wvu.PrintArea</vt:lpstr>
      <vt:lpstr>'Budget-Services'!Z_C064177C_B77C_40AF_A193_4D3DF85CE067_.wvu.PrintArea</vt:lpstr>
      <vt:lpstr>'Budget-Services'!Z_C064177C_B77C_40AF_A193_4D3DF85CE067_.wvu.PrintTitles</vt:lpstr>
      <vt:lpstr>'Budget-Services'!Z_C48E47E7_FA0B_4A20_94A3_280718E1E67E_.wvu.PrintTitles</vt:lpstr>
      <vt:lpstr>'Budget-Services'!Z_C67EED5A_831B_42B7_8FDB_8094D4B26582_.wvu.PrintTitles</vt:lpstr>
      <vt:lpstr>'Budget-Services'!Z_E4A729BB_04B9_4DDA_A845_D330ECD6C6DE_.wvu.PrintTitles</vt:lpstr>
      <vt:lpstr>'ARB Budget'!Z_FB8A7251_402B_4E68_AD89_100C31417887_.wvu.Cols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Kimberly Gamboa</dc:creator>
  <cp:keywords/>
  <dc:description/>
  <cp:lastModifiedBy>Kimberly Gamboa</cp:lastModifiedBy>
  <cp:revision/>
  <cp:lastPrinted>2022-12-15T14:53:01Z</cp:lastPrinted>
  <dcterms:created xsi:type="dcterms:W3CDTF">2018-04-13T13:33:25Z</dcterms:created>
  <dcterms:modified xsi:type="dcterms:W3CDTF">2025-01-24T18:02:13Z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0x0101006C8F702034066B4D9129FF55A60F1DEA</vt:lpwstr>
  </property>
  <property fmtid="{D5CDD505-2E9C-101B-9397-08002B2CF9AE}" pid="3" name="MediaServiceImageTags">
    <vt:lpwstr/>
  </property>
</Properties>
</file>