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8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9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10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11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12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1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14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1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6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7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8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9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20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21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22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3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24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5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26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drawings/drawing27.xml" ContentType="application/vnd.openxmlformats-officedocument.drawing+xml"/>
  <Override PartName="/xl/activeX/activeX40.xml" ContentType="application/vnd.ms-office.activeX+xml"/>
  <Override PartName="/xl/activeX/activeX40.bin" ContentType="application/vnd.ms-office.activeX"/>
  <Override PartName="/xl/drawings/drawing28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drawings/drawing29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visions\Business Services\Shared\Financial Transparency\Budgets\"/>
    </mc:Choice>
  </mc:AlternateContent>
  <xr:revisionPtr revIDLastSave="0" documentId="13_ncr:1_{9ABB64F1-30C7-47B2-8461-CC5C47B30684}" xr6:coauthVersionLast="47" xr6:coauthVersionMax="47" xr10:uidLastSave="{00000000-0000-0000-0000-000000000000}"/>
  <bookViews>
    <workbookView xWindow="-103" yWindow="-103" windowWidth="21600" windowHeight="13749" tabRatio="910" firstSheet="5" activeTab="5" xr2:uid="{00000000-000D-0000-FFFF-FFFF00000000}"/>
  </bookViews>
  <sheets>
    <sheet name="Summary" sheetId="36" state="hidden" r:id="rId1"/>
    <sheet name="1% Overview" sheetId="37" state="hidden" r:id="rId2"/>
    <sheet name="1% Personnel" sheetId="38" state="hidden" r:id="rId3"/>
    <sheet name="2% Overview" sheetId="39" state="hidden" r:id="rId4"/>
    <sheet name="2% Personnel" sheetId="40" state="hidden" r:id="rId5"/>
    <sheet name="3% Overview" sheetId="34" r:id="rId6"/>
    <sheet name="3% Personnel" sheetId="35" r:id="rId7"/>
    <sheet name="Budget-Services" sheetId="4" r:id="rId8"/>
    <sheet name="ARB Budget" sheetId="5" r:id="rId9"/>
    <sheet name="Recap chart" sheetId="6" r:id="rId10"/>
    <sheet name="Budget Recap" sheetId="44" r:id="rId11"/>
    <sheet name="6110" sheetId="7" r:id="rId12"/>
    <sheet name="6120" sheetId="8" r:id="rId13"/>
    <sheet name="6130" sheetId="9" r:id="rId14"/>
    <sheet name="6140" sheetId="10" r:id="rId15"/>
    <sheet name="6150" sheetId="11" r:id="rId16"/>
    <sheet name="6160" sheetId="12" r:id="rId17"/>
    <sheet name="6210" sheetId="13" r:id="rId18"/>
    <sheet name="6215" sheetId="14" r:id="rId19"/>
    <sheet name="6220" sheetId="15" r:id="rId20"/>
    <sheet name="6225" sheetId="16" r:id="rId21"/>
    <sheet name="6235" sheetId="17" r:id="rId22"/>
    <sheet name="6236" sheetId="18" r:id="rId23"/>
    <sheet name="6240" sheetId="19" r:id="rId24"/>
    <sheet name="6250" sheetId="30" r:id="rId25"/>
    <sheet name="6260" sheetId="20" r:id="rId26"/>
    <sheet name="6280" sheetId="21" r:id="rId27"/>
    <sheet name="6285" sheetId="22" r:id="rId28"/>
    <sheet name="6290" sheetId="23" r:id="rId29"/>
    <sheet name="6310" sheetId="24" r:id="rId30"/>
    <sheet name="6320" sheetId="25" r:id="rId31"/>
    <sheet name="6330" sheetId="26" r:id="rId32"/>
    <sheet name="6340" sheetId="27" r:id="rId33"/>
    <sheet name="6350" sheetId="28" r:id="rId34"/>
    <sheet name="6810" sheetId="31" r:id="rId35"/>
    <sheet name="8010" sheetId="29" r:id="rId36"/>
  </sheets>
  <definedNames>
    <definedName name="_xlnm._FilterDatabase" localSheetId="7" hidden="1">'Budget-Services'!$G:$G</definedName>
    <definedName name="_xlchart.v1.0" hidden="1">'Recap chart'!$M$8:$M$12</definedName>
    <definedName name="_xlchart.v1.1" hidden="1">'Recap chart'!$O$8:$O$12</definedName>
    <definedName name="_xlchart.v1.2" hidden="1">'Recap chart'!$D$8:$D$12</definedName>
    <definedName name="_xlchart.v1.3" hidden="1">'Recap chart'!$F$8:$F$12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'1% Overview'!$A$1:$K$38</definedName>
    <definedName name="_xlnm.Print_Area" localSheetId="2">'1% Personnel'!$A$1:$H$79</definedName>
    <definedName name="_xlnm.Print_Area" localSheetId="3">'2% Overview'!$A$1:$K$38</definedName>
    <definedName name="_xlnm.Print_Area" localSheetId="4">'2% Personnel'!$A$1:$H$79</definedName>
    <definedName name="_xlnm.Print_Area" localSheetId="5">'3% Overview'!$A$1:$L$38</definedName>
    <definedName name="_xlnm.Print_Area" localSheetId="6">'3% Personnel'!$A$1:$H$80</definedName>
    <definedName name="_xlnm.Print_Area" localSheetId="8">'ARB Budget'!$A$1:$I$39</definedName>
    <definedName name="_xlnm.Print_Area" localSheetId="7">'Budget-Services'!$A$1:$K$351</definedName>
    <definedName name="_xlnm.Print_Area" localSheetId="9">'Recap chart'!$A$1:$R$46</definedName>
    <definedName name="_xlnm.Print_Area" localSheetId="0">Summary!$A$1:$H$40</definedName>
    <definedName name="_xlnm.Print_Titles" localSheetId="2">'1% Personnel'!$1:$2</definedName>
    <definedName name="_xlnm.Print_Titles" localSheetId="4">'2% Personnel'!$1:$2</definedName>
    <definedName name="_xlnm.Print_Titles" localSheetId="6">'3% Personnel'!$1:$2</definedName>
    <definedName name="_xlnm.Print_Titles" localSheetId="11">'6110'!$A:$C,'6110'!$1:$1</definedName>
    <definedName name="_xlnm.Print_Titles" localSheetId="12">'6120'!$A:$C,'6120'!$1:$1</definedName>
    <definedName name="_xlnm.Print_Titles" localSheetId="13">'6130'!$A:$C,'6130'!$1:$1</definedName>
    <definedName name="_xlnm.Print_Titles" localSheetId="14">'6140'!$A:$C,'6140'!$1:$1</definedName>
    <definedName name="_xlnm.Print_Titles" localSheetId="15">'6150'!$A:$C,'6150'!$1:$1</definedName>
    <definedName name="_xlnm.Print_Titles" localSheetId="16">'6160'!$A:$C,'6160'!$1:$1</definedName>
    <definedName name="_xlnm.Print_Titles" localSheetId="17">'6210'!$A:$C,'6210'!$1:$1</definedName>
    <definedName name="_xlnm.Print_Titles" localSheetId="18">'6215'!$A:$C,'6215'!$1:$1</definedName>
    <definedName name="_xlnm.Print_Titles" localSheetId="19">'6220'!$A:$C,'6220'!$1:$1</definedName>
    <definedName name="_xlnm.Print_Titles" localSheetId="20">'6225'!$A:$C,'6225'!$1:$1</definedName>
    <definedName name="_xlnm.Print_Titles" localSheetId="21">'6235'!$A:$C,'6235'!$1:$1</definedName>
    <definedName name="_xlnm.Print_Titles" localSheetId="22">'6236'!$A:$C,'6236'!$1:$1</definedName>
    <definedName name="_xlnm.Print_Titles" localSheetId="23">'6240'!$A:$C,'6240'!$1:$1</definedName>
    <definedName name="_xlnm.Print_Titles" localSheetId="25">'6260'!$A:$C,'6260'!$1:$1</definedName>
    <definedName name="_xlnm.Print_Titles" localSheetId="26">'6280'!$A:$C,'6280'!$1:$1</definedName>
    <definedName name="_xlnm.Print_Titles" localSheetId="27">'6285'!$A:$C,'6285'!$1:$1</definedName>
    <definedName name="_xlnm.Print_Titles" localSheetId="28">'6290'!$A:$C,'6290'!$1:$1</definedName>
    <definedName name="_xlnm.Print_Titles" localSheetId="29">'6310'!$A:$C,'6310'!$1:$1</definedName>
    <definedName name="_xlnm.Print_Titles" localSheetId="30">'6320'!$A:$C,'6320'!$1:$1</definedName>
    <definedName name="_xlnm.Print_Titles" localSheetId="31">'6330'!$A:$C,'6330'!$1:$1</definedName>
    <definedName name="_xlnm.Print_Titles" localSheetId="33">'6350'!$A:$C,'6350'!$1:$1</definedName>
    <definedName name="_xlnm.Print_Titles" localSheetId="34">'6810'!$A:$C,'6810'!$1:$1</definedName>
    <definedName name="_xlnm.Print_Titles" localSheetId="35">'8010'!$A:$C,'8010'!$1:$1</definedName>
    <definedName name="_xlnm.Print_Titles" localSheetId="8">'ARB Budget'!$1:$2</definedName>
    <definedName name="_xlnm.Print_Titles" localSheetId="7">'Budget-Services'!$1:$2</definedName>
    <definedName name="QB_COLUMN_1" localSheetId="11" hidden="1">'6110'!$D$1</definedName>
    <definedName name="QB_COLUMN_1" localSheetId="12" hidden="1">'6120'!$D$1</definedName>
    <definedName name="QB_COLUMN_1" localSheetId="13" hidden="1">'6130'!$D$1</definedName>
    <definedName name="QB_COLUMN_1" localSheetId="14" hidden="1">'6140'!$D$1</definedName>
    <definedName name="QB_COLUMN_1" localSheetId="15" hidden="1">'6150'!$D$1</definedName>
    <definedName name="QB_COLUMN_1" localSheetId="16" hidden="1">'6160'!$D$1</definedName>
    <definedName name="QB_COLUMN_1" localSheetId="17" hidden="1">'6210'!$D$1</definedName>
    <definedName name="QB_COLUMN_1" localSheetId="18" hidden="1">'6215'!$D$1</definedName>
    <definedName name="QB_COLUMN_1" localSheetId="19" hidden="1">'6220'!$D$1</definedName>
    <definedName name="QB_COLUMN_1" localSheetId="20" hidden="1">'6225'!$D$1</definedName>
    <definedName name="QB_COLUMN_1" localSheetId="21" hidden="1">'6235'!$D$1</definedName>
    <definedName name="QB_COLUMN_1" localSheetId="22" hidden="1">'6236'!$D$1</definedName>
    <definedName name="QB_COLUMN_1" localSheetId="23" hidden="1">'6240'!$D$1</definedName>
    <definedName name="QB_COLUMN_1" localSheetId="25" hidden="1">'6260'!$D$1</definedName>
    <definedName name="QB_COLUMN_1" localSheetId="26" hidden="1">'6280'!$D$1</definedName>
    <definedName name="QB_COLUMN_1" localSheetId="27" hidden="1">'6285'!$D$1</definedName>
    <definedName name="QB_COLUMN_1" localSheetId="28" hidden="1">'6290'!$D$1</definedName>
    <definedName name="QB_COLUMN_1" localSheetId="29" hidden="1">'6310'!$D$1</definedName>
    <definedName name="QB_COLUMN_1" localSheetId="30" hidden="1">'6320'!$D$1</definedName>
    <definedName name="QB_COLUMN_1" localSheetId="31" hidden="1">'6330'!$D$1</definedName>
    <definedName name="QB_COLUMN_1" localSheetId="33" hidden="1">'6350'!$D$1</definedName>
    <definedName name="QB_COLUMN_1" localSheetId="34" hidden="1">'6810'!$D$1</definedName>
    <definedName name="QB_COLUMN_1" localSheetId="35" hidden="1">'8010'!$D$1</definedName>
    <definedName name="QB_COLUMN_20" localSheetId="11" hidden="1">'6110'!$J$1</definedName>
    <definedName name="QB_COLUMN_20" localSheetId="12" hidden="1">'6120'!$J$1</definedName>
    <definedName name="QB_COLUMN_20" localSheetId="13" hidden="1">'6130'!$J$1</definedName>
    <definedName name="QB_COLUMN_20" localSheetId="14" hidden="1">'6140'!$J$1</definedName>
    <definedName name="QB_COLUMN_20" localSheetId="15" hidden="1">'6150'!$J$1</definedName>
    <definedName name="QB_COLUMN_20" localSheetId="16" hidden="1">'6160'!$J$1</definedName>
    <definedName name="QB_COLUMN_20" localSheetId="17" hidden="1">'6210'!$J$1</definedName>
    <definedName name="QB_COLUMN_20" localSheetId="18" hidden="1">'6215'!$J$1</definedName>
    <definedName name="QB_COLUMN_20" localSheetId="19" hidden="1">'6220'!$J$1</definedName>
    <definedName name="QB_COLUMN_20" localSheetId="20" hidden="1">'6225'!$J$1</definedName>
    <definedName name="QB_COLUMN_20" localSheetId="21" hidden="1">'6235'!$J$1</definedName>
    <definedName name="QB_COLUMN_20" localSheetId="22" hidden="1">'6236'!$J$1</definedName>
    <definedName name="QB_COLUMN_20" localSheetId="23" hidden="1">'6240'!$J$1</definedName>
    <definedName name="QB_COLUMN_20" localSheetId="25" hidden="1">'6260'!$J$1</definedName>
    <definedName name="QB_COLUMN_20" localSheetId="26" hidden="1">'6280'!$J$1</definedName>
    <definedName name="QB_COLUMN_20" localSheetId="27" hidden="1">'6285'!$J$1</definedName>
    <definedName name="QB_COLUMN_20" localSheetId="28" hidden="1">'6290'!$J$1</definedName>
    <definedName name="QB_COLUMN_20" localSheetId="29" hidden="1">'6310'!$J$1</definedName>
    <definedName name="QB_COLUMN_20" localSheetId="30" hidden="1">'6320'!$J$1</definedName>
    <definedName name="QB_COLUMN_20" localSheetId="31" hidden="1">'6330'!$J$1</definedName>
    <definedName name="QB_COLUMN_20" localSheetId="33" hidden="1">'6350'!$J$1</definedName>
    <definedName name="QB_COLUMN_20" localSheetId="34" hidden="1">'6810'!$J$1</definedName>
    <definedName name="QB_COLUMN_20" localSheetId="35" hidden="1">'8010'!$J$1</definedName>
    <definedName name="QB_COLUMN_3" localSheetId="11" hidden="1">'6110'!$E$1</definedName>
    <definedName name="QB_COLUMN_3" localSheetId="12" hidden="1">'6120'!$E$1</definedName>
    <definedName name="QB_COLUMN_3" localSheetId="13" hidden="1">'6130'!$E$1</definedName>
    <definedName name="QB_COLUMN_3" localSheetId="14" hidden="1">'6140'!$E$1</definedName>
    <definedName name="QB_COLUMN_3" localSheetId="15" hidden="1">'6150'!$E$1</definedName>
    <definedName name="QB_COLUMN_3" localSheetId="16" hidden="1">'6160'!$E$1</definedName>
    <definedName name="QB_COLUMN_3" localSheetId="17" hidden="1">'6210'!$E$1</definedName>
    <definedName name="QB_COLUMN_3" localSheetId="18" hidden="1">'6215'!$E$1</definedName>
    <definedName name="QB_COLUMN_3" localSheetId="19" hidden="1">'6220'!$E$1</definedName>
    <definedName name="QB_COLUMN_3" localSheetId="20" hidden="1">'6225'!$E$1</definedName>
    <definedName name="QB_COLUMN_3" localSheetId="21" hidden="1">'6235'!$E$1</definedName>
    <definedName name="QB_COLUMN_3" localSheetId="22" hidden="1">'6236'!$E$1</definedName>
    <definedName name="QB_COLUMN_3" localSheetId="23" hidden="1">'6240'!$E$1</definedName>
    <definedName name="QB_COLUMN_3" localSheetId="25" hidden="1">'6260'!$E$1</definedName>
    <definedName name="QB_COLUMN_3" localSheetId="26" hidden="1">'6280'!$E$1</definedName>
    <definedName name="QB_COLUMN_3" localSheetId="27" hidden="1">'6285'!$E$1</definedName>
    <definedName name="QB_COLUMN_3" localSheetId="28" hidden="1">'6290'!$E$1</definedName>
    <definedName name="QB_COLUMN_3" localSheetId="29" hidden="1">'6310'!$E$1</definedName>
    <definedName name="QB_COLUMN_3" localSheetId="30" hidden="1">'6320'!$E$1</definedName>
    <definedName name="QB_COLUMN_3" localSheetId="31" hidden="1">'6330'!$E$1</definedName>
    <definedName name="QB_COLUMN_3" localSheetId="33" hidden="1">'6350'!$E$1</definedName>
    <definedName name="QB_COLUMN_3" localSheetId="34" hidden="1">'6810'!$E$1</definedName>
    <definedName name="QB_COLUMN_3" localSheetId="35" hidden="1">'8010'!$E$1</definedName>
    <definedName name="QB_COLUMN_30" localSheetId="11" hidden="1">'6110'!$K$1</definedName>
    <definedName name="QB_COLUMN_30" localSheetId="12" hidden="1">'6120'!$K$1</definedName>
    <definedName name="QB_COLUMN_30" localSheetId="13" hidden="1">'6130'!$K$1</definedName>
    <definedName name="QB_COLUMN_30" localSheetId="14" hidden="1">'6140'!$K$1</definedName>
    <definedName name="QB_COLUMN_30" localSheetId="15" hidden="1">'6150'!$K$1</definedName>
    <definedName name="QB_COLUMN_30" localSheetId="16" hidden="1">'6160'!$K$1</definedName>
    <definedName name="QB_COLUMN_30" localSheetId="17" hidden="1">'6210'!$K$1</definedName>
    <definedName name="QB_COLUMN_30" localSheetId="18" hidden="1">'6215'!$K$1</definedName>
    <definedName name="QB_COLUMN_30" localSheetId="19" hidden="1">'6220'!$K$1</definedName>
    <definedName name="QB_COLUMN_30" localSheetId="20" hidden="1">'6225'!$K$1</definedName>
    <definedName name="QB_COLUMN_30" localSheetId="21" hidden="1">'6235'!$K$1</definedName>
    <definedName name="QB_COLUMN_30" localSheetId="22" hidden="1">'6236'!$K$1</definedName>
    <definedName name="QB_COLUMN_30" localSheetId="23" hidden="1">'6240'!$K$1</definedName>
    <definedName name="QB_COLUMN_30" localSheetId="25" hidden="1">'6260'!$K$1</definedName>
    <definedName name="QB_COLUMN_30" localSheetId="26" hidden="1">'6280'!$K$1</definedName>
    <definedName name="QB_COLUMN_30" localSheetId="27" hidden="1">'6285'!$K$1</definedName>
    <definedName name="QB_COLUMN_30" localSheetId="28" hidden="1">'6290'!$K$1</definedName>
    <definedName name="QB_COLUMN_30" localSheetId="29" hidden="1">'6310'!$K$1</definedName>
    <definedName name="QB_COLUMN_30" localSheetId="30" hidden="1">'6320'!$K$1</definedName>
    <definedName name="QB_COLUMN_30" localSheetId="31" hidden="1">'6330'!$K$1</definedName>
    <definedName name="QB_COLUMN_30" localSheetId="33" hidden="1">'6350'!$K$1</definedName>
    <definedName name="QB_COLUMN_30" localSheetId="34" hidden="1">'6810'!$K$1</definedName>
    <definedName name="QB_COLUMN_30" localSheetId="35" hidden="1">'8010'!$K$1</definedName>
    <definedName name="QB_COLUMN_4" localSheetId="11" hidden="1">'6110'!$F$1</definedName>
    <definedName name="QB_COLUMN_4" localSheetId="12" hidden="1">'6120'!$F$1</definedName>
    <definedName name="QB_COLUMN_4" localSheetId="13" hidden="1">'6130'!$F$1</definedName>
    <definedName name="QB_COLUMN_4" localSheetId="14" hidden="1">'6140'!$F$1</definedName>
    <definedName name="QB_COLUMN_4" localSheetId="15" hidden="1">'6150'!$F$1</definedName>
    <definedName name="QB_COLUMN_4" localSheetId="16" hidden="1">'6160'!$F$1</definedName>
    <definedName name="QB_COLUMN_4" localSheetId="17" hidden="1">'6210'!$F$1</definedName>
    <definedName name="QB_COLUMN_4" localSheetId="18" hidden="1">'6215'!$F$1</definedName>
    <definedName name="QB_COLUMN_4" localSheetId="19" hidden="1">'6220'!$F$1</definedName>
    <definedName name="QB_COLUMN_4" localSheetId="20" hidden="1">'6225'!$F$1</definedName>
    <definedName name="QB_COLUMN_4" localSheetId="21" hidden="1">'6235'!$F$1</definedName>
    <definedName name="QB_COLUMN_4" localSheetId="22" hidden="1">'6236'!$F$1</definedName>
    <definedName name="QB_COLUMN_4" localSheetId="23" hidden="1">'6240'!$F$1</definedName>
    <definedName name="QB_COLUMN_4" localSheetId="25" hidden="1">'6260'!$F$1</definedName>
    <definedName name="QB_COLUMN_4" localSheetId="26" hidden="1">'6280'!$F$1</definedName>
    <definedName name="QB_COLUMN_4" localSheetId="27" hidden="1">'6285'!$F$1</definedName>
    <definedName name="QB_COLUMN_4" localSheetId="28" hidden="1">'6290'!$F$1</definedName>
    <definedName name="QB_COLUMN_4" localSheetId="29" hidden="1">'6310'!$F$1</definedName>
    <definedName name="QB_COLUMN_4" localSheetId="30" hidden="1">'6320'!$F$1</definedName>
    <definedName name="QB_COLUMN_4" localSheetId="31" hidden="1">'6330'!$F$1</definedName>
    <definedName name="QB_COLUMN_4" localSheetId="33" hidden="1">'6350'!$F$1</definedName>
    <definedName name="QB_COLUMN_4" localSheetId="34" hidden="1">'6810'!$F$1</definedName>
    <definedName name="QB_COLUMN_4" localSheetId="35" hidden="1">'8010'!$F$1</definedName>
    <definedName name="QB_COLUMN_5" localSheetId="11" hidden="1">'6110'!$G$1</definedName>
    <definedName name="QB_COLUMN_5" localSheetId="12" hidden="1">'6120'!$G$1</definedName>
    <definedName name="QB_COLUMN_5" localSheetId="13" hidden="1">'6130'!$G$1</definedName>
    <definedName name="QB_COLUMN_5" localSheetId="14" hidden="1">'6140'!$G$1</definedName>
    <definedName name="QB_COLUMN_5" localSheetId="15" hidden="1">'6150'!$G$1</definedName>
    <definedName name="QB_COLUMN_5" localSheetId="16" hidden="1">'6160'!$G$1</definedName>
    <definedName name="QB_COLUMN_5" localSheetId="17" hidden="1">'6210'!$G$1</definedName>
    <definedName name="QB_COLUMN_5" localSheetId="18" hidden="1">'6215'!$G$1</definedName>
    <definedName name="QB_COLUMN_5" localSheetId="19" hidden="1">'6220'!$G$1</definedName>
    <definedName name="QB_COLUMN_5" localSheetId="20" hidden="1">'6225'!$G$1</definedName>
    <definedName name="QB_COLUMN_5" localSheetId="21" hidden="1">'6235'!$G$1</definedName>
    <definedName name="QB_COLUMN_5" localSheetId="22" hidden="1">'6236'!$G$1</definedName>
    <definedName name="QB_COLUMN_5" localSheetId="23" hidden="1">'6240'!$G$1</definedName>
    <definedName name="QB_COLUMN_5" localSheetId="25" hidden="1">'6260'!$G$1</definedName>
    <definedName name="QB_COLUMN_5" localSheetId="26" hidden="1">'6280'!$G$1</definedName>
    <definedName name="QB_COLUMN_5" localSheetId="27" hidden="1">'6285'!$G$1</definedName>
    <definedName name="QB_COLUMN_5" localSheetId="28" hidden="1">'6290'!$G$1</definedName>
    <definedName name="QB_COLUMN_5" localSheetId="29" hidden="1">'6310'!$G$1</definedName>
    <definedName name="QB_COLUMN_5" localSheetId="30" hidden="1">'6320'!$G$1</definedName>
    <definedName name="QB_COLUMN_5" localSheetId="31" hidden="1">'6330'!$G$1</definedName>
    <definedName name="QB_COLUMN_5" localSheetId="33" hidden="1">'6350'!$G$1</definedName>
    <definedName name="QB_COLUMN_5" localSheetId="34" hidden="1">'6810'!$G$1</definedName>
    <definedName name="QB_COLUMN_5" localSheetId="35" hidden="1">'8010'!$G$1</definedName>
    <definedName name="QB_COLUMN_7" localSheetId="11" hidden="1">'6110'!$H$1</definedName>
    <definedName name="QB_COLUMN_7" localSheetId="12" hidden="1">'6120'!$H$1</definedName>
    <definedName name="QB_COLUMN_7" localSheetId="13" hidden="1">'6130'!$H$1</definedName>
    <definedName name="QB_COLUMN_7" localSheetId="14" hidden="1">'6140'!$H$1</definedName>
    <definedName name="QB_COLUMN_7" localSheetId="15" hidden="1">'6150'!$H$1</definedName>
    <definedName name="QB_COLUMN_7" localSheetId="16" hidden="1">'6160'!$H$1</definedName>
    <definedName name="QB_COLUMN_7" localSheetId="17" hidden="1">'6210'!$H$1</definedName>
    <definedName name="QB_COLUMN_7" localSheetId="18" hidden="1">'6215'!$H$1</definedName>
    <definedName name="QB_COLUMN_7" localSheetId="19" hidden="1">'6220'!$H$1</definedName>
    <definedName name="QB_COLUMN_7" localSheetId="20" hidden="1">'6225'!$H$1</definedName>
    <definedName name="QB_COLUMN_7" localSheetId="21" hidden="1">'6235'!$H$1</definedName>
    <definedName name="QB_COLUMN_7" localSheetId="22" hidden="1">'6236'!$H$1</definedName>
    <definedName name="QB_COLUMN_7" localSheetId="23" hidden="1">'6240'!$H$1</definedName>
    <definedName name="QB_COLUMN_7" localSheetId="25" hidden="1">'6260'!$H$1</definedName>
    <definedName name="QB_COLUMN_7" localSheetId="26" hidden="1">'6280'!$H$1</definedName>
    <definedName name="QB_COLUMN_7" localSheetId="27" hidden="1">'6285'!$H$1</definedName>
    <definedName name="QB_COLUMN_7" localSheetId="28" hidden="1">'6290'!$H$1</definedName>
    <definedName name="QB_COLUMN_7" localSheetId="29" hidden="1">'6310'!$H$1</definedName>
    <definedName name="QB_COLUMN_7" localSheetId="30" hidden="1">'6320'!$H$1</definedName>
    <definedName name="QB_COLUMN_7" localSheetId="31" hidden="1">'6330'!$H$1</definedName>
    <definedName name="QB_COLUMN_7" localSheetId="33" hidden="1">'6350'!$H$1</definedName>
    <definedName name="QB_COLUMN_7" localSheetId="34" hidden="1">'6810'!$H$1</definedName>
    <definedName name="QB_COLUMN_7" localSheetId="35" hidden="1">'8010'!$H$1</definedName>
    <definedName name="QB_COLUMN_8" localSheetId="11" hidden="1">'6110'!$I$1</definedName>
    <definedName name="QB_COLUMN_8" localSheetId="12" hidden="1">'6120'!$I$1</definedName>
    <definedName name="QB_COLUMN_8" localSheetId="13" hidden="1">'6130'!$I$1</definedName>
    <definedName name="QB_COLUMN_8" localSheetId="14" hidden="1">'6140'!$I$1</definedName>
    <definedName name="QB_COLUMN_8" localSheetId="15" hidden="1">'6150'!$I$1</definedName>
    <definedName name="QB_COLUMN_8" localSheetId="16" hidden="1">'6160'!$I$1</definedName>
    <definedName name="QB_COLUMN_8" localSheetId="17" hidden="1">'6210'!$I$1</definedName>
    <definedName name="QB_COLUMN_8" localSheetId="18" hidden="1">'6215'!$I$1</definedName>
    <definedName name="QB_COLUMN_8" localSheetId="19" hidden="1">'6220'!$I$1</definedName>
    <definedName name="QB_COLUMN_8" localSheetId="20" hidden="1">'6225'!$I$1</definedName>
    <definedName name="QB_COLUMN_8" localSheetId="21" hidden="1">'6235'!$I$1</definedName>
    <definedName name="QB_COLUMN_8" localSheetId="22" hidden="1">'6236'!$I$1</definedName>
    <definedName name="QB_COLUMN_8" localSheetId="23" hidden="1">'6240'!$I$1</definedName>
    <definedName name="QB_COLUMN_8" localSheetId="25" hidden="1">'6260'!$I$1</definedName>
    <definedName name="QB_COLUMN_8" localSheetId="26" hidden="1">'6280'!$I$1</definedName>
    <definedName name="QB_COLUMN_8" localSheetId="27" hidden="1">'6285'!$I$1</definedName>
    <definedName name="QB_COLUMN_8" localSheetId="28" hidden="1">'6290'!$I$1</definedName>
    <definedName name="QB_COLUMN_8" localSheetId="29" hidden="1">'6310'!$I$1</definedName>
    <definedName name="QB_COLUMN_8" localSheetId="30" hidden="1">'6320'!$I$1</definedName>
    <definedName name="QB_COLUMN_8" localSheetId="31" hidden="1">'6330'!$I$1</definedName>
    <definedName name="QB_COLUMN_8" localSheetId="33" hidden="1">'6350'!$I$1</definedName>
    <definedName name="QB_COLUMN_8" localSheetId="34" hidden="1">'6810'!$I$1</definedName>
    <definedName name="QB_COLUMN_8" localSheetId="35" hidden="1">'8010'!$I$1</definedName>
    <definedName name="QB_DATA_0" localSheetId="11" hidden="1">'6110'!$4:$4,'6110'!$5:$5,'6110'!$6:$6,'6110'!$7:$7,'6110'!$8:$8,'6110'!$9:$9,'6110'!$10:$10,'6110'!$11:$11,'6110'!$12:$12,'6110'!$13:$13,'6110'!$14:$14,'6110'!$15:$15,'6110'!$16:$16,'6110'!$17:$17,'6110'!$18:$18,'6110'!$19:$19</definedName>
    <definedName name="QB_DATA_0" localSheetId="12" hidden="1">'6120'!$4:$4,'6120'!$5:$5,'6120'!$6:$6,'6120'!$7:$7,'6120'!$8:$8,'6120'!$9:$9,'6120'!$10:$10,'6120'!$11:$11,'6120'!$12:$12,'6120'!$13:$13,'6120'!$14:$14,'6120'!$15:$15,'6120'!$16:$16,'6120'!$17:$17,'6120'!$18:$18,'6120'!$19:$19</definedName>
    <definedName name="QB_DATA_0" localSheetId="13" hidden="1">'6130'!$4:$4,'6130'!$5:$5,'6130'!$6:$6,'6130'!$7:$7,'6130'!$8:$8,'6130'!$9:$9,'6130'!$10:$10,'6130'!$11:$11,'6130'!$12:$12,'6130'!$13:$13,'6130'!$14:$14,'6130'!$15:$15,'6130'!$16:$16,'6130'!$17:$17,'6130'!$18:$18,'6130'!$19:$19</definedName>
    <definedName name="QB_DATA_0" localSheetId="14" hidden="1">'6140'!$4:$4,'6140'!$5:$5,'6140'!$6:$6,'6140'!$7:$7,'6140'!$8:$8,'6140'!$9:$9,'6140'!$10:$10,'6140'!$11:$11,'6140'!$12:$12,'6140'!$13:$13,'6140'!$14:$14</definedName>
    <definedName name="QB_DATA_0" localSheetId="15" hidden="1">'6150'!$4:$4,'6150'!$5:$5,'6150'!$8:$8,'6150'!$9:$9,'6150'!$10:$10,'6150'!$11:$11,'6150'!$12:$12,'6150'!$13:$13,'6150'!$14:$14,'6150'!$15:$15,'6150'!$16:$16,'6150'!$17:$17,'6150'!$18:$18,'6150'!$19:$19,'6150'!$20:$20,'6150'!$21:$21</definedName>
    <definedName name="QB_DATA_0" localSheetId="16" hidden="1">'6160'!$4:$4,'6160'!$5:$5,'6160'!$6:$6,'6160'!$7:$7,'6160'!$8:$8,'6160'!$9:$9,'6160'!$10:$10,'6160'!$11:$11,'6160'!$12:$12,'6160'!$13:$13,'6160'!$14:$14,'6160'!$15:$15,'6160'!$16:$16,'6160'!$17:$17,'6160'!$18:$18,'6160'!$19:$19</definedName>
    <definedName name="QB_DATA_0" localSheetId="17" hidden="1">'6210'!$4:$4,'6210'!$5:$5,'6210'!$6:$6,'6210'!$7:$7,'6210'!$8:$8,'6210'!$9:$9,'6210'!$10:$10,'6210'!$11:$11,'6210'!$12:$12,'6210'!$13:$13,'6210'!$14:$14,'6210'!$15:$15,'6210'!$16:$16,'6210'!$17:$17,'6210'!$18:$18,'6210'!$19:$19</definedName>
    <definedName name="QB_DATA_0" localSheetId="18" hidden="1">'6215'!$4:$4,'6215'!$5:$5,'6215'!$6:$6,'6215'!$7:$7,'6215'!$8:$8,'6215'!$9:$9,'6215'!$10:$10,'6215'!$11:$11,'6215'!$12:$12,'6215'!$13:$13,'6215'!$14:$14,'6215'!$15:$15,'6215'!$16:$16,'6215'!$17:$17,'6215'!$18:$18,'6215'!$19:$19</definedName>
    <definedName name="QB_DATA_0" localSheetId="19" hidden="1">'6220'!$4:$4,'6220'!$5:$5,'6220'!$6:$6,'6220'!$7:$7,'6220'!$8:$8,'6220'!$9:$9,'6220'!$10:$10,'6220'!$11:$11,'6220'!$12:$12,'6220'!$13:$13,'6220'!$14:$14,'6220'!$15:$15,'6220'!$16:$16,'6220'!$17:$17,'6220'!$18:$18,'6220'!$19:$19</definedName>
    <definedName name="QB_DATA_0" localSheetId="20" hidden="1">'6225'!$4:$4,'6225'!$5:$5,'6225'!$6:$6,'6225'!$7:$7,'6225'!$8:$8,'6225'!$9:$9,'6225'!$10:$10,'6225'!$11:$11,'6225'!$12:$12,'6225'!$13:$13,'6225'!$14:$14,'6225'!$15:$15,'6225'!$16:$16,'6225'!$17:$17,'6225'!$18:$18,'6225'!$19:$19</definedName>
    <definedName name="QB_DATA_0" localSheetId="21" hidden="1">'6235'!$4:$4,'6235'!$5:$5,'6235'!$6:$6,'6235'!$7:$7,'6235'!$8:$8,'6235'!$9:$9,'6235'!$10:$10,'6235'!$11:$11,'6235'!$12:$12,'6235'!$13:$13,'6235'!$14:$14,'6235'!$15:$15,'6235'!$16:$16,'6235'!$17:$17,'6235'!$18:$18,'6235'!$19:$19</definedName>
    <definedName name="QB_DATA_0" localSheetId="22" hidden="1">'6236'!$4:$4,'6236'!$5:$5,'6236'!$6:$6,'6236'!$7:$7,'6236'!$8:$8,'6236'!$9:$9,'6236'!$10:$10,'6236'!$11:$11,'6236'!$12:$12,'6236'!$13:$13,'6236'!$14:$14,'6236'!$15:$15,'6236'!$16:$16,'6236'!$17:$17,'6236'!$18:$18,'6236'!$19:$19</definedName>
    <definedName name="QB_DATA_0" localSheetId="23" hidden="1">'6240'!$4:$4,'6240'!$5:$5,'6240'!$6:$6,'6240'!$7:$7,'6240'!$8:$8,'6240'!$9:$9,'6240'!$10:$10,'6240'!$11:$11,'6240'!$12:$12,'6240'!$13:$13,'6240'!$14:$14,'6240'!$15:$15,'6240'!$16:$16,'6240'!$17:$17,'6240'!$18:$18,'6240'!$19:$19</definedName>
    <definedName name="QB_DATA_0" localSheetId="25" hidden="1">'6260'!$4:$4,'6260'!$5:$5,'6260'!$6:$6,'6260'!$7:$7,'6260'!$8:$8,'6260'!$9:$9,'6260'!$10:$10,'6260'!$11:$11,'6260'!$12:$12,'6260'!$13:$13,'6260'!$14:$14,'6260'!$15:$15,'6260'!$16:$16,'6260'!$17:$17,'6260'!$18:$18,'6260'!$19:$19</definedName>
    <definedName name="QB_DATA_0" localSheetId="26" hidden="1">'6280'!$4:$4,'6280'!$5:$5,'6280'!$6:$6,'6280'!$7:$7,'6280'!$8:$8,'6280'!$9:$9,'6280'!$10:$10,'6280'!$11:$11,'6280'!$12:$12,'6280'!$13:$13,'6280'!$14:$14,'6280'!$15:$15,'6280'!$16:$16,'6280'!$17:$17,'6280'!$18:$18,'6280'!$19:$19</definedName>
    <definedName name="QB_DATA_0" localSheetId="27" hidden="1">'6285'!$4:$4,'6285'!$5:$5,'6285'!$6:$6,'6285'!$7:$7,'6285'!$8:$8,'6285'!$9:$9,'6285'!$10:$10,'6285'!$11:$11,'6285'!$12:$12,'6285'!$13:$13,'6285'!$14:$14,'6285'!$15:$15,'6285'!$16:$16,'6285'!$17:$17,'6285'!$18:$18,'6285'!$19:$19</definedName>
    <definedName name="QB_DATA_0" localSheetId="28" hidden="1">'6290'!$4:$4,'6290'!$5:$5,'6290'!$6:$6,'6290'!$7:$7,'6290'!$8:$8,'6290'!$9:$9,'6290'!$10:$10,'6290'!$11:$11,'6290'!$12:$12,'6290'!$13:$13</definedName>
    <definedName name="QB_DATA_0" localSheetId="29" hidden="1">'6310'!$4:$4,'6310'!$5:$5,'6310'!$6:$6,'6310'!$7:$7,'6310'!$8:$8,'6310'!$9:$9,'6310'!$10:$10,'6310'!$11:$11,'6310'!$12:$12,'6310'!$13:$13,'6310'!$14:$14,'6310'!$15:$15,'6310'!$16:$16,'6310'!$17:$17,'6310'!$18:$18,'6310'!$19:$19</definedName>
    <definedName name="QB_DATA_0" localSheetId="30" hidden="1">'6320'!$4:$4,'6320'!$5:$5,'6320'!$6:$6,'6320'!$7:$7,'6320'!$8:$8,'6320'!$9:$9</definedName>
    <definedName name="QB_DATA_0" localSheetId="31" hidden="1">'6330'!$4:$4,'6330'!$5:$5,'6330'!$6:$6,'6330'!$7:$7,'6330'!$8:$8,'6330'!$9:$9,'6330'!$10:$10,'6330'!$11:$11,'6330'!$12:$12,'6330'!$13:$13,'6330'!$14:$14,'6330'!$15:$15,'6330'!$16:$16,'6330'!$17:$17</definedName>
    <definedName name="QB_DATA_0" localSheetId="33" hidden="1">'6350'!$4:$4,'6350'!$5:$5,'6350'!$6:$6,'6350'!$7:$7,'6350'!$8:$8,'6350'!$9:$9,'6350'!$10:$10,'6350'!$11:$11,'6350'!$12:$12,'6350'!$13:$13</definedName>
    <definedName name="QB_DATA_0" localSheetId="34" hidden="1">'6810'!$4:$4,'6810'!$5:$5</definedName>
    <definedName name="QB_DATA_0" localSheetId="35" hidden="1">'8010'!$4:$4,'8010'!$5:$5</definedName>
    <definedName name="QB_DATA_1" localSheetId="11" hidden="1">'6110'!$20:$20,'6110'!$21:$21,'6110'!$22:$22,'6110'!$23:$23,'6110'!$24:$24,'6110'!$25:$25,'6110'!$26:$26,'6110'!$27:$27,'6110'!$28:$28,'6110'!$29:$29,'6110'!$30:$30,'6110'!$31:$31,'6110'!$32:$32,'6110'!$33:$33,'6110'!$34:$34,'6110'!$35:$35</definedName>
    <definedName name="QB_DATA_1" localSheetId="12" hidden="1">'6120'!$20:$20,'6120'!$21:$21,'6120'!$22:$22,'6120'!$23:$23,'6120'!$24:$24,'6120'!$25:$25,'6120'!$26:$26,'6120'!$27:$27,'6120'!$28:$28,'6120'!$29:$29,'6120'!$30:$30,'6120'!$31:$31,'6120'!$32:$32,'6120'!$33:$33,'6120'!$34:$34,'6120'!$35:$35</definedName>
    <definedName name="QB_DATA_1" localSheetId="13" hidden="1">'6130'!$20:$20,'6130'!$21:$21,'6130'!$22:$22,'6130'!$23:$23,'6130'!$24:$24,'6130'!$25:$25,'6130'!$26:$26,'6130'!$27:$27,'6130'!$28:$28,'6130'!$29:$29,'6130'!$30:$30,'6130'!$31:$31,'6130'!$32:$32,'6130'!$33:$33,'6130'!$34:$34,'6130'!$35:$35</definedName>
    <definedName name="QB_DATA_1" localSheetId="15" hidden="1">'6150'!$22:$22,'6150'!$23:$23,'6150'!$24:$24,'6150'!$25:$25,'6150'!$26:$26,'6150'!$27:$27,'6150'!$28:$28,'6150'!$29:$29,'6150'!$30:$30,'6150'!$31:$31,'6150'!$32:$32,'6150'!$33:$33,'6150'!$34:$34,'6150'!$35:$35,'6150'!$36:$36,'6150'!$37:$37</definedName>
    <definedName name="QB_DATA_1" localSheetId="16" hidden="1">'6160'!$20:$20,'6160'!$21:$21,'6160'!$22:$22,'6160'!$23:$23,'6160'!$24:$24,'6160'!$25:$25,'6160'!$26:$26,'6160'!$27:$27,'6160'!$28:$28,'6160'!$29:$29,'6160'!$30:$30,'6160'!$31:$31,'6160'!$32:$32,'6160'!$33:$33,'6160'!$34:$34,'6160'!$35:$35</definedName>
    <definedName name="QB_DATA_1" localSheetId="17" hidden="1">'6210'!$20:$20,'6210'!$21:$21,'6210'!$22:$22,'6210'!$23:$23,'6210'!$24:$24,'6210'!$25:$25,'6210'!$26:$26,'6210'!$27:$27,'6210'!$28:$28,'6210'!$29:$29,'6210'!$30:$30,'6210'!$31:$31,'6210'!$32:$32,'6210'!$33:$33,'6210'!$34:$34,'6210'!$35:$35</definedName>
    <definedName name="QB_DATA_1" localSheetId="18" hidden="1">'6215'!$20:$20,'6215'!$21:$21,'6215'!$22:$22,'6215'!$23:$23,'6215'!$24:$24,'6215'!$25:$25,'6215'!$26:$26,'6215'!$27:$27,'6215'!$28:$28,'6215'!$29:$29,'6215'!$30:$30,'6215'!$31:$31,'6215'!$32:$32,'6215'!$33:$33,'6215'!$34:$34,'6215'!$35:$35</definedName>
    <definedName name="QB_DATA_1" localSheetId="19" hidden="1">'6220'!$20:$20,'6220'!$21:$21,'6220'!$22:$22,'6220'!$23:$23,'6220'!$24:$24,'6220'!$25:$25,'6220'!$26:$26,'6220'!$27:$27,'6220'!$28:$28,'6220'!$29:$29,'6220'!$30:$30,'6220'!$31:$31,'6220'!$32:$32,'6220'!$33:$33,'6220'!$34:$34,'6220'!$35:$35</definedName>
    <definedName name="QB_DATA_1" localSheetId="20" hidden="1">'6225'!$20:$20,'6225'!$21:$21,'6225'!$22:$22,'6225'!$23:$23,'6225'!$24:$24,'6225'!$25:$25,'6225'!$26:$26,'6225'!$27:$27,'6225'!$28:$28,'6225'!$29:$29,'6225'!$30:$30,'6225'!$31:$31,'6225'!$32:$32,'6225'!$33:$33,'6225'!$34:$34,'6225'!$35:$35</definedName>
    <definedName name="QB_DATA_1" localSheetId="21" hidden="1">'6235'!$20:$20,'6235'!$21:$21,'6235'!$22:$22,'6235'!$23:$23,'6235'!$24:$24,'6235'!$25:$25,'6235'!$26:$26,'6235'!$27:$27,'6235'!$28:$28,'6235'!$29:$29</definedName>
    <definedName name="QB_DATA_1" localSheetId="22" hidden="1">'6236'!$20:$20,'6236'!$21:$21,'6236'!$22:$22,'6236'!$23:$23,'6236'!$24:$24,'6236'!$25:$25,'6236'!$26:$26,'6236'!$27:$27,'6236'!$28:$28,'6236'!$30:$30,'6236'!$31:$31</definedName>
    <definedName name="QB_DATA_1" localSheetId="23" hidden="1">'6240'!$20:$20,'6240'!$21:$21,'6240'!$22:$22,'6240'!$23:$23,'6240'!$24:$24,'6240'!$25:$25,'6240'!$26:$26,'6240'!$27:$27,'6240'!$28:$28,'6240'!$29:$29,'6240'!$30:$30,'6240'!$31:$31,'6240'!$32:$32,'6240'!$33:$33,'6240'!$34:$34,'6240'!$35:$35</definedName>
    <definedName name="QB_DATA_1" localSheetId="25" hidden="1">'6260'!$20:$20,'6260'!$21:$21,'6260'!$22:$22,'6260'!$23:$23,'6260'!$24:$24,'6260'!$25:$25,'6260'!$26:$26,'6260'!$27:$27,'6260'!$28:$28,'6260'!$29:$29,'6260'!$30:$30,'6260'!$31:$31,'6260'!$32:$32,'6260'!$33:$33,'6260'!$34:$34,'6260'!$35:$35</definedName>
    <definedName name="QB_DATA_1" localSheetId="26" hidden="1">'6280'!$20:$20,'6280'!$21:$21,'6280'!$22:$22,'6280'!$23:$23,'6280'!$24:$24,'6150'!$6:$6,'6150'!$7:$7,'6280'!$25:$25,'6280'!$26:$26,'6280'!$27:$27,'6280'!$28:$28,'6280'!$29:$29,'6280'!$30:$30,'6280'!$31:$31,'6280'!$32:$32,'6280'!$33:$33</definedName>
    <definedName name="QB_DATA_1" localSheetId="27" hidden="1">'6285'!$20:$20,'6285'!$21:$21,'6285'!$22:$22,'6285'!$23:$23,'6285'!$24:$24,'6285'!$25:$25,'6285'!$26:$26,'6285'!$27:$27,'6285'!$28:$28,'6285'!$29:$29,'6285'!$30:$30,'6285'!$31:$31,'6285'!$32:$32,'6285'!$33:$33,'6285'!$34:$34,'6285'!$35:$35</definedName>
    <definedName name="QB_DATA_1" localSheetId="29" hidden="1">'6310'!$20:$20,'6310'!$21:$21,'6310'!$22:$22,'6310'!$23:$23,'6310'!$24:$24,'6310'!$25:$25,'6310'!$26:$26,'6310'!$27:$27,'6310'!$28:$28,'6310'!$29:$29,'6310'!$30:$30,'6310'!$31:$31,'6310'!$32:$32,'6310'!$33:$33,'6310'!$34:$34,'6310'!$35:$35</definedName>
    <definedName name="QB_DATA_10" localSheetId="13" hidden="1">'6130'!$164:$164,'6130'!$165:$165,'6130'!$166:$166,'6130'!$167:$167,'6130'!$168:$168,'6130'!$169:$169,'6130'!$170:$170,'6130'!$171:$171,'6130'!$172:$172,'6130'!$173:$173,'6130'!$174:$174,'6130'!$175:$175,'6130'!$176:$176,'6130'!$177:$177,'6130'!$178:$178,'6130'!$179:$179</definedName>
    <definedName name="QB_DATA_10" localSheetId="17" hidden="1">'6210'!$164:$164,'6210'!$165:$165,'6210'!$166:$166,'6210'!$167:$167,'6210'!$168:$168,'6210'!$169:$169,'6210'!$170:$170,'6210'!$171:$171,'6210'!$172:$172,'6210'!$173:$173,'6210'!$174:$174,'6210'!$175:$175,'6210'!$176:$176,'6210'!$177:$177,'6210'!$178:$178,'6210'!$179:$179</definedName>
    <definedName name="QB_DATA_10" localSheetId="20" hidden="1">'6225'!$164:$164,'6225'!$165:$165,'6225'!$166:$166,'6225'!$167:$167,'6225'!$168:$168,'6225'!$169:$169,'6225'!$170:$170,'6225'!$171:$171,'6225'!$172:$172,'6225'!$173:$173,'6225'!$174:$174,'6225'!$175:$175,'6225'!$176:$176,'6225'!$177:$177,'6225'!$178:$178,'6225'!$179:$179</definedName>
    <definedName name="QB_DATA_10" localSheetId="25" hidden="1">'6260'!$164:$164,'6260'!$165:$165,'6260'!$166:$166,'6260'!$167:$167,'6260'!$168:$168,'6260'!$169:$169,'6260'!$170:$170,'6260'!$171:$171,'6260'!$172:$172,'6260'!$173:$173,'6260'!$174:$174,'6260'!$175:$175,'6260'!$176:$176,'6260'!$177:$177,'6260'!$178:$178,'6260'!$179:$179</definedName>
    <definedName name="QB_DATA_10" localSheetId="29" hidden="1">'6310'!$164:$164,'6310'!$165:$165,'6310'!$166:$166,'6310'!$167:$167,'6310'!$168:$168,'6310'!$169:$169,'6310'!$170:$170,'6310'!$171:$171,'6310'!$172:$172,'6310'!$173:$173,'6310'!$174:$174,'6310'!$175:$175,'6310'!$176:$176,'6310'!$177:$177,'6310'!$178:$178,'6310'!$179:$179</definedName>
    <definedName name="QB_DATA_11" localSheetId="13" hidden="1">'6130'!$180:$180,'6130'!$181:$181,'6130'!$182:$182,'6130'!$183:$183,'6130'!$184:$184,'6130'!$185:$185,'6130'!$186:$186,'6130'!$187:$187,'6130'!$188:$188,'6130'!$189:$189,'6130'!$190:$190,'6130'!$191:$191,'6130'!$192:$192,'6130'!$193:$193,'6130'!$194:$194,'6130'!$195:$195</definedName>
    <definedName name="QB_DATA_11" localSheetId="17" hidden="1">'6210'!$180:$180,'6210'!$181:$181,'6210'!$182:$182,'6210'!$183:$183,'6210'!$184:$184,'6210'!$185:$185,'6210'!$186:$186,'6210'!$187:$187,'6210'!$188:$188,'6210'!$189:$189,'6210'!$190:$190,'6210'!$191:$191,'6210'!$192:$192,'6210'!$193:$193,'6210'!$194:$194,'6210'!$195:$195</definedName>
    <definedName name="QB_DATA_11" localSheetId="20" hidden="1">'6225'!$180:$180,'6225'!$181:$181,'6225'!$182:$182,'6225'!$183:$183,'6225'!$184:$184</definedName>
    <definedName name="QB_DATA_11" localSheetId="25" hidden="1">'6260'!$180:$180,'6260'!$181:$181,'6260'!$182:$182,'6260'!$183:$183,'6260'!$184:$184,'6260'!$185:$185,'6260'!$186:$186,'6260'!$187:$187,'6260'!$188:$188,'6260'!$189:$189,'6260'!$190:$190,'6260'!$191:$191,'6260'!$192:$192,'6260'!$193:$193,'6260'!$194:$194,'6260'!$195:$195</definedName>
    <definedName name="QB_DATA_11" localSheetId="29" hidden="1">'6310'!$180:$180,'6310'!$181:$181,'6310'!$182:$182,'6310'!$183:$183,'6310'!$184:$184,'6310'!$185:$185,'6310'!$186:$186,'6310'!$187:$187,'6310'!$188:$188,'6310'!$189:$189</definedName>
    <definedName name="QB_DATA_12" localSheetId="13" hidden="1">'6130'!$196:$196,'6130'!$197:$197,'6130'!$198:$198</definedName>
    <definedName name="QB_DATA_12" localSheetId="17" hidden="1">'6210'!$196:$196,'6210'!$197:$197,'6210'!$198:$198,'6210'!$199:$199,'6210'!$200:$200,'6210'!$201:$201,'6210'!$202:$202,'6210'!$203:$203,'6210'!$204:$204,'6210'!$205:$205,'6210'!$206:$206,'6210'!$207:$207,'6210'!$208:$208,'6210'!$209:$209,'6210'!$210:$210,'6210'!$211:$211</definedName>
    <definedName name="QB_DATA_12" localSheetId="25" hidden="1">'6260'!$196:$196,'6260'!$197:$197,'6260'!$198:$198,'6260'!$199:$199,'6260'!$200:$200,'6260'!$201:$201,'6260'!$202:$202,'6260'!$203:$203,'6260'!$204:$204,'6260'!$205:$205,'6260'!$206:$206</definedName>
    <definedName name="QB_DATA_13" localSheetId="17" hidden="1">'6210'!$212:$212,'6210'!$213:$213,'6210'!$214:$214,'6210'!$215:$215,'6210'!$216:$216,'6210'!$217:$217,'6210'!$218:$218,'6210'!$219:$219,'6210'!$220:$220,'6210'!$221:$221,'6210'!$222:$222,'6210'!$223:$223,'6210'!$224:$224,'6210'!$225:$225,'6210'!$226:$226,'6210'!$227:$227</definedName>
    <definedName name="QB_DATA_14" localSheetId="17" hidden="1">'6210'!$228:$228,'6210'!$229:$229,'6210'!$230:$230,'6210'!$231:$231,'6210'!$232:$232,'6210'!$233:$233,'6210'!$234:$234,'6210'!$235:$235,'6210'!$236:$236,'6210'!$237:$237,'6210'!$238:$238,'6210'!$239:$239,'6210'!$240:$240,'6210'!$241:$241,'6210'!$242:$242,'6210'!$243:$243</definedName>
    <definedName name="QB_DATA_15" localSheetId="17" hidden="1">'6210'!$244:$244,'6210'!$245:$245,'6210'!$246:$246,'6210'!$247:$247,'6210'!$248:$248,'6210'!$249:$249,'6210'!$250:$250,'6210'!$251:$251,'6210'!$252:$252,'6210'!$253:$253,'6210'!$254:$254,'6210'!$255:$255,'6210'!$256:$256,'6210'!$257:$257,'6210'!$258:$258,'6210'!$259:$259</definedName>
    <definedName name="QB_DATA_16" localSheetId="17" hidden="1">'6210'!$260:$260,'6210'!$261:$261,'6210'!$262:$262,'6210'!$263:$263,'6210'!$264:$264,'6210'!$265:$265,'6210'!$266:$266,'6210'!$267:$267,'6210'!$268:$268,'6210'!$269:$269,'6210'!$270:$270,'6210'!$271:$271,'6210'!$272:$272,'6210'!$273:$273,'6210'!$274:$274,'6210'!$275:$275</definedName>
    <definedName name="QB_DATA_17" localSheetId="17" hidden="1">'6210'!$276:$276,'6210'!$277:$277,'6210'!$278:$278,'6210'!$279:$279,'6210'!$280:$280,'6210'!$281:$281,'6210'!$282:$282,'6210'!$283:$283,'6210'!$284:$284,'6210'!$285:$285,'6210'!$286:$286,'6210'!$287:$287,'6210'!$288:$288,'6210'!$289:$289,'6210'!$290:$290,'6210'!$291:$291</definedName>
    <definedName name="QB_DATA_18" localSheetId="17" hidden="1">'6210'!$292:$292,'6210'!$293:$293,'6210'!$294:$294,'6210'!$295:$295,'6210'!$296:$296,'6210'!$297:$297,'6210'!$298:$298,'6210'!$299:$299,'6210'!$300:$300,'6210'!$301:$301,'6210'!$302:$302,'6210'!$303:$303,'6210'!$304:$304,'6210'!$305:$305,'6210'!$306:$306,'6210'!$307:$307</definedName>
    <definedName name="QB_DATA_19" localSheetId="17" hidden="1">'6210'!$308:$308,'6210'!$309:$309,'6210'!$310:$310,'6210'!$311:$311,'6210'!$312:$312,'6210'!$313:$313,'6210'!$314:$314,'6210'!$315:$315,'6210'!$316:$316,'6210'!$317:$317,'6210'!$318:$318,'6210'!$319:$319,'6210'!$320:$320,'6210'!$321:$321,'6210'!$322:$322,'6210'!$323:$323</definedName>
    <definedName name="QB_DATA_2" localSheetId="11" hidden="1">'6110'!$36:$36,'6110'!$37:$37,'6110'!$38:$38,'6110'!$39:$39,'6110'!$40:$40,'6110'!$41:$41,'6110'!$42:$42,'6110'!$43:$43,'6110'!$44:$44,'6110'!$45:$45,'6110'!$46:$46,'6110'!$47:$47,'6110'!$48:$48,'6110'!$49:$49,'6110'!$50:$50,'6110'!$51:$51</definedName>
    <definedName name="QB_DATA_2" localSheetId="12" hidden="1">'6120'!$36:$36,'6120'!$37:$37,'6120'!$38:$38,'6120'!$39:$39,'6120'!$40:$40,'6120'!$41:$41,'6120'!$42:$42,'6120'!$43:$43,'6120'!$44:$44,'6120'!$45:$45</definedName>
    <definedName name="QB_DATA_2" localSheetId="13" hidden="1">'6130'!$36:$36,'6130'!$37:$37,'6130'!$38:$38,'6130'!$39:$39,'6130'!$40:$40,'6130'!$41:$41,'6130'!$42:$42,'6130'!$43:$43,'6130'!$44:$44,'6130'!$45:$45,'6130'!$46:$46,'6130'!$47:$47,'6130'!$48:$48,'6130'!$49:$49,'6130'!$50:$50,'6130'!$51:$51</definedName>
    <definedName name="QB_DATA_2" localSheetId="15" hidden="1">'6150'!$38:$38,'6150'!$39:$39,'6150'!$40:$40,'6150'!$41:$41,'6150'!$42:$42,'6150'!$43:$43,'6150'!$44:$44,'6150'!$45:$45,'6150'!$46:$46,'6150'!$47:$47,'6150'!$48:$48,'6150'!$49:$49,'6150'!$50:$50,'6150'!#REF!,'6150'!$51:$51,'6150'!$52:$52</definedName>
    <definedName name="QB_DATA_2" localSheetId="17" hidden="1">'6210'!$36:$36,'6210'!$37:$37,'6210'!$38:$38,'6210'!$39:$39,'6210'!$40:$40,'6210'!$41:$41,'6210'!$42:$42,'6210'!$43:$43,'6210'!$44:$44,'6210'!$45:$45,'6210'!$46:$46,'6210'!$47:$47,'6210'!$48:$48,'6210'!$49:$49,'6210'!$50:$50,'6210'!$51:$51</definedName>
    <definedName name="QB_DATA_2" localSheetId="18" hidden="1">'6215'!$36:$36,'6215'!$37:$37,'6215'!$38:$38,'6215'!$39:$39,'6215'!$40:$40,'6215'!$41:$41,'6215'!$42:$42,'6215'!$43:$43,'6215'!$44:$44,'6215'!$45:$45,'6215'!$46:$46,'6215'!$47:$47,'6215'!$48:$48,'6215'!$49:$49,'6215'!$50:$50,'6215'!$51:$51</definedName>
    <definedName name="QB_DATA_2" localSheetId="19" hidden="1">'6220'!$36:$36,'6220'!$37:$37,'6220'!$38:$38,'6220'!$39:$39,'6220'!$40:$40,'6220'!$41:$41,'6220'!$42:$42,'6220'!$43:$43,'6220'!$44:$44,'6220'!$45:$45,'6220'!$46:$46,'6220'!$47:$47,'6220'!$48:$48,'6220'!$49:$49,'6220'!$50:$50,'6220'!$51:$51</definedName>
    <definedName name="QB_DATA_2" localSheetId="20" hidden="1">'6225'!$36:$36,'6225'!$37:$37,'6225'!$38:$38,'6225'!$39:$39,'6225'!$40:$40,'6225'!$41:$41,'6225'!$42:$42,'6225'!$43:$43,'6225'!$44:$44,'6225'!$45:$45,'6225'!$46:$46,'6225'!$47:$47,'6225'!$48:$48,'6225'!$49:$49,'6225'!$50:$50,'6225'!$51:$51</definedName>
    <definedName name="QB_DATA_2" localSheetId="23" hidden="1">'6240'!$36:$36,'6240'!$37:$37,'6240'!$38:$38,'6240'!$39:$39,'6240'!$40:$40,'6240'!$41:$41,'6240'!$42:$42,'6240'!$43:$43,'6240'!$44:$44,'6240'!$45:$45,'6240'!$46:$46,'6240'!$47:$47,'6240'!$48:$48,'6240'!$49:$49,'6240'!$50:$50,'6240'!$51:$51</definedName>
    <definedName name="QB_DATA_2" localSheetId="25" hidden="1">'6260'!$36:$36,'6260'!$37:$37,'6260'!$38:$38,'6260'!$39:$39,'6260'!$40:$40,'6260'!$41:$41,'6260'!$42:$42,'6260'!$43:$43,'6260'!$44:$44,'6260'!$45:$45,'6260'!$46:$46,'6260'!$47:$47,'6260'!$48:$48,'6260'!$49:$49,'6260'!$50:$50,'6260'!$51:$51</definedName>
    <definedName name="QB_DATA_2" localSheetId="26" hidden="1">'6280'!$34:$34,'6280'!$35:$35,'6280'!$36:$36,'6280'!$37:$37,'6280'!$38:$38,'6280'!$39:$39,'6280'!$40:$40,'6280'!$41:$41,'6280'!$42:$42,'6280'!$43:$43,'6280'!$44:$44,'6280'!$45:$45,'6280'!$46:$46,'6280'!$47:$47,'6280'!$48:$48,'6280'!$49:$49</definedName>
    <definedName name="QB_DATA_2" localSheetId="27" hidden="1">'6285'!$36:$36,'6285'!$37:$37,'6285'!$38:$38,'6285'!$39:$39,'6285'!$40:$40,'6285'!$41:$41,'6285'!$42:$42,'6285'!$43:$43,'6285'!$44:$44,'6285'!$45:$45,'6285'!$46:$46,'6285'!$47:$47,'6285'!$48:$48,'6285'!$49:$49,'6285'!$50:$50,'6285'!$51:$51</definedName>
    <definedName name="QB_DATA_2" localSheetId="29" hidden="1">'6310'!$36:$36,'6310'!$37:$37,'6310'!$38:$38,'6310'!$39:$39,'6310'!$40:$40,'6310'!$41:$41,'6310'!$42:$42,'6310'!$43:$43,'6310'!$44:$44,'6310'!$45:$45,'6310'!$46:$46,'6310'!$47:$47,'6310'!$48:$48,'6310'!$49:$49,'6310'!$50:$50,'6310'!$51:$51</definedName>
    <definedName name="QB_DATA_20" localSheetId="17" hidden="1">'6210'!$324:$324,'6210'!$325:$325,'6210'!$326:$326,'6210'!$327:$327,'6210'!$328:$328,'6210'!$329:$329,'6210'!$330:$330,'6210'!$331:$331,'6210'!$332:$332,'6210'!$333:$333,'6210'!$334:$334,'6210'!$335:$335,'6210'!$336:$336,'6210'!$337:$337,'6210'!$338:$338,'6210'!$339:$339</definedName>
    <definedName name="QB_DATA_21" localSheetId="17" hidden="1">'6210'!$340:$340,'6210'!$341:$341,'6210'!$342:$342,'6210'!$343:$343,'6210'!$344:$344,'6210'!$345:$345,'6210'!$346:$346,'6210'!$347:$347,'6210'!$348:$348,'6210'!$349:$349,'6210'!$350:$350,'6210'!$351:$351,'6210'!$352:$352,'6210'!$353:$353,'6210'!$354:$354,'6210'!$355:$355</definedName>
    <definedName name="QB_DATA_22" localSheetId="17" hidden="1">'6210'!$356:$356,'6210'!$357:$357,'6210'!$358:$358,'6210'!$359:$359,'6210'!$360:$360,'6210'!$361:$361,'6210'!$362:$362,'6210'!$363:$363,'6210'!$364:$364,'6210'!$365:$365,'6210'!$366:$366,'6210'!$367:$367,'6210'!$368:$368,'6210'!$369:$369,'6210'!$370:$370,'6210'!$371:$371</definedName>
    <definedName name="QB_DATA_23" localSheetId="17" hidden="1">'6210'!$372:$372,'6210'!$373:$373,'6210'!$374:$374,'6210'!$375:$375,'6210'!$376:$376,'6210'!$377:$377,'6210'!$378:$378,'6210'!$379:$379,'6210'!$380:$380,'6210'!$381:$381,'6210'!$382:$382,'6210'!$383:$383,'6210'!$384:$384,'6210'!$385:$385,'6210'!$386:$386,'6210'!$387:$387</definedName>
    <definedName name="QB_DATA_24" localSheetId="17" hidden="1">'6210'!$388:$388,'6210'!$389:$389,'6210'!$390:$390,'6210'!$391:$391,'6210'!$392:$392,'6210'!$393:$393,'6210'!$394:$394,'6210'!$395:$395,'6210'!$396:$396,'6210'!$397:$397,'6210'!$398:$398,'6210'!$399:$399,'6210'!$400:$400,'6210'!$401:$401,'6210'!$402:$402,'6210'!$403:$403</definedName>
    <definedName name="QB_DATA_25" localSheetId="17" hidden="1">'6210'!$404:$404,'6210'!$405:$405,'6210'!$406:$406,'6210'!$407:$407,'6210'!$408:$408,'6210'!$409:$409,'6210'!$410:$410,'6210'!$411:$411,'6210'!$412:$412,'6210'!$413:$413,'6210'!$414:$414,'6210'!$415:$415,'6210'!$416:$416,'6210'!$417:$417,'6210'!$418:$418,'6210'!$419:$419</definedName>
    <definedName name="QB_DATA_26" localSheetId="17" hidden="1">'6210'!$420:$420,'6210'!$421:$421,'6210'!$422:$422,'6210'!$423:$423,'6210'!$424:$424,'6210'!$425:$425,'6210'!$426:$426,'6210'!$427:$427,'6210'!$428:$428,'6210'!$429:$429,'6210'!$430:$430,'6210'!$431:$431,'6210'!$432:$432,'6210'!$433:$433,'6210'!$434:$434,'6210'!$435:$435</definedName>
    <definedName name="QB_DATA_27" localSheetId="17" hidden="1">'6210'!$436:$436,'6210'!$437:$437,'6210'!$438:$438,'6210'!$439:$439,'6210'!$440:$440,'6210'!$441:$441,'6210'!$442:$442,'6210'!$443:$443,'6210'!$444:$444,'6210'!$445:$445,'6210'!$446:$446,'6210'!$447:$447,'6210'!$448:$448,'6210'!$449:$449,'6210'!$450:$450,'6210'!$451:$451</definedName>
    <definedName name="QB_DATA_28" localSheetId="17" hidden="1">'6210'!$452:$452,'6210'!$453:$453,'6210'!$454:$454,'6210'!$455:$455,'6210'!$456:$456,'6210'!$457:$457,'6210'!$458:$458,'6210'!$459:$459,'6210'!$460:$460,'6210'!$461:$461,'6210'!$462:$462,'6210'!$463:$463,'6210'!$464:$464,'6210'!$465:$465,'6210'!$466:$466,'6210'!$467:$467</definedName>
    <definedName name="QB_DATA_29" localSheetId="17" hidden="1">'6210'!$468:$468,'6210'!$469:$469,'6210'!$470:$470,'6210'!$471:$471,'6210'!$472:$472,'6210'!$473:$473,'6210'!$474:$474,'6210'!$475:$475,'6210'!$476:$476,'6210'!$477:$477,'6210'!$478:$478,'6210'!$479:$479,'6210'!$480:$480,'6210'!$481:$481,'6210'!$482:$482</definedName>
    <definedName name="QB_DATA_3" localSheetId="11" hidden="1">'6110'!$52:$52,'6110'!$53:$53,'6110'!$54:$54,'6110'!$55:$55,'6110'!$56:$56,'6110'!$57:$57,'6110'!$58:$58,'6110'!$59:$59,'6110'!$60:$60,'6110'!$61:$61,'6110'!$62:$62,'6110'!$63:$63,'6110'!$64:$64,'6110'!$65:$65,'6110'!$66:$66,'6110'!$67:$67</definedName>
    <definedName name="QB_DATA_3" localSheetId="13" hidden="1">'6130'!$52:$52,'6130'!$53:$53,'6130'!$54:$54,'6130'!$55:$55,'6130'!$56:$56,'6130'!$57:$57,'6130'!$58:$58,'6130'!$59:$59,'6130'!$60:$60,'6130'!$61:$61,'6130'!$62:$62,'6130'!$63:$63,'6130'!$64:$64,'6130'!$65:$65,'6130'!$66:$66,'6130'!$67:$67</definedName>
    <definedName name="QB_DATA_3" localSheetId="15" hidden="1">'6150'!$53:$53,'6150'!$54:$54,'6150'!$55:$55</definedName>
    <definedName name="QB_DATA_3" localSheetId="17" hidden="1">'6210'!$52:$52,'6210'!$53:$53,'6210'!$54:$54,'6210'!$55:$55,'6210'!$56:$56,'6210'!$57:$57,'6210'!$58:$58,'6210'!$59:$59,'6210'!$60:$60,'6210'!$61:$61,'6210'!$62:$62,'6210'!$63:$63,'6210'!$64:$64,'6210'!$65:$65,'6210'!$66:$66,'6210'!$67:$67</definedName>
    <definedName name="QB_DATA_3" localSheetId="19" hidden="1">'6220'!$52:$52,'6220'!$53:$53,'6220'!$54:$54,'6220'!$55:$55,'6220'!$56:$56,'6220'!$57:$57,'6220'!$58:$58,'6220'!$59:$59,'6220'!$60:$60,'6220'!$61:$61,'6220'!$62:$62,'6220'!$63:$63,'6220'!$64:$64,'6220'!$65:$65,'6220'!$66:$66,'6220'!$67:$67</definedName>
    <definedName name="QB_DATA_3" localSheetId="20" hidden="1">'6225'!$52:$52,'6225'!$53:$53,'6225'!$54:$54,'6225'!$55:$55,'6225'!$56:$56,'6225'!$57:$57,'6225'!$58:$58,'6225'!$59:$59,'6225'!$60:$60,'6225'!$61:$61,'6225'!$62:$62,'6225'!$63:$63,'6225'!$64:$64,'6225'!$65:$65,'6225'!$66:$66,'6225'!$67:$67</definedName>
    <definedName name="QB_DATA_3" localSheetId="23" hidden="1">'6240'!$52:$52,'6240'!$53:$53,'6240'!$54:$54,'6240'!$55:$55,'6240'!$56:$56,'6240'!$57:$57,'6240'!$58:$58,'6240'!$59:$59,'6240'!$60:$60,'6240'!$61:$61,'6240'!$62:$62</definedName>
    <definedName name="QB_DATA_3" localSheetId="25" hidden="1">'6260'!$52:$52,'6260'!$53:$53,'6260'!$54:$54,'6260'!$55:$55,'6260'!$56:$56,'6260'!$57:$57,'6260'!$58:$58,'6260'!$59:$59,'6260'!$60:$60,'6260'!$61:$61,'6260'!$62:$62,'6260'!$63:$63,'6260'!$64:$64,'6260'!$65:$65,'6260'!$66:$66,'6260'!$67:$67</definedName>
    <definedName name="QB_DATA_3" localSheetId="26" hidden="1">'6280'!$50:$50,'6280'!$51:$51,'6280'!$52:$52,'6280'!$53:$53,'6280'!$54:$54,'6280'!$55:$55,'6280'!$56:$56,'6280'!$57:$57,'6280'!$58:$58,'6280'!$59:$59,'6280'!$60:$60,'6280'!$61:$61,'6280'!$62:$62,'6280'!$63:$63,'6280'!$64:$64,'6280'!$65:$65</definedName>
    <definedName name="QB_DATA_3" localSheetId="27" hidden="1">'6285'!$52:$52,'6285'!$53:$53,'6285'!$54:$54,'6285'!$55:$55,'6285'!$56:$56,'6285'!$57:$57,'6285'!$58:$58,'6285'!$59:$59,'6285'!$60:$60,'6285'!$61:$61,'6285'!$62:$62,'6285'!$63:$63,'6285'!$64:$64,'6285'!$65:$65,'6285'!$66:$66,'6285'!$67:$67</definedName>
    <definedName name="QB_DATA_3" localSheetId="29" hidden="1">'6310'!$52:$52,'6310'!$53:$53,'6310'!$54:$54,'6310'!$55:$55,'6310'!$56:$56,'6310'!$57:$57,'6310'!$58:$58,'6310'!$59:$59,'6310'!$60:$60,'6310'!$61:$61,'6310'!$62:$62,'6310'!$63:$63,'6310'!$64:$64,'6310'!$65:$65,'6310'!$66:$66,'6310'!$67:$67</definedName>
    <definedName name="QB_DATA_4" localSheetId="11" hidden="1">'6110'!$68:$68,'6110'!$69:$69,'6110'!$70:$70,'6110'!$71:$71,'6110'!$72:$72,'6110'!$73:$73,'6110'!$74:$74,'6110'!$75:$75,'6110'!$76:$76,'6110'!$77:$77,'6110'!$78:$78,'6110'!$79:$79,'6110'!$80:$80,'6110'!$81:$81,'6110'!$82:$82,'6110'!$83:$83</definedName>
    <definedName name="QB_DATA_4" localSheetId="13" hidden="1">'6130'!$68:$68,'6130'!$69:$69,'6130'!$70:$70,'6130'!$71:$71,'6130'!$72:$72,'6130'!$73:$73,'6130'!$74:$74,'6130'!$75:$75,'6130'!$76:$76,'6130'!$77:$77,'6130'!$78:$78,'6130'!$79:$79,'6130'!$80:$80,'6130'!$81:$81,'6130'!$82:$82,'6130'!$83:$83</definedName>
    <definedName name="QB_DATA_4" localSheetId="17" hidden="1">'6210'!$68:$68,'6210'!$69:$69,'6210'!$70:$70,'6210'!$71:$71,'6210'!$72:$72,'6210'!$73:$73,'6210'!$74:$74,'6210'!$75:$75,'6210'!$76:$76,'6210'!$77:$77,'6210'!$78:$78,'6210'!$79:$79,'6210'!$80:$80,'6210'!$81:$81,'6210'!$82:$82,'6210'!$83:$83</definedName>
    <definedName name="QB_DATA_4" localSheetId="19" hidden="1">'6220'!$68:$68,'6220'!$69:$69,'6220'!$70:$70,'6220'!$71:$71,'6220'!$72:$72,'6220'!$73:$73,'6220'!$74:$74,'6220'!$75:$75,'6220'!$76:$76,'6220'!$77:$77,'6220'!$78:$78,'6220'!$79:$79,'6220'!$80:$80,'6220'!$81:$81,'6220'!$82:$82,'6220'!$83:$83</definedName>
    <definedName name="QB_DATA_4" localSheetId="20" hidden="1">'6225'!$68:$68,'6225'!$69:$69,'6225'!$70:$70,'6225'!$71:$71,'6225'!$72:$72,'6225'!$73:$73,'6225'!$74:$74,'6225'!$75:$75,'6225'!$76:$76,'6225'!$77:$77,'6225'!$78:$78,'6225'!$79:$79,'6225'!$80:$80,'6225'!$81:$81,'6225'!$82:$82,'6225'!$83:$83</definedName>
    <definedName name="QB_DATA_4" localSheetId="25" hidden="1">'6260'!$68:$68,'6260'!$69:$69,'6260'!$70:$70,'6260'!$71:$71,'6260'!$72:$72,'6260'!$73:$73,'6260'!$74:$74,'6260'!$75:$75,'6260'!$76:$76,'6260'!$77:$77,'6260'!$78:$78,'6260'!$79:$79,'6260'!$80:$80,'6260'!$81:$81,'6260'!$82:$82,'6260'!$83:$83</definedName>
    <definedName name="QB_DATA_4" localSheetId="26" hidden="1">'6280'!#REF!,'6280'!$66:$66,'6280'!$67:$67,'6280'!$68:$68,'6280'!$69:$69,'6280'!$70:$70,'6280'!$71:$71,'6280'!$72:$72,'6280'!$73:$73</definedName>
    <definedName name="QB_DATA_4" localSheetId="27" hidden="1">'6285'!$68:$68,'6285'!$69:$69,'6285'!$70:$70,'6285'!$71:$71,'6285'!$72:$72,'6285'!$73:$73,'6285'!$74:$74,'6285'!$75:$75,'6285'!$76:$76,'6285'!$77:$77,'6285'!$78:$78,'6285'!$79:$79,'6285'!$80:$80,'6285'!$81:$81,'6285'!$82:$82,'6285'!$83:$83</definedName>
    <definedName name="QB_DATA_4" localSheetId="29" hidden="1">'6310'!$68:$68,'6310'!$69:$69,'6310'!$70:$70,'6310'!$71:$71,'6310'!$72:$72,'6310'!$73:$73,'6310'!$74:$74,'6310'!$75:$75,'6310'!$76:$76,'6310'!$77:$77,'6310'!$78:$78,'6310'!$79:$79,'6310'!$80:$80,'6310'!$81:$81,'6310'!$82:$82,'6310'!$83:$83</definedName>
    <definedName name="QB_DATA_5" localSheetId="11" hidden="1">'6110'!$84:$84,'6110'!$85:$85,'6110'!$86:$86,'6110'!$87:$87,'6110'!$88:$88,'6110'!$89:$89,'6110'!$90:$90,'6110'!$91:$91,'6110'!$92:$92,'6110'!$93:$93,'6110'!$94:$94,'6110'!$95:$95,'6110'!$96:$96,'6110'!$97:$97,'6110'!$98:$98,'6110'!$99:$99</definedName>
    <definedName name="QB_DATA_5" localSheetId="13" hidden="1">'6130'!$84:$84,'6130'!$85:$85,'6130'!$86:$86,'6130'!$87:$87,'6130'!$88:$88,'6130'!$89:$89,'6130'!$90:$90,'6130'!$91:$91,'6130'!$92:$92,'6130'!$93:$93,'6130'!$94:$94,'6130'!$95:$95,'6130'!$96:$96,'6130'!$97:$97,'6130'!$98:$98,'6130'!$99:$99</definedName>
    <definedName name="QB_DATA_5" localSheetId="17" hidden="1">'6210'!$84:$84,'6210'!$85:$85,'6210'!$86:$86,'6210'!$87:$87,'6210'!$88:$88,'6210'!$89:$89,'6210'!$90:$90,'6210'!$91:$91,'6210'!$92:$92,'6210'!$93:$93,'6210'!$94:$94,'6210'!$95:$95,'6210'!$96:$96,'6210'!$97:$97,'6210'!$98:$98,'6210'!$99:$99</definedName>
    <definedName name="QB_DATA_5" localSheetId="19" hidden="1">'6220'!$84:$84,'6220'!$85:$85,'6220'!$86:$86,'6220'!$87:$87,'6220'!$88:$88,'6220'!$89:$89,'6220'!$90:$90,'6220'!$91:$91,'6220'!$92:$92,'6220'!$93:$93,'6220'!$94:$94,'6220'!$95:$95,'6220'!$96:$96,'6220'!$97:$97,'6220'!$98:$98,'6220'!$99:$99</definedName>
    <definedName name="QB_DATA_5" localSheetId="20" hidden="1">'6225'!$84:$84,'6225'!$85:$85,'6225'!$86:$86,'6225'!$87:$87,'6225'!$88:$88,'6225'!$89:$89,'6225'!$90:$90,'6225'!$91:$91,'6225'!$92:$92,'6225'!$93:$93,'6225'!$94:$94,'6225'!$95:$95,'6225'!$96:$96,'6225'!$97:$97,'6225'!$98:$98,'6225'!$99:$99</definedName>
    <definedName name="QB_DATA_5" localSheetId="25" hidden="1">'6260'!$84:$84,'6260'!$85:$85,'6260'!$86:$86,'6260'!$87:$87,'6260'!$88:$88,'6260'!$89:$89,'6260'!$90:$90,'6260'!$91:$91,'6260'!$92:$92,'6260'!$93:$93,'6260'!$94:$94,'6260'!$95:$95,'6260'!$96:$96,'6260'!$97:$97,'6260'!$98:$98,'6260'!$99:$99</definedName>
    <definedName name="QB_DATA_5" localSheetId="27" hidden="1">'6285'!$84:$84,'6285'!$85:$85,'6285'!$86:$86,'6285'!$87:$87,'6285'!$88:$88,'6285'!$89:$89,'6285'!$90:$90,'6285'!$91:$91,'6285'!$92:$92,'6285'!$93:$93,'6285'!$94:$94,'6285'!$95:$95,'6285'!$96:$96,'6285'!$97:$97,'6285'!$98:$98,'6285'!$99:$99</definedName>
    <definedName name="QB_DATA_5" localSheetId="29" hidden="1">'6310'!$84:$84,'6310'!$85:$85,'6310'!$86:$86,'6310'!$87:$87,'6310'!$88:$88,'6310'!$89:$89,'6310'!$90:$90,'6310'!$91:$91,'6310'!$92:$92,'6310'!$93:$93,'6310'!$94:$94,'6310'!$95:$95,'6310'!$96:$96,'6310'!$97:$97,'6310'!$98:$98,'6310'!$99:$99</definedName>
    <definedName name="QB_DATA_6" localSheetId="11" hidden="1">'6110'!$100:$100,'6110'!$101:$101,'6110'!$102:$102,'6110'!$103:$103,'6110'!$104:$104,'6110'!$105:$105,'6110'!$106:$106,'6110'!$107:$107,'6110'!$108:$108,'6110'!#REF!,'6110'!$109:$109,'6110'!$110:$110,'6110'!$111:$111,'6110'!$112:$112,'6110'!$113:$113,'6110'!$114:$114</definedName>
    <definedName name="QB_DATA_6" localSheetId="13" hidden="1">'6130'!$100:$100,'6130'!$101:$101,'6130'!$102:$102,'6130'!$103:$103,'6130'!$104:$104,'6130'!$105:$105,'6130'!$106:$106,'6130'!$107:$107,'6130'!$108:$108,'6130'!$109:$109,'6130'!$110:$110,'6130'!$111:$111,'6130'!$112:$112,'6130'!$113:$113,'6130'!$114:$114,'6130'!$115:$115</definedName>
    <definedName name="QB_DATA_6" localSheetId="17" hidden="1">'6210'!$100:$100,'6210'!$101:$101,'6210'!$102:$102,'6210'!$103:$103,'6210'!$104:$104,'6210'!$105:$105,'6210'!$106:$106,'6210'!$107:$107,'6210'!$108:$108,'6210'!$109:$109,'6210'!$110:$110,'6210'!$111:$111,'6210'!$112:$112,'6210'!$113:$113,'6210'!$114:$114,'6210'!$115:$115</definedName>
    <definedName name="QB_DATA_6" localSheetId="19" hidden="1">'6220'!$100:$100,'6220'!$101:$101</definedName>
    <definedName name="QB_DATA_6" localSheetId="20" hidden="1">'6225'!$100:$100,'6225'!$101:$101,'6225'!$102:$102,'6225'!$103:$103,'6225'!$104:$104,'6225'!$105:$105,'6225'!$106:$106,'6225'!$107:$107,'6225'!$108:$108,'6225'!$109:$109,'6225'!$110:$110,'6225'!$111:$111,'6225'!$112:$112,'6225'!$113:$113,'6225'!$114:$114,'6225'!$115:$115</definedName>
    <definedName name="QB_DATA_6" localSheetId="25" hidden="1">'6260'!$100:$100,'6260'!$101:$101,'6260'!$102:$102,'6260'!$103:$103,'6260'!$104:$104,'6260'!$105:$105,'6260'!$106:$106,'6260'!$107:$107,'6260'!$108:$108,'6260'!$109:$109,'6260'!$110:$110,'6260'!$111:$111,'6260'!$112:$112,'6260'!$113:$113,'6260'!$114:$114,'6260'!$115:$115</definedName>
    <definedName name="QB_DATA_6" localSheetId="27" hidden="1">'6285'!$100:$100,'6285'!$101:$101,'6285'!$102:$102,'6285'!$103:$103,'6285'!$104:$104,'6285'!$105:$105,'6285'!$106:$106,'6285'!$107:$107,'6285'!$108:$108,'6285'!$109:$109,'6285'!$110:$110,'6285'!$111:$111,'6285'!$112:$112,'6285'!$113:$113,'6285'!$114:$114,'6285'!$115:$115</definedName>
    <definedName name="QB_DATA_6" localSheetId="29" hidden="1">'6310'!$100:$100,'6310'!$101:$101,'6310'!$102:$102,'6310'!$103:$103,'6310'!$104:$104,'6310'!$105:$105,'6310'!$106:$106,'6310'!$107:$107,'6310'!$108:$108,'6310'!$109:$109,'6310'!$110:$110,'6310'!$111:$111,'6310'!$112:$112,'6310'!$113:$113,'6310'!$114:$114,'6310'!$115:$115</definedName>
    <definedName name="QB_DATA_7" localSheetId="11" hidden="1">'6110'!$115:$115,'6110'!$116:$116,'6110'!$117:$117,'6110'!$118:$118,'6110'!$119:$119,'6110'!$120:$120,'6110'!$121:$121,'6110'!$122:$122,'6110'!$123:$123,'6110'!$124:$124,'6110'!$125:$125,'6110'!$126:$126,'6110'!$127:$127,'6110'!$128:$128,'6110'!$129:$129,'6110'!$130:$130</definedName>
    <definedName name="QB_DATA_7" localSheetId="13" hidden="1">'6130'!$116:$116,'6130'!$117:$117,'6130'!$118:$118,'6130'!$119:$119,'6130'!$120:$120,'6130'!$121:$121,'6130'!$122:$122,'6130'!$123:$123,'6130'!$124:$124,'6130'!$125:$125,'6130'!$126:$126,'6130'!$127:$127,'6130'!$128:$128,'6130'!$129:$129,'6130'!$130:$130,'6130'!$131:$131</definedName>
    <definedName name="QB_DATA_7" localSheetId="17" hidden="1">'6210'!$116:$116,'6210'!$117:$117,'6210'!$118:$118,'6210'!$119:$119,'6210'!$120:$120,'6210'!$121:$121,'6210'!$122:$122,'6210'!$123:$123,'6210'!$124:$124,'6210'!$125:$125,'6210'!$126:$126,'6210'!$127:$127,'6210'!$128:$128,'6210'!$129:$129,'6210'!$130:$130,'6210'!$131:$131</definedName>
    <definedName name="QB_DATA_7" localSheetId="20" hidden="1">'6225'!$116:$116,'6225'!$117:$117,'6225'!$118:$118,'6225'!$119:$119,'6225'!$120:$120,'6225'!$121:$121,'6225'!$122:$122,'6225'!$123:$123,'6225'!$124:$124,'6225'!$125:$125,'6225'!$126:$126,'6225'!$127:$127,'6225'!$128:$128,'6225'!$129:$129,'6225'!$130:$130,'6225'!$131:$131</definedName>
    <definedName name="QB_DATA_7" localSheetId="25" hidden="1">'6260'!$116:$116,'6260'!$117:$117,'6260'!$118:$118,'6260'!$119:$119,'6260'!$120:$120,'6260'!$121:$121,'6260'!$122:$122,'6260'!$123:$123,'6260'!$124:$124,'6260'!$125:$125,'6260'!$126:$126,'6260'!$127:$127,'6260'!$128:$128,'6260'!$129:$129,'6260'!$130:$130,'6260'!$131:$131</definedName>
    <definedName name="QB_DATA_7" localSheetId="27" hidden="1">'6285'!$116:$116,'6285'!$117:$117,'6285'!$118:$118,'6285'!$119:$119</definedName>
    <definedName name="QB_DATA_7" localSheetId="29" hidden="1">'6310'!$116:$116,'6310'!$117:$117,'6310'!$118:$118,'6310'!$119:$119,'6310'!$120:$120,'6310'!$121:$121,'6310'!$122:$122,'6310'!$123:$123,'6310'!$124:$124,'6310'!$125:$125,'6310'!$126:$126,'6310'!$127:$127,'6310'!$128:$128,'6310'!$129:$129,'6310'!$130:$130,'6310'!$131:$131</definedName>
    <definedName name="QB_DATA_8" localSheetId="11" hidden="1">'6110'!$131:$131,'6110'!$132:$132,'6110'!$133:$133,'6110'!$134:$134,'6110'!$135:$135,'6110'!$136:$136,'6110'!$137:$137,'6110'!$138:$138,'6110'!$139:$139,'6110'!$140:$140,'6110'!$141:$141,'6110'!$142:$142,'6110'!$143:$143,'6110'!$144:$144,'6110'!$145:$145,'6110'!$146:$146</definedName>
    <definedName name="QB_DATA_8" localSheetId="13" hidden="1">'6130'!$132:$132,'6130'!$133:$133,'6130'!$134:$134,'6130'!$135:$135,'6130'!$136:$136,'6130'!$137:$137,'6130'!$138:$138,'6130'!$139:$139,'6130'!$140:$140,'6130'!$141:$141,'6130'!$142:$142,'6130'!$143:$143,'6130'!$144:$144,'6130'!$145:$145,'6130'!$146:$146,'6130'!$147:$147</definedName>
    <definedName name="QB_DATA_8" localSheetId="17" hidden="1">'6210'!$132:$132,'6210'!$133:$133,'6210'!$134:$134,'6210'!$135:$135,'6210'!$136:$136,'6210'!$137:$137,'6210'!$138:$138,'6210'!$139:$139,'6210'!$140:$140,'6210'!$141:$141,'6210'!$142:$142,'6210'!$143:$143,'6210'!$144:$144,'6210'!$145:$145,'6210'!$146:$146,'6210'!$147:$147</definedName>
    <definedName name="QB_DATA_8" localSheetId="20" hidden="1">'6225'!$132:$132,'6225'!$133:$133,'6225'!$134:$134,'6225'!$135:$135,'6225'!$136:$136,'6225'!$137:$137,'6225'!$138:$138,'6225'!$139:$139,'6225'!$140:$140,'6225'!$141:$141,'6225'!$142:$142,'6225'!$143:$143,'6225'!$144:$144,'6225'!$145:$145,'6225'!$146:$146,'6225'!$147:$147</definedName>
    <definedName name="QB_DATA_8" localSheetId="25" hidden="1">'6260'!$132:$132,'6260'!$133:$133,'6260'!$134:$134,'6260'!$135:$135,'6260'!$136:$136,'6260'!$137:$137,'6260'!$138:$138,'6260'!$139:$139,'6260'!$140:$140,'6260'!$141:$141,'6260'!$142:$142,'6260'!$143:$143,'6260'!$144:$144,'6260'!$145:$145,'6260'!$146:$146,'6260'!$147:$147</definedName>
    <definedName name="QB_DATA_8" localSheetId="29" hidden="1">'6310'!$132:$132,'6310'!$133:$133,'6310'!$134:$134,'6310'!$135:$135,'6310'!$136:$136,'6310'!$137:$137,'6310'!$138:$138,'6310'!$139:$139,'6310'!$140:$140,'6310'!$141:$141,'6310'!$142:$142,'6310'!$143:$143,'6310'!$144:$144,'6310'!$145:$145,'6310'!$146:$146,'6310'!$147:$147</definedName>
    <definedName name="QB_DATA_9" localSheetId="11" hidden="1">'6110'!$147:$147,'6110'!$148:$148,'6110'!$149:$149,'6110'!$150:$150,'6110'!$151:$151,'6110'!$152:$152,'6110'!$153:$153,'6110'!$154:$154,'6110'!$155:$155,'6110'!$156:$156,'6110'!$157:$157,'6110'!$158:$158</definedName>
    <definedName name="QB_DATA_9" localSheetId="13" hidden="1">'6130'!$148:$148,'6130'!$149:$149,'6130'!$150:$150,'6130'!$151:$151,'6130'!$152:$152,'6130'!$153:$153,'6130'!$154:$154,'6130'!$155:$155,'6130'!$156:$156,'6130'!$157:$157,'6130'!$158:$158,'6130'!$159:$159,'6130'!$160:$160,'6130'!$161:$161,'6130'!$162:$162,'6130'!$163:$163</definedName>
    <definedName name="QB_DATA_9" localSheetId="17" hidden="1">'6210'!$148:$148,'6210'!$149:$149,'6210'!$150:$150,'6210'!$151:$151,'6210'!$152:$152,'6210'!$153:$153,'6210'!$154:$154,'6210'!$155:$155,'6210'!$156:$156,'6210'!$157:$157,'6210'!$158:$158,'6210'!$159:$159,'6210'!$160:$160,'6210'!$161:$161,'6210'!$162:$162,'6210'!$163:$163</definedName>
    <definedName name="QB_DATA_9" localSheetId="20" hidden="1">'6225'!$148:$148,'6225'!$149:$149,'6225'!$150:$150,'6225'!$151:$151,'6225'!$152:$152,'6225'!$153:$153,'6225'!$154:$154,'6225'!$155:$155,'6225'!$156:$156,'6225'!$157:$157,'6225'!$158:$158,'6225'!$159:$159,'6225'!$160:$160,'6225'!$161:$161,'6225'!$162:$162,'6225'!$163:$163</definedName>
    <definedName name="QB_DATA_9" localSheetId="25" hidden="1">'6260'!$148:$148,'6260'!$149:$149,'6260'!$150:$150,'6260'!$151:$151,'6260'!$152:$152,'6260'!$153:$153,'6260'!$154:$154,'6260'!$155:$155,'6260'!$156:$156,'6260'!$157:$157,'6260'!$158:$158,'6260'!$159:$159,'6260'!$160:$160,'6260'!$161:$161,'6260'!$162:$162,'6260'!$163:$163</definedName>
    <definedName name="QB_DATA_9" localSheetId="29" hidden="1">'6310'!$148:$148,'6310'!$149:$149,'6310'!$150:$150,'6310'!$151:$151,'6310'!$152:$152,'6310'!$153:$153,'6310'!$154:$154,'6310'!$155:$155,'6310'!$156:$156,'6310'!$157:$157,'6310'!$158:$158,'6310'!$159:$159,'6310'!$160:$160,'6310'!$161:$161,'6310'!$162:$162,'6310'!$163:$163</definedName>
    <definedName name="QB_FORMULA_0" localSheetId="11" hidden="1">'6110'!$K$159,'6110'!$K$160,'6110'!$K$161</definedName>
    <definedName name="QB_FORMULA_0" localSheetId="12" hidden="1">'6120'!$K$46,'6120'!$K$47,'6120'!$K$48</definedName>
    <definedName name="QB_FORMULA_0" localSheetId="13" hidden="1">'6130'!$K$199,'6130'!$K$200,'6130'!$K$201</definedName>
    <definedName name="QB_FORMULA_0" localSheetId="14" hidden="1">'6140'!$K$15,'6140'!$K$16,'6140'!$K$17</definedName>
    <definedName name="QB_FORMULA_0" localSheetId="15" hidden="1">'6150'!$K$56,'6150'!$K$57,'6150'!$K$58</definedName>
    <definedName name="QB_FORMULA_0" localSheetId="16" hidden="1">'6160'!$K$36,'6160'!$K$37,'6160'!$K$38</definedName>
    <definedName name="QB_FORMULA_0" localSheetId="17" hidden="1">'6210'!$K$483,'6210'!$K$484,'6210'!$K$485</definedName>
    <definedName name="QB_FORMULA_0" localSheetId="18" hidden="1">'6215'!$K$52,'6215'!$K$53,'6215'!$K$54</definedName>
    <definedName name="QB_FORMULA_0" localSheetId="19" hidden="1">'6220'!$K$102,'6220'!$K$103,'6220'!$K$104</definedName>
    <definedName name="QB_FORMULA_0" localSheetId="20" hidden="1">'6225'!$K$185,'6225'!$K$186,'6225'!$K$187</definedName>
    <definedName name="QB_FORMULA_0" localSheetId="21" hidden="1">'6235'!$K$30,'6235'!$K$31,'6235'!$K$32</definedName>
    <definedName name="QB_FORMULA_0" localSheetId="22" hidden="1">'6236'!$K$32,'6236'!$K$33,'6236'!$K$34</definedName>
    <definedName name="QB_FORMULA_0" localSheetId="23" hidden="1">'6240'!$K$63,'6240'!$K$64,'6240'!$K$65</definedName>
    <definedName name="QB_FORMULA_0" localSheetId="25" hidden="1">'6260'!$K$207,'6260'!$K$208</definedName>
    <definedName name="QB_FORMULA_0" localSheetId="26" hidden="1">'6280'!$K$74,'6280'!$K$75,'6280'!$K$76</definedName>
    <definedName name="QB_FORMULA_0" localSheetId="27" hidden="1">'6285'!$K$120,'6285'!$K$121,'6285'!$K$122</definedName>
    <definedName name="QB_FORMULA_0" localSheetId="28" hidden="1">'6290'!$K$14,'6290'!$K$15,'6290'!$K$16</definedName>
    <definedName name="QB_FORMULA_0" localSheetId="29" hidden="1">'6310'!$K$190,'6310'!$K$191,'6310'!$K$192</definedName>
    <definedName name="QB_FORMULA_0" localSheetId="30" hidden="1">'6320'!$K$10,'6320'!$K$11,'6320'!$K$12</definedName>
    <definedName name="QB_FORMULA_0" localSheetId="31" hidden="1">'6330'!$K$18,'6330'!$K$19,'6330'!$K$20</definedName>
    <definedName name="QB_FORMULA_0" localSheetId="33" hidden="1">'6350'!$K$14,'6350'!$K$15,'6350'!$K$16</definedName>
    <definedName name="QB_FORMULA_0" localSheetId="34" hidden="1">'6810'!$K$6,'6810'!$K$7,'6810'!$K$8</definedName>
    <definedName name="QB_FORMULA_0" localSheetId="35" hidden="1">'8010'!$K$6,'8010'!$K$7,'8010'!$K$8</definedName>
    <definedName name="QB_ROW_161020" localSheetId="16" hidden="1">'6160'!$C$3</definedName>
    <definedName name="QB_ROW_161320" localSheetId="16" hidden="1">'6160'!$C$36</definedName>
    <definedName name="QB_ROW_163010" localSheetId="11" hidden="1">'6110'!$B$2</definedName>
    <definedName name="QB_ROW_163010" localSheetId="12" hidden="1">'6120'!$B$2</definedName>
    <definedName name="QB_ROW_163010" localSheetId="13" hidden="1">'6130'!$B$2</definedName>
    <definedName name="QB_ROW_163010" localSheetId="14" hidden="1">'6140'!$B$2</definedName>
    <definedName name="QB_ROW_163010" localSheetId="15" hidden="1">'6150'!$B$2</definedName>
    <definedName name="QB_ROW_163010" localSheetId="16" hidden="1">'6160'!$B$2</definedName>
    <definedName name="QB_ROW_163310" localSheetId="11" hidden="1">'6110'!$B$160</definedName>
    <definedName name="QB_ROW_163310" localSheetId="12" hidden="1">'6120'!$B$47</definedName>
    <definedName name="QB_ROW_163310" localSheetId="13" hidden="1">'6130'!$B$200</definedName>
    <definedName name="QB_ROW_163310" localSheetId="14" hidden="1">'6140'!$B$16</definedName>
    <definedName name="QB_ROW_163310" localSheetId="15" hidden="1">'6150'!$B$57</definedName>
    <definedName name="QB_ROW_163310" localSheetId="16" hidden="1">'6160'!$B$37</definedName>
    <definedName name="QB_ROW_164020" localSheetId="22" hidden="1">'6236'!$C$3</definedName>
    <definedName name="QB_ROW_164320" localSheetId="22" hidden="1">'6236'!$C$32</definedName>
    <definedName name="QB_ROW_165020" localSheetId="20" hidden="1">'6225'!$C$3</definedName>
    <definedName name="QB_ROW_165320" localSheetId="20" hidden="1">'6225'!$C$185</definedName>
    <definedName name="QB_ROW_166020" localSheetId="18" hidden="1">'6215'!$C$3</definedName>
    <definedName name="QB_ROW_166320" localSheetId="18" hidden="1">'6215'!$C$52</definedName>
    <definedName name="QB_ROW_168010" localSheetId="17" hidden="1">'6210'!$B$2</definedName>
    <definedName name="QB_ROW_168010" localSheetId="18" hidden="1">'6215'!$B$2</definedName>
    <definedName name="QB_ROW_168010" localSheetId="19" hidden="1">'6220'!$B$2</definedName>
    <definedName name="QB_ROW_168010" localSheetId="20" hidden="1">'6225'!$B$2</definedName>
    <definedName name="QB_ROW_168010" localSheetId="21" hidden="1">'6235'!$B$2</definedName>
    <definedName name="QB_ROW_168010" localSheetId="22" hidden="1">'6236'!$B$2</definedName>
    <definedName name="QB_ROW_168010" localSheetId="23" hidden="1">'6240'!$B$2</definedName>
    <definedName name="QB_ROW_168010" localSheetId="25" hidden="1">'6260'!$B$2</definedName>
    <definedName name="QB_ROW_168010" localSheetId="26" hidden="1">'6280'!$B$2</definedName>
    <definedName name="QB_ROW_168010" localSheetId="27" hidden="1">'6285'!$B$2</definedName>
    <definedName name="QB_ROW_168010" localSheetId="28" hidden="1">'6290'!$B$2</definedName>
    <definedName name="QB_ROW_168310" localSheetId="17" hidden="1">'6210'!$B$484</definedName>
    <definedName name="QB_ROW_168310" localSheetId="18" hidden="1">'6215'!$B$53</definedName>
    <definedName name="QB_ROW_168310" localSheetId="19" hidden="1">'6220'!$B$103</definedName>
    <definedName name="QB_ROW_168310" localSheetId="20" hidden="1">'6225'!$B$186</definedName>
    <definedName name="QB_ROW_168310" localSheetId="21" hidden="1">'6235'!$B$31</definedName>
    <definedName name="QB_ROW_168310" localSheetId="22" hidden="1">'6236'!$B$33</definedName>
    <definedName name="QB_ROW_168310" localSheetId="23" hidden="1">'6240'!$B$64</definedName>
    <definedName name="QB_ROW_168310" localSheetId="25" hidden="1">'6260'!$B$207</definedName>
    <definedName name="QB_ROW_168310" localSheetId="26" hidden="1">'6280'!$B$75</definedName>
    <definedName name="QB_ROW_168310" localSheetId="27" hidden="1">'6285'!$B$121</definedName>
    <definedName name="QB_ROW_168310" localSheetId="28" hidden="1">'6290'!$B$15</definedName>
    <definedName name="QB_ROW_169020" localSheetId="27" hidden="1">'6285'!$C$3</definedName>
    <definedName name="QB_ROW_169320" localSheetId="27" hidden="1">'6285'!$C$120</definedName>
    <definedName name="QB_ROW_172010" localSheetId="34" hidden="1">'6810'!$B$2</definedName>
    <definedName name="QB_ROW_172310" localSheetId="34" hidden="1">'6810'!$B$7</definedName>
    <definedName name="QB_ROW_178020" localSheetId="28" hidden="1">'6290'!$C$3</definedName>
    <definedName name="QB_ROW_178320" localSheetId="28" hidden="1">'6290'!$C$14</definedName>
    <definedName name="QB_ROW_179020" localSheetId="26" hidden="1">'6280'!$C$3</definedName>
    <definedName name="QB_ROW_179320" localSheetId="26" hidden="1">'6280'!$C$74</definedName>
    <definedName name="QB_ROW_181020" localSheetId="25" hidden="1">'6260'!$C$3</definedName>
    <definedName name="QB_ROW_181320" localSheetId="25" hidden="1">'6260'!$C$206</definedName>
    <definedName name="QB_ROW_183020" localSheetId="34" hidden="1">'6810'!$C$3</definedName>
    <definedName name="QB_ROW_183320" localSheetId="34" hidden="1">'6810'!$C$6</definedName>
    <definedName name="QB_ROW_184020" localSheetId="17" hidden="1">'6210'!$C$3</definedName>
    <definedName name="QB_ROW_184320" localSheetId="17" hidden="1">'6210'!$C$483</definedName>
    <definedName name="QB_ROW_186020" localSheetId="23" hidden="1">'6240'!$C$3</definedName>
    <definedName name="QB_ROW_186320" localSheetId="23" hidden="1">'6240'!$C$63</definedName>
    <definedName name="QB_ROW_187020" localSheetId="13" hidden="1">'6130'!$C$3</definedName>
    <definedName name="QB_ROW_187320" localSheetId="13" hidden="1">'6130'!$C$199</definedName>
    <definedName name="QB_ROW_188020" localSheetId="19" hidden="1">'6220'!$C$3</definedName>
    <definedName name="QB_ROW_188320" localSheetId="19" hidden="1">'6220'!$C$102</definedName>
    <definedName name="QB_ROW_189020" localSheetId="14" hidden="1">'6140'!$C$3</definedName>
    <definedName name="QB_ROW_189320" localSheetId="14" hidden="1">'6140'!$C$15</definedName>
    <definedName name="QB_ROW_191020" localSheetId="11" hidden="1">'6110'!$C$3</definedName>
    <definedName name="QB_ROW_191320" localSheetId="11" hidden="1">'6110'!$C$159</definedName>
    <definedName name="QB_ROW_192020" localSheetId="12" hidden="1">'6120'!$C$3</definedName>
    <definedName name="QB_ROW_192320" localSheetId="12" hidden="1">'6120'!$C$46</definedName>
    <definedName name="QB_ROW_193020" localSheetId="15" hidden="1">'6150'!$C$3</definedName>
    <definedName name="QB_ROW_193320" localSheetId="15" hidden="1">'6150'!$C$56</definedName>
    <definedName name="QB_ROW_194010" localSheetId="35" hidden="1">'8010'!$B$2</definedName>
    <definedName name="QB_ROW_194310" localSheetId="35" hidden="1">'8010'!$B$7</definedName>
    <definedName name="QB_ROW_195020" localSheetId="35" hidden="1">'8010'!$C$3</definedName>
    <definedName name="QB_ROW_195320" localSheetId="35" hidden="1">'8010'!$C$6</definedName>
    <definedName name="QB_ROW_201020" localSheetId="29" hidden="1">'6310'!$C$3</definedName>
    <definedName name="QB_ROW_201320" localSheetId="29" hidden="1">'6310'!$C$190</definedName>
    <definedName name="QB_ROW_213020" localSheetId="21" hidden="1">'6235'!$C$3</definedName>
    <definedName name="QB_ROW_213320" localSheetId="21" hidden="1">'6235'!$C$30</definedName>
    <definedName name="QB_ROW_214020" localSheetId="30" hidden="1">'6320'!$C$3</definedName>
    <definedName name="QB_ROW_214320" localSheetId="30" hidden="1">'6320'!$C$10</definedName>
    <definedName name="QB_ROW_215020" localSheetId="31" hidden="1">'6330'!$C$3</definedName>
    <definedName name="QB_ROW_215320" localSheetId="31" hidden="1">'6330'!$C$18</definedName>
    <definedName name="QB_ROW_217020" localSheetId="33" hidden="1">'6350'!$C$3</definedName>
    <definedName name="QB_ROW_217320" localSheetId="33" hidden="1">'6350'!$C$14</definedName>
    <definedName name="QB_ROW_232010" localSheetId="29" hidden="1">'6310'!$B$2</definedName>
    <definedName name="QB_ROW_232010" localSheetId="30" hidden="1">'6320'!$B$2</definedName>
    <definedName name="QB_ROW_232010" localSheetId="31" hidden="1">'6330'!$B$2</definedName>
    <definedName name="QB_ROW_232010" localSheetId="33" hidden="1">'6350'!$B$2</definedName>
    <definedName name="QB_ROW_232310" localSheetId="29" hidden="1">'6310'!$B$191</definedName>
    <definedName name="QB_ROW_232310" localSheetId="30" hidden="1">'6320'!$B$11</definedName>
    <definedName name="QB_ROW_232310" localSheetId="31" hidden="1">'6330'!$B$19</definedName>
    <definedName name="QB_ROW_232310" localSheetId="33" hidden="1">'6350'!$B$15</definedName>
    <definedName name="QB_ROW_25301" localSheetId="11" hidden="1">'6110'!$A$161</definedName>
    <definedName name="QB_ROW_25301" localSheetId="12" hidden="1">'6120'!$A$48</definedName>
    <definedName name="QB_ROW_25301" localSheetId="13" hidden="1">'6130'!$A$201</definedName>
    <definedName name="QB_ROW_25301" localSheetId="14" hidden="1">'6140'!$A$17</definedName>
    <definedName name="QB_ROW_25301" localSheetId="15" hidden="1">'6150'!$A$58</definedName>
    <definedName name="QB_ROW_25301" localSheetId="16" hidden="1">'6160'!$A$38</definedName>
    <definedName name="QB_ROW_25301" localSheetId="17" hidden="1">'6210'!$A$485</definedName>
    <definedName name="QB_ROW_25301" localSheetId="18" hidden="1">'6215'!$A$54</definedName>
    <definedName name="QB_ROW_25301" localSheetId="19" hidden="1">'6220'!$A$104</definedName>
    <definedName name="QB_ROW_25301" localSheetId="20" hidden="1">'6225'!$A$187</definedName>
    <definedName name="QB_ROW_25301" localSheetId="21" hidden="1">'6235'!$A$32</definedName>
    <definedName name="QB_ROW_25301" localSheetId="22" hidden="1">'6236'!$A$34</definedName>
    <definedName name="QB_ROW_25301" localSheetId="23" hidden="1">'6240'!$A$65</definedName>
    <definedName name="QB_ROW_25301" localSheetId="25" hidden="1">'6260'!$A$208</definedName>
    <definedName name="QB_ROW_25301" localSheetId="26" hidden="1">'6280'!$A$76</definedName>
    <definedName name="QB_ROW_25301" localSheetId="27" hidden="1">'6285'!$A$122</definedName>
    <definedName name="QB_ROW_25301" localSheetId="28" hidden="1">'6290'!$A$16</definedName>
    <definedName name="QB_ROW_25301" localSheetId="29" hidden="1">'6310'!$A$192</definedName>
    <definedName name="QB_ROW_25301" localSheetId="30" hidden="1">'6320'!$A$12</definedName>
    <definedName name="QB_ROW_25301" localSheetId="31" hidden="1">'6330'!$A$20</definedName>
    <definedName name="QB_ROW_25301" localSheetId="33" hidden="1">'6350'!$A$16</definedName>
    <definedName name="QB_ROW_25301" localSheetId="34" hidden="1">'6810'!$A$8</definedName>
    <definedName name="QB_ROW_25301" localSheetId="35" hidden="1">'8010'!$A$8</definedName>
    <definedName name="QBCANSUPPORTUPDATE" localSheetId="11">TRUE</definedName>
    <definedName name="QBCANSUPPORTUPDATE" localSheetId="12">TRUE</definedName>
    <definedName name="QBCANSUPPORTUPDATE" localSheetId="13">TRUE</definedName>
    <definedName name="QBCANSUPPORTUPDATE" localSheetId="14">TRUE</definedName>
    <definedName name="QBCANSUPPORTUPDATE" localSheetId="15">TRUE</definedName>
    <definedName name="QBCANSUPPORTUPDATE" localSheetId="16">TRUE</definedName>
    <definedName name="QBCANSUPPORTUPDATE" localSheetId="17">TRUE</definedName>
    <definedName name="QBCANSUPPORTUPDATE" localSheetId="18">TRUE</definedName>
    <definedName name="QBCANSUPPORTUPDATE" localSheetId="19">TRUE</definedName>
    <definedName name="QBCANSUPPORTUPDATE" localSheetId="20">TRUE</definedName>
    <definedName name="QBCANSUPPORTUPDATE" localSheetId="21">TRUE</definedName>
    <definedName name="QBCANSUPPORTUPDATE" localSheetId="22">TRUE</definedName>
    <definedName name="QBCANSUPPORTUPDATE" localSheetId="23">TRUE</definedName>
    <definedName name="QBCANSUPPORTUPDATE" localSheetId="25">TRUE</definedName>
    <definedName name="QBCANSUPPORTUPDATE" localSheetId="26">TRUE</definedName>
    <definedName name="QBCANSUPPORTUPDATE" localSheetId="27">TRUE</definedName>
    <definedName name="QBCANSUPPORTUPDATE" localSheetId="28">TRUE</definedName>
    <definedName name="QBCANSUPPORTUPDATE" localSheetId="29">TRUE</definedName>
    <definedName name="QBCANSUPPORTUPDATE" localSheetId="30">TRUE</definedName>
    <definedName name="QBCANSUPPORTUPDATE" localSheetId="31">TRUE</definedName>
    <definedName name="QBCANSUPPORTUPDATE" localSheetId="33">TRUE</definedName>
    <definedName name="QBCANSUPPORTUPDATE" localSheetId="34">TRUE</definedName>
    <definedName name="QBCANSUPPORTUPDATE" localSheetId="35">TRUE</definedName>
    <definedName name="QBCOMPANYFILENAME" localSheetId="11">"Q:\williamson county appraisal district.qbw"</definedName>
    <definedName name="QBCOMPANYFILENAME" localSheetId="12">"Q:\williamson county appraisal district.qbw"</definedName>
    <definedName name="QBCOMPANYFILENAME" localSheetId="13">"Q:\williamson county appraisal district.qbw"</definedName>
    <definedName name="QBCOMPANYFILENAME" localSheetId="14">"Q:\williamson county appraisal district.qbw"</definedName>
    <definedName name="QBCOMPANYFILENAME" localSheetId="15">"Q:\williamson county appraisal district.qbw"</definedName>
    <definedName name="QBCOMPANYFILENAME" localSheetId="16">"Q:\williamson county appraisal district.qbw"</definedName>
    <definedName name="QBCOMPANYFILENAME" localSheetId="17">"Q:\williamson county appraisal district.qbw"</definedName>
    <definedName name="QBCOMPANYFILENAME" localSheetId="18">"Q:\williamson county appraisal district.qbw"</definedName>
    <definedName name="QBCOMPANYFILENAME" localSheetId="19">"Q:\williamson county appraisal district.qbw"</definedName>
    <definedName name="QBCOMPANYFILENAME" localSheetId="20">"Q:\williamson county appraisal district.qbw"</definedName>
    <definedName name="QBCOMPANYFILENAME" localSheetId="21">"Q:\williamson county appraisal district.qbw"</definedName>
    <definedName name="QBCOMPANYFILENAME" localSheetId="22">"Q:\williamson county appraisal district.qbw"</definedName>
    <definedName name="QBCOMPANYFILENAME" localSheetId="23">"Q:\williamson county appraisal district.qbw"</definedName>
    <definedName name="QBCOMPANYFILENAME" localSheetId="25">"Q:\williamson county appraisal district.qbw"</definedName>
    <definedName name="QBCOMPANYFILENAME" localSheetId="26">"Q:\williamson county appraisal district.qbw"</definedName>
    <definedName name="QBCOMPANYFILENAME" localSheetId="27">"Q:\williamson county appraisal district.qbw"</definedName>
    <definedName name="QBCOMPANYFILENAME" localSheetId="28">"Q:\williamson county appraisal district.qbw"</definedName>
    <definedName name="QBCOMPANYFILENAME" localSheetId="29">"Q:\williamson county appraisal district.qbw"</definedName>
    <definedName name="QBCOMPANYFILENAME" localSheetId="30">"Q:\williamson county appraisal district.qbw"</definedName>
    <definedName name="QBCOMPANYFILENAME" localSheetId="31">"Q:\williamson county appraisal district.qbw"</definedName>
    <definedName name="QBCOMPANYFILENAME" localSheetId="33">"Q:\williamson county appraisal district.qbw"</definedName>
    <definedName name="QBCOMPANYFILENAME" localSheetId="34">"Q:\williamson county appraisal district.qbw"</definedName>
    <definedName name="QBCOMPANYFILENAME" localSheetId="35">"Q:\williamson county appraisal district.qbw"</definedName>
    <definedName name="QBENDDATE" localSheetId="11">20221231</definedName>
    <definedName name="QBENDDATE" localSheetId="12">20221231</definedName>
    <definedName name="QBENDDATE" localSheetId="13">20221231</definedName>
    <definedName name="QBENDDATE" localSheetId="14">20221231</definedName>
    <definedName name="QBENDDATE" localSheetId="15">20221231</definedName>
    <definedName name="QBENDDATE" localSheetId="16">20221231</definedName>
    <definedName name="QBENDDATE" localSheetId="17">20221231</definedName>
    <definedName name="QBENDDATE" localSheetId="18">20221231</definedName>
    <definedName name="QBENDDATE" localSheetId="19">20221231</definedName>
    <definedName name="QBENDDATE" localSheetId="20">20221231</definedName>
    <definedName name="QBENDDATE" localSheetId="21">20221231</definedName>
    <definedName name="QBENDDATE" localSheetId="22">20221231</definedName>
    <definedName name="QBENDDATE" localSheetId="23">20221231</definedName>
    <definedName name="QBENDDATE" localSheetId="25">20221231</definedName>
    <definedName name="QBENDDATE" localSheetId="26">20221231</definedName>
    <definedName name="QBENDDATE" localSheetId="27">20221231</definedName>
    <definedName name="QBENDDATE" localSheetId="28">20221231</definedName>
    <definedName name="QBENDDATE" localSheetId="29">20221231</definedName>
    <definedName name="QBENDDATE" localSheetId="30">20221231</definedName>
    <definedName name="QBENDDATE" localSheetId="31">20221231</definedName>
    <definedName name="QBENDDATE" localSheetId="33">20221231</definedName>
    <definedName name="QBENDDATE" localSheetId="34">20220315</definedName>
    <definedName name="QBENDDATE" localSheetId="35">20221231</definedName>
    <definedName name="QBHEADERSONSCREEN" localSheetId="11">FALSE</definedName>
    <definedName name="QBHEADERSONSCREEN" localSheetId="12">FALSE</definedName>
    <definedName name="QBHEADERSONSCREEN" localSheetId="13">FALSE</definedName>
    <definedName name="QBHEADERSONSCREEN" localSheetId="14">FALSE</definedName>
    <definedName name="QBHEADERSONSCREEN" localSheetId="15">FALSE</definedName>
    <definedName name="QBHEADERSONSCREEN" localSheetId="16">FALSE</definedName>
    <definedName name="QBHEADERSONSCREEN" localSheetId="17">FALSE</definedName>
    <definedName name="QBHEADERSONSCREEN" localSheetId="18">FALSE</definedName>
    <definedName name="QBHEADERSONSCREEN" localSheetId="19">FALSE</definedName>
    <definedName name="QBHEADERSONSCREEN" localSheetId="20">FALSE</definedName>
    <definedName name="QBHEADERSONSCREEN" localSheetId="21">FALSE</definedName>
    <definedName name="QBHEADERSONSCREEN" localSheetId="22">FALSE</definedName>
    <definedName name="QBHEADERSONSCREEN" localSheetId="23">FALSE</definedName>
    <definedName name="QBHEADERSONSCREEN" localSheetId="25">FALSE</definedName>
    <definedName name="QBHEADERSONSCREEN" localSheetId="26">FALSE</definedName>
    <definedName name="QBHEADERSONSCREEN" localSheetId="27">FALSE</definedName>
    <definedName name="QBHEADERSONSCREEN" localSheetId="28">FALSE</definedName>
    <definedName name="QBHEADERSONSCREEN" localSheetId="29">FALSE</definedName>
    <definedName name="QBHEADERSONSCREEN" localSheetId="30">FALSE</definedName>
    <definedName name="QBHEADERSONSCREEN" localSheetId="31">FALSE</definedName>
    <definedName name="QBHEADERSONSCREEN" localSheetId="33">FALSE</definedName>
    <definedName name="QBHEADERSONSCREEN" localSheetId="34">FALSE</definedName>
    <definedName name="QBHEADERSONSCREEN" localSheetId="35">FALSE</definedName>
    <definedName name="QBMETADATASIZE" localSheetId="11">7622</definedName>
    <definedName name="QBMETADATASIZE" localSheetId="12">7622</definedName>
    <definedName name="QBMETADATASIZE" localSheetId="13">7622</definedName>
    <definedName name="QBMETADATASIZE" localSheetId="14">7622</definedName>
    <definedName name="QBMETADATASIZE" localSheetId="15">7622</definedName>
    <definedName name="QBMETADATASIZE" localSheetId="16">7622</definedName>
    <definedName name="QBMETADATASIZE" localSheetId="17">7622</definedName>
    <definedName name="QBMETADATASIZE" localSheetId="18">7622</definedName>
    <definedName name="QBMETADATASIZE" localSheetId="19">7622</definedName>
    <definedName name="QBMETADATASIZE" localSheetId="20">7622</definedName>
    <definedName name="QBMETADATASIZE" localSheetId="21">7622</definedName>
    <definedName name="QBMETADATASIZE" localSheetId="22">7622</definedName>
    <definedName name="QBMETADATASIZE" localSheetId="23">7622</definedName>
    <definedName name="QBMETADATASIZE" localSheetId="25">7622</definedName>
    <definedName name="QBMETADATASIZE" localSheetId="26">7622</definedName>
    <definedName name="QBMETADATASIZE" localSheetId="27">7622</definedName>
    <definedName name="QBMETADATASIZE" localSheetId="28">7622</definedName>
    <definedName name="QBMETADATASIZE" localSheetId="29">7622</definedName>
    <definedName name="QBMETADATASIZE" localSheetId="30">7622</definedName>
    <definedName name="QBMETADATASIZE" localSheetId="31">7622</definedName>
    <definedName name="QBMETADATASIZE" localSheetId="33">7622</definedName>
    <definedName name="QBMETADATASIZE" localSheetId="34">7622</definedName>
    <definedName name="QBMETADATASIZE" localSheetId="35">7622</definedName>
    <definedName name="QBPRESERVECOLOR" localSheetId="11">FALSE</definedName>
    <definedName name="QBPRESERVECOLOR" localSheetId="12">FALSE</definedName>
    <definedName name="QBPRESERVECOLOR" localSheetId="13">FALSE</definedName>
    <definedName name="QBPRESERVECOLOR" localSheetId="14">FALSE</definedName>
    <definedName name="QBPRESERVECOLOR" localSheetId="15">FALSE</definedName>
    <definedName name="QBPRESERVECOLOR" localSheetId="16">FALSE</definedName>
    <definedName name="QBPRESERVECOLOR" localSheetId="17">FALSE</definedName>
    <definedName name="QBPRESERVECOLOR" localSheetId="18">FALSE</definedName>
    <definedName name="QBPRESERVECOLOR" localSheetId="19">FALSE</definedName>
    <definedName name="QBPRESERVECOLOR" localSheetId="20">FALSE</definedName>
    <definedName name="QBPRESERVECOLOR" localSheetId="21">FALSE</definedName>
    <definedName name="QBPRESERVECOLOR" localSheetId="22">FALSE</definedName>
    <definedName name="QBPRESERVECOLOR" localSheetId="23">FALSE</definedName>
    <definedName name="QBPRESERVECOLOR" localSheetId="25">FALSE</definedName>
    <definedName name="QBPRESERVECOLOR" localSheetId="26">FALSE</definedName>
    <definedName name="QBPRESERVECOLOR" localSheetId="27">FALSE</definedName>
    <definedName name="QBPRESERVECOLOR" localSheetId="28">FALSE</definedName>
    <definedName name="QBPRESERVECOLOR" localSheetId="29">FALSE</definedName>
    <definedName name="QBPRESERVECOLOR" localSheetId="30">FALSE</definedName>
    <definedName name="QBPRESERVECOLOR" localSheetId="31">FALSE</definedName>
    <definedName name="QBPRESERVECOLOR" localSheetId="33">FALSE</definedName>
    <definedName name="QBPRESERVECOLOR" localSheetId="34">FALSE</definedName>
    <definedName name="QBPRESERVECOLOR" localSheetId="35">FALSE</definedName>
    <definedName name="QBPRESERVEFONT" localSheetId="11">FALSE</definedName>
    <definedName name="QBPRESERVEFONT" localSheetId="12">FALSE</definedName>
    <definedName name="QBPRESERVEFONT" localSheetId="13">FALSE</definedName>
    <definedName name="QBPRESERVEFONT" localSheetId="14">FALSE</definedName>
    <definedName name="QBPRESERVEFONT" localSheetId="15">FALSE</definedName>
    <definedName name="QBPRESERVEFONT" localSheetId="16">FALSE</definedName>
    <definedName name="QBPRESERVEFONT" localSheetId="17">FALSE</definedName>
    <definedName name="QBPRESERVEFONT" localSheetId="18">FALSE</definedName>
    <definedName name="QBPRESERVEFONT" localSheetId="19">FALSE</definedName>
    <definedName name="QBPRESERVEFONT" localSheetId="20">FALSE</definedName>
    <definedName name="QBPRESERVEFONT" localSheetId="21">FALSE</definedName>
    <definedName name="QBPRESERVEFONT" localSheetId="22">FALSE</definedName>
    <definedName name="QBPRESERVEFONT" localSheetId="23">FALSE</definedName>
    <definedName name="QBPRESERVEFONT" localSheetId="25">FALSE</definedName>
    <definedName name="QBPRESERVEFONT" localSheetId="26">FALSE</definedName>
    <definedName name="QBPRESERVEFONT" localSheetId="27">FALSE</definedName>
    <definedName name="QBPRESERVEFONT" localSheetId="28">FALSE</definedName>
    <definedName name="QBPRESERVEFONT" localSheetId="29">FALSE</definedName>
    <definedName name="QBPRESERVEFONT" localSheetId="30">FALSE</definedName>
    <definedName name="QBPRESERVEFONT" localSheetId="31">FALSE</definedName>
    <definedName name="QBPRESERVEFONT" localSheetId="33">FALSE</definedName>
    <definedName name="QBPRESERVEFONT" localSheetId="34">FALSE</definedName>
    <definedName name="QBPRESERVEFONT" localSheetId="35">FALSE</definedName>
    <definedName name="QBPRESERVEROWHEIGHT" localSheetId="11">FALSE</definedName>
    <definedName name="QBPRESERVEROWHEIGHT" localSheetId="12">FALSE</definedName>
    <definedName name="QBPRESERVEROWHEIGHT" localSheetId="13">FALSE</definedName>
    <definedName name="QBPRESERVEROWHEIGHT" localSheetId="14">FALSE</definedName>
    <definedName name="QBPRESERVEROWHEIGHT" localSheetId="15">FALSE</definedName>
    <definedName name="QBPRESERVEROWHEIGHT" localSheetId="16">FALSE</definedName>
    <definedName name="QBPRESERVEROWHEIGHT" localSheetId="17">FALSE</definedName>
    <definedName name="QBPRESERVEROWHEIGHT" localSheetId="18">FALSE</definedName>
    <definedName name="QBPRESERVEROWHEIGHT" localSheetId="19">FALSE</definedName>
    <definedName name="QBPRESERVEROWHEIGHT" localSheetId="20">FALSE</definedName>
    <definedName name="QBPRESERVEROWHEIGHT" localSheetId="21">FALSE</definedName>
    <definedName name="QBPRESERVEROWHEIGHT" localSheetId="22">FALSE</definedName>
    <definedName name="QBPRESERVEROWHEIGHT" localSheetId="23">FALSE</definedName>
    <definedName name="QBPRESERVEROWHEIGHT" localSheetId="25">FALSE</definedName>
    <definedName name="QBPRESERVEROWHEIGHT" localSheetId="26">FALSE</definedName>
    <definedName name="QBPRESERVEROWHEIGHT" localSheetId="27">FALSE</definedName>
    <definedName name="QBPRESERVEROWHEIGHT" localSheetId="28">FALSE</definedName>
    <definedName name="QBPRESERVEROWHEIGHT" localSheetId="29">FALSE</definedName>
    <definedName name="QBPRESERVEROWHEIGHT" localSheetId="30">FALSE</definedName>
    <definedName name="QBPRESERVEROWHEIGHT" localSheetId="31">FALSE</definedName>
    <definedName name="QBPRESERVEROWHEIGHT" localSheetId="33">FALSE</definedName>
    <definedName name="QBPRESERVEROWHEIGHT" localSheetId="34">FALSE</definedName>
    <definedName name="QBPRESERVEROWHEIGHT" localSheetId="35">FALSE</definedName>
    <definedName name="QBPRESERVESPACE" localSheetId="11">FALSE</definedName>
    <definedName name="QBPRESERVESPACE" localSheetId="12">FALSE</definedName>
    <definedName name="QBPRESERVESPACE" localSheetId="13">FALSE</definedName>
    <definedName name="QBPRESERVESPACE" localSheetId="14">FALSE</definedName>
    <definedName name="QBPRESERVESPACE" localSheetId="15">FALSE</definedName>
    <definedName name="QBPRESERVESPACE" localSheetId="16">FALSE</definedName>
    <definedName name="QBPRESERVESPACE" localSheetId="17">FALSE</definedName>
    <definedName name="QBPRESERVESPACE" localSheetId="18">FALSE</definedName>
    <definedName name="QBPRESERVESPACE" localSheetId="19">FALSE</definedName>
    <definedName name="QBPRESERVESPACE" localSheetId="20">FALSE</definedName>
    <definedName name="QBPRESERVESPACE" localSheetId="21">FALSE</definedName>
    <definedName name="QBPRESERVESPACE" localSheetId="22">FALSE</definedName>
    <definedName name="QBPRESERVESPACE" localSheetId="23">FALSE</definedName>
    <definedName name="QBPRESERVESPACE" localSheetId="25">FALSE</definedName>
    <definedName name="QBPRESERVESPACE" localSheetId="26">FALSE</definedName>
    <definedName name="QBPRESERVESPACE" localSheetId="27">FALSE</definedName>
    <definedName name="QBPRESERVESPACE" localSheetId="28">FALSE</definedName>
    <definedName name="QBPRESERVESPACE" localSheetId="29">FALSE</definedName>
    <definedName name="QBPRESERVESPACE" localSheetId="30">FALSE</definedName>
    <definedName name="QBPRESERVESPACE" localSheetId="31">FALSE</definedName>
    <definedName name="QBPRESERVESPACE" localSheetId="33">FALSE</definedName>
    <definedName name="QBPRESERVESPACE" localSheetId="34">FALSE</definedName>
    <definedName name="QBPRESERVESPACE" localSheetId="35">FALSE</definedName>
    <definedName name="QBREPORTCOLAXIS" localSheetId="11">0</definedName>
    <definedName name="QBREPORTCOLAXIS" localSheetId="12">0</definedName>
    <definedName name="QBREPORTCOLAXIS" localSheetId="13">0</definedName>
    <definedName name="QBREPORTCOLAXIS" localSheetId="14">0</definedName>
    <definedName name="QBREPORTCOLAXIS" localSheetId="15">0</definedName>
    <definedName name="QBREPORTCOLAXIS" localSheetId="16">0</definedName>
    <definedName name="QBREPORTCOLAXIS" localSheetId="17">0</definedName>
    <definedName name="QBREPORTCOLAXIS" localSheetId="18">0</definedName>
    <definedName name="QBREPORTCOLAXIS" localSheetId="19">0</definedName>
    <definedName name="QBREPORTCOLAXIS" localSheetId="20">0</definedName>
    <definedName name="QBREPORTCOLAXIS" localSheetId="21">0</definedName>
    <definedName name="QBREPORTCOLAXIS" localSheetId="22">0</definedName>
    <definedName name="QBREPORTCOLAXIS" localSheetId="23">0</definedName>
    <definedName name="QBREPORTCOLAXIS" localSheetId="25">0</definedName>
    <definedName name="QBREPORTCOLAXIS" localSheetId="26">0</definedName>
    <definedName name="QBREPORTCOLAXIS" localSheetId="27">0</definedName>
    <definedName name="QBREPORTCOLAXIS" localSheetId="28">0</definedName>
    <definedName name="QBREPORTCOLAXIS" localSheetId="29">0</definedName>
    <definedName name="QBREPORTCOLAXIS" localSheetId="30">0</definedName>
    <definedName name="QBREPORTCOLAXIS" localSheetId="31">0</definedName>
    <definedName name="QBREPORTCOLAXIS" localSheetId="33">0</definedName>
    <definedName name="QBREPORTCOLAXIS" localSheetId="34">0</definedName>
    <definedName name="QBREPORTCOLAXIS" localSheetId="35">0</definedName>
    <definedName name="QBREPORTCOMPANYID" localSheetId="11">"b08a18a08e4f48359dec696f3262895f"</definedName>
    <definedName name="QBREPORTCOMPANYID" localSheetId="12">"b08a18a08e4f48359dec696f3262895f"</definedName>
    <definedName name="QBREPORTCOMPANYID" localSheetId="13">"b08a18a08e4f48359dec696f3262895f"</definedName>
    <definedName name="QBREPORTCOMPANYID" localSheetId="14">"b08a18a08e4f48359dec696f3262895f"</definedName>
    <definedName name="QBREPORTCOMPANYID" localSheetId="15">"b08a18a08e4f48359dec696f3262895f"</definedName>
    <definedName name="QBREPORTCOMPANYID" localSheetId="16">"b08a18a08e4f48359dec696f3262895f"</definedName>
    <definedName name="QBREPORTCOMPANYID" localSheetId="17">"b08a18a08e4f48359dec696f3262895f"</definedName>
    <definedName name="QBREPORTCOMPANYID" localSheetId="18">"b08a18a08e4f48359dec696f3262895f"</definedName>
    <definedName name="QBREPORTCOMPANYID" localSheetId="19">"b08a18a08e4f48359dec696f3262895f"</definedName>
    <definedName name="QBREPORTCOMPANYID" localSheetId="20">"b08a18a08e4f48359dec696f3262895f"</definedName>
    <definedName name="QBREPORTCOMPANYID" localSheetId="21">"b08a18a08e4f48359dec696f3262895f"</definedName>
    <definedName name="QBREPORTCOMPANYID" localSheetId="22">"b08a18a08e4f48359dec696f3262895f"</definedName>
    <definedName name="QBREPORTCOMPANYID" localSheetId="23">"b08a18a08e4f48359dec696f3262895f"</definedName>
    <definedName name="QBREPORTCOMPANYID" localSheetId="25">"b08a18a08e4f48359dec696f3262895f"</definedName>
    <definedName name="QBREPORTCOMPANYID" localSheetId="26">"b08a18a08e4f48359dec696f3262895f"</definedName>
    <definedName name="QBREPORTCOMPANYID" localSheetId="27">"b08a18a08e4f48359dec696f3262895f"</definedName>
    <definedName name="QBREPORTCOMPANYID" localSheetId="28">"b08a18a08e4f48359dec696f3262895f"</definedName>
    <definedName name="QBREPORTCOMPANYID" localSheetId="29">"b08a18a08e4f48359dec696f3262895f"</definedName>
    <definedName name="QBREPORTCOMPANYID" localSheetId="30">"b08a18a08e4f48359dec696f3262895f"</definedName>
    <definedName name="QBREPORTCOMPANYID" localSheetId="31">"b08a18a08e4f48359dec696f3262895f"</definedName>
    <definedName name="QBREPORTCOMPANYID" localSheetId="33">"b08a18a08e4f48359dec696f3262895f"</definedName>
    <definedName name="QBREPORTCOMPANYID" localSheetId="34">"b08a18a08e4f48359dec696f3262895f"</definedName>
    <definedName name="QBREPORTCOMPANYID" localSheetId="35">"b08a18a08e4f48359dec696f3262895f"</definedName>
    <definedName name="QBREPORTCOMPARECOL_ANNUALBUDGET" localSheetId="11">FALSE</definedName>
    <definedName name="QBREPORTCOMPARECOL_ANNUALBUDGET" localSheetId="12">FALSE</definedName>
    <definedName name="QBREPORTCOMPARECOL_ANNUALBUDGET" localSheetId="13">FALSE</definedName>
    <definedName name="QBREPORTCOMPARECOL_ANNUALBUDGET" localSheetId="14">FALSE</definedName>
    <definedName name="QBREPORTCOMPARECOL_ANNUALBUDGET" localSheetId="15">FALSE</definedName>
    <definedName name="QBREPORTCOMPARECOL_ANNUALBUDGET" localSheetId="16">FALSE</definedName>
    <definedName name="QBREPORTCOMPARECOL_ANNUALBUDGET" localSheetId="17">FALSE</definedName>
    <definedName name="QBREPORTCOMPARECOL_ANNUALBUDGET" localSheetId="18">FALSE</definedName>
    <definedName name="QBREPORTCOMPARECOL_ANNUALBUDGET" localSheetId="19">FALSE</definedName>
    <definedName name="QBREPORTCOMPARECOL_ANNUALBUDGET" localSheetId="20">FALSE</definedName>
    <definedName name="QBREPORTCOMPARECOL_ANNUALBUDGET" localSheetId="21">FALSE</definedName>
    <definedName name="QBREPORTCOMPARECOL_ANNUALBUDGET" localSheetId="22">FALSE</definedName>
    <definedName name="QBREPORTCOMPARECOL_ANNUALBUDGET" localSheetId="23">FALSE</definedName>
    <definedName name="QBREPORTCOMPARECOL_ANNUALBUDGET" localSheetId="25">FALSE</definedName>
    <definedName name="QBREPORTCOMPARECOL_ANNUALBUDGET" localSheetId="26">FALSE</definedName>
    <definedName name="QBREPORTCOMPARECOL_ANNUALBUDGET" localSheetId="27">FALSE</definedName>
    <definedName name="QBREPORTCOMPARECOL_ANNUALBUDGET" localSheetId="28">FALSE</definedName>
    <definedName name="QBREPORTCOMPARECOL_ANNUALBUDGET" localSheetId="29">FALSE</definedName>
    <definedName name="QBREPORTCOMPARECOL_ANNUALBUDGET" localSheetId="30">FALSE</definedName>
    <definedName name="QBREPORTCOMPARECOL_ANNUALBUDGET" localSheetId="31">FALSE</definedName>
    <definedName name="QBREPORTCOMPARECOL_ANNUALBUDGET" localSheetId="33">FALSE</definedName>
    <definedName name="QBREPORTCOMPARECOL_ANNUALBUDGET" localSheetId="34">FALSE</definedName>
    <definedName name="QBREPORTCOMPARECOL_ANNUALBUDGET" localSheetId="35">FALSE</definedName>
    <definedName name="QBREPORTCOMPARECOL_AVGCOGS" localSheetId="11">FALSE</definedName>
    <definedName name="QBREPORTCOMPARECOL_AVGCOGS" localSheetId="12">FALSE</definedName>
    <definedName name="QBREPORTCOMPARECOL_AVGCOGS" localSheetId="13">FALSE</definedName>
    <definedName name="QBREPORTCOMPARECOL_AVGCOGS" localSheetId="14">FALSE</definedName>
    <definedName name="QBREPORTCOMPARECOL_AVGCOGS" localSheetId="15">FALSE</definedName>
    <definedName name="QBREPORTCOMPARECOL_AVGCOGS" localSheetId="16">FALSE</definedName>
    <definedName name="QBREPORTCOMPARECOL_AVGCOGS" localSheetId="17">FALSE</definedName>
    <definedName name="QBREPORTCOMPARECOL_AVGCOGS" localSheetId="18">FALSE</definedName>
    <definedName name="QBREPORTCOMPARECOL_AVGCOGS" localSheetId="19">FALSE</definedName>
    <definedName name="QBREPORTCOMPARECOL_AVGCOGS" localSheetId="20">FALSE</definedName>
    <definedName name="QBREPORTCOMPARECOL_AVGCOGS" localSheetId="21">FALSE</definedName>
    <definedName name="QBREPORTCOMPARECOL_AVGCOGS" localSheetId="22">FALSE</definedName>
    <definedName name="QBREPORTCOMPARECOL_AVGCOGS" localSheetId="23">FALSE</definedName>
    <definedName name="QBREPORTCOMPARECOL_AVGCOGS" localSheetId="25">FALSE</definedName>
    <definedName name="QBREPORTCOMPARECOL_AVGCOGS" localSheetId="26">FALSE</definedName>
    <definedName name="QBREPORTCOMPARECOL_AVGCOGS" localSheetId="27">FALSE</definedName>
    <definedName name="QBREPORTCOMPARECOL_AVGCOGS" localSheetId="28">FALSE</definedName>
    <definedName name="QBREPORTCOMPARECOL_AVGCOGS" localSheetId="29">FALSE</definedName>
    <definedName name="QBREPORTCOMPARECOL_AVGCOGS" localSheetId="30">FALSE</definedName>
    <definedName name="QBREPORTCOMPARECOL_AVGCOGS" localSheetId="31">FALSE</definedName>
    <definedName name="QBREPORTCOMPARECOL_AVGCOGS" localSheetId="33">FALSE</definedName>
    <definedName name="QBREPORTCOMPARECOL_AVGCOGS" localSheetId="34">FALSE</definedName>
    <definedName name="QBREPORTCOMPARECOL_AVGCOGS" localSheetId="35">FALSE</definedName>
    <definedName name="QBREPORTCOMPARECOL_AVGPRICE" localSheetId="11">FALSE</definedName>
    <definedName name="QBREPORTCOMPARECOL_AVGPRICE" localSheetId="12">FALSE</definedName>
    <definedName name="QBREPORTCOMPARECOL_AVGPRICE" localSheetId="13">FALSE</definedName>
    <definedName name="QBREPORTCOMPARECOL_AVGPRICE" localSheetId="14">FALSE</definedName>
    <definedName name="QBREPORTCOMPARECOL_AVGPRICE" localSheetId="15">FALSE</definedName>
    <definedName name="QBREPORTCOMPARECOL_AVGPRICE" localSheetId="16">FALSE</definedName>
    <definedName name="QBREPORTCOMPARECOL_AVGPRICE" localSheetId="17">FALSE</definedName>
    <definedName name="QBREPORTCOMPARECOL_AVGPRICE" localSheetId="18">FALSE</definedName>
    <definedName name="QBREPORTCOMPARECOL_AVGPRICE" localSheetId="19">FALSE</definedName>
    <definedName name="QBREPORTCOMPARECOL_AVGPRICE" localSheetId="20">FALSE</definedName>
    <definedName name="QBREPORTCOMPARECOL_AVGPRICE" localSheetId="21">FALSE</definedName>
    <definedName name="QBREPORTCOMPARECOL_AVGPRICE" localSheetId="22">FALSE</definedName>
    <definedName name="QBREPORTCOMPARECOL_AVGPRICE" localSheetId="23">FALSE</definedName>
    <definedName name="QBREPORTCOMPARECOL_AVGPRICE" localSheetId="25">FALSE</definedName>
    <definedName name="QBREPORTCOMPARECOL_AVGPRICE" localSheetId="26">FALSE</definedName>
    <definedName name="QBREPORTCOMPARECOL_AVGPRICE" localSheetId="27">FALSE</definedName>
    <definedName name="QBREPORTCOMPARECOL_AVGPRICE" localSheetId="28">FALSE</definedName>
    <definedName name="QBREPORTCOMPARECOL_AVGPRICE" localSheetId="29">FALSE</definedName>
    <definedName name="QBREPORTCOMPARECOL_AVGPRICE" localSheetId="30">FALSE</definedName>
    <definedName name="QBREPORTCOMPARECOL_AVGPRICE" localSheetId="31">FALSE</definedName>
    <definedName name="QBREPORTCOMPARECOL_AVGPRICE" localSheetId="33">FALSE</definedName>
    <definedName name="QBREPORTCOMPARECOL_AVGPRICE" localSheetId="34">FALSE</definedName>
    <definedName name="QBREPORTCOMPARECOL_AVGPRICE" localSheetId="35">FALSE</definedName>
    <definedName name="QBREPORTCOMPARECOL_BUDDIFF" localSheetId="11">FALSE</definedName>
    <definedName name="QBREPORTCOMPARECOL_BUDDIFF" localSheetId="12">FALSE</definedName>
    <definedName name="QBREPORTCOMPARECOL_BUDDIFF" localSheetId="13">FALSE</definedName>
    <definedName name="QBREPORTCOMPARECOL_BUDDIFF" localSheetId="14">FALSE</definedName>
    <definedName name="QBREPORTCOMPARECOL_BUDDIFF" localSheetId="15">FALSE</definedName>
    <definedName name="QBREPORTCOMPARECOL_BUDDIFF" localSheetId="16">FALSE</definedName>
    <definedName name="QBREPORTCOMPARECOL_BUDDIFF" localSheetId="17">FALSE</definedName>
    <definedName name="QBREPORTCOMPARECOL_BUDDIFF" localSheetId="18">FALSE</definedName>
    <definedName name="QBREPORTCOMPARECOL_BUDDIFF" localSheetId="19">FALSE</definedName>
    <definedName name="QBREPORTCOMPARECOL_BUDDIFF" localSheetId="20">FALSE</definedName>
    <definedName name="QBREPORTCOMPARECOL_BUDDIFF" localSheetId="21">FALSE</definedName>
    <definedName name="QBREPORTCOMPARECOL_BUDDIFF" localSheetId="22">FALSE</definedName>
    <definedName name="QBREPORTCOMPARECOL_BUDDIFF" localSheetId="23">FALSE</definedName>
    <definedName name="QBREPORTCOMPARECOL_BUDDIFF" localSheetId="25">FALSE</definedName>
    <definedName name="QBREPORTCOMPARECOL_BUDDIFF" localSheetId="26">FALSE</definedName>
    <definedName name="QBREPORTCOMPARECOL_BUDDIFF" localSheetId="27">FALSE</definedName>
    <definedName name="QBREPORTCOMPARECOL_BUDDIFF" localSheetId="28">FALSE</definedName>
    <definedName name="QBREPORTCOMPARECOL_BUDDIFF" localSheetId="29">FALSE</definedName>
    <definedName name="QBREPORTCOMPARECOL_BUDDIFF" localSheetId="30">FALSE</definedName>
    <definedName name="QBREPORTCOMPARECOL_BUDDIFF" localSheetId="31">FALSE</definedName>
    <definedName name="QBREPORTCOMPARECOL_BUDDIFF" localSheetId="33">FALSE</definedName>
    <definedName name="QBREPORTCOMPARECOL_BUDDIFF" localSheetId="34">FALSE</definedName>
    <definedName name="QBREPORTCOMPARECOL_BUDDIFF" localSheetId="35">FALSE</definedName>
    <definedName name="QBREPORTCOMPARECOL_BUDGET" localSheetId="11">FALSE</definedName>
    <definedName name="QBREPORTCOMPARECOL_BUDGET" localSheetId="12">FALSE</definedName>
    <definedName name="QBREPORTCOMPARECOL_BUDGET" localSheetId="13">FALSE</definedName>
    <definedName name="QBREPORTCOMPARECOL_BUDGET" localSheetId="14">FALSE</definedName>
    <definedName name="QBREPORTCOMPARECOL_BUDGET" localSheetId="15">FALSE</definedName>
    <definedName name="QBREPORTCOMPARECOL_BUDGET" localSheetId="16">FALSE</definedName>
    <definedName name="QBREPORTCOMPARECOL_BUDGET" localSheetId="17">FALSE</definedName>
    <definedName name="QBREPORTCOMPARECOL_BUDGET" localSheetId="18">FALSE</definedName>
    <definedName name="QBREPORTCOMPARECOL_BUDGET" localSheetId="19">FALSE</definedName>
    <definedName name="QBREPORTCOMPARECOL_BUDGET" localSheetId="20">FALSE</definedName>
    <definedName name="QBREPORTCOMPARECOL_BUDGET" localSheetId="21">FALSE</definedName>
    <definedName name="QBREPORTCOMPARECOL_BUDGET" localSheetId="22">FALSE</definedName>
    <definedName name="QBREPORTCOMPARECOL_BUDGET" localSheetId="23">FALSE</definedName>
    <definedName name="QBREPORTCOMPARECOL_BUDGET" localSheetId="25">FALSE</definedName>
    <definedName name="QBREPORTCOMPARECOL_BUDGET" localSheetId="26">FALSE</definedName>
    <definedName name="QBREPORTCOMPARECOL_BUDGET" localSheetId="27">FALSE</definedName>
    <definedName name="QBREPORTCOMPARECOL_BUDGET" localSheetId="28">FALSE</definedName>
    <definedName name="QBREPORTCOMPARECOL_BUDGET" localSheetId="29">FALSE</definedName>
    <definedName name="QBREPORTCOMPARECOL_BUDGET" localSheetId="30">FALSE</definedName>
    <definedName name="QBREPORTCOMPARECOL_BUDGET" localSheetId="31">FALSE</definedName>
    <definedName name="QBREPORTCOMPARECOL_BUDGET" localSheetId="33">FALSE</definedName>
    <definedName name="QBREPORTCOMPARECOL_BUDGET" localSheetId="34">FALSE</definedName>
    <definedName name="QBREPORTCOMPARECOL_BUDGET" localSheetId="35">FALSE</definedName>
    <definedName name="QBREPORTCOMPARECOL_BUDPCT" localSheetId="11">FALSE</definedName>
    <definedName name="QBREPORTCOMPARECOL_BUDPCT" localSheetId="12">FALSE</definedName>
    <definedName name="QBREPORTCOMPARECOL_BUDPCT" localSheetId="13">FALSE</definedName>
    <definedName name="QBREPORTCOMPARECOL_BUDPCT" localSheetId="14">FALSE</definedName>
    <definedName name="QBREPORTCOMPARECOL_BUDPCT" localSheetId="15">FALSE</definedName>
    <definedName name="QBREPORTCOMPARECOL_BUDPCT" localSheetId="16">FALSE</definedName>
    <definedName name="QBREPORTCOMPARECOL_BUDPCT" localSheetId="17">FALSE</definedName>
    <definedName name="QBREPORTCOMPARECOL_BUDPCT" localSheetId="18">FALSE</definedName>
    <definedName name="QBREPORTCOMPARECOL_BUDPCT" localSheetId="19">FALSE</definedName>
    <definedName name="QBREPORTCOMPARECOL_BUDPCT" localSheetId="20">FALSE</definedName>
    <definedName name="QBREPORTCOMPARECOL_BUDPCT" localSheetId="21">FALSE</definedName>
    <definedName name="QBREPORTCOMPARECOL_BUDPCT" localSheetId="22">FALSE</definedName>
    <definedName name="QBREPORTCOMPARECOL_BUDPCT" localSheetId="23">FALSE</definedName>
    <definedName name="QBREPORTCOMPARECOL_BUDPCT" localSheetId="25">FALSE</definedName>
    <definedName name="QBREPORTCOMPARECOL_BUDPCT" localSheetId="26">FALSE</definedName>
    <definedName name="QBREPORTCOMPARECOL_BUDPCT" localSheetId="27">FALSE</definedName>
    <definedName name="QBREPORTCOMPARECOL_BUDPCT" localSheetId="28">FALSE</definedName>
    <definedName name="QBREPORTCOMPARECOL_BUDPCT" localSheetId="29">FALSE</definedName>
    <definedName name="QBREPORTCOMPARECOL_BUDPCT" localSheetId="30">FALSE</definedName>
    <definedName name="QBREPORTCOMPARECOL_BUDPCT" localSheetId="31">FALSE</definedName>
    <definedName name="QBREPORTCOMPARECOL_BUDPCT" localSheetId="33">FALSE</definedName>
    <definedName name="QBREPORTCOMPARECOL_BUDPCT" localSheetId="34">FALSE</definedName>
    <definedName name="QBREPORTCOMPARECOL_BUDPCT" localSheetId="35">FALSE</definedName>
    <definedName name="QBREPORTCOMPARECOL_COGS" localSheetId="11">FALSE</definedName>
    <definedName name="QBREPORTCOMPARECOL_COGS" localSheetId="12">FALSE</definedName>
    <definedName name="QBREPORTCOMPARECOL_COGS" localSheetId="13">FALSE</definedName>
    <definedName name="QBREPORTCOMPARECOL_COGS" localSheetId="14">FALSE</definedName>
    <definedName name="QBREPORTCOMPARECOL_COGS" localSheetId="15">FALSE</definedName>
    <definedName name="QBREPORTCOMPARECOL_COGS" localSheetId="16">FALSE</definedName>
    <definedName name="QBREPORTCOMPARECOL_COGS" localSheetId="17">FALSE</definedName>
    <definedName name="QBREPORTCOMPARECOL_COGS" localSheetId="18">FALSE</definedName>
    <definedName name="QBREPORTCOMPARECOL_COGS" localSheetId="19">FALSE</definedName>
    <definedName name="QBREPORTCOMPARECOL_COGS" localSheetId="20">FALSE</definedName>
    <definedName name="QBREPORTCOMPARECOL_COGS" localSheetId="21">FALSE</definedName>
    <definedName name="QBREPORTCOMPARECOL_COGS" localSheetId="22">FALSE</definedName>
    <definedName name="QBREPORTCOMPARECOL_COGS" localSheetId="23">FALSE</definedName>
    <definedName name="QBREPORTCOMPARECOL_COGS" localSheetId="25">FALSE</definedName>
    <definedName name="QBREPORTCOMPARECOL_COGS" localSheetId="26">FALSE</definedName>
    <definedName name="QBREPORTCOMPARECOL_COGS" localSheetId="27">FALSE</definedName>
    <definedName name="QBREPORTCOMPARECOL_COGS" localSheetId="28">FALSE</definedName>
    <definedName name="QBREPORTCOMPARECOL_COGS" localSheetId="29">FALSE</definedName>
    <definedName name="QBREPORTCOMPARECOL_COGS" localSheetId="30">FALSE</definedName>
    <definedName name="QBREPORTCOMPARECOL_COGS" localSheetId="31">FALSE</definedName>
    <definedName name="QBREPORTCOMPARECOL_COGS" localSheetId="33">FALSE</definedName>
    <definedName name="QBREPORTCOMPARECOL_COGS" localSheetId="34">FALSE</definedName>
    <definedName name="QBREPORTCOMPARECOL_COGS" localSheetId="35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3">FALSE</definedName>
    <definedName name="QBREPORTCOMPARECOL_EXCLUDEAMOUNT" localSheetId="14">FALSE</definedName>
    <definedName name="QBREPORTCOMPARECOL_EXCLUDEAMOUNT" localSheetId="15">FALSE</definedName>
    <definedName name="QBREPORTCOMPARECOL_EXCLUDEAMOUNT" localSheetId="16">FALSE</definedName>
    <definedName name="QBREPORTCOMPARECOL_EXCLUDEAMOUNT" localSheetId="17">FALSE</definedName>
    <definedName name="QBREPORTCOMPARECOL_EXCLUDEAMOUNT" localSheetId="18">FALSE</definedName>
    <definedName name="QBREPORTCOMPARECOL_EXCLUDEAMOUNT" localSheetId="19">FALSE</definedName>
    <definedName name="QBREPORTCOMPARECOL_EXCLUDEAMOUNT" localSheetId="20">FALSE</definedName>
    <definedName name="QBREPORTCOMPARECOL_EXCLUDEAMOUNT" localSheetId="21">FALSE</definedName>
    <definedName name="QBREPORTCOMPARECOL_EXCLUDEAMOUNT" localSheetId="22">FALSE</definedName>
    <definedName name="QBREPORTCOMPARECOL_EXCLUDEAMOUNT" localSheetId="23">FALSE</definedName>
    <definedName name="QBREPORTCOMPARECOL_EXCLUDEAMOUNT" localSheetId="25">FALSE</definedName>
    <definedName name="QBREPORTCOMPARECOL_EXCLUDEAMOUNT" localSheetId="26">FALSE</definedName>
    <definedName name="QBREPORTCOMPARECOL_EXCLUDEAMOUNT" localSheetId="27">FALSE</definedName>
    <definedName name="QBREPORTCOMPARECOL_EXCLUDEAMOUNT" localSheetId="28">FALSE</definedName>
    <definedName name="QBREPORTCOMPARECOL_EXCLUDEAMOUNT" localSheetId="29">FALSE</definedName>
    <definedName name="QBREPORTCOMPARECOL_EXCLUDEAMOUNT" localSheetId="30">FALSE</definedName>
    <definedName name="QBREPORTCOMPARECOL_EXCLUDEAMOUNT" localSheetId="31">FALSE</definedName>
    <definedName name="QBREPORTCOMPARECOL_EXCLUDEAMOUNT" localSheetId="33">FALSE</definedName>
    <definedName name="QBREPORTCOMPARECOL_EXCLUDEAMOUNT" localSheetId="34">FALSE</definedName>
    <definedName name="QBREPORTCOMPARECOL_EXCLUDEAMOUNT" localSheetId="35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3">FALSE</definedName>
    <definedName name="QBREPORTCOMPARECOL_EXCLUDECURPERIOD" localSheetId="14">FALSE</definedName>
    <definedName name="QBREPORTCOMPARECOL_EXCLUDECURPERIOD" localSheetId="15">FALSE</definedName>
    <definedName name="QBREPORTCOMPARECOL_EXCLUDECURPERIOD" localSheetId="16">FALSE</definedName>
    <definedName name="QBREPORTCOMPARECOL_EXCLUDECURPERIOD" localSheetId="17">FALSE</definedName>
    <definedName name="QBREPORTCOMPARECOL_EXCLUDECURPERIOD" localSheetId="18">FALSE</definedName>
    <definedName name="QBREPORTCOMPARECOL_EXCLUDECURPERIOD" localSheetId="19">FALSE</definedName>
    <definedName name="QBREPORTCOMPARECOL_EXCLUDECURPERIOD" localSheetId="20">FALSE</definedName>
    <definedName name="QBREPORTCOMPARECOL_EXCLUDECURPERIOD" localSheetId="21">FALSE</definedName>
    <definedName name="QBREPORTCOMPARECOL_EXCLUDECURPERIOD" localSheetId="22">FALSE</definedName>
    <definedName name="QBREPORTCOMPARECOL_EXCLUDECURPERIOD" localSheetId="23">FALSE</definedName>
    <definedName name="QBREPORTCOMPARECOL_EXCLUDECURPERIOD" localSheetId="25">FALSE</definedName>
    <definedName name="QBREPORTCOMPARECOL_EXCLUDECURPERIOD" localSheetId="26">FALSE</definedName>
    <definedName name="QBREPORTCOMPARECOL_EXCLUDECURPERIOD" localSheetId="27">FALSE</definedName>
    <definedName name="QBREPORTCOMPARECOL_EXCLUDECURPERIOD" localSheetId="28">FALSE</definedName>
    <definedName name="QBREPORTCOMPARECOL_EXCLUDECURPERIOD" localSheetId="29">FALSE</definedName>
    <definedName name="QBREPORTCOMPARECOL_EXCLUDECURPERIOD" localSheetId="30">FALSE</definedName>
    <definedName name="QBREPORTCOMPARECOL_EXCLUDECURPERIOD" localSheetId="31">FALSE</definedName>
    <definedName name="QBREPORTCOMPARECOL_EXCLUDECURPERIOD" localSheetId="33">FALSE</definedName>
    <definedName name="QBREPORTCOMPARECOL_EXCLUDECURPERIOD" localSheetId="34">FALSE</definedName>
    <definedName name="QBREPORTCOMPARECOL_EXCLUDECURPERIOD" localSheetId="35">FALSE</definedName>
    <definedName name="QBREPORTCOMPARECOL_FORECAST" localSheetId="11">FALSE</definedName>
    <definedName name="QBREPORTCOMPARECOL_FORECAST" localSheetId="12">FALSE</definedName>
    <definedName name="QBREPORTCOMPARECOL_FORECAST" localSheetId="13">FALSE</definedName>
    <definedName name="QBREPORTCOMPARECOL_FORECAST" localSheetId="14">FALSE</definedName>
    <definedName name="QBREPORTCOMPARECOL_FORECAST" localSheetId="15">FALSE</definedName>
    <definedName name="QBREPORTCOMPARECOL_FORECAST" localSheetId="16">FALSE</definedName>
    <definedName name="QBREPORTCOMPARECOL_FORECAST" localSheetId="17">FALSE</definedName>
    <definedName name="QBREPORTCOMPARECOL_FORECAST" localSheetId="18">FALSE</definedName>
    <definedName name="QBREPORTCOMPARECOL_FORECAST" localSheetId="19">FALSE</definedName>
    <definedName name="QBREPORTCOMPARECOL_FORECAST" localSheetId="20">FALSE</definedName>
    <definedName name="QBREPORTCOMPARECOL_FORECAST" localSheetId="21">FALSE</definedName>
    <definedName name="QBREPORTCOMPARECOL_FORECAST" localSheetId="22">FALSE</definedName>
    <definedName name="QBREPORTCOMPARECOL_FORECAST" localSheetId="23">FALSE</definedName>
    <definedName name="QBREPORTCOMPARECOL_FORECAST" localSheetId="25">FALSE</definedName>
    <definedName name="QBREPORTCOMPARECOL_FORECAST" localSheetId="26">FALSE</definedName>
    <definedName name="QBREPORTCOMPARECOL_FORECAST" localSheetId="27">FALSE</definedName>
    <definedName name="QBREPORTCOMPARECOL_FORECAST" localSheetId="28">FALSE</definedName>
    <definedName name="QBREPORTCOMPARECOL_FORECAST" localSheetId="29">FALSE</definedName>
    <definedName name="QBREPORTCOMPARECOL_FORECAST" localSheetId="30">FALSE</definedName>
    <definedName name="QBREPORTCOMPARECOL_FORECAST" localSheetId="31">FALSE</definedName>
    <definedName name="QBREPORTCOMPARECOL_FORECAST" localSheetId="33">FALSE</definedName>
    <definedName name="QBREPORTCOMPARECOL_FORECAST" localSheetId="34">FALSE</definedName>
    <definedName name="QBREPORTCOMPARECOL_FORECAST" localSheetId="35">FALSE</definedName>
    <definedName name="QBREPORTCOMPARECOL_GROSSMARGIN" localSheetId="11">FALSE</definedName>
    <definedName name="QBREPORTCOMPARECOL_GROSSMARGIN" localSheetId="12">FALSE</definedName>
    <definedName name="QBREPORTCOMPARECOL_GROSSMARGIN" localSheetId="13">FALSE</definedName>
    <definedName name="QBREPORTCOMPARECOL_GROSSMARGIN" localSheetId="14">FALSE</definedName>
    <definedName name="QBREPORTCOMPARECOL_GROSSMARGIN" localSheetId="15">FALSE</definedName>
    <definedName name="QBREPORTCOMPARECOL_GROSSMARGIN" localSheetId="16">FALSE</definedName>
    <definedName name="QBREPORTCOMPARECOL_GROSSMARGIN" localSheetId="17">FALSE</definedName>
    <definedName name="QBREPORTCOMPARECOL_GROSSMARGIN" localSheetId="18">FALSE</definedName>
    <definedName name="QBREPORTCOMPARECOL_GROSSMARGIN" localSheetId="19">FALSE</definedName>
    <definedName name="QBREPORTCOMPARECOL_GROSSMARGIN" localSheetId="20">FALSE</definedName>
    <definedName name="QBREPORTCOMPARECOL_GROSSMARGIN" localSheetId="21">FALSE</definedName>
    <definedName name="QBREPORTCOMPARECOL_GROSSMARGIN" localSheetId="22">FALSE</definedName>
    <definedName name="QBREPORTCOMPARECOL_GROSSMARGIN" localSheetId="23">FALSE</definedName>
    <definedName name="QBREPORTCOMPARECOL_GROSSMARGIN" localSheetId="25">FALSE</definedName>
    <definedName name="QBREPORTCOMPARECOL_GROSSMARGIN" localSheetId="26">FALSE</definedName>
    <definedName name="QBREPORTCOMPARECOL_GROSSMARGIN" localSheetId="27">FALSE</definedName>
    <definedName name="QBREPORTCOMPARECOL_GROSSMARGIN" localSheetId="28">FALSE</definedName>
    <definedName name="QBREPORTCOMPARECOL_GROSSMARGIN" localSheetId="29">FALSE</definedName>
    <definedName name="QBREPORTCOMPARECOL_GROSSMARGIN" localSheetId="30">FALSE</definedName>
    <definedName name="QBREPORTCOMPARECOL_GROSSMARGIN" localSheetId="31">FALSE</definedName>
    <definedName name="QBREPORTCOMPARECOL_GROSSMARGIN" localSheetId="33">FALSE</definedName>
    <definedName name="QBREPORTCOMPARECOL_GROSSMARGIN" localSheetId="34">FALSE</definedName>
    <definedName name="QBREPORTCOMPARECOL_GROSSMARGIN" localSheetId="35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3">FALSE</definedName>
    <definedName name="QBREPORTCOMPARECOL_GROSSMARGINPCT" localSheetId="14">FALSE</definedName>
    <definedName name="QBREPORTCOMPARECOL_GROSSMARGINPCT" localSheetId="15">FALSE</definedName>
    <definedName name="QBREPORTCOMPARECOL_GROSSMARGINPCT" localSheetId="16">FALSE</definedName>
    <definedName name="QBREPORTCOMPARECOL_GROSSMARGINPCT" localSheetId="17">FALSE</definedName>
    <definedName name="QBREPORTCOMPARECOL_GROSSMARGINPCT" localSheetId="18">FALSE</definedName>
    <definedName name="QBREPORTCOMPARECOL_GROSSMARGINPCT" localSheetId="19">FALSE</definedName>
    <definedName name="QBREPORTCOMPARECOL_GROSSMARGINPCT" localSheetId="20">FALSE</definedName>
    <definedName name="QBREPORTCOMPARECOL_GROSSMARGINPCT" localSheetId="21">FALSE</definedName>
    <definedName name="QBREPORTCOMPARECOL_GROSSMARGINPCT" localSheetId="22">FALSE</definedName>
    <definedName name="QBREPORTCOMPARECOL_GROSSMARGINPCT" localSheetId="23">FALSE</definedName>
    <definedName name="QBREPORTCOMPARECOL_GROSSMARGINPCT" localSheetId="25">FALSE</definedName>
    <definedName name="QBREPORTCOMPARECOL_GROSSMARGINPCT" localSheetId="26">FALSE</definedName>
    <definedName name="QBREPORTCOMPARECOL_GROSSMARGINPCT" localSheetId="27">FALSE</definedName>
    <definedName name="QBREPORTCOMPARECOL_GROSSMARGINPCT" localSheetId="28">FALSE</definedName>
    <definedName name="QBREPORTCOMPARECOL_GROSSMARGINPCT" localSheetId="29">FALSE</definedName>
    <definedName name="QBREPORTCOMPARECOL_GROSSMARGINPCT" localSheetId="30">FALSE</definedName>
    <definedName name="QBREPORTCOMPARECOL_GROSSMARGINPCT" localSheetId="31">FALSE</definedName>
    <definedName name="QBREPORTCOMPARECOL_GROSSMARGINPCT" localSheetId="33">FALSE</definedName>
    <definedName name="QBREPORTCOMPARECOL_GROSSMARGINPCT" localSheetId="34">FALSE</definedName>
    <definedName name="QBREPORTCOMPARECOL_GROSSMARGINPCT" localSheetId="35">FALSE</definedName>
    <definedName name="QBREPORTCOMPARECOL_HOURS" localSheetId="11">FALSE</definedName>
    <definedName name="QBREPORTCOMPARECOL_HOURS" localSheetId="12">FALSE</definedName>
    <definedName name="QBREPORTCOMPARECOL_HOURS" localSheetId="13">FALSE</definedName>
    <definedName name="QBREPORTCOMPARECOL_HOURS" localSheetId="14">FALSE</definedName>
    <definedName name="QBREPORTCOMPARECOL_HOURS" localSheetId="15">FALSE</definedName>
    <definedName name="QBREPORTCOMPARECOL_HOURS" localSheetId="16">FALSE</definedName>
    <definedName name="QBREPORTCOMPARECOL_HOURS" localSheetId="17">FALSE</definedName>
    <definedName name="QBREPORTCOMPARECOL_HOURS" localSheetId="18">FALSE</definedName>
    <definedName name="QBREPORTCOMPARECOL_HOURS" localSheetId="19">FALSE</definedName>
    <definedName name="QBREPORTCOMPARECOL_HOURS" localSheetId="20">FALSE</definedName>
    <definedName name="QBREPORTCOMPARECOL_HOURS" localSheetId="21">FALSE</definedName>
    <definedName name="QBREPORTCOMPARECOL_HOURS" localSheetId="22">FALSE</definedName>
    <definedName name="QBREPORTCOMPARECOL_HOURS" localSheetId="23">FALSE</definedName>
    <definedName name="QBREPORTCOMPARECOL_HOURS" localSheetId="25">FALSE</definedName>
    <definedName name="QBREPORTCOMPARECOL_HOURS" localSheetId="26">FALSE</definedName>
    <definedName name="QBREPORTCOMPARECOL_HOURS" localSheetId="27">FALSE</definedName>
    <definedName name="QBREPORTCOMPARECOL_HOURS" localSheetId="28">FALSE</definedName>
    <definedName name="QBREPORTCOMPARECOL_HOURS" localSheetId="29">FALSE</definedName>
    <definedName name="QBREPORTCOMPARECOL_HOURS" localSheetId="30">FALSE</definedName>
    <definedName name="QBREPORTCOMPARECOL_HOURS" localSheetId="31">FALSE</definedName>
    <definedName name="QBREPORTCOMPARECOL_HOURS" localSheetId="33">FALSE</definedName>
    <definedName name="QBREPORTCOMPARECOL_HOURS" localSheetId="34">FALSE</definedName>
    <definedName name="QBREPORTCOMPARECOL_HOURS" localSheetId="35">FALSE</definedName>
    <definedName name="QBREPORTCOMPARECOL_PCTCOL" localSheetId="11">FALSE</definedName>
    <definedName name="QBREPORTCOMPARECOL_PCTCOL" localSheetId="12">FALSE</definedName>
    <definedName name="QBREPORTCOMPARECOL_PCTCOL" localSheetId="13">FALSE</definedName>
    <definedName name="QBREPORTCOMPARECOL_PCTCOL" localSheetId="14">FALSE</definedName>
    <definedName name="QBREPORTCOMPARECOL_PCTCOL" localSheetId="15">FALSE</definedName>
    <definedName name="QBREPORTCOMPARECOL_PCTCOL" localSheetId="16">FALSE</definedName>
    <definedName name="QBREPORTCOMPARECOL_PCTCOL" localSheetId="17">FALSE</definedName>
    <definedName name="QBREPORTCOMPARECOL_PCTCOL" localSheetId="18">FALSE</definedName>
    <definedName name="QBREPORTCOMPARECOL_PCTCOL" localSheetId="19">FALSE</definedName>
    <definedName name="QBREPORTCOMPARECOL_PCTCOL" localSheetId="20">FALSE</definedName>
    <definedName name="QBREPORTCOMPARECOL_PCTCOL" localSheetId="21">FALSE</definedName>
    <definedName name="QBREPORTCOMPARECOL_PCTCOL" localSheetId="22">FALSE</definedName>
    <definedName name="QBREPORTCOMPARECOL_PCTCOL" localSheetId="23">FALSE</definedName>
    <definedName name="QBREPORTCOMPARECOL_PCTCOL" localSheetId="25">FALSE</definedName>
    <definedName name="QBREPORTCOMPARECOL_PCTCOL" localSheetId="26">FALSE</definedName>
    <definedName name="QBREPORTCOMPARECOL_PCTCOL" localSheetId="27">FALSE</definedName>
    <definedName name="QBREPORTCOMPARECOL_PCTCOL" localSheetId="28">FALSE</definedName>
    <definedName name="QBREPORTCOMPARECOL_PCTCOL" localSheetId="29">FALSE</definedName>
    <definedName name="QBREPORTCOMPARECOL_PCTCOL" localSheetId="30">FALSE</definedName>
    <definedName name="QBREPORTCOMPARECOL_PCTCOL" localSheetId="31">FALSE</definedName>
    <definedName name="QBREPORTCOMPARECOL_PCTCOL" localSheetId="33">FALSE</definedName>
    <definedName name="QBREPORTCOMPARECOL_PCTCOL" localSheetId="34">FALSE</definedName>
    <definedName name="QBREPORTCOMPARECOL_PCTCOL" localSheetId="35">FALSE</definedName>
    <definedName name="QBREPORTCOMPARECOL_PCTEXPENSE" localSheetId="11">FALSE</definedName>
    <definedName name="QBREPORTCOMPARECOL_PCTEXPENSE" localSheetId="12">FALSE</definedName>
    <definedName name="QBREPORTCOMPARECOL_PCTEXPENSE" localSheetId="13">FALSE</definedName>
    <definedName name="QBREPORTCOMPARECOL_PCTEXPENSE" localSheetId="14">FALSE</definedName>
    <definedName name="QBREPORTCOMPARECOL_PCTEXPENSE" localSheetId="15">FALSE</definedName>
    <definedName name="QBREPORTCOMPARECOL_PCTEXPENSE" localSheetId="16">FALSE</definedName>
    <definedName name="QBREPORTCOMPARECOL_PCTEXPENSE" localSheetId="17">FALSE</definedName>
    <definedName name="QBREPORTCOMPARECOL_PCTEXPENSE" localSheetId="18">FALSE</definedName>
    <definedName name="QBREPORTCOMPARECOL_PCTEXPENSE" localSheetId="19">FALSE</definedName>
    <definedName name="QBREPORTCOMPARECOL_PCTEXPENSE" localSheetId="20">FALSE</definedName>
    <definedName name="QBREPORTCOMPARECOL_PCTEXPENSE" localSheetId="21">FALSE</definedName>
    <definedName name="QBREPORTCOMPARECOL_PCTEXPENSE" localSheetId="22">FALSE</definedName>
    <definedName name="QBREPORTCOMPARECOL_PCTEXPENSE" localSheetId="23">FALSE</definedName>
    <definedName name="QBREPORTCOMPARECOL_PCTEXPENSE" localSheetId="25">FALSE</definedName>
    <definedName name="QBREPORTCOMPARECOL_PCTEXPENSE" localSheetId="26">FALSE</definedName>
    <definedName name="QBREPORTCOMPARECOL_PCTEXPENSE" localSheetId="27">FALSE</definedName>
    <definedName name="QBREPORTCOMPARECOL_PCTEXPENSE" localSheetId="28">FALSE</definedName>
    <definedName name="QBREPORTCOMPARECOL_PCTEXPENSE" localSheetId="29">FALSE</definedName>
    <definedName name="QBREPORTCOMPARECOL_PCTEXPENSE" localSheetId="30">FALSE</definedName>
    <definedName name="QBREPORTCOMPARECOL_PCTEXPENSE" localSheetId="31">FALSE</definedName>
    <definedName name="QBREPORTCOMPARECOL_PCTEXPENSE" localSheetId="33">FALSE</definedName>
    <definedName name="QBREPORTCOMPARECOL_PCTEXPENSE" localSheetId="34">FALSE</definedName>
    <definedName name="QBREPORTCOMPARECOL_PCTEXPENSE" localSheetId="35">FALSE</definedName>
    <definedName name="QBREPORTCOMPARECOL_PCTINCOME" localSheetId="11">FALSE</definedName>
    <definedName name="QBREPORTCOMPARECOL_PCTINCOME" localSheetId="12">FALSE</definedName>
    <definedName name="QBREPORTCOMPARECOL_PCTINCOME" localSheetId="13">FALSE</definedName>
    <definedName name="QBREPORTCOMPARECOL_PCTINCOME" localSheetId="14">FALSE</definedName>
    <definedName name="QBREPORTCOMPARECOL_PCTINCOME" localSheetId="15">FALSE</definedName>
    <definedName name="QBREPORTCOMPARECOL_PCTINCOME" localSheetId="16">FALSE</definedName>
    <definedName name="QBREPORTCOMPARECOL_PCTINCOME" localSheetId="17">FALSE</definedName>
    <definedName name="QBREPORTCOMPARECOL_PCTINCOME" localSheetId="18">FALSE</definedName>
    <definedName name="QBREPORTCOMPARECOL_PCTINCOME" localSheetId="19">FALSE</definedName>
    <definedName name="QBREPORTCOMPARECOL_PCTINCOME" localSheetId="20">FALSE</definedName>
    <definedName name="QBREPORTCOMPARECOL_PCTINCOME" localSheetId="21">FALSE</definedName>
    <definedName name="QBREPORTCOMPARECOL_PCTINCOME" localSheetId="22">FALSE</definedName>
    <definedName name="QBREPORTCOMPARECOL_PCTINCOME" localSheetId="23">FALSE</definedName>
    <definedName name="QBREPORTCOMPARECOL_PCTINCOME" localSheetId="25">FALSE</definedName>
    <definedName name="QBREPORTCOMPARECOL_PCTINCOME" localSheetId="26">FALSE</definedName>
    <definedName name="QBREPORTCOMPARECOL_PCTINCOME" localSheetId="27">FALSE</definedName>
    <definedName name="QBREPORTCOMPARECOL_PCTINCOME" localSheetId="28">FALSE</definedName>
    <definedName name="QBREPORTCOMPARECOL_PCTINCOME" localSheetId="29">FALSE</definedName>
    <definedName name="QBREPORTCOMPARECOL_PCTINCOME" localSheetId="30">FALSE</definedName>
    <definedName name="QBREPORTCOMPARECOL_PCTINCOME" localSheetId="31">FALSE</definedName>
    <definedName name="QBREPORTCOMPARECOL_PCTINCOME" localSheetId="33">FALSE</definedName>
    <definedName name="QBREPORTCOMPARECOL_PCTINCOME" localSheetId="34">FALSE</definedName>
    <definedName name="QBREPORTCOMPARECOL_PCTINCOME" localSheetId="35">FALSE</definedName>
    <definedName name="QBREPORTCOMPARECOL_PCTOFSALES" localSheetId="11">FALSE</definedName>
    <definedName name="QBREPORTCOMPARECOL_PCTOFSALES" localSheetId="12">FALSE</definedName>
    <definedName name="QBREPORTCOMPARECOL_PCTOFSALES" localSheetId="13">FALSE</definedName>
    <definedName name="QBREPORTCOMPARECOL_PCTOFSALES" localSheetId="14">FALSE</definedName>
    <definedName name="QBREPORTCOMPARECOL_PCTOFSALES" localSheetId="15">FALSE</definedName>
    <definedName name="QBREPORTCOMPARECOL_PCTOFSALES" localSheetId="16">FALSE</definedName>
    <definedName name="QBREPORTCOMPARECOL_PCTOFSALES" localSheetId="17">FALSE</definedName>
    <definedName name="QBREPORTCOMPARECOL_PCTOFSALES" localSheetId="18">FALSE</definedName>
    <definedName name="QBREPORTCOMPARECOL_PCTOFSALES" localSheetId="19">FALSE</definedName>
    <definedName name="QBREPORTCOMPARECOL_PCTOFSALES" localSheetId="20">FALSE</definedName>
    <definedName name="QBREPORTCOMPARECOL_PCTOFSALES" localSheetId="21">FALSE</definedName>
    <definedName name="QBREPORTCOMPARECOL_PCTOFSALES" localSheetId="22">FALSE</definedName>
    <definedName name="QBREPORTCOMPARECOL_PCTOFSALES" localSheetId="23">FALSE</definedName>
    <definedName name="QBREPORTCOMPARECOL_PCTOFSALES" localSheetId="25">FALSE</definedName>
    <definedName name="QBREPORTCOMPARECOL_PCTOFSALES" localSheetId="26">FALSE</definedName>
    <definedName name="QBREPORTCOMPARECOL_PCTOFSALES" localSheetId="27">FALSE</definedName>
    <definedName name="QBREPORTCOMPARECOL_PCTOFSALES" localSheetId="28">FALSE</definedName>
    <definedName name="QBREPORTCOMPARECOL_PCTOFSALES" localSheetId="29">FALSE</definedName>
    <definedName name="QBREPORTCOMPARECOL_PCTOFSALES" localSheetId="30">FALSE</definedName>
    <definedName name="QBREPORTCOMPARECOL_PCTOFSALES" localSheetId="31">FALSE</definedName>
    <definedName name="QBREPORTCOMPARECOL_PCTOFSALES" localSheetId="33">FALSE</definedName>
    <definedName name="QBREPORTCOMPARECOL_PCTOFSALES" localSheetId="34">FALSE</definedName>
    <definedName name="QBREPORTCOMPARECOL_PCTOFSALES" localSheetId="35">FALSE</definedName>
    <definedName name="QBREPORTCOMPARECOL_PCTROW" localSheetId="11">FALSE</definedName>
    <definedName name="QBREPORTCOMPARECOL_PCTROW" localSheetId="12">FALSE</definedName>
    <definedName name="QBREPORTCOMPARECOL_PCTROW" localSheetId="13">FALSE</definedName>
    <definedName name="QBREPORTCOMPARECOL_PCTROW" localSheetId="14">FALSE</definedName>
    <definedName name="QBREPORTCOMPARECOL_PCTROW" localSheetId="15">FALSE</definedName>
    <definedName name="QBREPORTCOMPARECOL_PCTROW" localSheetId="16">FALSE</definedName>
    <definedName name="QBREPORTCOMPARECOL_PCTROW" localSheetId="17">FALSE</definedName>
    <definedName name="QBREPORTCOMPARECOL_PCTROW" localSheetId="18">FALSE</definedName>
    <definedName name="QBREPORTCOMPARECOL_PCTROW" localSheetId="19">FALSE</definedName>
    <definedName name="QBREPORTCOMPARECOL_PCTROW" localSheetId="20">FALSE</definedName>
    <definedName name="QBREPORTCOMPARECOL_PCTROW" localSheetId="21">FALSE</definedName>
    <definedName name="QBREPORTCOMPARECOL_PCTROW" localSheetId="22">FALSE</definedName>
    <definedName name="QBREPORTCOMPARECOL_PCTROW" localSheetId="23">FALSE</definedName>
    <definedName name="QBREPORTCOMPARECOL_PCTROW" localSheetId="25">FALSE</definedName>
    <definedName name="QBREPORTCOMPARECOL_PCTROW" localSheetId="26">FALSE</definedName>
    <definedName name="QBREPORTCOMPARECOL_PCTROW" localSheetId="27">FALSE</definedName>
    <definedName name="QBREPORTCOMPARECOL_PCTROW" localSheetId="28">FALSE</definedName>
    <definedName name="QBREPORTCOMPARECOL_PCTROW" localSheetId="29">FALSE</definedName>
    <definedName name="QBREPORTCOMPARECOL_PCTROW" localSheetId="30">FALSE</definedName>
    <definedName name="QBREPORTCOMPARECOL_PCTROW" localSheetId="31">FALSE</definedName>
    <definedName name="QBREPORTCOMPARECOL_PCTROW" localSheetId="33">FALSE</definedName>
    <definedName name="QBREPORTCOMPARECOL_PCTROW" localSheetId="34">FALSE</definedName>
    <definedName name="QBREPORTCOMPARECOL_PCTROW" localSheetId="35">FALSE</definedName>
    <definedName name="QBREPORTCOMPARECOL_PPDIFF" localSheetId="11">FALSE</definedName>
    <definedName name="QBREPORTCOMPARECOL_PPDIFF" localSheetId="12">FALSE</definedName>
    <definedName name="QBREPORTCOMPARECOL_PPDIFF" localSheetId="13">FALSE</definedName>
    <definedName name="QBREPORTCOMPARECOL_PPDIFF" localSheetId="14">FALSE</definedName>
    <definedName name="QBREPORTCOMPARECOL_PPDIFF" localSheetId="15">FALSE</definedName>
    <definedName name="QBREPORTCOMPARECOL_PPDIFF" localSheetId="16">FALSE</definedName>
    <definedName name="QBREPORTCOMPARECOL_PPDIFF" localSheetId="17">FALSE</definedName>
    <definedName name="QBREPORTCOMPARECOL_PPDIFF" localSheetId="18">FALSE</definedName>
    <definedName name="QBREPORTCOMPARECOL_PPDIFF" localSheetId="19">FALSE</definedName>
    <definedName name="QBREPORTCOMPARECOL_PPDIFF" localSheetId="20">FALSE</definedName>
    <definedName name="QBREPORTCOMPARECOL_PPDIFF" localSheetId="21">FALSE</definedName>
    <definedName name="QBREPORTCOMPARECOL_PPDIFF" localSheetId="22">FALSE</definedName>
    <definedName name="QBREPORTCOMPARECOL_PPDIFF" localSheetId="23">FALSE</definedName>
    <definedName name="QBREPORTCOMPARECOL_PPDIFF" localSheetId="25">FALSE</definedName>
    <definedName name="QBREPORTCOMPARECOL_PPDIFF" localSheetId="26">FALSE</definedName>
    <definedName name="QBREPORTCOMPARECOL_PPDIFF" localSheetId="27">FALSE</definedName>
    <definedName name="QBREPORTCOMPARECOL_PPDIFF" localSheetId="28">FALSE</definedName>
    <definedName name="QBREPORTCOMPARECOL_PPDIFF" localSheetId="29">FALSE</definedName>
    <definedName name="QBREPORTCOMPARECOL_PPDIFF" localSheetId="30">FALSE</definedName>
    <definedName name="QBREPORTCOMPARECOL_PPDIFF" localSheetId="31">FALSE</definedName>
    <definedName name="QBREPORTCOMPARECOL_PPDIFF" localSheetId="33">FALSE</definedName>
    <definedName name="QBREPORTCOMPARECOL_PPDIFF" localSheetId="34">FALSE</definedName>
    <definedName name="QBREPORTCOMPARECOL_PPDIFF" localSheetId="35">FALSE</definedName>
    <definedName name="QBREPORTCOMPARECOL_PPPCT" localSheetId="11">FALSE</definedName>
    <definedName name="QBREPORTCOMPARECOL_PPPCT" localSheetId="12">FALSE</definedName>
    <definedName name="QBREPORTCOMPARECOL_PPPCT" localSheetId="13">FALSE</definedName>
    <definedName name="QBREPORTCOMPARECOL_PPPCT" localSheetId="14">FALSE</definedName>
    <definedName name="QBREPORTCOMPARECOL_PPPCT" localSheetId="15">FALSE</definedName>
    <definedName name="QBREPORTCOMPARECOL_PPPCT" localSheetId="16">FALSE</definedName>
    <definedName name="QBREPORTCOMPARECOL_PPPCT" localSheetId="17">FALSE</definedName>
    <definedName name="QBREPORTCOMPARECOL_PPPCT" localSheetId="18">FALSE</definedName>
    <definedName name="QBREPORTCOMPARECOL_PPPCT" localSheetId="19">FALSE</definedName>
    <definedName name="QBREPORTCOMPARECOL_PPPCT" localSheetId="20">FALSE</definedName>
    <definedName name="QBREPORTCOMPARECOL_PPPCT" localSheetId="21">FALSE</definedName>
    <definedName name="QBREPORTCOMPARECOL_PPPCT" localSheetId="22">FALSE</definedName>
    <definedName name="QBREPORTCOMPARECOL_PPPCT" localSheetId="23">FALSE</definedName>
    <definedName name="QBREPORTCOMPARECOL_PPPCT" localSheetId="25">FALSE</definedName>
    <definedName name="QBREPORTCOMPARECOL_PPPCT" localSheetId="26">FALSE</definedName>
    <definedName name="QBREPORTCOMPARECOL_PPPCT" localSheetId="27">FALSE</definedName>
    <definedName name="QBREPORTCOMPARECOL_PPPCT" localSheetId="28">FALSE</definedName>
    <definedName name="QBREPORTCOMPARECOL_PPPCT" localSheetId="29">FALSE</definedName>
    <definedName name="QBREPORTCOMPARECOL_PPPCT" localSheetId="30">FALSE</definedName>
    <definedName name="QBREPORTCOMPARECOL_PPPCT" localSheetId="31">FALSE</definedName>
    <definedName name="QBREPORTCOMPARECOL_PPPCT" localSheetId="33">FALSE</definedName>
    <definedName name="QBREPORTCOMPARECOL_PPPCT" localSheetId="34">FALSE</definedName>
    <definedName name="QBREPORTCOMPARECOL_PPPCT" localSheetId="35">FALSE</definedName>
    <definedName name="QBREPORTCOMPARECOL_PREVPERIOD" localSheetId="11">FALSE</definedName>
    <definedName name="QBREPORTCOMPARECOL_PREVPERIOD" localSheetId="12">FALSE</definedName>
    <definedName name="QBREPORTCOMPARECOL_PREVPERIOD" localSheetId="13">FALSE</definedName>
    <definedName name="QBREPORTCOMPARECOL_PREVPERIOD" localSheetId="14">FALSE</definedName>
    <definedName name="QBREPORTCOMPARECOL_PREVPERIOD" localSheetId="15">FALSE</definedName>
    <definedName name="QBREPORTCOMPARECOL_PREVPERIOD" localSheetId="16">FALSE</definedName>
    <definedName name="QBREPORTCOMPARECOL_PREVPERIOD" localSheetId="17">FALSE</definedName>
    <definedName name="QBREPORTCOMPARECOL_PREVPERIOD" localSheetId="18">FALSE</definedName>
    <definedName name="QBREPORTCOMPARECOL_PREVPERIOD" localSheetId="19">FALSE</definedName>
    <definedName name="QBREPORTCOMPARECOL_PREVPERIOD" localSheetId="20">FALSE</definedName>
    <definedName name="QBREPORTCOMPARECOL_PREVPERIOD" localSheetId="21">FALSE</definedName>
    <definedName name="QBREPORTCOMPARECOL_PREVPERIOD" localSheetId="22">FALSE</definedName>
    <definedName name="QBREPORTCOMPARECOL_PREVPERIOD" localSheetId="23">FALSE</definedName>
    <definedName name="QBREPORTCOMPARECOL_PREVPERIOD" localSheetId="25">FALSE</definedName>
    <definedName name="QBREPORTCOMPARECOL_PREVPERIOD" localSheetId="26">FALSE</definedName>
    <definedName name="QBREPORTCOMPARECOL_PREVPERIOD" localSheetId="27">FALSE</definedName>
    <definedName name="QBREPORTCOMPARECOL_PREVPERIOD" localSheetId="28">FALSE</definedName>
    <definedName name="QBREPORTCOMPARECOL_PREVPERIOD" localSheetId="29">FALSE</definedName>
    <definedName name="QBREPORTCOMPARECOL_PREVPERIOD" localSheetId="30">FALSE</definedName>
    <definedName name="QBREPORTCOMPARECOL_PREVPERIOD" localSheetId="31">FALSE</definedName>
    <definedName name="QBREPORTCOMPARECOL_PREVPERIOD" localSheetId="33">FALSE</definedName>
    <definedName name="QBREPORTCOMPARECOL_PREVPERIOD" localSheetId="34">FALSE</definedName>
    <definedName name="QBREPORTCOMPARECOL_PREVPERIOD" localSheetId="35">FALSE</definedName>
    <definedName name="QBREPORTCOMPARECOL_PREVYEAR" localSheetId="11">FALSE</definedName>
    <definedName name="QBREPORTCOMPARECOL_PREVYEAR" localSheetId="12">FALSE</definedName>
    <definedName name="QBREPORTCOMPARECOL_PREVYEAR" localSheetId="13">FALSE</definedName>
    <definedName name="QBREPORTCOMPARECOL_PREVYEAR" localSheetId="14">FALSE</definedName>
    <definedName name="QBREPORTCOMPARECOL_PREVYEAR" localSheetId="15">FALSE</definedName>
    <definedName name="QBREPORTCOMPARECOL_PREVYEAR" localSheetId="16">FALSE</definedName>
    <definedName name="QBREPORTCOMPARECOL_PREVYEAR" localSheetId="17">FALSE</definedName>
    <definedName name="QBREPORTCOMPARECOL_PREVYEAR" localSheetId="18">FALSE</definedName>
    <definedName name="QBREPORTCOMPARECOL_PREVYEAR" localSheetId="19">FALSE</definedName>
    <definedName name="QBREPORTCOMPARECOL_PREVYEAR" localSheetId="20">FALSE</definedName>
    <definedName name="QBREPORTCOMPARECOL_PREVYEAR" localSheetId="21">FALSE</definedName>
    <definedName name="QBREPORTCOMPARECOL_PREVYEAR" localSheetId="22">FALSE</definedName>
    <definedName name="QBREPORTCOMPARECOL_PREVYEAR" localSheetId="23">FALSE</definedName>
    <definedName name="QBREPORTCOMPARECOL_PREVYEAR" localSheetId="25">FALSE</definedName>
    <definedName name="QBREPORTCOMPARECOL_PREVYEAR" localSheetId="26">FALSE</definedName>
    <definedName name="QBREPORTCOMPARECOL_PREVYEAR" localSheetId="27">FALSE</definedName>
    <definedName name="QBREPORTCOMPARECOL_PREVYEAR" localSheetId="28">FALSE</definedName>
    <definedName name="QBREPORTCOMPARECOL_PREVYEAR" localSheetId="29">FALSE</definedName>
    <definedName name="QBREPORTCOMPARECOL_PREVYEAR" localSheetId="30">FALSE</definedName>
    <definedName name="QBREPORTCOMPARECOL_PREVYEAR" localSheetId="31">FALSE</definedName>
    <definedName name="QBREPORTCOMPARECOL_PREVYEAR" localSheetId="33">FALSE</definedName>
    <definedName name="QBREPORTCOMPARECOL_PREVYEAR" localSheetId="34">FALSE</definedName>
    <definedName name="QBREPORTCOMPARECOL_PREVYEAR" localSheetId="35">FALSE</definedName>
    <definedName name="QBREPORTCOMPARECOL_PYDIFF" localSheetId="11">FALSE</definedName>
    <definedName name="QBREPORTCOMPARECOL_PYDIFF" localSheetId="12">FALSE</definedName>
    <definedName name="QBREPORTCOMPARECOL_PYDIFF" localSheetId="13">FALSE</definedName>
    <definedName name="QBREPORTCOMPARECOL_PYDIFF" localSheetId="14">FALSE</definedName>
    <definedName name="QBREPORTCOMPARECOL_PYDIFF" localSheetId="15">FALSE</definedName>
    <definedName name="QBREPORTCOMPARECOL_PYDIFF" localSheetId="16">FALSE</definedName>
    <definedName name="QBREPORTCOMPARECOL_PYDIFF" localSheetId="17">FALSE</definedName>
    <definedName name="QBREPORTCOMPARECOL_PYDIFF" localSheetId="18">FALSE</definedName>
    <definedName name="QBREPORTCOMPARECOL_PYDIFF" localSheetId="19">FALSE</definedName>
    <definedName name="QBREPORTCOMPARECOL_PYDIFF" localSheetId="20">FALSE</definedName>
    <definedName name="QBREPORTCOMPARECOL_PYDIFF" localSheetId="21">FALSE</definedName>
    <definedName name="QBREPORTCOMPARECOL_PYDIFF" localSheetId="22">FALSE</definedName>
    <definedName name="QBREPORTCOMPARECOL_PYDIFF" localSheetId="23">FALSE</definedName>
    <definedName name="QBREPORTCOMPARECOL_PYDIFF" localSheetId="25">FALSE</definedName>
    <definedName name="QBREPORTCOMPARECOL_PYDIFF" localSheetId="26">FALSE</definedName>
    <definedName name="QBREPORTCOMPARECOL_PYDIFF" localSheetId="27">FALSE</definedName>
    <definedName name="QBREPORTCOMPARECOL_PYDIFF" localSheetId="28">FALSE</definedName>
    <definedName name="QBREPORTCOMPARECOL_PYDIFF" localSheetId="29">FALSE</definedName>
    <definedName name="QBREPORTCOMPARECOL_PYDIFF" localSheetId="30">FALSE</definedName>
    <definedName name="QBREPORTCOMPARECOL_PYDIFF" localSheetId="31">FALSE</definedName>
    <definedName name="QBREPORTCOMPARECOL_PYDIFF" localSheetId="33">FALSE</definedName>
    <definedName name="QBREPORTCOMPARECOL_PYDIFF" localSheetId="34">FALSE</definedName>
    <definedName name="QBREPORTCOMPARECOL_PYDIFF" localSheetId="35">FALSE</definedName>
    <definedName name="QBREPORTCOMPARECOL_PYPCT" localSheetId="11">FALSE</definedName>
    <definedName name="QBREPORTCOMPARECOL_PYPCT" localSheetId="12">FALSE</definedName>
    <definedName name="QBREPORTCOMPARECOL_PYPCT" localSheetId="13">FALSE</definedName>
    <definedName name="QBREPORTCOMPARECOL_PYPCT" localSheetId="14">FALSE</definedName>
    <definedName name="QBREPORTCOMPARECOL_PYPCT" localSheetId="15">FALSE</definedName>
    <definedName name="QBREPORTCOMPARECOL_PYPCT" localSheetId="16">FALSE</definedName>
    <definedName name="QBREPORTCOMPARECOL_PYPCT" localSheetId="17">FALSE</definedName>
    <definedName name="QBREPORTCOMPARECOL_PYPCT" localSheetId="18">FALSE</definedName>
    <definedName name="QBREPORTCOMPARECOL_PYPCT" localSheetId="19">FALSE</definedName>
    <definedName name="QBREPORTCOMPARECOL_PYPCT" localSheetId="20">FALSE</definedName>
    <definedName name="QBREPORTCOMPARECOL_PYPCT" localSheetId="21">FALSE</definedName>
    <definedName name="QBREPORTCOMPARECOL_PYPCT" localSheetId="22">FALSE</definedName>
    <definedName name="QBREPORTCOMPARECOL_PYPCT" localSheetId="23">FALSE</definedName>
    <definedName name="QBREPORTCOMPARECOL_PYPCT" localSheetId="25">FALSE</definedName>
    <definedName name="QBREPORTCOMPARECOL_PYPCT" localSheetId="26">FALSE</definedName>
    <definedName name="QBREPORTCOMPARECOL_PYPCT" localSheetId="27">FALSE</definedName>
    <definedName name="QBREPORTCOMPARECOL_PYPCT" localSheetId="28">FALSE</definedName>
    <definedName name="QBREPORTCOMPARECOL_PYPCT" localSheetId="29">FALSE</definedName>
    <definedName name="QBREPORTCOMPARECOL_PYPCT" localSheetId="30">FALSE</definedName>
    <definedName name="QBREPORTCOMPARECOL_PYPCT" localSheetId="31">FALSE</definedName>
    <definedName name="QBREPORTCOMPARECOL_PYPCT" localSheetId="33">FALSE</definedName>
    <definedName name="QBREPORTCOMPARECOL_PYPCT" localSheetId="34">FALSE</definedName>
    <definedName name="QBREPORTCOMPARECOL_PYPCT" localSheetId="35">FALSE</definedName>
    <definedName name="QBREPORTCOMPARECOL_QTY" localSheetId="11">FALSE</definedName>
    <definedName name="QBREPORTCOMPARECOL_QTY" localSheetId="12">FALSE</definedName>
    <definedName name="QBREPORTCOMPARECOL_QTY" localSheetId="13">FALSE</definedName>
    <definedName name="QBREPORTCOMPARECOL_QTY" localSheetId="14">FALSE</definedName>
    <definedName name="QBREPORTCOMPARECOL_QTY" localSheetId="15">FALSE</definedName>
    <definedName name="QBREPORTCOMPARECOL_QTY" localSheetId="16">FALSE</definedName>
    <definedName name="QBREPORTCOMPARECOL_QTY" localSheetId="17">FALSE</definedName>
    <definedName name="QBREPORTCOMPARECOL_QTY" localSheetId="18">FALSE</definedName>
    <definedName name="QBREPORTCOMPARECOL_QTY" localSheetId="19">FALSE</definedName>
    <definedName name="QBREPORTCOMPARECOL_QTY" localSheetId="20">FALSE</definedName>
    <definedName name="QBREPORTCOMPARECOL_QTY" localSheetId="21">FALSE</definedName>
    <definedName name="QBREPORTCOMPARECOL_QTY" localSheetId="22">FALSE</definedName>
    <definedName name="QBREPORTCOMPARECOL_QTY" localSheetId="23">FALSE</definedName>
    <definedName name="QBREPORTCOMPARECOL_QTY" localSheetId="25">FALSE</definedName>
    <definedName name="QBREPORTCOMPARECOL_QTY" localSheetId="26">FALSE</definedName>
    <definedName name="QBREPORTCOMPARECOL_QTY" localSheetId="27">FALSE</definedName>
    <definedName name="QBREPORTCOMPARECOL_QTY" localSheetId="28">FALSE</definedName>
    <definedName name="QBREPORTCOMPARECOL_QTY" localSheetId="29">FALSE</definedName>
    <definedName name="QBREPORTCOMPARECOL_QTY" localSheetId="30">FALSE</definedName>
    <definedName name="QBREPORTCOMPARECOL_QTY" localSheetId="31">FALSE</definedName>
    <definedName name="QBREPORTCOMPARECOL_QTY" localSheetId="33">FALSE</definedName>
    <definedName name="QBREPORTCOMPARECOL_QTY" localSheetId="34">FALSE</definedName>
    <definedName name="QBREPORTCOMPARECOL_QTY" localSheetId="35">FALSE</definedName>
    <definedName name="QBREPORTCOMPARECOL_RATE" localSheetId="11">FALSE</definedName>
    <definedName name="QBREPORTCOMPARECOL_RATE" localSheetId="12">FALSE</definedName>
    <definedName name="QBREPORTCOMPARECOL_RATE" localSheetId="13">FALSE</definedName>
    <definedName name="QBREPORTCOMPARECOL_RATE" localSheetId="14">FALSE</definedName>
    <definedName name="QBREPORTCOMPARECOL_RATE" localSheetId="15">FALSE</definedName>
    <definedName name="QBREPORTCOMPARECOL_RATE" localSheetId="16">FALSE</definedName>
    <definedName name="QBREPORTCOMPARECOL_RATE" localSheetId="17">FALSE</definedName>
    <definedName name="QBREPORTCOMPARECOL_RATE" localSheetId="18">FALSE</definedName>
    <definedName name="QBREPORTCOMPARECOL_RATE" localSheetId="19">FALSE</definedName>
    <definedName name="QBREPORTCOMPARECOL_RATE" localSheetId="20">FALSE</definedName>
    <definedName name="QBREPORTCOMPARECOL_RATE" localSheetId="21">FALSE</definedName>
    <definedName name="QBREPORTCOMPARECOL_RATE" localSheetId="22">FALSE</definedName>
    <definedName name="QBREPORTCOMPARECOL_RATE" localSheetId="23">FALSE</definedName>
    <definedName name="QBREPORTCOMPARECOL_RATE" localSheetId="25">FALSE</definedName>
    <definedName name="QBREPORTCOMPARECOL_RATE" localSheetId="26">FALSE</definedName>
    <definedName name="QBREPORTCOMPARECOL_RATE" localSheetId="27">FALSE</definedName>
    <definedName name="QBREPORTCOMPARECOL_RATE" localSheetId="28">FALSE</definedName>
    <definedName name="QBREPORTCOMPARECOL_RATE" localSheetId="29">FALSE</definedName>
    <definedName name="QBREPORTCOMPARECOL_RATE" localSheetId="30">FALSE</definedName>
    <definedName name="QBREPORTCOMPARECOL_RATE" localSheetId="31">FALSE</definedName>
    <definedName name="QBREPORTCOMPARECOL_RATE" localSheetId="33">FALSE</definedName>
    <definedName name="QBREPORTCOMPARECOL_RATE" localSheetId="34">FALSE</definedName>
    <definedName name="QBREPORTCOMPARECOL_RATE" localSheetId="35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3">FALSE</definedName>
    <definedName name="QBREPORTCOMPARECOL_TRIPBILLEDMILES" localSheetId="14">FALSE</definedName>
    <definedName name="QBREPORTCOMPARECOL_TRIPBILLEDMILES" localSheetId="15">FALSE</definedName>
    <definedName name="QBREPORTCOMPARECOL_TRIPBILLEDMILES" localSheetId="16">FALSE</definedName>
    <definedName name="QBREPORTCOMPARECOL_TRIPBILLEDMILES" localSheetId="17">FALSE</definedName>
    <definedName name="QBREPORTCOMPARECOL_TRIPBILLEDMILES" localSheetId="18">FALSE</definedName>
    <definedName name="QBREPORTCOMPARECOL_TRIPBILLEDMILES" localSheetId="19">FALSE</definedName>
    <definedName name="QBREPORTCOMPARECOL_TRIPBILLEDMILES" localSheetId="20">FALSE</definedName>
    <definedName name="QBREPORTCOMPARECOL_TRIPBILLEDMILES" localSheetId="21">FALSE</definedName>
    <definedName name="QBREPORTCOMPARECOL_TRIPBILLEDMILES" localSheetId="22">FALSE</definedName>
    <definedName name="QBREPORTCOMPARECOL_TRIPBILLEDMILES" localSheetId="23">FALSE</definedName>
    <definedName name="QBREPORTCOMPARECOL_TRIPBILLEDMILES" localSheetId="25">FALSE</definedName>
    <definedName name="QBREPORTCOMPARECOL_TRIPBILLEDMILES" localSheetId="26">FALSE</definedName>
    <definedName name="QBREPORTCOMPARECOL_TRIPBILLEDMILES" localSheetId="27">FALSE</definedName>
    <definedName name="QBREPORTCOMPARECOL_TRIPBILLEDMILES" localSheetId="28">FALSE</definedName>
    <definedName name="QBREPORTCOMPARECOL_TRIPBILLEDMILES" localSheetId="29">FALSE</definedName>
    <definedName name="QBREPORTCOMPARECOL_TRIPBILLEDMILES" localSheetId="30">FALSE</definedName>
    <definedName name="QBREPORTCOMPARECOL_TRIPBILLEDMILES" localSheetId="31">FALSE</definedName>
    <definedName name="QBREPORTCOMPARECOL_TRIPBILLEDMILES" localSheetId="33">FALSE</definedName>
    <definedName name="QBREPORTCOMPARECOL_TRIPBILLEDMILES" localSheetId="34">FALSE</definedName>
    <definedName name="QBREPORTCOMPARECOL_TRIPBILLEDMILES" localSheetId="35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3">FALSE</definedName>
    <definedName name="QBREPORTCOMPARECOL_TRIPBILLINGAMOUNT" localSheetId="14">FALSE</definedName>
    <definedName name="QBREPORTCOMPARECOL_TRIPBILLINGAMOUNT" localSheetId="15">FALSE</definedName>
    <definedName name="QBREPORTCOMPARECOL_TRIPBILLINGAMOUNT" localSheetId="16">FALSE</definedName>
    <definedName name="QBREPORTCOMPARECOL_TRIPBILLINGAMOUNT" localSheetId="17">FALSE</definedName>
    <definedName name="QBREPORTCOMPARECOL_TRIPBILLINGAMOUNT" localSheetId="18">FALSE</definedName>
    <definedName name="QBREPORTCOMPARECOL_TRIPBILLINGAMOUNT" localSheetId="19">FALSE</definedName>
    <definedName name="QBREPORTCOMPARECOL_TRIPBILLINGAMOUNT" localSheetId="20">FALSE</definedName>
    <definedName name="QBREPORTCOMPARECOL_TRIPBILLINGAMOUNT" localSheetId="21">FALSE</definedName>
    <definedName name="QBREPORTCOMPARECOL_TRIPBILLINGAMOUNT" localSheetId="22">FALSE</definedName>
    <definedName name="QBREPORTCOMPARECOL_TRIPBILLINGAMOUNT" localSheetId="23">FALSE</definedName>
    <definedName name="QBREPORTCOMPARECOL_TRIPBILLINGAMOUNT" localSheetId="25">FALSE</definedName>
    <definedName name="QBREPORTCOMPARECOL_TRIPBILLINGAMOUNT" localSheetId="26">FALSE</definedName>
    <definedName name="QBREPORTCOMPARECOL_TRIPBILLINGAMOUNT" localSheetId="27">FALSE</definedName>
    <definedName name="QBREPORTCOMPARECOL_TRIPBILLINGAMOUNT" localSheetId="28">FALSE</definedName>
    <definedName name="QBREPORTCOMPARECOL_TRIPBILLINGAMOUNT" localSheetId="29">FALSE</definedName>
    <definedName name="QBREPORTCOMPARECOL_TRIPBILLINGAMOUNT" localSheetId="30">FALSE</definedName>
    <definedName name="QBREPORTCOMPARECOL_TRIPBILLINGAMOUNT" localSheetId="31">FALSE</definedName>
    <definedName name="QBREPORTCOMPARECOL_TRIPBILLINGAMOUNT" localSheetId="33">FALSE</definedName>
    <definedName name="QBREPORTCOMPARECOL_TRIPBILLINGAMOUNT" localSheetId="34">FALSE</definedName>
    <definedName name="QBREPORTCOMPARECOL_TRIPBILLINGAMOUNT" localSheetId="35">FALSE</definedName>
    <definedName name="QBREPORTCOMPARECOL_TRIPMILES" localSheetId="11">FALSE</definedName>
    <definedName name="QBREPORTCOMPARECOL_TRIPMILES" localSheetId="12">FALSE</definedName>
    <definedName name="QBREPORTCOMPARECOL_TRIPMILES" localSheetId="13">FALSE</definedName>
    <definedName name="QBREPORTCOMPARECOL_TRIPMILES" localSheetId="14">FALSE</definedName>
    <definedName name="QBREPORTCOMPARECOL_TRIPMILES" localSheetId="15">FALSE</definedName>
    <definedName name="QBREPORTCOMPARECOL_TRIPMILES" localSheetId="16">FALSE</definedName>
    <definedName name="QBREPORTCOMPARECOL_TRIPMILES" localSheetId="17">FALSE</definedName>
    <definedName name="QBREPORTCOMPARECOL_TRIPMILES" localSheetId="18">FALSE</definedName>
    <definedName name="QBREPORTCOMPARECOL_TRIPMILES" localSheetId="19">FALSE</definedName>
    <definedName name="QBREPORTCOMPARECOL_TRIPMILES" localSheetId="20">FALSE</definedName>
    <definedName name="QBREPORTCOMPARECOL_TRIPMILES" localSheetId="21">FALSE</definedName>
    <definedName name="QBREPORTCOMPARECOL_TRIPMILES" localSheetId="22">FALSE</definedName>
    <definedName name="QBREPORTCOMPARECOL_TRIPMILES" localSheetId="23">FALSE</definedName>
    <definedName name="QBREPORTCOMPARECOL_TRIPMILES" localSheetId="25">FALSE</definedName>
    <definedName name="QBREPORTCOMPARECOL_TRIPMILES" localSheetId="26">FALSE</definedName>
    <definedName name="QBREPORTCOMPARECOL_TRIPMILES" localSheetId="27">FALSE</definedName>
    <definedName name="QBREPORTCOMPARECOL_TRIPMILES" localSheetId="28">FALSE</definedName>
    <definedName name="QBREPORTCOMPARECOL_TRIPMILES" localSheetId="29">FALSE</definedName>
    <definedName name="QBREPORTCOMPARECOL_TRIPMILES" localSheetId="30">FALSE</definedName>
    <definedName name="QBREPORTCOMPARECOL_TRIPMILES" localSheetId="31">FALSE</definedName>
    <definedName name="QBREPORTCOMPARECOL_TRIPMILES" localSheetId="33">FALSE</definedName>
    <definedName name="QBREPORTCOMPARECOL_TRIPMILES" localSheetId="34">FALSE</definedName>
    <definedName name="QBREPORTCOMPARECOL_TRIPMILES" localSheetId="35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3">FALSE</definedName>
    <definedName name="QBREPORTCOMPARECOL_TRIPNOTBILLABLEMILES" localSheetId="14">FALSE</definedName>
    <definedName name="QBREPORTCOMPARECOL_TRIPNOTBILLABLEMILES" localSheetId="15">FALSE</definedName>
    <definedName name="QBREPORTCOMPARECOL_TRIPNOTBILLABLEMILES" localSheetId="16">FALSE</definedName>
    <definedName name="QBREPORTCOMPARECOL_TRIPNOTBILLABLEMILES" localSheetId="17">FALSE</definedName>
    <definedName name="QBREPORTCOMPARECOL_TRIPNOTBILLABLEMILES" localSheetId="18">FALSE</definedName>
    <definedName name="QBREPORTCOMPARECOL_TRIPNOTBILLABLEMILES" localSheetId="19">FALSE</definedName>
    <definedName name="QBREPORTCOMPARECOL_TRIPNOTBILLABLEMILES" localSheetId="20">FALSE</definedName>
    <definedName name="QBREPORTCOMPARECOL_TRIPNOTBILLABLEMILES" localSheetId="21">FALSE</definedName>
    <definedName name="QBREPORTCOMPARECOL_TRIPNOTBILLABLEMILES" localSheetId="22">FALSE</definedName>
    <definedName name="QBREPORTCOMPARECOL_TRIPNOTBILLABLEMILES" localSheetId="23">FALSE</definedName>
    <definedName name="QBREPORTCOMPARECOL_TRIPNOTBILLABLEMILES" localSheetId="25">FALSE</definedName>
    <definedName name="QBREPORTCOMPARECOL_TRIPNOTBILLABLEMILES" localSheetId="26">FALSE</definedName>
    <definedName name="QBREPORTCOMPARECOL_TRIPNOTBILLABLEMILES" localSheetId="27">FALSE</definedName>
    <definedName name="QBREPORTCOMPARECOL_TRIPNOTBILLABLEMILES" localSheetId="28">FALSE</definedName>
    <definedName name="QBREPORTCOMPARECOL_TRIPNOTBILLABLEMILES" localSheetId="29">FALSE</definedName>
    <definedName name="QBREPORTCOMPARECOL_TRIPNOTBILLABLEMILES" localSheetId="30">FALSE</definedName>
    <definedName name="QBREPORTCOMPARECOL_TRIPNOTBILLABLEMILES" localSheetId="31">FALSE</definedName>
    <definedName name="QBREPORTCOMPARECOL_TRIPNOTBILLABLEMILES" localSheetId="33">FALSE</definedName>
    <definedName name="QBREPORTCOMPARECOL_TRIPNOTBILLABLEMILES" localSheetId="34">FALSE</definedName>
    <definedName name="QBREPORTCOMPARECOL_TRIPNOTBILLABLEMILES" localSheetId="35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3">FALSE</definedName>
    <definedName name="QBREPORTCOMPARECOL_TRIPTAXDEDUCTIBLEAMOUNT" localSheetId="14">FALSE</definedName>
    <definedName name="QBREPORTCOMPARECOL_TRIPTAXDEDUCTIBLEAMOUNT" localSheetId="15">FALSE</definedName>
    <definedName name="QBREPORTCOMPARECOL_TRIPTAXDEDUCTIBLEAMOUNT" localSheetId="16">FALSE</definedName>
    <definedName name="QBREPORTCOMPARECOL_TRIPTAXDEDUCTIBLEAMOUNT" localSheetId="17">FALSE</definedName>
    <definedName name="QBREPORTCOMPARECOL_TRIPTAXDEDUCTIBLEAMOUNT" localSheetId="18">FALSE</definedName>
    <definedName name="QBREPORTCOMPARECOL_TRIPTAXDEDUCTIBLEAMOUNT" localSheetId="19">FALSE</definedName>
    <definedName name="QBREPORTCOMPARECOL_TRIPTAXDEDUCTIBLEAMOUNT" localSheetId="20">FALSE</definedName>
    <definedName name="QBREPORTCOMPARECOL_TRIPTAXDEDUCTIBLEAMOUNT" localSheetId="21">FALSE</definedName>
    <definedName name="QBREPORTCOMPARECOL_TRIPTAXDEDUCTIBLEAMOUNT" localSheetId="22">FALSE</definedName>
    <definedName name="QBREPORTCOMPARECOL_TRIPTAXDEDUCTIBLEAMOUNT" localSheetId="23">FALSE</definedName>
    <definedName name="QBREPORTCOMPARECOL_TRIPTAXDEDUCTIBLEAMOUNT" localSheetId="25">FALSE</definedName>
    <definedName name="QBREPORTCOMPARECOL_TRIPTAXDEDUCTIBLEAMOUNT" localSheetId="26">FALSE</definedName>
    <definedName name="QBREPORTCOMPARECOL_TRIPTAXDEDUCTIBLEAMOUNT" localSheetId="27">FALSE</definedName>
    <definedName name="QBREPORTCOMPARECOL_TRIPTAXDEDUCTIBLEAMOUNT" localSheetId="28">FALSE</definedName>
    <definedName name="QBREPORTCOMPARECOL_TRIPTAXDEDUCTIBLEAMOUNT" localSheetId="29">FALSE</definedName>
    <definedName name="QBREPORTCOMPARECOL_TRIPTAXDEDUCTIBLEAMOUNT" localSheetId="30">FALSE</definedName>
    <definedName name="QBREPORTCOMPARECOL_TRIPTAXDEDUCTIBLEAMOUNT" localSheetId="31">FALSE</definedName>
    <definedName name="QBREPORTCOMPARECOL_TRIPTAXDEDUCTIBLEAMOUNT" localSheetId="33">FALSE</definedName>
    <definedName name="QBREPORTCOMPARECOL_TRIPTAXDEDUCTIBLEAMOUNT" localSheetId="34">FALSE</definedName>
    <definedName name="QBREPORTCOMPARECOL_TRIPTAXDEDUCTIBLEAMOUNT" localSheetId="35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3">FALSE</definedName>
    <definedName name="QBREPORTCOMPARECOL_TRIPUNBILLEDMILES" localSheetId="14">FALSE</definedName>
    <definedName name="QBREPORTCOMPARECOL_TRIPUNBILLEDMILES" localSheetId="15">FALSE</definedName>
    <definedName name="QBREPORTCOMPARECOL_TRIPUNBILLEDMILES" localSheetId="16">FALSE</definedName>
    <definedName name="QBREPORTCOMPARECOL_TRIPUNBILLEDMILES" localSheetId="17">FALSE</definedName>
    <definedName name="QBREPORTCOMPARECOL_TRIPUNBILLEDMILES" localSheetId="18">FALSE</definedName>
    <definedName name="QBREPORTCOMPARECOL_TRIPUNBILLEDMILES" localSheetId="19">FALSE</definedName>
    <definedName name="QBREPORTCOMPARECOL_TRIPUNBILLEDMILES" localSheetId="20">FALSE</definedName>
    <definedName name="QBREPORTCOMPARECOL_TRIPUNBILLEDMILES" localSheetId="21">FALSE</definedName>
    <definedName name="QBREPORTCOMPARECOL_TRIPUNBILLEDMILES" localSheetId="22">FALSE</definedName>
    <definedName name="QBREPORTCOMPARECOL_TRIPUNBILLEDMILES" localSheetId="23">FALSE</definedName>
    <definedName name="QBREPORTCOMPARECOL_TRIPUNBILLEDMILES" localSheetId="25">FALSE</definedName>
    <definedName name="QBREPORTCOMPARECOL_TRIPUNBILLEDMILES" localSheetId="26">FALSE</definedName>
    <definedName name="QBREPORTCOMPARECOL_TRIPUNBILLEDMILES" localSheetId="27">FALSE</definedName>
    <definedName name="QBREPORTCOMPARECOL_TRIPUNBILLEDMILES" localSheetId="28">FALSE</definedName>
    <definedName name="QBREPORTCOMPARECOL_TRIPUNBILLEDMILES" localSheetId="29">FALSE</definedName>
    <definedName name="QBREPORTCOMPARECOL_TRIPUNBILLEDMILES" localSheetId="30">FALSE</definedName>
    <definedName name="QBREPORTCOMPARECOL_TRIPUNBILLEDMILES" localSheetId="31">FALSE</definedName>
    <definedName name="QBREPORTCOMPARECOL_TRIPUNBILLEDMILES" localSheetId="33">FALSE</definedName>
    <definedName name="QBREPORTCOMPARECOL_TRIPUNBILLEDMILES" localSheetId="34">FALSE</definedName>
    <definedName name="QBREPORTCOMPARECOL_TRIPUNBILLEDMILES" localSheetId="35">FALSE</definedName>
    <definedName name="QBREPORTCOMPARECOL_YTD" localSheetId="11">FALSE</definedName>
    <definedName name="QBREPORTCOMPARECOL_YTD" localSheetId="12">FALSE</definedName>
    <definedName name="QBREPORTCOMPARECOL_YTD" localSheetId="13">FALSE</definedName>
    <definedName name="QBREPORTCOMPARECOL_YTD" localSheetId="14">FALSE</definedName>
    <definedName name="QBREPORTCOMPARECOL_YTD" localSheetId="15">FALSE</definedName>
    <definedName name="QBREPORTCOMPARECOL_YTD" localSheetId="16">FALSE</definedName>
    <definedName name="QBREPORTCOMPARECOL_YTD" localSheetId="17">FALSE</definedName>
    <definedName name="QBREPORTCOMPARECOL_YTD" localSheetId="18">FALSE</definedName>
    <definedName name="QBREPORTCOMPARECOL_YTD" localSheetId="19">FALSE</definedName>
    <definedName name="QBREPORTCOMPARECOL_YTD" localSheetId="20">FALSE</definedName>
    <definedName name="QBREPORTCOMPARECOL_YTD" localSheetId="21">FALSE</definedName>
    <definedName name="QBREPORTCOMPARECOL_YTD" localSheetId="22">FALSE</definedName>
    <definedName name="QBREPORTCOMPARECOL_YTD" localSheetId="23">FALSE</definedName>
    <definedName name="QBREPORTCOMPARECOL_YTD" localSheetId="25">FALSE</definedName>
    <definedName name="QBREPORTCOMPARECOL_YTD" localSheetId="26">FALSE</definedName>
    <definedName name="QBREPORTCOMPARECOL_YTD" localSheetId="27">FALSE</definedName>
    <definedName name="QBREPORTCOMPARECOL_YTD" localSheetId="28">FALSE</definedName>
    <definedName name="QBREPORTCOMPARECOL_YTD" localSheetId="29">FALSE</definedName>
    <definedName name="QBREPORTCOMPARECOL_YTD" localSheetId="30">FALSE</definedName>
    <definedName name="QBREPORTCOMPARECOL_YTD" localSheetId="31">FALSE</definedName>
    <definedName name="QBREPORTCOMPARECOL_YTD" localSheetId="33">FALSE</definedName>
    <definedName name="QBREPORTCOMPARECOL_YTD" localSheetId="34">FALSE</definedName>
    <definedName name="QBREPORTCOMPARECOL_YTD" localSheetId="35">FALSE</definedName>
    <definedName name="QBREPORTCOMPARECOL_YTDBUDGET" localSheetId="11">FALSE</definedName>
    <definedName name="QBREPORTCOMPARECOL_YTDBUDGET" localSheetId="12">FALSE</definedName>
    <definedName name="QBREPORTCOMPARECOL_YTDBUDGET" localSheetId="13">FALSE</definedName>
    <definedName name="QBREPORTCOMPARECOL_YTDBUDGET" localSheetId="14">FALSE</definedName>
    <definedName name="QBREPORTCOMPARECOL_YTDBUDGET" localSheetId="15">FALSE</definedName>
    <definedName name="QBREPORTCOMPARECOL_YTDBUDGET" localSheetId="16">FALSE</definedName>
    <definedName name="QBREPORTCOMPARECOL_YTDBUDGET" localSheetId="17">FALSE</definedName>
    <definedName name="QBREPORTCOMPARECOL_YTDBUDGET" localSheetId="18">FALSE</definedName>
    <definedName name="QBREPORTCOMPARECOL_YTDBUDGET" localSheetId="19">FALSE</definedName>
    <definedName name="QBREPORTCOMPARECOL_YTDBUDGET" localSheetId="20">FALSE</definedName>
    <definedName name="QBREPORTCOMPARECOL_YTDBUDGET" localSheetId="21">FALSE</definedName>
    <definedName name="QBREPORTCOMPARECOL_YTDBUDGET" localSheetId="22">FALSE</definedName>
    <definedName name="QBREPORTCOMPARECOL_YTDBUDGET" localSheetId="23">FALSE</definedName>
    <definedName name="QBREPORTCOMPARECOL_YTDBUDGET" localSheetId="25">FALSE</definedName>
    <definedName name="QBREPORTCOMPARECOL_YTDBUDGET" localSheetId="26">FALSE</definedName>
    <definedName name="QBREPORTCOMPARECOL_YTDBUDGET" localSheetId="27">FALSE</definedName>
    <definedName name="QBREPORTCOMPARECOL_YTDBUDGET" localSheetId="28">FALSE</definedName>
    <definedName name="QBREPORTCOMPARECOL_YTDBUDGET" localSheetId="29">FALSE</definedName>
    <definedName name="QBREPORTCOMPARECOL_YTDBUDGET" localSheetId="30">FALSE</definedName>
    <definedName name="QBREPORTCOMPARECOL_YTDBUDGET" localSheetId="31">FALSE</definedName>
    <definedName name="QBREPORTCOMPARECOL_YTDBUDGET" localSheetId="33">FALSE</definedName>
    <definedName name="QBREPORTCOMPARECOL_YTDBUDGET" localSheetId="34">FALSE</definedName>
    <definedName name="QBREPORTCOMPARECOL_YTDBUDGET" localSheetId="35">FALSE</definedName>
    <definedName name="QBREPORTCOMPARECOL_YTDPCT" localSheetId="11">FALSE</definedName>
    <definedName name="QBREPORTCOMPARECOL_YTDPCT" localSheetId="12">FALSE</definedName>
    <definedName name="QBREPORTCOMPARECOL_YTDPCT" localSheetId="13">FALSE</definedName>
    <definedName name="QBREPORTCOMPARECOL_YTDPCT" localSheetId="14">FALSE</definedName>
    <definedName name="QBREPORTCOMPARECOL_YTDPCT" localSheetId="15">FALSE</definedName>
    <definedName name="QBREPORTCOMPARECOL_YTDPCT" localSheetId="16">FALSE</definedName>
    <definedName name="QBREPORTCOMPARECOL_YTDPCT" localSheetId="17">FALSE</definedName>
    <definedName name="QBREPORTCOMPARECOL_YTDPCT" localSheetId="18">FALSE</definedName>
    <definedName name="QBREPORTCOMPARECOL_YTDPCT" localSheetId="19">FALSE</definedName>
    <definedName name="QBREPORTCOMPARECOL_YTDPCT" localSheetId="20">FALSE</definedName>
    <definedName name="QBREPORTCOMPARECOL_YTDPCT" localSheetId="21">FALSE</definedName>
    <definedName name="QBREPORTCOMPARECOL_YTDPCT" localSheetId="22">FALSE</definedName>
    <definedName name="QBREPORTCOMPARECOL_YTDPCT" localSheetId="23">FALSE</definedName>
    <definedName name="QBREPORTCOMPARECOL_YTDPCT" localSheetId="25">FALSE</definedName>
    <definedName name="QBREPORTCOMPARECOL_YTDPCT" localSheetId="26">FALSE</definedName>
    <definedName name="QBREPORTCOMPARECOL_YTDPCT" localSheetId="27">FALSE</definedName>
    <definedName name="QBREPORTCOMPARECOL_YTDPCT" localSheetId="28">FALSE</definedName>
    <definedName name="QBREPORTCOMPARECOL_YTDPCT" localSheetId="29">FALSE</definedName>
    <definedName name="QBREPORTCOMPARECOL_YTDPCT" localSheetId="30">FALSE</definedName>
    <definedName name="QBREPORTCOMPARECOL_YTDPCT" localSheetId="31">FALSE</definedName>
    <definedName name="QBREPORTCOMPARECOL_YTDPCT" localSheetId="33">FALSE</definedName>
    <definedName name="QBREPORTCOMPARECOL_YTDPCT" localSheetId="34">FALSE</definedName>
    <definedName name="QBREPORTCOMPARECOL_YTDPCT" localSheetId="35">FALSE</definedName>
    <definedName name="QBREPORTROWAXIS" localSheetId="11">12</definedName>
    <definedName name="QBREPORTROWAXIS" localSheetId="12">12</definedName>
    <definedName name="QBREPORTROWAXIS" localSheetId="13">12</definedName>
    <definedName name="QBREPORTROWAXIS" localSheetId="14">12</definedName>
    <definedName name="QBREPORTROWAXIS" localSheetId="15">12</definedName>
    <definedName name="QBREPORTROWAXIS" localSheetId="16">12</definedName>
    <definedName name="QBREPORTROWAXIS" localSheetId="17">12</definedName>
    <definedName name="QBREPORTROWAXIS" localSheetId="18">12</definedName>
    <definedName name="QBREPORTROWAXIS" localSheetId="19">12</definedName>
    <definedName name="QBREPORTROWAXIS" localSheetId="20">12</definedName>
    <definedName name="QBREPORTROWAXIS" localSheetId="21">12</definedName>
    <definedName name="QBREPORTROWAXIS" localSheetId="22">12</definedName>
    <definedName name="QBREPORTROWAXIS" localSheetId="23">12</definedName>
    <definedName name="QBREPORTROWAXIS" localSheetId="25">12</definedName>
    <definedName name="QBREPORTROWAXIS" localSheetId="26">12</definedName>
    <definedName name="QBREPORTROWAXIS" localSheetId="27">12</definedName>
    <definedName name="QBREPORTROWAXIS" localSheetId="28">12</definedName>
    <definedName name="QBREPORTROWAXIS" localSheetId="29">12</definedName>
    <definedName name="QBREPORTROWAXIS" localSheetId="30">12</definedName>
    <definedName name="QBREPORTROWAXIS" localSheetId="31">12</definedName>
    <definedName name="QBREPORTROWAXIS" localSheetId="33">12</definedName>
    <definedName name="QBREPORTROWAXIS" localSheetId="34">12</definedName>
    <definedName name="QBREPORTROWAXIS" localSheetId="35">12</definedName>
    <definedName name="QBREPORTSUBCOLAXIS" localSheetId="11">0</definedName>
    <definedName name="QBREPORTSUBCOLAXIS" localSheetId="12">0</definedName>
    <definedName name="QBREPORTSUBCOLAXIS" localSheetId="13">0</definedName>
    <definedName name="QBREPORTSUBCOLAXIS" localSheetId="14">0</definedName>
    <definedName name="QBREPORTSUBCOLAXIS" localSheetId="15">0</definedName>
    <definedName name="QBREPORTSUBCOLAXIS" localSheetId="16">0</definedName>
    <definedName name="QBREPORTSUBCOLAXIS" localSheetId="17">0</definedName>
    <definedName name="QBREPORTSUBCOLAXIS" localSheetId="18">0</definedName>
    <definedName name="QBREPORTSUBCOLAXIS" localSheetId="19">0</definedName>
    <definedName name="QBREPORTSUBCOLAXIS" localSheetId="20">0</definedName>
    <definedName name="QBREPORTSUBCOLAXIS" localSheetId="21">0</definedName>
    <definedName name="QBREPORTSUBCOLAXIS" localSheetId="22">0</definedName>
    <definedName name="QBREPORTSUBCOLAXIS" localSheetId="23">0</definedName>
    <definedName name="QBREPORTSUBCOLAXIS" localSheetId="25">0</definedName>
    <definedName name="QBREPORTSUBCOLAXIS" localSheetId="26">0</definedName>
    <definedName name="QBREPORTSUBCOLAXIS" localSheetId="27">0</definedName>
    <definedName name="QBREPORTSUBCOLAXIS" localSheetId="28">0</definedName>
    <definedName name="QBREPORTSUBCOLAXIS" localSheetId="29">0</definedName>
    <definedName name="QBREPORTSUBCOLAXIS" localSheetId="30">0</definedName>
    <definedName name="QBREPORTSUBCOLAXIS" localSheetId="31">0</definedName>
    <definedName name="QBREPORTSUBCOLAXIS" localSheetId="33">0</definedName>
    <definedName name="QBREPORTSUBCOLAXIS" localSheetId="34">0</definedName>
    <definedName name="QBREPORTSUBCOLAXIS" localSheetId="35">0</definedName>
    <definedName name="QBREPORTTYPE" localSheetId="11">61</definedName>
    <definedName name="QBREPORTTYPE" localSheetId="12">61</definedName>
    <definedName name="QBREPORTTYPE" localSheetId="13">61</definedName>
    <definedName name="QBREPORTTYPE" localSheetId="14">61</definedName>
    <definedName name="QBREPORTTYPE" localSheetId="15">61</definedName>
    <definedName name="QBREPORTTYPE" localSheetId="16">61</definedName>
    <definedName name="QBREPORTTYPE" localSheetId="17">61</definedName>
    <definedName name="QBREPORTTYPE" localSheetId="18">61</definedName>
    <definedName name="QBREPORTTYPE" localSheetId="19">61</definedName>
    <definedName name="QBREPORTTYPE" localSheetId="20">61</definedName>
    <definedName name="QBREPORTTYPE" localSheetId="21">61</definedName>
    <definedName name="QBREPORTTYPE" localSheetId="22">61</definedName>
    <definedName name="QBREPORTTYPE" localSheetId="23">61</definedName>
    <definedName name="QBREPORTTYPE" localSheetId="25">61</definedName>
    <definedName name="QBREPORTTYPE" localSheetId="26">61</definedName>
    <definedName name="QBREPORTTYPE" localSheetId="27">61</definedName>
    <definedName name="QBREPORTTYPE" localSheetId="28">61</definedName>
    <definedName name="QBREPORTTYPE" localSheetId="29">61</definedName>
    <definedName name="QBREPORTTYPE" localSheetId="30">61</definedName>
    <definedName name="QBREPORTTYPE" localSheetId="31">61</definedName>
    <definedName name="QBREPORTTYPE" localSheetId="33">61</definedName>
    <definedName name="QBREPORTTYPE" localSheetId="34">61</definedName>
    <definedName name="QBREPORTTYPE" localSheetId="35">61</definedName>
    <definedName name="QBROWHEADERS" localSheetId="11">3</definedName>
    <definedName name="QBROWHEADERS" localSheetId="12">3</definedName>
    <definedName name="QBROWHEADERS" localSheetId="13">3</definedName>
    <definedName name="QBROWHEADERS" localSheetId="14">3</definedName>
    <definedName name="QBROWHEADERS" localSheetId="15">3</definedName>
    <definedName name="QBROWHEADERS" localSheetId="16">3</definedName>
    <definedName name="QBROWHEADERS" localSheetId="17">3</definedName>
    <definedName name="QBROWHEADERS" localSheetId="18">3</definedName>
    <definedName name="QBROWHEADERS" localSheetId="19">3</definedName>
    <definedName name="QBROWHEADERS" localSheetId="20">3</definedName>
    <definedName name="QBROWHEADERS" localSheetId="21">3</definedName>
    <definedName name="QBROWHEADERS" localSheetId="22">3</definedName>
    <definedName name="QBROWHEADERS" localSheetId="23">3</definedName>
    <definedName name="QBROWHEADERS" localSheetId="25">3</definedName>
    <definedName name="QBROWHEADERS" localSheetId="26">3</definedName>
    <definedName name="QBROWHEADERS" localSheetId="27">3</definedName>
    <definedName name="QBROWHEADERS" localSheetId="28">3</definedName>
    <definedName name="QBROWHEADERS" localSheetId="29">3</definedName>
    <definedName name="QBROWHEADERS" localSheetId="30">3</definedName>
    <definedName name="QBROWHEADERS" localSheetId="31">3</definedName>
    <definedName name="QBROWHEADERS" localSheetId="33">3</definedName>
    <definedName name="QBROWHEADERS" localSheetId="34">3</definedName>
    <definedName name="QBROWHEADERS" localSheetId="35">3</definedName>
    <definedName name="QBSTARTDATE" localSheetId="11">20220101</definedName>
    <definedName name="QBSTARTDATE" localSheetId="12">20220101</definedName>
    <definedName name="QBSTARTDATE" localSheetId="13">20220101</definedName>
    <definedName name="QBSTARTDATE" localSheetId="14">20220101</definedName>
    <definedName name="QBSTARTDATE" localSheetId="15">20220101</definedName>
    <definedName name="QBSTARTDATE" localSheetId="16">20220101</definedName>
    <definedName name="QBSTARTDATE" localSheetId="17">20220101</definedName>
    <definedName name="QBSTARTDATE" localSheetId="18">20220101</definedName>
    <definedName name="QBSTARTDATE" localSheetId="19">20220101</definedName>
    <definedName name="QBSTARTDATE" localSheetId="20">20220101</definedName>
    <definedName name="QBSTARTDATE" localSheetId="21">20220101</definedName>
    <definedName name="QBSTARTDATE" localSheetId="22">20220101</definedName>
    <definedName name="QBSTARTDATE" localSheetId="23">20220101</definedName>
    <definedName name="QBSTARTDATE" localSheetId="25">20220101</definedName>
    <definedName name="QBSTARTDATE" localSheetId="26">20220101</definedName>
    <definedName name="QBSTARTDATE" localSheetId="27">20220101</definedName>
    <definedName name="QBSTARTDATE" localSheetId="28">20220101</definedName>
    <definedName name="QBSTARTDATE" localSheetId="29">20220101</definedName>
    <definedName name="QBSTARTDATE" localSheetId="30">20220101</definedName>
    <definedName name="QBSTARTDATE" localSheetId="31">20220101</definedName>
    <definedName name="QBSTARTDATE" localSheetId="33">20220101</definedName>
    <definedName name="QBSTARTDATE" localSheetId="34">20220101</definedName>
    <definedName name="QBSTARTDATE" localSheetId="35">20220101</definedName>
    <definedName name="Z_1E23C528_1A93_4869_8FED_629E3BA1C1FB_.wvu.Cols" localSheetId="8">'ARB Budget'!$G:$H</definedName>
    <definedName name="Z_1E23C528_1A93_4869_8FED_629E3BA1C1FB_.wvu.Cols" localSheetId="7">'Budget-Services'!$I:$J</definedName>
    <definedName name="Z_1E23C528_1A93_4869_8FED_629E3BA1C1FB_.wvu.PrintArea" localSheetId="8">'ARB Budget'!$A$2:$I$39</definedName>
    <definedName name="Z_1E23C528_1A93_4869_8FED_629E3BA1C1FB_.wvu.PrintArea" localSheetId="7">'Budget-Services'!$A$2:$K$351</definedName>
    <definedName name="Z_1E23C528_1A93_4869_8FED_629E3BA1C1FB_.wvu.PrintTitles" localSheetId="7">'Budget-Services'!$2:$2</definedName>
    <definedName name="Z_240D0F1E_8A4A_44D9_9D18_FC2DB01D505B_.wvu.Cols" localSheetId="8">'ARB Budget'!$G:$H</definedName>
    <definedName name="Z_311A91B1_0912_4AA5_9366_B03CF50601A2_.wvu.PrintTitles" localSheetId="7">'Budget-Services'!$2:$2</definedName>
    <definedName name="Z_34964384_DFBD_46D8_9B9F_2D86A517A166_.wvu.PrintTitles" localSheetId="7">'Budget-Services'!$2:$2</definedName>
    <definedName name="Z_462CB3DC_B2E4_454C_83C1_B844BA7D19AA_.wvu.PrintTitles" localSheetId="7">'Budget-Services'!$2:$2</definedName>
    <definedName name="Z_6D2BABDE_BF95_4644_811C_B4DB4C5FF4DD_.wvu.PrintTitles" localSheetId="7">'Budget-Services'!$2:$2</definedName>
    <definedName name="Z_7B966C76_DF97_4627_BB3C_77955DB39D00_.wvu.PrintTitles" localSheetId="7">'Budget-Services'!$2:$2</definedName>
    <definedName name="Z_867852E4_99EF_4389_8FD0_AFAB4495F746_.wvu.PrintTitles" localSheetId="7">'Budget-Services'!$2:$2</definedName>
    <definedName name="Z_87C375DB_B8D6_4CDB_A372_B6AF8E723C83_.wvu.Cols" localSheetId="8">'ARB Budget'!$G:$H</definedName>
    <definedName name="Z_8AFAE271_A818_42D9_A8EF_972712D95EDE_.wvu.Cols" localSheetId="8">'ARB Budget'!$G:$H</definedName>
    <definedName name="Z_8AFAE271_A818_42D9_A8EF_972712D95EDE_.wvu.Cols" localSheetId="7">'Budget-Services'!$I:$J</definedName>
    <definedName name="Z_8AFAE271_A818_42D9_A8EF_972712D95EDE_.wvu.PrintArea" localSheetId="7">'Budget-Services'!$A$2:$K$351</definedName>
    <definedName name="Z_8AFAE271_A818_42D9_A8EF_972712D95EDE_.wvu.PrintTitles" localSheetId="7">'Budget-Services'!$2:$2</definedName>
    <definedName name="Z_C064177C_B77C_40AF_A193_4D3DF85CE067_.wvu.Cols" localSheetId="8">'ARB Budget'!$G:$H</definedName>
    <definedName name="Z_C064177C_B77C_40AF_A193_4D3DF85CE067_.wvu.Cols" localSheetId="7">'Budget-Services'!$I:$J</definedName>
    <definedName name="Z_C064177C_B77C_40AF_A193_4D3DF85CE067_.wvu.PrintArea" localSheetId="8">'ARB Budget'!$A$2:$I$39</definedName>
    <definedName name="Z_C064177C_B77C_40AF_A193_4D3DF85CE067_.wvu.PrintArea" localSheetId="7">'Budget-Services'!$A$2:$K$351</definedName>
    <definedName name="Z_C064177C_B77C_40AF_A193_4D3DF85CE067_.wvu.PrintTitles" localSheetId="7">'Budget-Services'!$2:$2</definedName>
    <definedName name="Z_C48E47E7_FA0B_4A20_94A3_280718E1E67E_.wvu.PrintTitles" localSheetId="7">'Budget-Services'!$2:$2</definedName>
    <definedName name="Z_C67EED5A_831B_42B7_8FDB_8094D4B26582_.wvu.PrintTitles" localSheetId="7">'Budget-Services'!$2:$2</definedName>
    <definedName name="Z_E4A729BB_04B9_4DDA_A845_D330ECD6C6DE_.wvu.PrintTitles" localSheetId="7">'Budget-Services'!$2:$2</definedName>
    <definedName name="Z_FB8A7251_402B_4E68_AD89_100C31417887_.wvu.Cols" localSheetId="8">'ARB Budget'!$G:$H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5" l="1"/>
  <c r="K8" i="35"/>
  <c r="K9" i="35"/>
  <c r="K10" i="35" s="1"/>
  <c r="K16" i="28"/>
  <c r="K15" i="28"/>
  <c r="K14" i="28"/>
  <c r="K20" i="26"/>
  <c r="K19" i="26"/>
  <c r="K18" i="26"/>
  <c r="K12" i="25"/>
  <c r="K11" i="25"/>
  <c r="K10" i="25"/>
  <c r="K192" i="24"/>
  <c r="K191" i="24"/>
  <c r="K190" i="24"/>
  <c r="K8" i="29"/>
  <c r="K7" i="29"/>
  <c r="K6" i="29"/>
  <c r="K16" i="23"/>
  <c r="K15" i="23"/>
  <c r="K14" i="23"/>
  <c r="K122" i="22"/>
  <c r="K121" i="22"/>
  <c r="K120" i="22"/>
  <c r="K74" i="21"/>
  <c r="K75" i="21" s="1"/>
  <c r="K76" i="21" s="1"/>
  <c r="K485" i="13"/>
  <c r="K484" i="13"/>
  <c r="K483" i="13"/>
  <c r="K32" i="18"/>
  <c r="K33" i="18" s="1"/>
  <c r="K34" i="18" s="1"/>
  <c r="K208" i="20"/>
  <c r="K207" i="20"/>
  <c r="K65" i="19"/>
  <c r="K64" i="19"/>
  <c r="K63" i="19"/>
  <c r="K32" i="17"/>
  <c r="K31" i="17"/>
  <c r="K30" i="17"/>
  <c r="K185" i="16"/>
  <c r="I123" i="4"/>
  <c r="I129" i="4"/>
  <c r="I253" i="4"/>
  <c r="I100" i="4"/>
  <c r="I106" i="4"/>
  <c r="I119" i="4"/>
  <c r="I255" i="4"/>
  <c r="I102" i="4"/>
  <c r="I247" i="4"/>
  <c r="I249" i="4"/>
  <c r="I133" i="4"/>
  <c r="I248" i="4"/>
  <c r="I251" i="4"/>
  <c r="I111" i="4"/>
  <c r="I294" i="4"/>
  <c r="I115" i="4"/>
  <c r="I130" i="4"/>
  <c r="I258" i="4"/>
  <c r="I108" i="4"/>
  <c r="I107" i="4"/>
  <c r="I121" i="4"/>
  <c r="I103" i="4"/>
  <c r="I132" i="4"/>
  <c r="I116" i="4"/>
  <c r="I105" i="4"/>
  <c r="I122" i="4"/>
  <c r="I113" i="4"/>
  <c r="I134" i="4"/>
  <c r="I131" i="4"/>
  <c r="I109" i="4"/>
  <c r="I104" i="4"/>
  <c r="I256" i="4"/>
  <c r="I125" i="4"/>
  <c r="I254" i="4"/>
  <c r="I114" i="4"/>
  <c r="I313" i="4"/>
  <c r="I246" i="4"/>
  <c r="I101" i="4"/>
  <c r="I117" i="4"/>
  <c r="I126" i="4"/>
  <c r="I250" i="4"/>
  <c r="I118" i="4"/>
  <c r="I257" i="4"/>
  <c r="I252" i="4"/>
  <c r="I112" i="4"/>
  <c r="I127" i="4"/>
  <c r="I110" i="4"/>
  <c r="I120" i="4"/>
  <c r="I128" i="4"/>
  <c r="I124" i="4"/>
  <c r="J313" i="4" l="1"/>
  <c r="J294" i="4"/>
  <c r="K186" i="16"/>
  <c r="K187" i="16" s="1"/>
  <c r="K104" i="15"/>
  <c r="K103" i="15"/>
  <c r="K102" i="15"/>
  <c r="K54" i="14"/>
  <c r="K53" i="14"/>
  <c r="K52" i="14"/>
  <c r="B100" i="4"/>
  <c r="B101" i="4" s="1"/>
  <c r="K38" i="12"/>
  <c r="K37" i="12"/>
  <c r="K36" i="12"/>
  <c r="K56" i="11"/>
  <c r="K57" i="11" s="1"/>
  <c r="K58" i="11" s="1"/>
  <c r="K17" i="10"/>
  <c r="K16" i="10"/>
  <c r="K15" i="10"/>
  <c r="K201" i="9"/>
  <c r="K200" i="9"/>
  <c r="K199" i="9"/>
  <c r="K48" i="8"/>
  <c r="K47" i="8"/>
  <c r="K46" i="8"/>
  <c r="K159" i="7"/>
  <c r="K160" i="7" s="1"/>
  <c r="K161" i="7" s="1"/>
  <c r="K6" i="31" l="1"/>
  <c r="K7" i="31" s="1"/>
  <c r="K8" i="31" s="1"/>
  <c r="B216" i="4"/>
  <c r="I147" i="4"/>
  <c r="I209" i="4"/>
  <c r="I207" i="4"/>
  <c r="I232" i="4"/>
  <c r="I338" i="4"/>
  <c r="I153" i="4"/>
  <c r="I211" i="4"/>
  <c r="I196" i="4"/>
  <c r="I154" i="4"/>
  <c r="I199" i="4"/>
  <c r="I206" i="4"/>
  <c r="I215" i="4"/>
  <c r="I200" i="4"/>
  <c r="I212" i="4"/>
  <c r="I303" i="4"/>
  <c r="I202" i="4"/>
  <c r="I205" i="4"/>
  <c r="I197" i="4"/>
  <c r="I213" i="4"/>
  <c r="I192" i="4"/>
  <c r="I214" i="4"/>
  <c r="I151" i="4"/>
  <c r="I152" i="4"/>
  <c r="I216" i="4"/>
  <c r="I230" i="4"/>
  <c r="I210" i="4"/>
  <c r="I198" i="4"/>
  <c r="I204" i="4"/>
  <c r="I149" i="4"/>
  <c r="I148" i="4"/>
  <c r="I150" i="4"/>
  <c r="I203" i="4"/>
  <c r="I208" i="4"/>
  <c r="I201" i="4"/>
  <c r="J303" i="4" l="1"/>
  <c r="J255" i="4"/>
  <c r="J252" i="4"/>
  <c r="J232" i="4"/>
  <c r="J230" i="4"/>
  <c r="J198" i="4"/>
  <c r="J210" i="4"/>
  <c r="J208" i="4"/>
  <c r="I35" i="34"/>
  <c r="I32" i="34"/>
  <c r="I28" i="34"/>
  <c r="B42" i="44" l="1"/>
  <c r="B4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10" i="44"/>
  <c r="B39" i="44" s="1"/>
  <c r="B41" i="44" s="1"/>
  <c r="E39" i="35" l="1"/>
  <c r="E41" i="35" l="1"/>
  <c r="E38" i="35"/>
  <c r="E4" i="35" l="1"/>
  <c r="E6" i="35" l="1"/>
  <c r="E23" i="4" l="1"/>
  <c r="E21" i="4"/>
  <c r="E15" i="35" l="1"/>
  <c r="E42" i="35"/>
  <c r="F9" i="5" l="1"/>
  <c r="F8" i="5"/>
  <c r="F7" i="5"/>
  <c r="F6" i="5"/>
  <c r="F5" i="5"/>
  <c r="F4" i="5"/>
  <c r="E37" i="5"/>
  <c r="E27" i="5"/>
  <c r="E15" i="5"/>
  <c r="E16" i="35"/>
  <c r="G154" i="4"/>
  <c r="I276" i="4"/>
  <c r="J276" i="4" l="1"/>
  <c r="N34" i="34" l="1"/>
  <c r="N31" i="34"/>
  <c r="N28" i="34"/>
  <c r="N17" i="34"/>
  <c r="N11" i="34"/>
  <c r="N5" i="34"/>
  <c r="E9" i="35" l="1"/>
  <c r="E11" i="35" l="1"/>
  <c r="I10" i="5"/>
  <c r="I15" i="5"/>
  <c r="I27" i="5"/>
  <c r="I32" i="5"/>
  <c r="I37" i="5"/>
  <c r="F37" i="5"/>
  <c r="F27" i="5"/>
  <c r="F15" i="5"/>
  <c r="F14" i="5"/>
  <c r="F13" i="5"/>
  <c r="H349" i="4"/>
  <c r="K345" i="4"/>
  <c r="G333" i="4"/>
  <c r="G334" i="4"/>
  <c r="G332" i="4"/>
  <c r="H252" i="4"/>
  <c r="H316" i="4"/>
  <c r="H232" i="4"/>
  <c r="H233" i="4"/>
  <c r="H231" i="4"/>
  <c r="H227" i="4"/>
  <c r="H228" i="4"/>
  <c r="H229" i="4"/>
  <c r="H226" i="4"/>
  <c r="H225" i="4"/>
  <c r="H224" i="4"/>
  <c r="H221" i="4"/>
  <c r="H91" i="4"/>
  <c r="H92" i="4"/>
  <c r="H95" i="4"/>
  <c r="H96" i="4"/>
  <c r="H70" i="4"/>
  <c r="H255" i="4"/>
  <c r="H313" i="4"/>
  <c r="H294" i="4"/>
  <c r="G300" i="4"/>
  <c r="G301" i="4"/>
  <c r="G302" i="4"/>
  <c r="G296" i="4"/>
  <c r="G297" i="4"/>
  <c r="G298" i="4"/>
  <c r="G299" i="4"/>
  <c r="G295" i="4"/>
  <c r="I39" i="5" l="1"/>
  <c r="E61" i="4"/>
  <c r="E46" i="4"/>
  <c r="H35" i="4"/>
  <c r="H208" i="4"/>
  <c r="H230" i="4"/>
  <c r="H310" i="4"/>
  <c r="H34" i="4"/>
  <c r="H198" i="4"/>
  <c r="H217" i="4"/>
  <c r="H215" i="4"/>
  <c r="H210" i="4"/>
  <c r="H206" i="4"/>
  <c r="H205" i="4"/>
  <c r="H204" i="4"/>
  <c r="H203" i="4"/>
  <c r="H202" i="4"/>
  <c r="H201" i="4"/>
  <c r="K236" i="4" l="1"/>
  <c r="H324" i="4"/>
  <c r="H88" i="4"/>
  <c r="H87" i="4"/>
  <c r="H85" i="4"/>
  <c r="H86" i="4"/>
  <c r="H69" i="4"/>
  <c r="H317" i="4"/>
  <c r="H319" i="4"/>
  <c r="H320" i="4"/>
  <c r="H321" i="4"/>
  <c r="H71" i="4"/>
  <c r="H311" i="4"/>
  <c r="H303" i="4"/>
  <c r="G32" i="34"/>
  <c r="G35" i="34" s="1"/>
  <c r="G28" i="34"/>
  <c r="E63" i="35" l="1"/>
  <c r="G177" i="4" l="1"/>
  <c r="H147" i="4"/>
  <c r="G153" i="4"/>
  <c r="H153" i="4" s="1"/>
  <c r="J153" i="4" l="1"/>
  <c r="G115" i="4"/>
  <c r="H109" i="4"/>
  <c r="E23" i="35" l="1"/>
  <c r="E22" i="35"/>
  <c r="L31" i="34" l="1"/>
  <c r="J32" i="34"/>
  <c r="J35" i="34" s="1"/>
  <c r="J38" i="34" s="1"/>
  <c r="E43" i="35"/>
  <c r="G13" i="5"/>
  <c r="G23" i="5"/>
  <c r="G24" i="5"/>
  <c r="G35" i="5"/>
  <c r="G7" i="5"/>
  <c r="G6" i="5"/>
  <c r="G30" i="5"/>
  <c r="G20" i="5"/>
  <c r="G31" i="5"/>
  <c r="G25" i="5"/>
  <c r="G19" i="5"/>
  <c r="G22" i="5"/>
  <c r="G4" i="5"/>
  <c r="G36" i="5"/>
  <c r="G9" i="5"/>
  <c r="G18" i="5"/>
  <c r="G5" i="5"/>
  <c r="G21" i="5"/>
  <c r="G8" i="5"/>
  <c r="G26" i="5"/>
  <c r="G14" i="5"/>
  <c r="C31" i="44" l="1"/>
  <c r="C38" i="44"/>
  <c r="D31" i="44" l="1"/>
  <c r="E38" i="44"/>
  <c r="B43" i="44"/>
  <c r="D38" i="44"/>
  <c r="C42" i="44" l="1"/>
  <c r="G37" i="36" l="1"/>
  <c r="D79" i="38" l="1"/>
  <c r="D77" i="38"/>
  <c r="D63" i="38"/>
  <c r="D59" i="38"/>
  <c r="D55" i="38"/>
  <c r="D43" i="38"/>
  <c r="D34" i="38"/>
  <c r="D10" i="38"/>
  <c r="E42" i="38"/>
  <c r="E40" i="38"/>
  <c r="E38" i="38"/>
  <c r="E37" i="38"/>
  <c r="D79" i="40"/>
  <c r="D77" i="40"/>
  <c r="D59" i="40"/>
  <c r="D55" i="40"/>
  <c r="D43" i="40"/>
  <c r="D34" i="40"/>
  <c r="D10" i="40"/>
  <c r="E42" i="40" l="1"/>
  <c r="E40" i="40"/>
  <c r="E38" i="40"/>
  <c r="E37" i="40"/>
  <c r="E57" i="38" l="1"/>
  <c r="E57" i="40"/>
  <c r="H248" i="4" l="1"/>
  <c r="H253" i="4"/>
  <c r="J37" i="39" l="1"/>
  <c r="J37" i="37"/>
  <c r="E37" i="36"/>
  <c r="C37" i="36"/>
  <c r="E54" i="38" l="1"/>
  <c r="E53" i="38"/>
  <c r="E54" i="40"/>
  <c r="E53" i="40"/>
  <c r="H51" i="4" l="1"/>
  <c r="H25" i="4"/>
  <c r="H75" i="38" l="1"/>
  <c r="H63" i="38"/>
  <c r="H59" i="38"/>
  <c r="H55" i="38"/>
  <c r="H51" i="38"/>
  <c r="H48" i="38"/>
  <c r="H43" i="38"/>
  <c r="H32" i="38"/>
  <c r="H67" i="38" s="1"/>
  <c r="H69" i="38" s="1"/>
  <c r="H77" i="38" s="1"/>
  <c r="H23" i="38"/>
  <c r="H17" i="38"/>
  <c r="H34" i="38" s="1"/>
  <c r="H10" i="38"/>
  <c r="H79" i="38" s="1"/>
  <c r="H75" i="40"/>
  <c r="H63" i="40"/>
  <c r="H59" i="40"/>
  <c r="H55" i="40"/>
  <c r="H51" i="40"/>
  <c r="H48" i="40"/>
  <c r="H43" i="40"/>
  <c r="H32" i="40"/>
  <c r="H67" i="40" s="1"/>
  <c r="H69" i="40" s="1"/>
  <c r="H77" i="40" s="1"/>
  <c r="H23" i="40"/>
  <c r="H17" i="40"/>
  <c r="H34" i="40" s="1"/>
  <c r="H10" i="40"/>
  <c r="H79" i="40" s="1"/>
  <c r="M34" i="39" l="1"/>
  <c r="M31" i="39"/>
  <c r="M28" i="39"/>
  <c r="M17" i="39"/>
  <c r="M11" i="39"/>
  <c r="M5" i="39"/>
  <c r="M34" i="37"/>
  <c r="M31" i="37"/>
  <c r="M28" i="37"/>
  <c r="M17" i="37"/>
  <c r="M11" i="37"/>
  <c r="M5" i="37"/>
  <c r="K31" i="37"/>
  <c r="E41" i="38"/>
  <c r="E39" i="38"/>
  <c r="K31" i="39"/>
  <c r="E41" i="40"/>
  <c r="E39" i="40"/>
  <c r="E40" i="35"/>
  <c r="H151" i="4"/>
  <c r="M32" i="37" l="1"/>
  <c r="M35" i="37" s="1"/>
  <c r="K306" i="4"/>
  <c r="E4" i="40" l="1"/>
  <c r="E5" i="40" s="1"/>
  <c r="H269" i="4" l="1"/>
  <c r="H268" i="4"/>
  <c r="H267" i="4"/>
  <c r="H246" i="4"/>
  <c r="H244" i="4"/>
  <c r="H250" i="4"/>
  <c r="H148" i="4"/>
  <c r="H149" i="4"/>
  <c r="H282" i="4" l="1"/>
  <c r="H283" i="4"/>
  <c r="H284" i="4"/>
  <c r="H285" i="4"/>
  <c r="H286" i="4"/>
  <c r="H287" i="4"/>
  <c r="H288" i="4"/>
  <c r="H325" i="4"/>
  <c r="H326" i="4"/>
  <c r="H342" i="4"/>
  <c r="H343" i="4"/>
  <c r="H309" i="4"/>
  <c r="H312" i="4"/>
  <c r="H314" i="4"/>
  <c r="H315" i="4"/>
  <c r="H318" i="4"/>
  <c r="H322" i="4"/>
  <c r="H323" i="4"/>
  <c r="H302" i="4"/>
  <c r="H304" i="4"/>
  <c r="H305" i="4"/>
  <c r="H266" i="4"/>
  <c r="H211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58" i="4"/>
  <c r="H159" i="4"/>
  <c r="H160" i="4"/>
  <c r="H161" i="4"/>
  <c r="H162" i="4"/>
  <c r="H163" i="4"/>
  <c r="H164" i="4"/>
  <c r="H165" i="4"/>
  <c r="H166" i="4"/>
  <c r="H167" i="4"/>
  <c r="H168" i="4"/>
  <c r="H112" i="4"/>
  <c r="H113" i="4"/>
  <c r="H114" i="4"/>
  <c r="H115" i="4"/>
  <c r="H116" i="4"/>
  <c r="H117" i="4"/>
  <c r="H118" i="4"/>
  <c r="H119" i="4"/>
  <c r="H120" i="4"/>
  <c r="H121" i="4"/>
  <c r="H89" i="4"/>
  <c r="H90" i="4"/>
  <c r="H94" i="4"/>
  <c r="H74" i="4"/>
  <c r="H75" i="4"/>
  <c r="H76" i="4"/>
  <c r="H77" i="4"/>
  <c r="H78" i="4"/>
  <c r="H79" i="4"/>
  <c r="H80" i="4"/>
  <c r="H81" i="4"/>
  <c r="H327" i="4" l="1"/>
  <c r="K327" i="4"/>
  <c r="H20" i="4"/>
  <c r="H21" i="4"/>
  <c r="H22" i="4"/>
  <c r="H23" i="4"/>
  <c r="H24" i="4"/>
  <c r="H26" i="4"/>
  <c r="H27" i="4"/>
  <c r="H28" i="4"/>
  <c r="H29" i="4"/>
  <c r="H30" i="4"/>
  <c r="H31" i="4"/>
  <c r="H32" i="4"/>
  <c r="H33" i="4"/>
  <c r="H36" i="4"/>
  <c r="H37" i="4"/>
  <c r="G327" i="4" l="1"/>
  <c r="H281" i="4"/>
  <c r="H8" i="4" l="1"/>
  <c r="E24" i="36" l="1"/>
  <c r="E31" i="36"/>
  <c r="C24" i="36"/>
  <c r="C31" i="36"/>
  <c r="J7" i="39"/>
  <c r="J7" i="37"/>
  <c r="I32" i="37"/>
  <c r="I35" i="37" s="1"/>
  <c r="I38" i="37" s="1"/>
  <c r="H32" i="37"/>
  <c r="H35" i="37" s="1"/>
  <c r="H38" i="37" s="1"/>
  <c r="D32" i="37"/>
  <c r="D35" i="37" s="1"/>
  <c r="D38" i="37" s="1"/>
  <c r="C32" i="37"/>
  <c r="C35" i="37" s="1"/>
  <c r="B32" i="37"/>
  <c r="B35" i="37" s="1"/>
  <c r="B38" i="37" s="1"/>
  <c r="G28" i="37"/>
  <c r="G32" i="37" s="1"/>
  <c r="G35" i="37" s="1"/>
  <c r="E28" i="37"/>
  <c r="E32" i="37" s="1"/>
  <c r="E35" i="37" s="1"/>
  <c r="F26" i="37"/>
  <c r="F32" i="37" s="1"/>
  <c r="F35" i="37" s="1"/>
  <c r="F38" i="37" s="1"/>
  <c r="I32" i="39"/>
  <c r="I35" i="39" s="1"/>
  <c r="I38" i="39" s="1"/>
  <c r="H32" i="39"/>
  <c r="H35" i="39" s="1"/>
  <c r="H38" i="39" s="1"/>
  <c r="D32" i="39"/>
  <c r="D35" i="39" s="1"/>
  <c r="D38" i="39" s="1"/>
  <c r="C32" i="39"/>
  <c r="C35" i="39" s="1"/>
  <c r="B32" i="39"/>
  <c r="B35" i="39" s="1"/>
  <c r="B38" i="39" s="1"/>
  <c r="M32" i="39"/>
  <c r="M35" i="39" s="1"/>
  <c r="G28" i="39"/>
  <c r="G32" i="39" s="1"/>
  <c r="G35" i="39" s="1"/>
  <c r="E28" i="39"/>
  <c r="E32" i="39" s="1"/>
  <c r="E35" i="39" s="1"/>
  <c r="F26" i="39"/>
  <c r="F32" i="39" s="1"/>
  <c r="F35" i="39" s="1"/>
  <c r="F38" i="39" s="1"/>
  <c r="E28" i="34"/>
  <c r="E32" i="34" s="1"/>
  <c r="E35" i="34" s="1"/>
  <c r="E75" i="38"/>
  <c r="E63" i="38"/>
  <c r="E62" i="38"/>
  <c r="E31" i="38"/>
  <c r="E30" i="38"/>
  <c r="E29" i="38"/>
  <c r="E32" i="38" s="1"/>
  <c r="E28" i="38"/>
  <c r="E27" i="38"/>
  <c r="E26" i="38"/>
  <c r="E22" i="38"/>
  <c r="E21" i="38"/>
  <c r="E20" i="38"/>
  <c r="E23" i="38" s="1"/>
  <c r="N18" i="38"/>
  <c r="E15" i="38"/>
  <c r="M14" i="38"/>
  <c r="E14" i="38"/>
  <c r="E17" i="38" s="1"/>
  <c r="M7" i="38"/>
  <c r="M8" i="38" s="1"/>
  <c r="E4" i="38"/>
  <c r="E5" i="38" s="1"/>
  <c r="E75" i="40"/>
  <c r="E62" i="40"/>
  <c r="E63" i="40" s="1"/>
  <c r="E31" i="40"/>
  <c r="E30" i="40"/>
  <c r="E29" i="40"/>
  <c r="E28" i="40"/>
  <c r="E27" i="40"/>
  <c r="E26" i="40"/>
  <c r="E32" i="40" s="1"/>
  <c r="E22" i="40"/>
  <c r="E21" i="40"/>
  <c r="E20" i="40"/>
  <c r="E23" i="40" s="1"/>
  <c r="N18" i="40"/>
  <c r="E15" i="40"/>
  <c r="E17" i="40" s="1"/>
  <c r="E34" i="40" s="1"/>
  <c r="J4" i="39" s="1"/>
  <c r="K4" i="39" s="1"/>
  <c r="M14" i="40"/>
  <c r="E14" i="40"/>
  <c r="M9" i="40"/>
  <c r="M12" i="40" s="1"/>
  <c r="M8" i="40"/>
  <c r="M7" i="40"/>
  <c r="K7" i="37" l="1"/>
  <c r="C7" i="36"/>
  <c r="D7" i="36" s="1"/>
  <c r="K7" i="39"/>
  <c r="E7" i="36"/>
  <c r="F7" i="36" s="1"/>
  <c r="E4" i="36"/>
  <c r="F4" i="36" s="1"/>
  <c r="E34" i="38"/>
  <c r="J4" i="37" s="1"/>
  <c r="K4" i="37" s="1"/>
  <c r="E43" i="38"/>
  <c r="J5" i="37" s="1"/>
  <c r="K5" i="37" s="1"/>
  <c r="E47" i="38"/>
  <c r="M9" i="38"/>
  <c r="M12" i="38" s="1"/>
  <c r="E47" i="40"/>
  <c r="E46" i="40"/>
  <c r="E48" i="40" s="1"/>
  <c r="F31" i="36"/>
  <c r="D31" i="36"/>
  <c r="H32" i="34"/>
  <c r="H35" i="34" s="1"/>
  <c r="H38" i="34" s="1"/>
  <c r="H33" i="35"/>
  <c r="E32" i="35"/>
  <c r="C4" i="36" l="1"/>
  <c r="D4" i="36" s="1"/>
  <c r="C5" i="36"/>
  <c r="D5" i="36" s="1"/>
  <c r="E46" i="38"/>
  <c r="E48" i="38" s="1"/>
  <c r="E10" i="38"/>
  <c r="J3" i="37" s="1"/>
  <c r="E67" i="38"/>
  <c r="E69" i="38" s="1"/>
  <c r="E77" i="38" s="1"/>
  <c r="J8" i="37" s="1"/>
  <c r="K8" i="37" s="1"/>
  <c r="E50" i="40"/>
  <c r="E51" i="40" s="1"/>
  <c r="E10" i="40"/>
  <c r="J3" i="39" s="1"/>
  <c r="E67" i="40"/>
  <c r="E69" i="40" s="1"/>
  <c r="E77" i="40" s="1"/>
  <c r="J8" i="39" s="1"/>
  <c r="K8" i="39" s="1"/>
  <c r="E43" i="40"/>
  <c r="J5" i="39" s="1"/>
  <c r="H128" i="4"/>
  <c r="G65" i="4"/>
  <c r="K5" i="39" l="1"/>
  <c r="N5" i="39"/>
  <c r="K3" i="37"/>
  <c r="K3" i="39"/>
  <c r="E55" i="40"/>
  <c r="E3" i="36"/>
  <c r="F3" i="36" s="1"/>
  <c r="E59" i="40"/>
  <c r="E79" i="40" s="1"/>
  <c r="J6" i="39"/>
  <c r="E8" i="36"/>
  <c r="F8" i="36" s="1"/>
  <c r="E5" i="36"/>
  <c r="C8" i="36"/>
  <c r="D8" i="36" s="1"/>
  <c r="C3" i="36"/>
  <c r="E50" i="38"/>
  <c r="E51" i="38" s="1"/>
  <c r="F5" i="36" l="1"/>
  <c r="K6" i="39"/>
  <c r="D3" i="36"/>
  <c r="E6" i="36"/>
  <c r="F6" i="36" s="1"/>
  <c r="E59" i="38"/>
  <c r="E79" i="38" s="1"/>
  <c r="J6" i="37"/>
  <c r="E55" i="38"/>
  <c r="K6" i="37" l="1"/>
  <c r="N5" i="37"/>
  <c r="S7" i="39"/>
  <c r="C6" i="36"/>
  <c r="G349" i="4"/>
  <c r="D6" i="36" l="1"/>
  <c r="S7" i="37"/>
  <c r="H61" i="4" l="1"/>
  <c r="H264" i="4"/>
  <c r="F31" i="5"/>
  <c r="F30" i="5"/>
  <c r="F32" i="5" l="1"/>
  <c r="E32" i="5" s="1"/>
  <c r="H292" i="4"/>
  <c r="H293" i="4"/>
  <c r="G24" i="36" l="1"/>
  <c r="G31" i="36"/>
  <c r="H31" i="36" s="1"/>
  <c r="B32" i="36"/>
  <c r="B35" i="36" s="1"/>
  <c r="B38" i="36" s="1"/>
  <c r="H76" i="35" l="1"/>
  <c r="E76" i="35"/>
  <c r="H64" i="35"/>
  <c r="E64" i="35"/>
  <c r="H60" i="35"/>
  <c r="H56" i="35"/>
  <c r="H52" i="35"/>
  <c r="H49" i="35"/>
  <c r="H44" i="35"/>
  <c r="H70" i="35"/>
  <c r="H78" i="35" s="1"/>
  <c r="E31" i="35"/>
  <c r="E30" i="35"/>
  <c r="E29" i="35"/>
  <c r="E28" i="35"/>
  <c r="E27" i="35"/>
  <c r="H24" i="35"/>
  <c r="E21" i="35"/>
  <c r="H18" i="35"/>
  <c r="H11" i="35"/>
  <c r="D11" i="35" s="1"/>
  <c r="F32" i="34"/>
  <c r="F35" i="34" s="1"/>
  <c r="F38" i="34" s="1"/>
  <c r="B32" i="34"/>
  <c r="B35" i="34" s="1"/>
  <c r="B38" i="34" s="1"/>
  <c r="C28" i="34"/>
  <c r="C32" i="34" s="1"/>
  <c r="C35" i="34" s="1"/>
  <c r="D26" i="34"/>
  <c r="D32" i="34" s="1"/>
  <c r="D35" i="34" s="1"/>
  <c r="D38" i="34" s="1"/>
  <c r="K7" i="34" l="1"/>
  <c r="C14" i="44" s="1"/>
  <c r="D64" i="35"/>
  <c r="E33" i="35"/>
  <c r="E48" i="35" s="1"/>
  <c r="E18" i="35"/>
  <c r="E68" i="35"/>
  <c r="H35" i="35"/>
  <c r="H80" i="35" s="1"/>
  <c r="E24" i="35"/>
  <c r="N32" i="34"/>
  <c r="N35" i="34" s="1"/>
  <c r="E44" i="35"/>
  <c r="H265" i="4"/>
  <c r="G7" i="36" l="1"/>
  <c r="H7" i="36" s="1"/>
  <c r="L7" i="34"/>
  <c r="K5" i="34"/>
  <c r="D44" i="35"/>
  <c r="E35" i="35"/>
  <c r="D35" i="35" s="1"/>
  <c r="E14" i="44"/>
  <c r="D14" i="44"/>
  <c r="D63" i="40"/>
  <c r="K3" i="34"/>
  <c r="E70" i="35"/>
  <c r="E78" i="35" s="1"/>
  <c r="K8" i="34" s="1"/>
  <c r="E47" i="35"/>
  <c r="E49" i="35" s="1"/>
  <c r="L5" i="34" l="1"/>
  <c r="L3" i="34"/>
  <c r="K4" i="34"/>
  <c r="G4" i="36" s="1"/>
  <c r="H4" i="36" s="1"/>
  <c r="C12" i="44"/>
  <c r="D78" i="35"/>
  <c r="G5" i="36"/>
  <c r="H5" i="36" s="1"/>
  <c r="E54" i="35"/>
  <c r="E58" i="35"/>
  <c r="K6" i="34" s="1"/>
  <c r="E55" i="35"/>
  <c r="E51" i="35"/>
  <c r="E52" i="35" s="1"/>
  <c r="G3" i="36"/>
  <c r="C10" i="44"/>
  <c r="E10" i="44" s="1"/>
  <c r="H3" i="36" l="1"/>
  <c r="D12" i="44"/>
  <c r="E12" i="44"/>
  <c r="O5" i="34"/>
  <c r="L4" i="34"/>
  <c r="L8" i="34"/>
  <c r="G8" i="36"/>
  <c r="H8" i="36" s="1"/>
  <c r="C11" i="44"/>
  <c r="E11" i="44" s="1"/>
  <c r="C15" i="44"/>
  <c r="D15" i="44" s="1"/>
  <c r="L6" i="34"/>
  <c r="C13" i="44"/>
  <c r="D13" i="44" s="1"/>
  <c r="D10" i="44"/>
  <c r="E56" i="35"/>
  <c r="D56" i="35" s="1"/>
  <c r="E60" i="35"/>
  <c r="D60" i="35" s="1"/>
  <c r="D11" i="44" l="1"/>
  <c r="E15" i="44"/>
  <c r="E13" i="44"/>
  <c r="E80" i="35"/>
  <c r="D80" i="35" s="1"/>
  <c r="G6" i="36"/>
  <c r="T7" i="34"/>
  <c r="H247" i="4"/>
  <c r="E8" i="6" l="1"/>
  <c r="E53" i="6" s="1"/>
  <c r="H6" i="36"/>
  <c r="K97" i="4"/>
  <c r="H56" i="4"/>
  <c r="H108" i="4"/>
  <c r="H234" i="4" l="1"/>
  <c r="H245" i="4"/>
  <c r="K259" i="4"/>
  <c r="H196" i="4"/>
  <c r="H197" i="4"/>
  <c r="H199" i="4"/>
  <c r="H200" i="4"/>
  <c r="H207" i="4"/>
  <c r="H209" i="4"/>
  <c r="H212" i="4"/>
  <c r="H213" i="4"/>
  <c r="H214" i="4"/>
  <c r="H216" i="4"/>
  <c r="H218" i="4"/>
  <c r="H219" i="4"/>
  <c r="H220" i="4"/>
  <c r="H222" i="4"/>
  <c r="H223" i="4"/>
  <c r="H235" i="4"/>
  <c r="H154" i="4"/>
  <c r="H152" i="4"/>
  <c r="H256" i="4"/>
  <c r="B243" i="4"/>
  <c r="B262" i="4"/>
  <c r="H150" i="4"/>
  <c r="H263" i="4"/>
  <c r="H279" i="4"/>
  <c r="G141" i="4"/>
  <c r="H141" i="4" s="1"/>
  <c r="B138" i="4"/>
  <c r="H7" i="4"/>
  <c r="H41" i="4"/>
  <c r="H42" i="4"/>
  <c r="H43" i="4"/>
  <c r="H334" i="4"/>
  <c r="H333" i="4"/>
  <c r="H332" i="4"/>
  <c r="H53" i="4"/>
  <c r="H111" i="4"/>
  <c r="H122" i="4"/>
  <c r="H123" i="4"/>
  <c r="H124" i="4"/>
  <c r="H125" i="4"/>
  <c r="G126" i="4"/>
  <c r="H126" i="4" s="1"/>
  <c r="H127" i="4"/>
  <c r="H129" i="4"/>
  <c r="H130" i="4"/>
  <c r="H131" i="4"/>
  <c r="H132" i="4"/>
  <c r="H133" i="4"/>
  <c r="H134" i="4"/>
  <c r="B102" i="4"/>
  <c r="B196" i="4"/>
  <c r="K135" i="4"/>
  <c r="B35" i="5"/>
  <c r="B36" i="5" s="1"/>
  <c r="B30" i="5"/>
  <c r="B31" i="5" s="1"/>
  <c r="B18" i="5"/>
  <c r="B19" i="5" s="1"/>
  <c r="B20" i="5" s="1"/>
  <c r="B21" i="5" s="1"/>
  <c r="B22" i="5" s="1"/>
  <c r="B23" i="5" s="1"/>
  <c r="B24" i="5" s="1"/>
  <c r="B25" i="5" s="1"/>
  <c r="B26" i="5" s="1"/>
  <c r="B13" i="5"/>
  <c r="B14" i="5" s="1"/>
  <c r="B4" i="5"/>
  <c r="B5" i="5" s="1"/>
  <c r="B6" i="5" s="1"/>
  <c r="B7" i="5" s="1"/>
  <c r="B8" i="5" s="1"/>
  <c r="B9" i="5" s="1"/>
  <c r="I349" i="4"/>
  <c r="J349" i="4"/>
  <c r="B192" i="4"/>
  <c r="B348" i="4"/>
  <c r="B342" i="4"/>
  <c r="B343" i="4" s="1"/>
  <c r="B344" i="4" s="1"/>
  <c r="B338" i="4"/>
  <c r="B330" i="4"/>
  <c r="B309" i="4"/>
  <c r="B239" i="4"/>
  <c r="B186" i="4"/>
  <c r="B158" i="4"/>
  <c r="B147" i="4"/>
  <c r="B85" i="4"/>
  <c r="B69" i="4"/>
  <c r="B65" i="4"/>
  <c r="B41" i="4"/>
  <c r="B18" i="4"/>
  <c r="B4" i="4"/>
  <c r="F18" i="5"/>
  <c r="H73" i="4"/>
  <c r="H169" i="4"/>
  <c r="G170" i="4"/>
  <c r="H72" i="4"/>
  <c r="F36" i="5"/>
  <c r="N11" i="6"/>
  <c r="F26" i="5"/>
  <c r="F25" i="5"/>
  <c r="F24" i="5"/>
  <c r="F23" i="5"/>
  <c r="F22" i="5"/>
  <c r="F21" i="5"/>
  <c r="F20" i="5"/>
  <c r="F19" i="5"/>
  <c r="N9" i="6"/>
  <c r="K349" i="4"/>
  <c r="H344" i="4"/>
  <c r="H345" i="4" s="1"/>
  <c r="G345" i="4" s="1"/>
  <c r="K339" i="4"/>
  <c r="H338" i="4"/>
  <c r="H339" i="4" s="1"/>
  <c r="G331" i="4"/>
  <c r="H331" i="4" s="1"/>
  <c r="G330" i="4"/>
  <c r="H330" i="4" s="1"/>
  <c r="H301" i="4"/>
  <c r="H300" i="4"/>
  <c r="H299" i="4"/>
  <c r="H298" i="4"/>
  <c r="H297" i="4"/>
  <c r="H296" i="4"/>
  <c r="H295" i="4"/>
  <c r="H291" i="4"/>
  <c r="H290" i="4"/>
  <c r="H289" i="4"/>
  <c r="H280" i="4"/>
  <c r="H278" i="4"/>
  <c r="H277" i="4"/>
  <c r="H275" i="4"/>
  <c r="H274" i="4"/>
  <c r="H273" i="4"/>
  <c r="H272" i="4"/>
  <c r="H271" i="4"/>
  <c r="H270" i="4"/>
  <c r="H262" i="4"/>
  <c r="H258" i="4"/>
  <c r="H257" i="4"/>
  <c r="H254" i="4"/>
  <c r="H251" i="4"/>
  <c r="H249" i="4"/>
  <c r="H243" i="4"/>
  <c r="K240" i="4"/>
  <c r="H239" i="4"/>
  <c r="H240" i="4" s="1"/>
  <c r="K193" i="4"/>
  <c r="H192" i="4"/>
  <c r="H193" i="4" s="1"/>
  <c r="K189" i="4"/>
  <c r="H188" i="4"/>
  <c r="H187" i="4"/>
  <c r="H186" i="4"/>
  <c r="K183" i="4"/>
  <c r="K155" i="4"/>
  <c r="K144" i="4"/>
  <c r="H143" i="4"/>
  <c r="H142" i="4"/>
  <c r="H140" i="4"/>
  <c r="H139" i="4"/>
  <c r="H138" i="4"/>
  <c r="H110" i="4"/>
  <c r="H107" i="4"/>
  <c r="H106" i="4"/>
  <c r="H105" i="4"/>
  <c r="H104" i="4"/>
  <c r="H103" i="4"/>
  <c r="H102" i="4"/>
  <c r="H101" i="4"/>
  <c r="H100" i="4"/>
  <c r="H93" i="4"/>
  <c r="H97" i="4" s="1"/>
  <c r="G97" i="4" s="1"/>
  <c r="K82" i="4"/>
  <c r="K66" i="4"/>
  <c r="H65" i="4"/>
  <c r="H66" i="4" s="1"/>
  <c r="K62" i="4"/>
  <c r="H57" i="4"/>
  <c r="H60" i="4"/>
  <c r="H59" i="4"/>
  <c r="H58" i="4"/>
  <c r="H55" i="4"/>
  <c r="H54" i="4"/>
  <c r="H52" i="4"/>
  <c r="H50" i="4"/>
  <c r="H49" i="4"/>
  <c r="H48" i="4"/>
  <c r="H47" i="4"/>
  <c r="H46" i="4"/>
  <c r="H45" i="4"/>
  <c r="H44" i="4"/>
  <c r="K38" i="4"/>
  <c r="H19" i="4"/>
  <c r="H18" i="4"/>
  <c r="K15" i="4"/>
  <c r="H14" i="4"/>
  <c r="H13" i="4"/>
  <c r="H12" i="4"/>
  <c r="H11" i="4"/>
  <c r="H9" i="4"/>
  <c r="H6" i="4"/>
  <c r="H5" i="4"/>
  <c r="I329" i="4"/>
  <c r="I4" i="4"/>
  <c r="G339" i="4" l="1"/>
  <c r="G240" i="4"/>
  <c r="I99" i="4"/>
  <c r="I191" i="4"/>
  <c r="I341" i="4"/>
  <c r="I138" i="4"/>
  <c r="I186" i="4"/>
  <c r="I261" i="4"/>
  <c r="I158" i="4"/>
  <c r="I185" i="4"/>
  <c r="I41" i="4"/>
  <c r="I85" i="4"/>
  <c r="I40" i="4"/>
  <c r="I242" i="4"/>
  <c r="I342" i="4"/>
  <c r="I69" i="4"/>
  <c r="I137" i="4"/>
  <c r="I337" i="4"/>
  <c r="I309" i="4"/>
  <c r="I157" i="4"/>
  <c r="I330" i="4"/>
  <c r="I238" i="4"/>
  <c r="I18" i="4"/>
  <c r="I262" i="4"/>
  <c r="I84" i="4"/>
  <c r="I243" i="4"/>
  <c r="I65" i="4"/>
  <c r="I239" i="4"/>
  <c r="I308" i="4"/>
  <c r="I146" i="4"/>
  <c r="H82" i="4" l="1"/>
  <c r="G82" i="4" s="1"/>
  <c r="H38" i="4"/>
  <c r="F10" i="5"/>
  <c r="H236" i="4"/>
  <c r="G236" i="4" s="1"/>
  <c r="H259" i="4"/>
  <c r="G259" i="4" s="1"/>
  <c r="H62" i="4"/>
  <c r="G62" i="4" s="1"/>
  <c r="H306" i="4"/>
  <c r="H144" i="4"/>
  <c r="G144" i="4" s="1"/>
  <c r="H335" i="4"/>
  <c r="H155" i="4"/>
  <c r="G155" i="4" s="1"/>
  <c r="H189" i="4"/>
  <c r="G189" i="4" s="1"/>
  <c r="H135" i="4"/>
  <c r="G135" i="4" s="1"/>
  <c r="B159" i="4"/>
  <c r="B187" i="4"/>
  <c r="B197" i="4"/>
  <c r="B331" i="4"/>
  <c r="B310" i="4"/>
  <c r="B70" i="4"/>
  <c r="B71" i="4" s="1"/>
  <c r="B86" i="4"/>
  <c r="B87" i="4" s="1"/>
  <c r="B42" i="4"/>
  <c r="B148" i="4"/>
  <c r="B149" i="4" s="1"/>
  <c r="B263" i="4"/>
  <c r="K19" i="34"/>
  <c r="B244" i="4"/>
  <c r="H170" i="4"/>
  <c r="H183" i="4" s="1"/>
  <c r="G183" i="4" s="1"/>
  <c r="J30" i="37"/>
  <c r="C30" i="36" s="1"/>
  <c r="J30" i="39"/>
  <c r="E30" i="36" s="1"/>
  <c r="B103" i="4"/>
  <c r="K30" i="34"/>
  <c r="B19" i="4"/>
  <c r="B5" i="4"/>
  <c r="B139" i="4"/>
  <c r="J308" i="4"/>
  <c r="J101" i="4"/>
  <c r="J337" i="4"/>
  <c r="I347" i="4"/>
  <c r="J329" i="4"/>
  <c r="J347" i="4" s="1"/>
  <c r="G27" i="5"/>
  <c r="H18" i="5"/>
  <c r="J100" i="4"/>
  <c r="J41" i="4"/>
  <c r="H23" i="5"/>
  <c r="J238" i="4"/>
  <c r="H9" i="5"/>
  <c r="H24" i="5"/>
  <c r="H20" i="5"/>
  <c r="H25" i="5"/>
  <c r="J65" i="4"/>
  <c r="J66" i="4" s="1"/>
  <c r="I66" i="4"/>
  <c r="J196" i="4"/>
  <c r="I339" i="4"/>
  <c r="J338" i="4"/>
  <c r="J339" i="4" s="1"/>
  <c r="H26" i="5"/>
  <c r="J158" i="4"/>
  <c r="H8" i="5"/>
  <c r="H22" i="5"/>
  <c r="H6" i="5"/>
  <c r="J242" i="4"/>
  <c r="J40" i="4"/>
  <c r="H21" i="5"/>
  <c r="J239" i="4"/>
  <c r="J240" i="4" s="1"/>
  <c r="I240" i="4"/>
  <c r="G32" i="5"/>
  <c r="H30" i="5"/>
  <c r="J102" i="4"/>
  <c r="J262" i="4"/>
  <c r="J84" i="4"/>
  <c r="J146" i="4"/>
  <c r="J147" i="4"/>
  <c r="H36" i="5"/>
  <c r="H31" i="5"/>
  <c r="J330" i="4"/>
  <c r="H19" i="5"/>
  <c r="J99" i="4"/>
  <c r="G15" i="5"/>
  <c r="H13" i="5"/>
  <c r="H4" i="5"/>
  <c r="G10" i="5"/>
  <c r="H14" i="5"/>
  <c r="J185" i="4"/>
  <c r="H5" i="5"/>
  <c r="J157" i="4"/>
  <c r="H7" i="5"/>
  <c r="I193" i="4"/>
  <c r="J192" i="4"/>
  <c r="J193" i="4" s="1"/>
  <c r="J191" i="4"/>
  <c r="J341" i="4"/>
  <c r="J137" i="4"/>
  <c r="J261" i="4"/>
  <c r="G37" i="5"/>
  <c r="H35" i="5"/>
  <c r="I159" i="4"/>
  <c r="I310" i="4"/>
  <c r="I42" i="4"/>
  <c r="I263" i="4"/>
  <c r="I86" i="4"/>
  <c r="I71" i="4"/>
  <c r="I331" i="4"/>
  <c r="I244" i="4"/>
  <c r="I5" i="4"/>
  <c r="I19" i="4"/>
  <c r="I70" i="4"/>
  <c r="I187" i="4"/>
  <c r="I87" i="4"/>
  <c r="I139" i="4"/>
  <c r="L19" i="34" l="1"/>
  <c r="G306" i="4"/>
  <c r="G38" i="4"/>
  <c r="F39" i="5"/>
  <c r="E10" i="5"/>
  <c r="J331" i="4"/>
  <c r="J148" i="4"/>
  <c r="J42" i="4"/>
  <c r="J159" i="4"/>
  <c r="B104" i="4"/>
  <c r="B264" i="4"/>
  <c r="B311" i="4"/>
  <c r="B332" i="4"/>
  <c r="B198" i="4"/>
  <c r="B150" i="4"/>
  <c r="B188" i="4"/>
  <c r="B43" i="4"/>
  <c r="B160" i="4"/>
  <c r="G30" i="36"/>
  <c r="C37" i="44"/>
  <c r="D37" i="44" s="1"/>
  <c r="C26" i="44"/>
  <c r="J243" i="4"/>
  <c r="B245" i="4"/>
  <c r="J21" i="39"/>
  <c r="K21" i="39" s="1"/>
  <c r="J21" i="37"/>
  <c r="K21" i="37" s="1"/>
  <c r="J19" i="39"/>
  <c r="K19" i="39" s="1"/>
  <c r="J19" i="37"/>
  <c r="K19" i="37" s="1"/>
  <c r="J12" i="39"/>
  <c r="K12" i="39" s="1"/>
  <c r="J12" i="37"/>
  <c r="K12" i="37" s="1"/>
  <c r="J26" i="39"/>
  <c r="K26" i="39" s="1"/>
  <c r="J26" i="37"/>
  <c r="K26" i="37" s="1"/>
  <c r="J23" i="37"/>
  <c r="K23" i="37" s="1"/>
  <c r="J23" i="39"/>
  <c r="K23" i="39" s="1"/>
  <c r="J15" i="39"/>
  <c r="J15" i="37"/>
  <c r="J28" i="39"/>
  <c r="J28" i="37"/>
  <c r="J20" i="39"/>
  <c r="K20" i="39" s="1"/>
  <c r="J20" i="37"/>
  <c r="K20" i="37" s="1"/>
  <c r="J18" i="39"/>
  <c r="K18" i="39" s="1"/>
  <c r="J18" i="37"/>
  <c r="K18" i="37" s="1"/>
  <c r="J27" i="39"/>
  <c r="K27" i="39" s="1"/>
  <c r="J27" i="37"/>
  <c r="K27" i="37" s="1"/>
  <c r="J11" i="39"/>
  <c r="K11" i="39" s="1"/>
  <c r="J11" i="37"/>
  <c r="K11" i="37" s="1"/>
  <c r="J13" i="39"/>
  <c r="K13" i="39" s="1"/>
  <c r="J13" i="37"/>
  <c r="K13" i="37" s="1"/>
  <c r="J29" i="39"/>
  <c r="J29" i="37"/>
  <c r="J22" i="39"/>
  <c r="K22" i="39" s="1"/>
  <c r="J22" i="37"/>
  <c r="K22" i="37" s="1"/>
  <c r="J10" i="37"/>
  <c r="K10" i="37" s="1"/>
  <c r="J10" i="39"/>
  <c r="K10" i="39" s="1"/>
  <c r="J16" i="39"/>
  <c r="K16" i="39" s="1"/>
  <c r="J16" i="37"/>
  <c r="K16" i="37" s="1"/>
  <c r="J25" i="39"/>
  <c r="K25" i="39" s="1"/>
  <c r="J25" i="37"/>
  <c r="K25" i="37" s="1"/>
  <c r="J17" i="39"/>
  <c r="K17" i="39" s="1"/>
  <c r="J17" i="37"/>
  <c r="J14" i="39"/>
  <c r="K14" i="39" s="1"/>
  <c r="J14" i="37"/>
  <c r="K14" i="37" s="1"/>
  <c r="N12" i="6"/>
  <c r="K335" i="4"/>
  <c r="J69" i="4"/>
  <c r="J103" i="4"/>
  <c r="J263" i="4"/>
  <c r="J186" i="4"/>
  <c r="J342" i="4"/>
  <c r="J197" i="4"/>
  <c r="J85" i="4"/>
  <c r="K29" i="34"/>
  <c r="K12" i="34"/>
  <c r="K26" i="34"/>
  <c r="K20" i="34"/>
  <c r="K28" i="34"/>
  <c r="K22" i="34"/>
  <c r="K27" i="34"/>
  <c r="K21" i="34"/>
  <c r="K15" i="34"/>
  <c r="K10" i="34"/>
  <c r="K17" i="34"/>
  <c r="K14" i="34"/>
  <c r="K25" i="34"/>
  <c r="K11" i="34"/>
  <c r="K23" i="34"/>
  <c r="K16" i="34"/>
  <c r="K13" i="34"/>
  <c r="K18" i="34"/>
  <c r="H37" i="5"/>
  <c r="J138" i="4"/>
  <c r="J187" i="4"/>
  <c r="J309" i="4"/>
  <c r="J18" i="4"/>
  <c r="J310" i="4"/>
  <c r="J70" i="4"/>
  <c r="J86" i="4"/>
  <c r="N8" i="6"/>
  <c r="B72" i="4"/>
  <c r="B88" i="4"/>
  <c r="B89" i="4" s="1"/>
  <c r="B90" i="4" s="1"/>
  <c r="B91" i="4" s="1"/>
  <c r="B140" i="4"/>
  <c r="B20" i="4"/>
  <c r="N10" i="6"/>
  <c r="B6" i="4"/>
  <c r="H10" i="5"/>
  <c r="H32" i="5"/>
  <c r="H27" i="5"/>
  <c r="G39" i="5"/>
  <c r="H15" i="5"/>
  <c r="I311" i="4"/>
  <c r="I332" i="4"/>
  <c r="I343" i="4"/>
  <c r="I20" i="4"/>
  <c r="I188" i="4"/>
  <c r="I140" i="4"/>
  <c r="I264" i="4"/>
  <c r="I91" i="4"/>
  <c r="I72" i="4"/>
  <c r="I88" i="4"/>
  <c r="B92" i="4" l="1"/>
  <c r="B93" i="4" s="1"/>
  <c r="I160" i="4"/>
  <c r="I245" i="4"/>
  <c r="I6" i="4"/>
  <c r="I43" i="4"/>
  <c r="B94" i="4" l="1"/>
  <c r="B95" i="4" s="1"/>
  <c r="B96" i="4" s="1"/>
  <c r="L18" i="34"/>
  <c r="L17" i="34"/>
  <c r="L26" i="34"/>
  <c r="L13" i="34"/>
  <c r="O17" i="34"/>
  <c r="L12" i="34"/>
  <c r="L16" i="34"/>
  <c r="L21" i="34"/>
  <c r="O31" i="34"/>
  <c r="L23" i="34"/>
  <c r="L27" i="34"/>
  <c r="L11" i="34"/>
  <c r="L22" i="34"/>
  <c r="O28" i="34"/>
  <c r="L14" i="34"/>
  <c r="L20" i="34"/>
  <c r="L25" i="34"/>
  <c r="L10" i="34"/>
  <c r="E39" i="5"/>
  <c r="K351" i="4"/>
  <c r="T9" i="34"/>
  <c r="J343" i="4"/>
  <c r="J264" i="4"/>
  <c r="J160" i="4"/>
  <c r="J104" i="4"/>
  <c r="J43" i="4"/>
  <c r="J188" i="4"/>
  <c r="J189" i="4" s="1"/>
  <c r="I189" i="4"/>
  <c r="J149" i="4"/>
  <c r="J332" i="4"/>
  <c r="B161" i="4"/>
  <c r="B105" i="4"/>
  <c r="B44" i="4"/>
  <c r="B151" i="4"/>
  <c r="B265" i="4"/>
  <c r="B199" i="4"/>
  <c r="B7" i="4"/>
  <c r="B333" i="4"/>
  <c r="C35" i="44"/>
  <c r="E35" i="44" s="1"/>
  <c r="L28" i="34"/>
  <c r="C36" i="44"/>
  <c r="E36" i="44" s="1"/>
  <c r="L29" i="34"/>
  <c r="B312" i="4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C22" i="44"/>
  <c r="E22" i="44" s="1"/>
  <c r="L15" i="34"/>
  <c r="C21" i="44"/>
  <c r="C24" i="44"/>
  <c r="C27" i="44"/>
  <c r="C25" i="44"/>
  <c r="C33" i="44"/>
  <c r="C20" i="44"/>
  <c r="C17" i="44"/>
  <c r="C23" i="44"/>
  <c r="C19" i="44"/>
  <c r="E26" i="44"/>
  <c r="D26" i="44"/>
  <c r="C30" i="44"/>
  <c r="C28" i="44"/>
  <c r="C18" i="44"/>
  <c r="C34" i="44"/>
  <c r="C32" i="44"/>
  <c r="C29" i="44"/>
  <c r="T10" i="34"/>
  <c r="T11" i="34"/>
  <c r="J244" i="4"/>
  <c r="C17" i="36"/>
  <c r="D17" i="36" s="1"/>
  <c r="K17" i="37"/>
  <c r="N31" i="37"/>
  <c r="K29" i="37"/>
  <c r="N28" i="37"/>
  <c r="K28" i="37"/>
  <c r="N17" i="37"/>
  <c r="K15" i="37"/>
  <c r="N31" i="39"/>
  <c r="K29" i="39"/>
  <c r="N28" i="39"/>
  <c r="K28" i="39"/>
  <c r="N17" i="39"/>
  <c r="K15" i="39"/>
  <c r="B246" i="4"/>
  <c r="J34" i="37"/>
  <c r="J34" i="39"/>
  <c r="C14" i="36"/>
  <c r="D14" i="36" s="1"/>
  <c r="E10" i="36"/>
  <c r="F10" i="36" s="1"/>
  <c r="C11" i="36"/>
  <c r="D11" i="36" s="1"/>
  <c r="C28" i="36"/>
  <c r="D28" i="36" s="1"/>
  <c r="C12" i="36"/>
  <c r="D12" i="36" s="1"/>
  <c r="E14" i="36"/>
  <c r="F14" i="36" s="1"/>
  <c r="C10" i="36"/>
  <c r="D10" i="36" s="1"/>
  <c r="E11" i="36"/>
  <c r="F11" i="36" s="1"/>
  <c r="E28" i="36"/>
  <c r="F28" i="36" s="1"/>
  <c r="E12" i="36"/>
  <c r="F12" i="36" s="1"/>
  <c r="C22" i="36"/>
  <c r="D22" i="36" s="1"/>
  <c r="C27" i="36"/>
  <c r="D27" i="36" s="1"/>
  <c r="C15" i="36"/>
  <c r="D15" i="36" s="1"/>
  <c r="E17" i="36"/>
  <c r="F17" i="36" s="1"/>
  <c r="E22" i="36"/>
  <c r="F22" i="36" s="1"/>
  <c r="E27" i="36"/>
  <c r="F27" i="36" s="1"/>
  <c r="E15" i="36"/>
  <c r="F15" i="36" s="1"/>
  <c r="C25" i="36"/>
  <c r="D25" i="36" s="1"/>
  <c r="C29" i="36"/>
  <c r="D29" i="36" s="1"/>
  <c r="C18" i="36"/>
  <c r="D18" i="36" s="1"/>
  <c r="E23" i="36"/>
  <c r="F23" i="36" s="1"/>
  <c r="C19" i="36"/>
  <c r="D19" i="36" s="1"/>
  <c r="E25" i="36"/>
  <c r="E29" i="36"/>
  <c r="F29" i="36" s="1"/>
  <c r="E18" i="36"/>
  <c r="F18" i="36" s="1"/>
  <c r="C23" i="36"/>
  <c r="D23" i="36" s="1"/>
  <c r="E19" i="36"/>
  <c r="F19" i="36" s="1"/>
  <c r="C16" i="36"/>
  <c r="D16" i="36" s="1"/>
  <c r="C13" i="36"/>
  <c r="D13" i="36" s="1"/>
  <c r="C20" i="36"/>
  <c r="D20" i="36" s="1"/>
  <c r="C26" i="36"/>
  <c r="D26" i="36" s="1"/>
  <c r="C21" i="36"/>
  <c r="D21" i="36" s="1"/>
  <c r="E16" i="36"/>
  <c r="F16" i="36" s="1"/>
  <c r="E13" i="36"/>
  <c r="F13" i="36" s="1"/>
  <c r="E20" i="36"/>
  <c r="F20" i="36" s="1"/>
  <c r="E26" i="36"/>
  <c r="F26" i="36" s="1"/>
  <c r="E21" i="36"/>
  <c r="F21" i="36" s="1"/>
  <c r="K34" i="34"/>
  <c r="G26" i="36"/>
  <c r="H26" i="36" s="1"/>
  <c r="G22" i="36"/>
  <c r="H22" i="36" s="1"/>
  <c r="G12" i="36"/>
  <c r="H12" i="36" s="1"/>
  <c r="G66" i="4" s="1"/>
  <c r="G27" i="36"/>
  <c r="H27" i="36" s="1"/>
  <c r="G335" i="4" s="1"/>
  <c r="G28" i="36"/>
  <c r="E11" i="6" s="1"/>
  <c r="G20" i="36"/>
  <c r="H20" i="36" s="1"/>
  <c r="G193" i="4" s="1"/>
  <c r="G29" i="36"/>
  <c r="E12" i="6" s="1"/>
  <c r="G13" i="36"/>
  <c r="H13" i="36" s="1"/>
  <c r="G25" i="36"/>
  <c r="H25" i="36" s="1"/>
  <c r="G16" i="36"/>
  <c r="H16" i="36" s="1"/>
  <c r="G14" i="36"/>
  <c r="H14" i="36" s="1"/>
  <c r="G10" i="36"/>
  <c r="H10" i="36" s="1"/>
  <c r="G19" i="36"/>
  <c r="H19" i="36" s="1"/>
  <c r="G23" i="36"/>
  <c r="H23" i="36" s="1"/>
  <c r="G15" i="36"/>
  <c r="G17" i="36"/>
  <c r="H17" i="36" s="1"/>
  <c r="G11" i="36"/>
  <c r="H11" i="36" s="1"/>
  <c r="G21" i="36"/>
  <c r="H21" i="36" s="1"/>
  <c r="G18" i="36"/>
  <c r="H18" i="36" s="1"/>
  <c r="J87" i="4"/>
  <c r="J19" i="4"/>
  <c r="J5" i="4"/>
  <c r="J139" i="4"/>
  <c r="J71" i="4"/>
  <c r="H39" i="5"/>
  <c r="B141" i="4"/>
  <c r="B73" i="4"/>
  <c r="B21" i="4"/>
  <c r="N13" i="6"/>
  <c r="I161" i="4"/>
  <c r="I344" i="4"/>
  <c r="I7" i="4"/>
  <c r="I333" i="4"/>
  <c r="I265" i="4"/>
  <c r="I44" i="4"/>
  <c r="I21" i="4"/>
  <c r="I141" i="4"/>
  <c r="O34" i="34" l="1"/>
  <c r="L34" i="34"/>
  <c r="J344" i="4"/>
  <c r="J345" i="4" s="1"/>
  <c r="D36" i="44"/>
  <c r="C40" i="44"/>
  <c r="D40" i="44" s="1"/>
  <c r="D22" i="44"/>
  <c r="J44" i="4"/>
  <c r="J105" i="4"/>
  <c r="J161" i="4"/>
  <c r="J333" i="4"/>
  <c r="I345" i="4"/>
  <c r="J199" i="4"/>
  <c r="J150" i="4"/>
  <c r="B45" i="4"/>
  <c r="B106" i="4"/>
  <c r="B162" i="4"/>
  <c r="B334" i="4"/>
  <c r="B8" i="4"/>
  <c r="B200" i="4"/>
  <c r="D35" i="44"/>
  <c r="B266" i="4"/>
  <c r="B247" i="4"/>
  <c r="B152" i="4"/>
  <c r="E10" i="6"/>
  <c r="E55" i="6" s="1"/>
  <c r="E27" i="44"/>
  <c r="D27" i="44"/>
  <c r="D32" i="44"/>
  <c r="E32" i="44"/>
  <c r="E28" i="44"/>
  <c r="D28" i="44"/>
  <c r="D33" i="44"/>
  <c r="E33" i="44"/>
  <c r="E24" i="44"/>
  <c r="D24" i="44"/>
  <c r="E34" i="44"/>
  <c r="D34" i="44"/>
  <c r="E30" i="44"/>
  <c r="D30" i="44"/>
  <c r="D23" i="44"/>
  <c r="E23" i="44"/>
  <c r="E21" i="44"/>
  <c r="D21" i="44"/>
  <c r="E18" i="44"/>
  <c r="D18" i="44"/>
  <c r="D17" i="44"/>
  <c r="E17" i="44"/>
  <c r="D25" i="44"/>
  <c r="E25" i="44"/>
  <c r="D29" i="44"/>
  <c r="E29" i="44"/>
  <c r="E19" i="44"/>
  <c r="D19" i="44"/>
  <c r="D20" i="44"/>
  <c r="E20" i="44"/>
  <c r="O8" i="6"/>
  <c r="E58" i="6"/>
  <c r="F25" i="36"/>
  <c r="T12" i="34"/>
  <c r="J245" i="4"/>
  <c r="C34" i="36"/>
  <c r="D34" i="36" s="1"/>
  <c r="N34" i="37"/>
  <c r="S12" i="37" s="1"/>
  <c r="K34" i="37"/>
  <c r="E34" i="36"/>
  <c r="F34" i="36" s="1"/>
  <c r="N34" i="39"/>
  <c r="S12" i="39" s="1"/>
  <c r="K34" i="39"/>
  <c r="S9" i="39"/>
  <c r="S10" i="37"/>
  <c r="S11" i="39"/>
  <c r="S9" i="37"/>
  <c r="S11" i="37"/>
  <c r="S10" i="39"/>
  <c r="H28" i="36"/>
  <c r="E56" i="6"/>
  <c r="H15" i="36"/>
  <c r="H29" i="36"/>
  <c r="E57" i="6"/>
  <c r="G34" i="36"/>
  <c r="H34" i="36" s="1"/>
  <c r="J20" i="4"/>
  <c r="J140" i="4"/>
  <c r="J88" i="4"/>
  <c r="J72" i="4"/>
  <c r="J6" i="4"/>
  <c r="B74" i="4"/>
  <c r="O9" i="6"/>
  <c r="O11" i="6"/>
  <c r="O12" i="6"/>
  <c r="B142" i="4"/>
  <c r="B22" i="4"/>
  <c r="O10" i="6"/>
  <c r="I314" i="4"/>
  <c r="I22" i="4"/>
  <c r="I89" i="4"/>
  <c r="I162" i="4"/>
  <c r="I312" i="4"/>
  <c r="I142" i="4"/>
  <c r="I266" i="4"/>
  <c r="I73" i="4"/>
  <c r="I45" i="4"/>
  <c r="I74" i="4"/>
  <c r="I90" i="4"/>
  <c r="I8" i="4"/>
  <c r="I334" i="4"/>
  <c r="J312" i="4" l="1"/>
  <c r="E40" i="44"/>
  <c r="J334" i="4"/>
  <c r="I335" i="4"/>
  <c r="J162" i="4"/>
  <c r="J314" i="4"/>
  <c r="J106" i="4"/>
  <c r="J45" i="4"/>
  <c r="J200" i="4"/>
  <c r="B153" i="4"/>
  <c r="B9" i="4"/>
  <c r="B248" i="4"/>
  <c r="B267" i="4"/>
  <c r="B163" i="4"/>
  <c r="B107" i="4"/>
  <c r="B46" i="4"/>
  <c r="B201" i="4"/>
  <c r="O13" i="6"/>
  <c r="J246" i="4"/>
  <c r="J73" i="4"/>
  <c r="J141" i="4"/>
  <c r="J21" i="4"/>
  <c r="J89" i="4"/>
  <c r="B75" i="4"/>
  <c r="B143" i="4"/>
  <c r="B23" i="4"/>
  <c r="I315" i="4"/>
  <c r="I143" i="4"/>
  <c r="I9" i="4"/>
  <c r="I23" i="4"/>
  <c r="I75" i="4"/>
  <c r="J248" i="4" l="1"/>
  <c r="J335" i="4"/>
  <c r="J107" i="4"/>
  <c r="J315" i="4"/>
  <c r="J151" i="4"/>
  <c r="B47" i="4"/>
  <c r="B108" i="4"/>
  <c r="B109" i="4" s="1"/>
  <c r="B164" i="4"/>
  <c r="B268" i="4"/>
  <c r="B249" i="4"/>
  <c r="B202" i="4"/>
  <c r="B10" i="4"/>
  <c r="B154" i="4"/>
  <c r="J142" i="4"/>
  <c r="I144" i="4"/>
  <c r="J143" i="4"/>
  <c r="J90" i="4"/>
  <c r="J22" i="4"/>
  <c r="J7" i="4"/>
  <c r="J74" i="4"/>
  <c r="B76" i="4"/>
  <c r="B24" i="4"/>
  <c r="I267" i="4"/>
  <c r="I10" i="4"/>
  <c r="I316" i="4"/>
  <c r="I46" i="4"/>
  <c r="I163" i="4"/>
  <c r="I76" i="4"/>
  <c r="J267" i="4" l="1"/>
  <c r="J46" i="4"/>
  <c r="J163" i="4"/>
  <c r="J201" i="4"/>
  <c r="I47" i="4"/>
  <c r="I268" i="4"/>
  <c r="I164" i="4"/>
  <c r="I24" i="4"/>
  <c r="J152" i="4" l="1"/>
  <c r="J47" i="4"/>
  <c r="J202" i="4"/>
  <c r="J249" i="4"/>
  <c r="J268" i="4"/>
  <c r="J164" i="4"/>
  <c r="J316" i="4"/>
  <c r="J108" i="4"/>
  <c r="B25" i="4"/>
  <c r="B48" i="4"/>
  <c r="B11" i="4"/>
  <c r="B203" i="4"/>
  <c r="B250" i="4"/>
  <c r="B269" i="4"/>
  <c r="B165" i="4"/>
  <c r="J247" i="4"/>
  <c r="J144" i="4"/>
  <c r="J8" i="4"/>
  <c r="J23" i="4"/>
  <c r="J75" i="4"/>
  <c r="B77" i="4"/>
  <c r="B78" i="4" s="1"/>
  <c r="B79" i="4" s="1"/>
  <c r="B80" i="4" s="1"/>
  <c r="B81" i="4" s="1"/>
  <c r="I92" i="4"/>
  <c r="I317" i="4"/>
  <c r="I269" i="4"/>
  <c r="I48" i="4"/>
  <c r="I165" i="4"/>
  <c r="I25" i="4"/>
  <c r="I11" i="4"/>
  <c r="J25" i="4" l="1"/>
  <c r="J269" i="4"/>
  <c r="J250" i="4"/>
  <c r="J203" i="4"/>
  <c r="J48" i="4"/>
  <c r="J109" i="4"/>
  <c r="J317" i="4"/>
  <c r="J165" i="4"/>
  <c r="B270" i="4"/>
  <c r="B251" i="4"/>
  <c r="B252" i="4" s="1"/>
  <c r="B253" i="4" s="1"/>
  <c r="B254" i="4" s="1"/>
  <c r="B255" i="4" s="1"/>
  <c r="B256" i="4" s="1"/>
  <c r="B257" i="4" s="1"/>
  <c r="B258" i="4" s="1"/>
  <c r="B204" i="4"/>
  <c r="B12" i="4"/>
  <c r="B49" i="4"/>
  <c r="B110" i="4"/>
  <c r="B26" i="4"/>
  <c r="B166" i="4"/>
  <c r="J9" i="4"/>
  <c r="J24" i="4"/>
  <c r="J76" i="4"/>
  <c r="J91" i="4"/>
  <c r="I26" i="4"/>
  <c r="I77" i="4"/>
  <c r="I318" i="4"/>
  <c r="I12" i="4"/>
  <c r="J318" i="4" l="1"/>
  <c r="J154" i="4"/>
  <c r="J155" i="4" s="1"/>
  <c r="I155" i="4"/>
  <c r="J251" i="4"/>
  <c r="J26" i="4"/>
  <c r="B111" i="4"/>
  <c r="B50" i="4"/>
  <c r="B205" i="4"/>
  <c r="B13" i="4"/>
  <c r="B167" i="4"/>
  <c r="B27" i="4"/>
  <c r="B271" i="4"/>
  <c r="J77" i="4"/>
  <c r="J92" i="4"/>
  <c r="I271" i="4"/>
  <c r="I13" i="4"/>
  <c r="I270" i="4"/>
  <c r="I95" i="4"/>
  <c r="I319" i="4"/>
  <c r="I93" i="4"/>
  <c r="I167" i="4"/>
  <c r="I50" i="4"/>
  <c r="I78" i="4"/>
  <c r="I49" i="4"/>
  <c r="I27" i="4"/>
  <c r="I166" i="4"/>
  <c r="J253" i="4" l="1"/>
  <c r="J110" i="4"/>
  <c r="J166" i="4"/>
  <c r="J49" i="4"/>
  <c r="J270" i="4"/>
  <c r="J204" i="4"/>
  <c r="J271" i="4"/>
  <c r="J205" i="4"/>
  <c r="J50" i="4"/>
  <c r="J319" i="4"/>
  <c r="J111" i="4"/>
  <c r="J27" i="4"/>
  <c r="J167" i="4"/>
  <c r="B272" i="4"/>
  <c r="B14" i="4"/>
  <c r="B206" i="4"/>
  <c r="B51" i="4"/>
  <c r="B112" i="4"/>
  <c r="B28" i="4"/>
  <c r="B168" i="4"/>
  <c r="J11" i="4"/>
  <c r="J93" i="4"/>
  <c r="I320" i="4"/>
  <c r="I168" i="4"/>
  <c r="I79" i="4"/>
  <c r="I28" i="4"/>
  <c r="I14" i="4"/>
  <c r="I272" i="4"/>
  <c r="I51" i="4"/>
  <c r="I96" i="4"/>
  <c r="J254" i="4" l="1"/>
  <c r="J272" i="4"/>
  <c r="J28" i="4"/>
  <c r="J112" i="4"/>
  <c r="J320" i="4"/>
  <c r="J51" i="4"/>
  <c r="J206" i="4"/>
  <c r="J168" i="4"/>
  <c r="B273" i="4"/>
  <c r="B29" i="4"/>
  <c r="B113" i="4"/>
  <c r="B52" i="4"/>
  <c r="B207" i="4"/>
  <c r="B208" i="4" s="1"/>
  <c r="B209" i="4" s="1"/>
  <c r="B210" i="4" s="1"/>
  <c r="B211" i="4" s="1"/>
  <c r="B212" i="4" s="1"/>
  <c r="B213" i="4" s="1"/>
  <c r="B214" i="4" s="1"/>
  <c r="B215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169" i="4"/>
  <c r="J95" i="4"/>
  <c r="J12" i="4"/>
  <c r="J96" i="4"/>
  <c r="J78" i="4"/>
  <c r="I321" i="4"/>
  <c r="I169" i="4"/>
  <c r="I273" i="4"/>
  <c r="I80" i="4"/>
  <c r="I29" i="4"/>
  <c r="I52" i="4"/>
  <c r="J321" i="4" l="1"/>
  <c r="J113" i="4"/>
  <c r="J29" i="4"/>
  <c r="J52" i="4"/>
  <c r="J273" i="4"/>
  <c r="J169" i="4"/>
  <c r="J256" i="4"/>
  <c r="J207" i="4"/>
  <c r="B114" i="4"/>
  <c r="B30" i="4"/>
  <c r="B53" i="4"/>
  <c r="B274" i="4"/>
  <c r="B170" i="4"/>
  <c r="J14" i="4"/>
  <c r="I15" i="4"/>
  <c r="J13" i="4"/>
  <c r="I170" i="4"/>
  <c r="I53" i="4"/>
  <c r="I30" i="4"/>
  <c r="I274" i="4"/>
  <c r="I322" i="4"/>
  <c r="I81" i="4"/>
  <c r="J170" i="4" l="1"/>
  <c r="J274" i="4"/>
  <c r="J53" i="4"/>
  <c r="J30" i="4"/>
  <c r="J114" i="4"/>
  <c r="J322" i="4"/>
  <c r="J209" i="4"/>
  <c r="J257" i="4"/>
  <c r="B171" i="4"/>
  <c r="B275" i="4"/>
  <c r="B54" i="4"/>
  <c r="B31" i="4"/>
  <c r="B115" i="4"/>
  <c r="J79" i="4"/>
  <c r="I323" i="4"/>
  <c r="I31" i="4"/>
  <c r="I275" i="4"/>
  <c r="I54" i="4"/>
  <c r="I171" i="4"/>
  <c r="J323" i="4" l="1"/>
  <c r="J115" i="4"/>
  <c r="J54" i="4"/>
  <c r="J31" i="4"/>
  <c r="J275" i="4"/>
  <c r="J171" i="4"/>
  <c r="J258" i="4"/>
  <c r="J259" i="4" s="1"/>
  <c r="I259" i="4"/>
  <c r="B116" i="4"/>
  <c r="B55" i="4"/>
  <c r="B32" i="4"/>
  <c r="B277" i="4"/>
  <c r="B172" i="4"/>
  <c r="J80" i="4"/>
  <c r="J81" i="4"/>
  <c r="I82" i="4"/>
  <c r="I277" i="4"/>
  <c r="I172" i="4"/>
  <c r="I32" i="4"/>
  <c r="I55" i="4"/>
  <c r="I324" i="4"/>
  <c r="J211" i="4" l="1"/>
  <c r="J172" i="4"/>
  <c r="J277" i="4"/>
  <c r="J32" i="4"/>
  <c r="J55" i="4"/>
  <c r="J116" i="4"/>
  <c r="J324" i="4"/>
  <c r="B173" i="4"/>
  <c r="B278" i="4"/>
  <c r="B33" i="4"/>
  <c r="B34" i="4" s="1"/>
  <c r="B35" i="4" s="1"/>
  <c r="B36" i="4" s="1"/>
  <c r="B37" i="4" s="1"/>
  <c r="B56" i="4"/>
  <c r="B117" i="4"/>
  <c r="J82" i="4"/>
  <c r="I325" i="4"/>
  <c r="J325" i="4" l="1"/>
  <c r="B118" i="4"/>
  <c r="B57" i="4"/>
  <c r="B279" i="4"/>
  <c r="B174" i="4"/>
  <c r="I326" i="4"/>
  <c r="I279" i="4"/>
  <c r="I174" i="4"/>
  <c r="I278" i="4"/>
  <c r="I33" i="4"/>
  <c r="I173" i="4"/>
  <c r="I57" i="4"/>
  <c r="I56" i="4"/>
  <c r="J278" i="4" l="1"/>
  <c r="J33" i="4"/>
  <c r="J173" i="4"/>
  <c r="J56" i="4"/>
  <c r="J117" i="4"/>
  <c r="J212" i="4"/>
  <c r="J279" i="4"/>
  <c r="J57" i="4"/>
  <c r="J118" i="4"/>
  <c r="J326" i="4"/>
  <c r="J327" i="4" s="1"/>
  <c r="I327" i="4"/>
  <c r="J213" i="4"/>
  <c r="J174" i="4"/>
  <c r="B280" i="4"/>
  <c r="B58" i="4"/>
  <c r="B119" i="4"/>
  <c r="B175" i="4"/>
  <c r="I175" i="4"/>
  <c r="I58" i="4"/>
  <c r="I280" i="4"/>
  <c r="I34" i="4"/>
  <c r="J175" i="4" l="1"/>
  <c r="J119" i="4"/>
  <c r="J58" i="4"/>
  <c r="J280" i="4"/>
  <c r="J34" i="4"/>
  <c r="J214" i="4"/>
  <c r="B176" i="4"/>
  <c r="B120" i="4"/>
  <c r="B59" i="4"/>
  <c r="B281" i="4"/>
  <c r="I176" i="4"/>
  <c r="I59" i="4"/>
  <c r="I35" i="4"/>
  <c r="I281" i="4"/>
  <c r="J176" i="4" l="1"/>
  <c r="J215" i="4"/>
  <c r="J35" i="4"/>
  <c r="J59" i="4"/>
  <c r="J120" i="4"/>
  <c r="B177" i="4"/>
  <c r="B282" i="4"/>
  <c r="B60" i="4"/>
  <c r="B121" i="4"/>
  <c r="I36" i="4"/>
  <c r="I60" i="4"/>
  <c r="I177" i="4"/>
  <c r="I282" i="4"/>
  <c r="J177" i="4" l="1"/>
  <c r="J60" i="4"/>
  <c r="J282" i="4"/>
  <c r="J36" i="4"/>
  <c r="J216" i="4"/>
  <c r="B178" i="4"/>
  <c r="B61" i="4"/>
  <c r="B283" i="4"/>
  <c r="B122" i="4"/>
  <c r="I37" i="4"/>
  <c r="I283" i="4"/>
  <c r="I178" i="4"/>
  <c r="I217" i="4"/>
  <c r="I61" i="4"/>
  <c r="J61" i="4" l="1"/>
  <c r="J62" i="4" s="1"/>
  <c r="I62" i="4"/>
  <c r="J178" i="4"/>
  <c r="J217" i="4"/>
  <c r="J37" i="4"/>
  <c r="J38" i="4" s="1"/>
  <c r="I38" i="4"/>
  <c r="J122" i="4"/>
  <c r="J283" i="4"/>
  <c r="B179" i="4"/>
  <c r="B123" i="4"/>
  <c r="B284" i="4"/>
  <c r="I284" i="4"/>
  <c r="I179" i="4"/>
  <c r="I218" i="4"/>
  <c r="J284" i="4" l="1"/>
  <c r="J123" i="4"/>
  <c r="J218" i="4"/>
  <c r="J179" i="4"/>
  <c r="B285" i="4"/>
  <c r="B124" i="4"/>
  <c r="B180" i="4"/>
  <c r="I285" i="4"/>
  <c r="I219" i="4"/>
  <c r="I180" i="4"/>
  <c r="J180" i="4" l="1"/>
  <c r="J124" i="4"/>
  <c r="J285" i="4"/>
  <c r="J219" i="4"/>
  <c r="B181" i="4"/>
  <c r="B125" i="4"/>
  <c r="B286" i="4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I220" i="4"/>
  <c r="I181" i="4"/>
  <c r="J220" i="4" l="1"/>
  <c r="J125" i="4"/>
  <c r="J181" i="4"/>
  <c r="B126" i="4"/>
  <c r="B182" i="4"/>
  <c r="I286" i="4"/>
  <c r="I182" i="4"/>
  <c r="I221" i="4"/>
  <c r="J286" i="4" l="1"/>
  <c r="J182" i="4"/>
  <c r="J183" i="4" s="1"/>
  <c r="J195" i="4" s="1"/>
  <c r="I183" i="4"/>
  <c r="I195" i="4" s="1"/>
  <c r="J221" i="4"/>
  <c r="J126" i="4"/>
  <c r="B127" i="4"/>
  <c r="I222" i="4"/>
  <c r="I287" i="4"/>
  <c r="J287" i="4" l="1"/>
  <c r="J127" i="4"/>
  <c r="J222" i="4"/>
  <c r="B128" i="4"/>
  <c r="I288" i="4"/>
  <c r="I223" i="4"/>
  <c r="J223" i="4" l="1"/>
  <c r="J128" i="4"/>
  <c r="J288" i="4"/>
  <c r="B129" i="4"/>
  <c r="I224" i="4"/>
  <c r="I289" i="4"/>
  <c r="J129" i="4" l="1"/>
  <c r="J289" i="4"/>
  <c r="J224" i="4"/>
  <c r="B130" i="4"/>
  <c r="I290" i="4"/>
  <c r="I225" i="4"/>
  <c r="J225" i="4" l="1"/>
  <c r="J290" i="4"/>
  <c r="J130" i="4"/>
  <c r="B131" i="4"/>
  <c r="I291" i="4"/>
  <c r="I226" i="4"/>
  <c r="J291" i="4" l="1"/>
  <c r="J131" i="4"/>
  <c r="J226" i="4"/>
  <c r="B132" i="4"/>
  <c r="I227" i="4"/>
  <c r="I292" i="4"/>
  <c r="J227" i="4" l="1"/>
  <c r="J132" i="4"/>
  <c r="J292" i="4"/>
  <c r="B133" i="4"/>
  <c r="I228" i="4"/>
  <c r="I293" i="4"/>
  <c r="J133" i="4" l="1"/>
  <c r="J228" i="4"/>
  <c r="J293" i="4"/>
  <c r="B134" i="4"/>
  <c r="I295" i="4"/>
  <c r="I229" i="4"/>
  <c r="I135" i="4" l="1"/>
  <c r="J229" i="4"/>
  <c r="J295" i="4"/>
  <c r="J134" i="4"/>
  <c r="J135" i="4" s="1"/>
  <c r="I296" i="4"/>
  <c r="I231" i="4"/>
  <c r="J231" i="4" l="1"/>
  <c r="J296" i="4"/>
  <c r="I233" i="4"/>
  <c r="I297" i="4"/>
  <c r="J297" i="4" l="1"/>
  <c r="J233" i="4"/>
  <c r="I234" i="4"/>
  <c r="I298" i="4"/>
  <c r="J298" i="4" l="1"/>
  <c r="J234" i="4"/>
  <c r="I235" i="4"/>
  <c r="I299" i="4"/>
  <c r="J299" i="4" l="1"/>
  <c r="I236" i="4"/>
  <c r="J235" i="4"/>
  <c r="J236" i="4" s="1"/>
  <c r="I300" i="4"/>
  <c r="J300" i="4" l="1"/>
  <c r="I301" i="4"/>
  <c r="J301" i="4" l="1"/>
  <c r="J265" i="4"/>
  <c r="I302" i="4"/>
  <c r="I304" i="4"/>
  <c r="J302" i="4" l="1"/>
  <c r="J304" i="4"/>
  <c r="I305" i="4"/>
  <c r="I306" i="4" l="1"/>
  <c r="J305" i="4"/>
  <c r="J306" i="4" s="1"/>
  <c r="H10" i="4" l="1"/>
  <c r="J10" i="4" s="1"/>
  <c r="H4" i="4"/>
  <c r="J4" i="4" l="1"/>
  <c r="J15" i="4" s="1"/>
  <c r="H15" i="4"/>
  <c r="G15" i="4" s="1"/>
  <c r="H351" i="4" l="1"/>
  <c r="G351" i="4" s="1"/>
  <c r="J9" i="39"/>
  <c r="E9" i="36" s="1"/>
  <c r="J9" i="37"/>
  <c r="K9" i="37" s="1"/>
  <c r="K9" i="34"/>
  <c r="O11" i="34" l="1"/>
  <c r="L9" i="34"/>
  <c r="O32" i="34"/>
  <c r="C16" i="44"/>
  <c r="E16" i="44" s="1"/>
  <c r="K32" i="34"/>
  <c r="L32" i="34" s="1"/>
  <c r="G9" i="36"/>
  <c r="E9" i="6" s="1"/>
  <c r="C9" i="36"/>
  <c r="C32" i="36" s="1"/>
  <c r="J32" i="37"/>
  <c r="J35" i="37" s="1"/>
  <c r="N11" i="37"/>
  <c r="S8" i="37" s="1"/>
  <c r="J32" i="39"/>
  <c r="K32" i="39" s="1"/>
  <c r="K9" i="39"/>
  <c r="N11" i="39"/>
  <c r="S8" i="39" s="1"/>
  <c r="F9" i="36"/>
  <c r="E32" i="36"/>
  <c r="C39" i="44" l="1"/>
  <c r="E39" i="44" s="1"/>
  <c r="H9" i="36"/>
  <c r="G32" i="36"/>
  <c r="G35" i="36" s="1"/>
  <c r="D16" i="44"/>
  <c r="D39" i="44" s="1"/>
  <c r="D41" i="44" s="1"/>
  <c r="T8" i="34"/>
  <c r="T13" i="34" s="1"/>
  <c r="D9" i="36"/>
  <c r="N32" i="37"/>
  <c r="K35" i="34"/>
  <c r="K32" i="37"/>
  <c r="J35" i="39"/>
  <c r="J38" i="39" s="1"/>
  <c r="K38" i="39" s="1"/>
  <c r="N32" i="39"/>
  <c r="P32" i="39" s="1"/>
  <c r="E35" i="36"/>
  <c r="F32" i="36"/>
  <c r="C41" i="44"/>
  <c r="K35" i="37"/>
  <c r="J38" i="37"/>
  <c r="K38" i="37" s="1"/>
  <c r="S13" i="37"/>
  <c r="C35" i="36"/>
  <c r="D32" i="36"/>
  <c r="Q32" i="34"/>
  <c r="O35" i="34"/>
  <c r="N35" i="37"/>
  <c r="P32" i="37"/>
  <c r="E54" i="6"/>
  <c r="E13" i="6"/>
  <c r="S13" i="39"/>
  <c r="T8" i="39" s="1"/>
  <c r="H32" i="36" l="1"/>
  <c r="L35" i="34"/>
  <c r="K38" i="34"/>
  <c r="L38" i="34"/>
  <c r="P31" i="34"/>
  <c r="P34" i="34"/>
  <c r="P17" i="34"/>
  <c r="P28" i="34"/>
  <c r="P5" i="34"/>
  <c r="P11" i="34"/>
  <c r="K35" i="39"/>
  <c r="N35" i="39"/>
  <c r="O17" i="39" s="1"/>
  <c r="O28" i="37"/>
  <c r="P35" i="37"/>
  <c r="O31" i="37"/>
  <c r="O5" i="37"/>
  <c r="O17" i="37"/>
  <c r="O34" i="37"/>
  <c r="O11" i="37"/>
  <c r="U10" i="34"/>
  <c r="U12" i="34"/>
  <c r="U9" i="34"/>
  <c r="U11" i="34"/>
  <c r="U7" i="34"/>
  <c r="T9" i="39"/>
  <c r="T7" i="39"/>
  <c r="T10" i="39"/>
  <c r="T12" i="39"/>
  <c r="T11" i="39"/>
  <c r="U8" i="34"/>
  <c r="C43" i="44"/>
  <c r="E43" i="44" s="1"/>
  <c r="E41" i="44"/>
  <c r="C38" i="36"/>
  <c r="D35" i="36"/>
  <c r="E59" i="6"/>
  <c r="T12" i="37"/>
  <c r="T11" i="37"/>
  <c r="T10" i="37"/>
  <c r="T7" i="37"/>
  <c r="T9" i="37"/>
  <c r="P38" i="34"/>
  <c r="F10" i="6"/>
  <c r="F8" i="6"/>
  <c r="F11" i="6"/>
  <c r="F12" i="6"/>
  <c r="F9" i="6"/>
  <c r="H35" i="36"/>
  <c r="G38" i="36"/>
  <c r="H38" i="36" s="1"/>
  <c r="T8" i="37"/>
  <c r="F35" i="36"/>
  <c r="E38" i="36"/>
  <c r="F38" i="36" s="1"/>
  <c r="O11" i="39" l="1"/>
  <c r="O34" i="39"/>
  <c r="P35" i="39"/>
  <c r="O31" i="39"/>
  <c r="O28" i="39"/>
  <c r="O5" i="39"/>
  <c r="F55" i="6"/>
  <c r="F58" i="6"/>
  <c r="F57" i="6"/>
  <c r="F56" i="6"/>
  <c r="F53" i="6"/>
  <c r="F54" i="6"/>
  <c r="T13" i="39"/>
  <c r="C41" i="36"/>
  <c r="D38" i="36"/>
  <c r="T13" i="37"/>
  <c r="U13" i="34"/>
  <c r="O35" i="37"/>
  <c r="F13" i="6"/>
  <c r="P35" i="34"/>
  <c r="O35" i="39" l="1"/>
  <c r="F59" i="6"/>
  <c r="I94" i="4"/>
  <c r="J94" i="4" l="1"/>
  <c r="J97" i="4" s="1"/>
  <c r="J351" i="4" s="1"/>
  <c r="I97" i="4"/>
  <c r="I3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tc={A67ABA32-1B6F-43CF-B617-840F0FE0227D}</author>
  </authors>
  <commentList>
    <comment ref="E5" authorId="0" shapeId="0" xr:uid="{A67ABA32-1B6F-43CF-B617-840F0FE0227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tc={EFED5C70-84C2-4E9A-9250-CC4C77461078}</author>
  </authors>
  <commentList>
    <comment ref="E5" authorId="0" shapeId="0" xr:uid="{EFED5C70-84C2-4E9A-9250-CC4C77461078}">
      <text>
        <t>[Threaded comment]
Your version of Excel allows you to read this threaded comment; however, any edits to it will get removed if the file is opened in a newer version of Excel. Learn more: https://go.microsoft.com/fwlink/?linkid=870924
Comment:
    we actually di 50% - 5.15.18</t>
      </text>
    </comment>
  </commentList>
</comments>
</file>

<file path=xl/sharedStrings.xml><?xml version="1.0" encoding="utf-8"?>
<sst xmlns="http://schemas.openxmlformats.org/spreadsheetml/2006/main" count="11368" uniqueCount="3308">
  <si>
    <t xml:space="preserve"> 2021 Budget Summary Recap</t>
  </si>
  <si>
    <t>Account Name</t>
  </si>
  <si>
    <t>2020 Budget</t>
  </si>
  <si>
    <t>2021 Requested Budget 1%</t>
  </si>
  <si>
    <t>1% Changed</t>
  </si>
  <si>
    <t>2021 Requested Budget 2%</t>
  </si>
  <si>
    <t>2% Changed</t>
  </si>
  <si>
    <t>2021 Requested Budget 3%</t>
  </si>
  <si>
    <t>3% Changed</t>
  </si>
  <si>
    <t>6010 - Salaries</t>
  </si>
  <si>
    <t>6020 - Allowances</t>
  </si>
  <si>
    <t>6030 - Group Health</t>
  </si>
  <si>
    <t>6040 - Retirement</t>
  </si>
  <si>
    <t>6060 - Worker's Comp Insurance</t>
  </si>
  <si>
    <t>6070 - Social Security / Disability</t>
  </si>
  <si>
    <t xml:space="preserve">Proposing 1,2,3 percent raise </t>
  </si>
  <si>
    <t>6110 - Office Supplies</t>
  </si>
  <si>
    <t>Survey has been done but too early to tell what others are doing</t>
  </si>
  <si>
    <t>6120 - Postage</t>
  </si>
  <si>
    <t>Round Rock ISD 2% proposed - Chad?</t>
  </si>
  <si>
    <t>6130 - Forms/Printing</t>
  </si>
  <si>
    <t>Went through this budget several times to eliminate anything we can do without</t>
  </si>
  <si>
    <t>6140 - Janitorial Supplies</t>
  </si>
  <si>
    <t>I will go through and talk about some of these increases from legislation and contracts signed after 2020 budget was finalized</t>
  </si>
  <si>
    <t>6150 - Minor Equipment/Furniture</t>
  </si>
  <si>
    <t>No matter what is determined on raise I would like to suggest using the 322K in un-obligated funds to buy down our budget</t>
  </si>
  <si>
    <t>6160 - Computer Supplies</t>
  </si>
  <si>
    <t>Let's go to the 2% personell tab on page 16 of your budget</t>
  </si>
  <si>
    <t>6210 - Schools/Conferences Membership (Prof Dev)</t>
  </si>
  <si>
    <t>6215 - Equipment Lease/Rental</t>
  </si>
  <si>
    <t>6220 - Utilities</t>
  </si>
  <si>
    <t>6225 - Building Repair &amp; Maint.</t>
  </si>
  <si>
    <t>6235 - TLO Expenses</t>
  </si>
  <si>
    <t>6236 - BOD Expenses</t>
  </si>
  <si>
    <t>6240 - Publications</t>
  </si>
  <si>
    <t>6250 - Contingency Emergency</t>
  </si>
  <si>
    <t>6260 - Consulting/Professional Services</t>
  </si>
  <si>
    <t>6270 - GIS Services</t>
  </si>
  <si>
    <t>6280 - Maintenance Contracts</t>
  </si>
  <si>
    <t xml:space="preserve">6285 - Computer Services/Licenses </t>
  </si>
  <si>
    <t>6290 - Business Insurance</t>
  </si>
  <si>
    <t>6810 - Debt Service - Building</t>
  </si>
  <si>
    <t>8010 - Capital Outlay</t>
  </si>
  <si>
    <t>8020 - Furniture &amp; Fixtures</t>
  </si>
  <si>
    <t>8030 - Fund Depreciation</t>
  </si>
  <si>
    <t>TOTALS</t>
  </si>
  <si>
    <t>Appraisal Review Board Budget</t>
  </si>
  <si>
    <t>TOTAL WCAD and ARB BUDGET</t>
  </si>
  <si>
    <t>One Time Reserve Expense</t>
  </si>
  <si>
    <t>Board budget buy down from assigned fund balance</t>
  </si>
  <si>
    <t>TOTAL WCAD ALLOCATION BUDGET</t>
  </si>
  <si>
    <t>The proposed budget amount sent to our Taxing Entities in June was $9,887,200.</t>
  </si>
  <si>
    <t>What is our total of surplus funds from 2019?  We may need to apply the whole amount as a buy down so we can secure merit increases for staff</t>
  </si>
  <si>
    <t xml:space="preserve"> 2021 Budget Requested Recap 1% Personnel</t>
  </si>
  <si>
    <t>2016 Budget</t>
  </si>
  <si>
    <t>2016 Actual</t>
  </si>
  <si>
    <t>2017 Budget</t>
  </si>
  <si>
    <t>2017 Actual</t>
  </si>
  <si>
    <t>2018 Budget</t>
  </si>
  <si>
    <t>2018 Actual</t>
  </si>
  <si>
    <t>2019 Budget</t>
  </si>
  <si>
    <t>2021 Requested Budget</t>
  </si>
  <si>
    <t>% Change</t>
  </si>
  <si>
    <t>Category Totals</t>
  </si>
  <si>
    <t>Personnel</t>
  </si>
  <si>
    <t>Category</t>
  </si>
  <si>
    <t>Budget Amount</t>
  </si>
  <si>
    <t>Percent</t>
  </si>
  <si>
    <t>Supplies</t>
  </si>
  <si>
    <t>Services</t>
  </si>
  <si>
    <t>Materials &amp; Services</t>
  </si>
  <si>
    <t>Debt</t>
  </si>
  <si>
    <t>Capital Outlay</t>
  </si>
  <si>
    <t>ARB</t>
  </si>
  <si>
    <t>Total</t>
  </si>
  <si>
    <t>2021 Budget Requested - 1% Personnel</t>
  </si>
  <si>
    <t>Category/Comments</t>
  </si>
  <si>
    <t>Description</t>
  </si>
  <si>
    <t>2021 Requested Amount</t>
  </si>
  <si>
    <t>Actual Cost</t>
  </si>
  <si>
    <t>Difference</t>
  </si>
  <si>
    <t>2020 Approved Budget</t>
  </si>
  <si>
    <t xml:space="preserve">2020 Salaries </t>
  </si>
  <si>
    <t>Add prior year salaries + (merit * 2) = new salaries requested.</t>
  </si>
  <si>
    <t xml:space="preserve">Partial Year Use </t>
  </si>
  <si>
    <t>Merit 1%</t>
  </si>
  <si>
    <t>2018 Actual salaries current</t>
  </si>
  <si>
    <t xml:space="preserve">Overtime    </t>
  </si>
  <si>
    <t>merit</t>
  </si>
  <si>
    <t xml:space="preserve">Longevity </t>
  </si>
  <si>
    <t>Merit for whole year</t>
  </si>
  <si>
    <t>Based on actual expenses</t>
  </si>
  <si>
    <t xml:space="preserve">Temp / Part-time </t>
  </si>
  <si>
    <t>Merit for 4 months needed Sept-Dec</t>
  </si>
  <si>
    <t>ARB wants security here on off season days</t>
  </si>
  <si>
    <t>Security Officer</t>
  </si>
  <si>
    <t>Actual salary at the end of 2018</t>
  </si>
  <si>
    <t>Percentage is from recap sheet</t>
  </si>
  <si>
    <t>Budgeted start of 2019</t>
  </si>
  <si>
    <t>Diff between actual 2018 and budgeted start of 2019</t>
  </si>
  <si>
    <t>Car Allowance</t>
  </si>
  <si>
    <t>Amount removed from 2019 start which includes salaries for Dave and Jennifer</t>
  </si>
  <si>
    <t>Car Allowance = $600 x 12 months x 34 employees x .95(usage)</t>
  </si>
  <si>
    <t>2019 Suggested Budget Start</t>
  </si>
  <si>
    <t>Chief Appraiser Car Allowance = $600 x 12 months</t>
  </si>
  <si>
    <t xml:space="preserve">Other Personnel Avg Miles/month </t>
  </si>
  <si>
    <t>Sub-Total</t>
  </si>
  <si>
    <t>Cellular Allowances</t>
  </si>
  <si>
    <t>Chief Appraiser - $110</t>
  </si>
  <si>
    <t>Alvin</t>
  </si>
  <si>
    <t>Deputy Chief/AA/Directors = $90 x 5 ee</t>
  </si>
  <si>
    <t>Chris, Colleen, Aaron M,  KC, Jessica</t>
  </si>
  <si>
    <t>Managers/IT = $70 x 11 ee</t>
  </si>
  <si>
    <t>James, Victor, Pam, Aaron S, Kimberly, Amy, Richard, David B, Michael, David S, Rae</t>
  </si>
  <si>
    <t>Designation Achievement Pay</t>
  </si>
  <si>
    <t>Assessment Administration Specialist (AAS)</t>
  </si>
  <si>
    <t>Cadastral Mapping Specialist (CMS)</t>
  </si>
  <si>
    <t>KC</t>
  </si>
  <si>
    <t>Personal Property Specialist (PPS) + RPA</t>
  </si>
  <si>
    <t>Residential Evaluation Specialist (RES) + RPA</t>
  </si>
  <si>
    <t>Johnny R</t>
  </si>
  <si>
    <t>Certified Assessment Evaluator (CAE) + RPA</t>
  </si>
  <si>
    <t>Alvin, Chris, Aaron, James</t>
  </si>
  <si>
    <t>Society of Human Resource-Certified Professional (SHRM-CP)</t>
  </si>
  <si>
    <t>Kimberly G</t>
  </si>
  <si>
    <t>6030 - Group Insurances</t>
  </si>
  <si>
    <r>
      <t xml:space="preserve">Changed to 71 employees </t>
    </r>
    <r>
      <rPr>
        <sz val="10"/>
        <color rgb="FFFF0000"/>
        <rFont val="Arial"/>
        <family val="2"/>
      </rPr>
      <t>- Is this an old comment?  The calculations show 73 - Is this an increase over last year?  If so we probably need to remove any extra staff</t>
    </r>
  </si>
  <si>
    <t>renewal rates Sept</t>
  </si>
  <si>
    <t>Dental - ($36.51/month x 73 employees x 8)+(($36.51*5%)*73*4)</t>
  </si>
  <si>
    <t>Medical - (($621.80 month - $10.00)*73 employees*8)+((($621.80-10)*15%)*73*4)</t>
  </si>
  <si>
    <t>Dependent Coverage ($140/month x 20 x 12)</t>
  </si>
  <si>
    <t>Vision Insurance Plan B ($7.28/month*73*8)+(($7.28*5%)*73*4)</t>
  </si>
  <si>
    <t xml:space="preserve">renewal rates Sept </t>
  </si>
  <si>
    <t xml:space="preserve">Short Term Disability (($4 x 73 emp x 12 mo)+$2,370) </t>
  </si>
  <si>
    <t>Long Term Disability (.331% x annual payroll)</t>
  </si>
  <si>
    <t>Usage Reduction</t>
  </si>
  <si>
    <t>Salaries for eligible employees (Salary + Merit + OT + Longevity)*.97 (usage)</t>
  </si>
  <si>
    <t>Allowance</t>
  </si>
  <si>
    <t>2020 - rate 0.12%</t>
  </si>
  <si>
    <t>Group Term Life Rate (0.12%)</t>
  </si>
  <si>
    <t>2020 - rate 17.89%</t>
  </si>
  <si>
    <t>Required Plan Rate (16.75%)</t>
  </si>
  <si>
    <t>Group Term Life Rate (0.13%)</t>
  </si>
  <si>
    <t>Elected higher rate</t>
  </si>
  <si>
    <t>Elected higher rate (19.00% + .13% = 19.13%)</t>
  </si>
  <si>
    <t>gave 1% in 2017</t>
  </si>
  <si>
    <t>COLA for Retirees?</t>
  </si>
  <si>
    <t>6060 - Workers' Compensation</t>
  </si>
  <si>
    <t>Annual Contribution</t>
  </si>
  <si>
    <t>6070 - FICA / Medicare</t>
  </si>
  <si>
    <t xml:space="preserve">Medicare </t>
  </si>
  <si>
    <t>Qualifying Salaries: (Includes Car Allowance)</t>
  </si>
  <si>
    <t>X Medicare Rate</t>
  </si>
  <si>
    <t>Sub-total</t>
  </si>
  <si>
    <t>Social Security</t>
  </si>
  <si>
    <t>does not include temp agencies</t>
  </si>
  <si>
    <t>Qualifying Salaries (Temporaries) from 6010</t>
  </si>
  <si>
    <t>X Rate</t>
  </si>
  <si>
    <t>TOTAL</t>
  </si>
  <si>
    <t xml:space="preserve"> 2021 Budget Requested Recap 2% Personnel</t>
  </si>
  <si>
    <t>2021 Budget Requested - 2% Personnel</t>
  </si>
  <si>
    <t>Merit 2%</t>
  </si>
  <si>
    <t>Go to raise explanation drawing</t>
  </si>
  <si>
    <t>KimberlyG</t>
  </si>
  <si>
    <t>See required rate sheet in your BOD packet</t>
  </si>
  <si>
    <t xml:space="preserve">Now let's go to the budgeted services on page 23 of your budget </t>
  </si>
  <si>
    <t>2019 Actual</t>
  </si>
  <si>
    <t>2021 Budget</t>
  </si>
  <si>
    <t>2021 Approved Budget</t>
  </si>
  <si>
    <t xml:space="preserve">2021 Salaries </t>
  </si>
  <si>
    <t>Chief Appraiser Compensation</t>
  </si>
  <si>
    <t>Merit 3%</t>
  </si>
  <si>
    <t>added asst dir of appraisal</t>
  </si>
  <si>
    <t>Deputy Chief/AA/Directors = $90 x 6 ee</t>
  </si>
  <si>
    <t>Residential co-mgrs</t>
  </si>
  <si>
    <t>Managers/IT = $70 x 12 ee</t>
  </si>
  <si>
    <t>est increase 5%</t>
  </si>
  <si>
    <t>est increase 15%</t>
  </si>
  <si>
    <t>2021 - rate 0.13%</t>
  </si>
  <si>
    <t>2021 - rate 16.75%</t>
  </si>
  <si>
    <t>Item</t>
  </si>
  <si>
    <t>Appraisal  Est Qty</t>
  </si>
  <si>
    <t>Operations Est Qty</t>
  </si>
  <si>
    <t>Admin Est Qty.</t>
  </si>
  <si>
    <t>Estimated cost/unit</t>
  </si>
  <si>
    <t>2021 Approved Budgeted</t>
  </si>
  <si>
    <t>6110-Office Supplies</t>
  </si>
  <si>
    <t>Reorder in 2022</t>
  </si>
  <si>
    <t>Reorder in 2023</t>
  </si>
  <si>
    <t>Company Shirts</t>
  </si>
  <si>
    <r>
      <t xml:space="preserve">Copier paper </t>
    </r>
    <r>
      <rPr>
        <strike/>
        <sz val="11"/>
        <rFont val="Calibri"/>
        <family val="2"/>
      </rPr>
      <t/>
    </r>
  </si>
  <si>
    <t>Flags (US &amp; Texas) ~ w/ bulk discount only need every 3 years</t>
  </si>
  <si>
    <t>Measuring Tapes Metal</t>
  </si>
  <si>
    <t xml:space="preserve">Misc Office Supplies </t>
  </si>
  <si>
    <t>Postage Meter Ink Cartridges</t>
  </si>
  <si>
    <t>Postage Meter Tapes</t>
  </si>
  <si>
    <t>Security Badges (every 3 years)</t>
  </si>
  <si>
    <t>6120-Postage</t>
  </si>
  <si>
    <t xml:space="preserve">Appraisal Notices </t>
  </si>
  <si>
    <t>Arbitration Correspondence</t>
  </si>
  <si>
    <t>Certified Letters</t>
  </si>
  <si>
    <t>Exemption applications  (all exemption applications)</t>
  </si>
  <si>
    <t>New SB 2 requirement</t>
  </si>
  <si>
    <t>HS Mass Mailouts **new per SB2</t>
  </si>
  <si>
    <t>Income Survey forms (new for 2020)</t>
  </si>
  <si>
    <t>Misc Correspondence Letters</t>
  </si>
  <si>
    <t xml:space="preserve">Misc. Flats </t>
  </si>
  <si>
    <t>Neopost</t>
  </si>
  <si>
    <t>Parcel Shipping - Fed EX / UPS</t>
  </si>
  <si>
    <t>lowered amt b/c we were able to delete the Permit #9 fee</t>
  </si>
  <si>
    <t>Permit Fees - Annual &amp; Business Reply</t>
  </si>
  <si>
    <t>Postage due Acct - Forwarding Orders</t>
  </si>
  <si>
    <t xml:space="preserve">Renditions </t>
  </si>
  <si>
    <t>Sales Questionnaires </t>
  </si>
  <si>
    <t xml:space="preserve">Survey Forms </t>
  </si>
  <si>
    <t>Tax Rate Website Postcard Notification in August</t>
  </si>
  <si>
    <t xml:space="preserve">Vendor Payments </t>
  </si>
  <si>
    <t>6130-Forms &amp; Printing</t>
  </si>
  <si>
    <t>NAV &amp; Protest Form</t>
  </si>
  <si>
    <t>HS 3630 Requirement</t>
  </si>
  <si>
    <t xml:space="preserve">25.19 No 10 window envelopes </t>
  </si>
  <si>
    <t>Include in every NAV</t>
  </si>
  <si>
    <t xml:space="preserve">25.19 Notice R&amp;R's insert </t>
  </si>
  <si>
    <t>HS Advertisement Insert</t>
  </si>
  <si>
    <t>25.19 Notice HB3630 insert</t>
  </si>
  <si>
    <t xml:space="preserve">25.19 Folding &amp; Inserting </t>
  </si>
  <si>
    <t>25.19 CASS &amp; PAVE Certification</t>
  </si>
  <si>
    <t>25.19 Notice - Printing Svc/Misc Flats</t>
  </si>
  <si>
    <t>25.19 USB drives/hard drives</t>
  </si>
  <si>
    <t>25.192 HS Mass Mailout **new per SB2</t>
  </si>
  <si>
    <t xml:space="preserve">Envelopes - pre-paid </t>
  </si>
  <si>
    <t xml:space="preserve">Envelopes - regular, window </t>
  </si>
  <si>
    <t>Income Survey Mailout</t>
  </si>
  <si>
    <t>Misc</t>
  </si>
  <si>
    <t>Renditions - Printing Service</t>
  </si>
  <si>
    <t>Rendition Postcard reminder</t>
  </si>
  <si>
    <t>Protest, BPP, PS Bus Cards</t>
  </si>
  <si>
    <t>6140-Janitorial Supplies</t>
  </si>
  <si>
    <t>Cleaning Supplies, Paper Products &amp; Miscellaneous Supplies</t>
  </si>
  <si>
    <t>6150-Minor Equipment &amp; Furniture (under $5,000)</t>
  </si>
  <si>
    <t>Large format (24"+) HD/high-res monitors</t>
  </si>
  <si>
    <t xml:space="preserve">Field device replacements </t>
  </si>
  <si>
    <t>Laptop computers &amp; accessories</t>
  </si>
  <si>
    <t>Misc Equipment &amp; Furniture</t>
  </si>
  <si>
    <t>Network Hardware</t>
  </si>
  <si>
    <t>Personal Computers</t>
  </si>
  <si>
    <t>Signature pads</t>
  </si>
  <si>
    <t>Touch Screens 22" or Larger</t>
  </si>
  <si>
    <t xml:space="preserve">TV displays for Projector Replacement </t>
  </si>
  <si>
    <t>Workstation Chairs</t>
  </si>
  <si>
    <t>6160-Computer Supplies</t>
  </si>
  <si>
    <t xml:space="preserve">Bulb for projectors (replacement) </t>
  </si>
  <si>
    <t>Color Plotter (HPT1100)  M&amp;R Ink Cartridges (Bl. 5; Cl. 5)</t>
  </si>
  <si>
    <t>Desktop Scanner Maintenance Kit</t>
  </si>
  <si>
    <t>Field Device Accessories</t>
  </si>
  <si>
    <t>Internal Hard Drives (storage)</t>
  </si>
  <si>
    <t>Surface power cables</t>
  </si>
  <si>
    <t>Large format scanner maintenance kit</t>
  </si>
  <si>
    <t>Misc supplies</t>
  </si>
  <si>
    <t xml:space="preserve">Screen protectors </t>
  </si>
  <si>
    <t>Thumb drives</t>
  </si>
  <si>
    <t>6210-Schools &amp; Conferences Memberships (Prof Dev)</t>
  </si>
  <si>
    <t>Customer &amp; Employee Survey Subscription</t>
  </si>
  <si>
    <t>Employee &amp; Board Recognition</t>
  </si>
  <si>
    <t>HR Classes / Training</t>
  </si>
  <si>
    <t>IAAO Conference (Boston, MA - 8/28 - 31)</t>
  </si>
  <si>
    <t xml:space="preserve">IAAO Legal Seminar </t>
  </si>
  <si>
    <t>registration fees increased</t>
  </si>
  <si>
    <t>IAAO Membership - CAE (7), CMS (2), AAS (2) Designation</t>
  </si>
  <si>
    <t xml:space="preserve">IAAO Seminars/Course + lodging, meals, misc. </t>
  </si>
  <si>
    <t>IAAO Seminars/Course + lodging, meals, misc. (Out of State)</t>
  </si>
  <si>
    <t>IAAO-CAE / AAS Demonstration Appraisal Report / Case Study /Grading Fees</t>
  </si>
  <si>
    <t>IT Courses/Certifications</t>
  </si>
  <si>
    <t>Added Access Perks fees</t>
  </si>
  <si>
    <t>Misc Membership Fees</t>
  </si>
  <si>
    <t>Misc CA Business Expenses</t>
  </si>
  <si>
    <t>Misc Seminars &amp; Conference</t>
  </si>
  <si>
    <t xml:space="preserve">Notary Fees </t>
  </si>
  <si>
    <t>Property Tax Institute</t>
  </si>
  <si>
    <t>TAAD-IAAO Chapter Dues</t>
  </si>
  <si>
    <t xml:space="preserve">TAAD Legislative Seminar </t>
  </si>
  <si>
    <t>TAAD Membership</t>
  </si>
  <si>
    <t>TAAD Seminar 6th BPP</t>
  </si>
  <si>
    <t xml:space="preserve">TAAD Specialty Courses </t>
  </si>
  <si>
    <t xml:space="preserve">TAAO Membership/Chapter fees </t>
  </si>
  <si>
    <t xml:space="preserve">TAMU Legal Seminar - San Antonio </t>
  </si>
  <si>
    <t>TCDRS Admin Seminar &amp; Perspectives Conference</t>
  </si>
  <si>
    <t>TDLR Membership - registered with the TDLR </t>
  </si>
  <si>
    <t>Out of State this year</t>
  </si>
  <si>
    <t>Williamson County Growth Summit</t>
  </si>
  <si>
    <t xml:space="preserve">                                 Sub-Total</t>
  </si>
  <si>
    <t>6215-Equipment Lease/Rental</t>
  </si>
  <si>
    <t>5 yr agreement signed 2018</t>
  </si>
  <si>
    <t xml:space="preserve">Neopost: Folder/Inserter </t>
  </si>
  <si>
    <t>new meter mach. 2020</t>
  </si>
  <si>
    <t xml:space="preserve">Postage Machine; Meter Enveloper/ Lease </t>
  </si>
  <si>
    <t>Printers &amp; Copiers Lease</t>
  </si>
  <si>
    <t>Property Tax on Copiers/Printers/Mail Machine</t>
  </si>
  <si>
    <t xml:space="preserve">Scanner - fi-4340C color duplex </t>
  </si>
  <si>
    <t>6220-Utilities</t>
  </si>
  <si>
    <t>AT&amp;T - Field Device Data Plans (9 months)</t>
  </si>
  <si>
    <t>Data Foundry</t>
  </si>
  <si>
    <t>Spectrum</t>
  </si>
  <si>
    <t>Suddenlink</t>
  </si>
  <si>
    <t xml:space="preserve">Telephone Services - RingCentral </t>
  </si>
  <si>
    <t>Water, Electric, Garbage, Sewer</t>
  </si>
  <si>
    <t>6225-Building Repairs/Maintenance</t>
  </si>
  <si>
    <t>A/C Preventive Maintenance</t>
  </si>
  <si>
    <t>A/C Repair</t>
  </si>
  <si>
    <t xml:space="preserve">Back flow preventive -  annual check </t>
  </si>
  <si>
    <t xml:space="preserve">Bulbs </t>
  </si>
  <si>
    <t>Carpet cleaning (upstairs &amp; downstairs) - once a year</t>
  </si>
  <si>
    <t xml:space="preserve">Cleaning Service </t>
  </si>
  <si>
    <t xml:space="preserve">Electrical work  </t>
  </si>
  <si>
    <t xml:space="preserve">Elevator Maintenance Contract </t>
  </si>
  <si>
    <t xml:space="preserve">Elevator Inspection Annual </t>
  </si>
  <si>
    <t>Fire Alarm/Sprinkler/Extinguisher Inspection</t>
  </si>
  <si>
    <t>Needs recharge in 2024</t>
  </si>
  <si>
    <t xml:space="preserve">Grounds Maintenance </t>
  </si>
  <si>
    <t>Irrigation repair</t>
  </si>
  <si>
    <t>Knight Security - Secured Plan</t>
  </si>
  <si>
    <t>Misc. Supplies</t>
  </si>
  <si>
    <t>Mulch</t>
  </si>
  <si>
    <t>Pest Control</t>
  </si>
  <si>
    <t>Power Wash Building and entryways</t>
  </si>
  <si>
    <t xml:space="preserve">Pump House Repairs </t>
  </si>
  <si>
    <t xml:space="preserve">Security &amp; Fire Monitoring Service </t>
  </si>
  <si>
    <t>Strip/Wax/Seal VCT Flooring &amp; Tile cleaning</t>
  </si>
  <si>
    <t xml:space="preserve">Wet Pond Maintenance </t>
  </si>
  <si>
    <t>Window cleaning</t>
  </si>
  <si>
    <t>6235-TLO Expense</t>
  </si>
  <si>
    <t>Do we need to increase (raise)</t>
  </si>
  <si>
    <t xml:space="preserve">TLO Expenses </t>
  </si>
  <si>
    <t>TLO Auto Allowance</t>
  </si>
  <si>
    <t>BOD decision</t>
  </si>
  <si>
    <t>6236-BOD Expense</t>
  </si>
  <si>
    <t>6240-Publications</t>
  </si>
  <si>
    <t>Aircraft Bluebook</t>
  </si>
  <si>
    <t>Airpac Plane</t>
  </si>
  <si>
    <t>ALN Apartment Data</t>
  </si>
  <si>
    <t>Austin Business Journal</t>
  </si>
  <si>
    <t>Automotive News (digital &amp; data center access)</t>
  </si>
  <si>
    <t>Axiometrics Apartment Data</t>
  </si>
  <si>
    <t>BOMA - Experience Exchange Report</t>
  </si>
  <si>
    <t>Capitol Market Research</t>
  </si>
  <si>
    <t>CoStar Market Reports / Sales Listing Services</t>
  </si>
  <si>
    <t>Infonation - Vehicle Registration List</t>
  </si>
  <si>
    <t>IRR VIEW POINT</t>
  </si>
  <si>
    <t>IT training books from Amazon</t>
  </si>
  <si>
    <t>Job Posting Ads</t>
  </si>
  <si>
    <t>Renew Every Odd Year</t>
  </si>
  <si>
    <t>Legal Ads - request for proposals</t>
  </si>
  <si>
    <t>Lynda.com - online software tutorials</t>
  </si>
  <si>
    <t>Misc Publications</t>
  </si>
  <si>
    <t>PKF Trends for Lodging</t>
  </si>
  <si>
    <t>Price Digest - Commercial Trailer Bluebook</t>
  </si>
  <si>
    <t>Price Digest - Truck Blue Book</t>
  </si>
  <si>
    <t>Pricewaterhouse Corp - Real Estate Investor Survey</t>
  </si>
  <si>
    <t>Real Estate Research Corp. (RERC)</t>
  </si>
  <si>
    <t>Realty Rates Investor and Market Survey</t>
  </si>
  <si>
    <t>Self Storage Almanac &amp; Expense Guide</t>
  </si>
  <si>
    <t>Senior Acquisition Report</t>
  </si>
  <si>
    <t>Senior Care Investor</t>
  </si>
  <si>
    <t>Source Strategies - Texas Hotel Performance 3rd Quarter Data</t>
  </si>
  <si>
    <t>Source Strategies - Texas Hotel Brand Report</t>
  </si>
  <si>
    <t>Trepp</t>
  </si>
  <si>
    <t>New</t>
  </si>
  <si>
    <t>Source Strategies - Texas Hotel Performance 4th Quarter Data</t>
  </si>
  <si>
    <t>Smith Travel Research - HOST Almanac</t>
  </si>
  <si>
    <t>IBIS World Industry Reports</t>
  </si>
  <si>
    <t xml:space="preserve">6250-Contingency Emergency </t>
  </si>
  <si>
    <t>Emergency Reserve Funds</t>
  </si>
  <si>
    <t>6260-Consulting/Professional Services</t>
  </si>
  <si>
    <t>Auditor - 2021 Financials</t>
  </si>
  <si>
    <t>BIS Consulting</t>
  </si>
  <si>
    <t>BIS MRA Project (New projects with Josh)</t>
  </si>
  <si>
    <t>Development Projects</t>
  </si>
  <si>
    <t>EagleView Aerials, ChangeFindr, PoolFindr</t>
  </si>
  <si>
    <t>Employment Screening</t>
  </si>
  <si>
    <t>Legal Fees</t>
  </si>
  <si>
    <t>Apple Campus</t>
  </si>
  <si>
    <t>Outside Appraisal Services</t>
  </si>
  <si>
    <t>RSI Call Center Analytics/Dashboard</t>
  </si>
  <si>
    <t>Shredding Services</t>
  </si>
  <si>
    <t>STATCO</t>
  </si>
  <si>
    <t>Subvenion - System Network Maintenance</t>
  </si>
  <si>
    <t>Subvenion - Additional Project Hours</t>
  </si>
  <si>
    <t>6280-Maintenance Contracts</t>
  </si>
  <si>
    <t>Apex Software - Sketching Software Maintenance</t>
  </si>
  <si>
    <t xml:space="preserve">BIS Online Forms </t>
  </si>
  <si>
    <t>BIS TNT Website Hosting</t>
  </si>
  <si>
    <t>BIS WCAD.org Web Hosting</t>
  </si>
  <si>
    <t>Cisco Amp License (antivirus) expires in 2022</t>
  </si>
  <si>
    <t>Cisco/firewall maintenance contracts</t>
  </si>
  <si>
    <t>Constant Contact</t>
  </si>
  <si>
    <t>Dell Warranty Renewal</t>
  </si>
  <si>
    <t>ESRI - ArcGIS SDE Server Enterprise up to 4 cores maint (2)</t>
  </si>
  <si>
    <t>ESRI - ArcGIS Geostatistical Analyst Concurrent Use Primary Maintenance</t>
  </si>
  <si>
    <t>ESRI - ArcGIS Data Reviewer Concurrent Use Primary Maintenance</t>
  </si>
  <si>
    <t>ESRI - ArcGIS Insights</t>
  </si>
  <si>
    <t>ESRI - ArcGIS Online Subscription</t>
  </si>
  <si>
    <t>Future Hardware Maintenance Contracts</t>
  </si>
  <si>
    <t>Intuit - QuickBooks Licenses / Update / Support</t>
  </si>
  <si>
    <t>Nemo Q</t>
  </si>
  <si>
    <t xml:space="preserve">Network Solutions - domain reg (wcad.org &amp; wcadonline.org) </t>
  </si>
  <si>
    <t>Plotter Maintenance</t>
  </si>
  <si>
    <t>Samanage</t>
  </si>
  <si>
    <t>Sidwell - Parcel Building Software Support</t>
  </si>
  <si>
    <t>Sidwell - Premium Software</t>
  </si>
  <si>
    <t>Sidwell - Portico Maintenance</t>
  </si>
  <si>
    <t>Teleform(verify) maintenance</t>
  </si>
  <si>
    <t>TLC Desktop Printer Management</t>
  </si>
  <si>
    <t>ex review/audit. 3 year contract beginning in 2021</t>
  </si>
  <si>
    <t xml:space="preserve">Tyler - Orion Software Maintenance </t>
  </si>
  <si>
    <t>Tyler - Pictometry Orion Interface</t>
  </si>
  <si>
    <t>Tyler - Orion Public Access for Appraisal</t>
  </si>
  <si>
    <t>Tyler - Orion GIS Advanced</t>
  </si>
  <si>
    <t>Tyler - Apex Interface</t>
  </si>
  <si>
    <t>Tyler - Sketch Validation for New Improvements</t>
  </si>
  <si>
    <t>Tyler - Appraisal Review Software</t>
  </si>
  <si>
    <t xml:space="preserve">Tyler Field Device Software Maintenance </t>
  </si>
  <si>
    <t>VMWare maintenance</t>
  </si>
  <si>
    <t>Warranty Colo Hardware</t>
  </si>
  <si>
    <t>6285-Computer Services/Licenses</t>
  </si>
  <si>
    <t>Adobe Acrobat</t>
  </si>
  <si>
    <t>Automox- automatic desktop patching software</t>
  </si>
  <si>
    <t xml:space="preserve">Cisco Umbrella </t>
  </si>
  <si>
    <t>GoDaddy 1 year SSL Certification</t>
  </si>
  <si>
    <t>new 2022.</t>
  </si>
  <si>
    <t>HR / Payroll Software</t>
  </si>
  <si>
    <t>Just Appraised (deed viewer)</t>
  </si>
  <si>
    <t>Kiosk software maintenance</t>
  </si>
  <si>
    <t xml:space="preserve">Misc Field Apps/or software </t>
  </si>
  <si>
    <t>Misc Software</t>
  </si>
  <si>
    <t>price increase</t>
  </si>
  <si>
    <t>Office 365</t>
  </si>
  <si>
    <t>Room Alert maintenance</t>
  </si>
  <si>
    <t>Site24x7 monitoring</t>
  </si>
  <si>
    <t>Software purchases upgrades NitroPro PDF</t>
  </si>
  <si>
    <t>Veeam backup solution</t>
  </si>
  <si>
    <t>was under budgeted in past...had 19 users but only budgeted for 15.</t>
  </si>
  <si>
    <t>Zoho</t>
  </si>
  <si>
    <t>category was formerly used for zoho desk users for temps.</t>
  </si>
  <si>
    <t>Zoho Forms</t>
  </si>
  <si>
    <t>6290-Business Insurance</t>
  </si>
  <si>
    <t>Commercial Auto Policy - Non Owned</t>
  </si>
  <si>
    <t xml:space="preserve">Crime </t>
  </si>
  <si>
    <t>Errors &amp; Omission</t>
  </si>
  <si>
    <t xml:space="preserve">General Liability </t>
  </si>
  <si>
    <t xml:space="preserve">Real &amp; Personal Property </t>
  </si>
  <si>
    <t>6810-Debt Services</t>
  </si>
  <si>
    <t>bldg paid off on 7/15</t>
  </si>
  <si>
    <t>8010-Computer Capital (Over $5,000)</t>
  </si>
  <si>
    <t>Sql Server License</t>
  </si>
  <si>
    <t>Server Hardware</t>
  </si>
  <si>
    <t>Server Operating System</t>
  </si>
  <si>
    <t>8020-Furniture and Fixtures (Over $5,000)</t>
  </si>
  <si>
    <t>6310-ARB - Contract Labor</t>
  </si>
  <si>
    <t>ARB Chairperson $30.00 a day--1 member</t>
  </si>
  <si>
    <t>6320-ARB - Supplies</t>
  </si>
  <si>
    <t>Misc Supplies--Pens, Pencils, Writing Tablets, Name plates, kleenex</t>
  </si>
  <si>
    <t>Paper towels (a case)</t>
  </si>
  <si>
    <t>6330-ARB - Services</t>
  </si>
  <si>
    <t>ARB Domain for Office 365 Accounts (unique email addresses)</t>
  </si>
  <si>
    <t>ARB Notice of Hearing Letters Postage</t>
  </si>
  <si>
    <t xml:space="preserve">Envelopes - special (6x9.5) for NoH ltrs (1,000/bx) </t>
  </si>
  <si>
    <t>ARB Ad</t>
  </si>
  <si>
    <t>Comptroller Taxpayer Rights &amp; Remedies &amp; Insert for Notice of Hearing ltrs</t>
  </si>
  <si>
    <t>6340-ARB - Training/Seminars</t>
  </si>
  <si>
    <t>6350-ARB - Litigation</t>
  </si>
  <si>
    <t>increased due to usage</t>
  </si>
  <si>
    <t xml:space="preserve">Litigation </t>
  </si>
  <si>
    <t>ARB Attorney Workshop</t>
  </si>
  <si>
    <t>ARB Budget</t>
  </si>
  <si>
    <t>Contract Labor</t>
  </si>
  <si>
    <t>Forms &amp; Printing</t>
  </si>
  <si>
    <t>Training/Seminars</t>
  </si>
  <si>
    <t>Litigation</t>
  </si>
  <si>
    <t>Williamson Central Appraisal District</t>
  </si>
  <si>
    <t>Budget Expenditures</t>
  </si>
  <si>
    <t>2021 Approved</t>
  </si>
  <si>
    <t>Percent Variance</t>
  </si>
  <si>
    <t>Salaries</t>
  </si>
  <si>
    <t>Allowances</t>
  </si>
  <si>
    <t>Group Health</t>
  </si>
  <si>
    <t>Retirement</t>
  </si>
  <si>
    <t>Worker's Comp Insurance</t>
  </si>
  <si>
    <t>Social Security / Disability</t>
  </si>
  <si>
    <t>Office Supplies</t>
  </si>
  <si>
    <t>Postage</t>
  </si>
  <si>
    <t>Forms/Printing</t>
  </si>
  <si>
    <t>Janitorial Supplies</t>
  </si>
  <si>
    <t>Minor Equipment/Furniture</t>
  </si>
  <si>
    <t>Computer Supplies</t>
  </si>
  <si>
    <t>Professional Development</t>
  </si>
  <si>
    <t>Equipment Lease/Rental</t>
  </si>
  <si>
    <t>Utilities</t>
  </si>
  <si>
    <t>Building Repair &amp; Maint.</t>
  </si>
  <si>
    <t>TLO Expenses</t>
  </si>
  <si>
    <t>BOD Expenses</t>
  </si>
  <si>
    <t>Publications</t>
  </si>
  <si>
    <t>Contingency Emergency</t>
  </si>
  <si>
    <t>Consulting/Professional Services</t>
  </si>
  <si>
    <t>GIS Services</t>
  </si>
  <si>
    <t>Maintenance Contracts</t>
  </si>
  <si>
    <t>Computer Services/Licenses</t>
  </si>
  <si>
    <t>Business Insurance</t>
  </si>
  <si>
    <t>Debt Service - Building</t>
  </si>
  <si>
    <t>Furniture &amp; Fixtures</t>
  </si>
  <si>
    <t>Fund Depreciation</t>
  </si>
  <si>
    <t>Subtotal Expenditures</t>
  </si>
  <si>
    <t>Total Expenditures</t>
  </si>
  <si>
    <t>Monies from Reserve</t>
  </si>
  <si>
    <t>Entity Allocations</t>
  </si>
  <si>
    <t>all picto srvcs in one contract
pool finder every 3 yrs ('21,'24,'27…) pool finder years: $304,759, non-pool finder years: $287,159.</t>
  </si>
  <si>
    <t>Moved to monitors above</t>
  </si>
  <si>
    <t>23"+ Height Adjustable Monitors</t>
  </si>
  <si>
    <t>Not needed anymore</t>
  </si>
  <si>
    <t>Moved to AT&amp;T</t>
  </si>
  <si>
    <t>Don't subscribe anymore</t>
  </si>
  <si>
    <t>Free w/CoStar subscription</t>
  </si>
  <si>
    <t>No longer available</t>
  </si>
  <si>
    <t>started using a background check company</t>
  </si>
  <si>
    <t>Quantanite</t>
  </si>
  <si>
    <t>Graphana Cloud</t>
  </si>
  <si>
    <t>Required Plan Rate (18.10%)</t>
  </si>
  <si>
    <t>Elected higher rate (19.00% + .12% = 19.12%)</t>
  </si>
  <si>
    <t xml:space="preserve">CAMA </t>
  </si>
  <si>
    <t>IT-Programmer</t>
  </si>
  <si>
    <t>Map - GIS Tech</t>
  </si>
  <si>
    <t>10% salary adj for CS per/KC</t>
  </si>
  <si>
    <t>Reduced b/c of Quantanite</t>
  </si>
  <si>
    <t>Total requested salaries</t>
  </si>
  <si>
    <t>TLO Training (TAAD Conference Grapevine?)</t>
  </si>
  <si>
    <t>gave 1% in 2017 - Pre-fund</t>
  </si>
  <si>
    <t xml:space="preserve">1099's </t>
  </si>
  <si>
    <t>AED batteries (every 4 years)</t>
  </si>
  <si>
    <t>AED pads (every 2 years)</t>
  </si>
  <si>
    <t>Business Reply Usage (surveys, questionnaires, etc.)</t>
  </si>
  <si>
    <t>Certified Letters (Return Receipt Requested - RRR)</t>
  </si>
  <si>
    <t>HS Mass Mailouts (Postcards)</t>
  </si>
  <si>
    <t>25.19 Notice 'Packet' (Front and Back of NAV &amp; Protest Form)(Per Page)</t>
  </si>
  <si>
    <t>25.19 Notice 'Packet' (Same as above - With HS Insert)</t>
  </si>
  <si>
    <t>25.19 Notice 'Packet' (QC Sample freight)</t>
  </si>
  <si>
    <t>Envelopes - special (security env)</t>
  </si>
  <si>
    <t xml:space="preserve">HS Application Mailout - mailing out postcards </t>
  </si>
  <si>
    <t xml:space="preserve">Survey Cards (PS/Appraisal) </t>
  </si>
  <si>
    <t>Desktop Scanner (replacement)</t>
  </si>
  <si>
    <t>Electronic devices for field use (tablets or other field devices)</t>
  </si>
  <si>
    <t xml:space="preserve">Color Print Heads (HPT1100) </t>
  </si>
  <si>
    <t>Toner cartridges (Includes all types for all departments)</t>
  </si>
  <si>
    <t>Community Outreach (GIS Day)</t>
  </si>
  <si>
    <t>ESRI User Conf - San Diego, CA</t>
  </si>
  <si>
    <t xml:space="preserve">GIS &amp; CAMA Conference </t>
  </si>
  <si>
    <t>HR Seminars (Harassment &amp; Staff Motivational)</t>
  </si>
  <si>
    <t>TAAD - TDLR/Comptroller - courses/seminars (travel, lodging, meals, misc.)</t>
  </si>
  <si>
    <t>TAAO Conference - Houston, TX (8/28-31)</t>
  </si>
  <si>
    <r>
      <t>TAAD Conference </t>
    </r>
    <r>
      <rPr>
        <sz val="11"/>
        <rFont val="Calibri"/>
        <family val="2"/>
        <scheme val="minor"/>
      </rPr>
      <t>- Grapevine TX (2/6-9)</t>
    </r>
  </si>
  <si>
    <r>
      <t xml:space="preserve">TDLR Certification Review/Exams </t>
    </r>
    <r>
      <rPr>
        <sz val="11"/>
        <rFont val="Calibri"/>
        <family val="2"/>
        <scheme val="minor"/>
      </rPr>
      <t xml:space="preserve"> ($350(review)   $100(exam))</t>
    </r>
  </si>
  <si>
    <r>
      <t xml:space="preserve">Tyler Connect </t>
    </r>
    <r>
      <rPr>
        <sz val="11"/>
        <rFont val="Calibri"/>
        <family val="2"/>
        <scheme val="minor"/>
      </rPr>
      <t>- Indianapolis, IN (5/15-18)</t>
    </r>
  </si>
  <si>
    <t>Text Blast (text billing - Mobo)</t>
  </si>
  <si>
    <t>Verizon Wireless -Device Data Plans (Mobile Hotspots)</t>
  </si>
  <si>
    <t xml:space="preserve">Elevator Certificate of Compliance (TDLR) Annual </t>
  </si>
  <si>
    <t>Fire Extinguisher (Recharge every 6 yrs 2024)</t>
  </si>
  <si>
    <t>Misc. Maintenance (plumbing, carpentry, painting)</t>
  </si>
  <si>
    <t>Board of Directors Expenses  (Includes conferences, training, mileage, meals, supplies, ink cartridges, etc)</t>
  </si>
  <si>
    <t>Austin American Statesman (on-line) Subscription</t>
  </si>
  <si>
    <t>Austin Investor Interests (Sales Info &amp; Website)</t>
  </si>
  <si>
    <t>Display Ads–Protest Procedures, Public Hearing ads &amp; Property Tax Benefits</t>
  </si>
  <si>
    <t>Loopnet Sales (Sales/Lease Information)</t>
  </si>
  <si>
    <t>Marshall &amp; Swift Network, Book, CD (3 Commercial licenses and 1 Residential License)</t>
  </si>
  <si>
    <t>NADA Manufactured Housing Guide (Licenses) Jan-April</t>
  </si>
  <si>
    <t>NADA – Used Car Guides (value used cars ’92 forward)</t>
  </si>
  <si>
    <t>Arbitrations (binding)</t>
  </si>
  <si>
    <t>ESRI - ArcGIS Desktop (advanced) Concurrent use Primary Maintenance</t>
  </si>
  <si>
    <t>ESRI - ArcGIS Desktop (advanced) Concurrent use Secondary Maintenance</t>
  </si>
  <si>
    <t>ESRI - ArcGIS Desktop (standard) Concurrent use Primary Maintenance</t>
  </si>
  <si>
    <t>ESRI - ArcGIS Desktop (standard) Concurrent use Secondary Maintenance</t>
  </si>
  <si>
    <t>ESRI - ArcGIS Desktop (basic) Single use Primary Maintenance</t>
  </si>
  <si>
    <t>ESRI - ArcGIS Desktop (basic) Single use Secondary Maintenance</t>
  </si>
  <si>
    <t>ESRI - ArcGIS Spatial Analyst Concurrent Use Primary Maintenance</t>
  </si>
  <si>
    <t>ESRI - ArcGIS 3D Analyst Concurrent Use Primary Maintenance</t>
  </si>
  <si>
    <t>2022 Texas Property Tax Code Books (2021 Legislative year)</t>
  </si>
  <si>
    <t>Replace ARB chairs</t>
  </si>
  <si>
    <t>6280-Maintenance Contracts (con't.)</t>
  </si>
  <si>
    <t xml:space="preserve">In-house Software Training </t>
  </si>
  <si>
    <t>legislative year</t>
  </si>
  <si>
    <t>Click charges estimated overages</t>
  </si>
  <si>
    <t>Subscription to The Sun (for research)</t>
  </si>
  <si>
    <t>Once every 6 years (IAAO Standard)</t>
  </si>
  <si>
    <t>Planned for Austin in 2021</t>
  </si>
  <si>
    <t>new 2022 (removed from Temp)</t>
  </si>
  <si>
    <t>True Roll - Homestead and Exemption Audit</t>
  </si>
  <si>
    <t>Board Decision (Current Salary Shown)</t>
  </si>
  <si>
    <t>Chief Appraiser Car Allowance = $700 x 12 months</t>
  </si>
  <si>
    <t>Match Employees Auto Allowance as usual</t>
  </si>
  <si>
    <t>Longevity Significantly Behind Others</t>
  </si>
  <si>
    <t>Tyler Assessment Connect &amp; Open Assessment</t>
  </si>
  <si>
    <t>Increase in parcel count</t>
  </si>
  <si>
    <t>New - All industries</t>
  </si>
  <si>
    <t>Not utilizing in last few years</t>
  </si>
  <si>
    <t>New employees</t>
  </si>
  <si>
    <t>TCDRS here in June to discuss rates</t>
  </si>
  <si>
    <r>
      <t>Kelley Blue Book. Used Car Guide Older Cars</t>
    </r>
    <r>
      <rPr>
        <sz val="8"/>
        <rFont val="Calibri"/>
        <family val="2"/>
        <scheme val="minor"/>
      </rPr>
      <t xml:space="preserve"> (value vehicles ’91 forward)</t>
    </r>
  </si>
  <si>
    <t xml:space="preserve">1st year - 70 meetings </t>
  </si>
  <si>
    <t>2nd year -  70 meetings</t>
  </si>
  <si>
    <t>3rd &amp; 4th year - 70 meetings</t>
  </si>
  <si>
    <t>5th &amp; 6th year - 70 meetings</t>
  </si>
  <si>
    <t>Comptroller ARB Comprehensive Seminar (16 members + 6 alt)</t>
  </si>
  <si>
    <t>Comptroller ARB Advanced Seminar (16 members + 6 alt)</t>
  </si>
  <si>
    <t>1-Rec - ARB Coord/Tech</t>
  </si>
  <si>
    <t>1-Appraisers-unfunded mandate</t>
  </si>
  <si>
    <t xml:space="preserve">Short Term Disability (($4 x 78 emp x 12 mo)+$2,370) </t>
  </si>
  <si>
    <t>Car Allowance = $700 x 12 months x 35 employees x .95(usage)</t>
  </si>
  <si>
    <t>Increase # of appraisers / First increase in car allowance amount in 16 years</t>
  </si>
  <si>
    <t>New contract signed 2020 - Only included 1/2 due to usage of Open Assessment pending decision on Assessment Connect</t>
  </si>
  <si>
    <t>6 Alternate members would need to attend training</t>
  </si>
  <si>
    <t>Postage increase 8/2021</t>
  </si>
  <si>
    <t>New empl need courses</t>
  </si>
  <si>
    <t>New empl and data increase</t>
  </si>
  <si>
    <t>LED Light conversion and New ACs</t>
  </si>
  <si>
    <r>
      <t xml:space="preserve">Building payment </t>
    </r>
    <r>
      <rPr>
        <sz val="11"/>
        <color rgb="FFFF0000"/>
        <rFont val="Calibri"/>
        <family val="2"/>
        <scheme val="minor"/>
      </rPr>
      <t>(Paying off Building in January w/reserves)</t>
    </r>
  </si>
  <si>
    <r>
      <t xml:space="preserve">COLA for Retirees - 1% FLAT </t>
    </r>
    <r>
      <rPr>
        <i/>
        <sz val="11"/>
        <color rgb="FFFF0000"/>
        <rFont val="Calibri"/>
        <family val="2"/>
        <scheme val="minor"/>
      </rPr>
      <t>(pre-fund bod approved 5/13/2021)</t>
    </r>
  </si>
  <si>
    <r>
      <t>sketch validation</t>
    </r>
    <r>
      <rPr>
        <i/>
        <sz val="11"/>
        <color rgb="FFFF0000"/>
        <rFont val="Calibri"/>
        <family val="2"/>
        <scheme val="minor"/>
      </rPr>
      <t xml:space="preserve"> (Take from GIS Projects Reserve $90,000)</t>
    </r>
  </si>
  <si>
    <t>Postage increase 8/2021 &amp; New HS audit</t>
  </si>
  <si>
    <t>Dental - ($36.51/month x 78 employees x 8)+(($36.51*105%)*78*4)</t>
  </si>
  <si>
    <t>Vision Insurance Plan B ($7.28/month*78*8)+(($7.28*105%)*78*4)</t>
  </si>
  <si>
    <t>Medical - (($652.89 month - $10.00)*78 employees*8)+((($652.89-10)*115%)*78*4)</t>
  </si>
  <si>
    <t>2022 Budget Summary Recap</t>
  </si>
  <si>
    <t>Board Approved September 9, 2021</t>
  </si>
  <si>
    <r>
      <rPr>
        <sz val="12"/>
        <color rgb="FF009900"/>
        <rFont val="Arial"/>
        <family val="2"/>
      </rPr>
      <t>Increase</t>
    </r>
    <r>
      <rPr>
        <sz val="12"/>
        <color theme="0"/>
        <rFont val="Arial"/>
        <family val="2"/>
      </rPr>
      <t xml:space="preserve"> or </t>
    </r>
    <r>
      <rPr>
        <sz val="12"/>
        <color rgb="FFFF0000"/>
        <rFont val="Arial"/>
        <family val="2"/>
      </rPr>
      <t>(Decrease)</t>
    </r>
  </si>
  <si>
    <t>2022 Approved</t>
  </si>
  <si>
    <t>2022 Budget Approved - 3% Merit</t>
  </si>
  <si>
    <t>2022 Approved Budget</t>
  </si>
  <si>
    <t>2022 Approved Amount</t>
  </si>
  <si>
    <t>2022 Approved Total</t>
  </si>
  <si>
    <t>2020 Actual</t>
  </si>
  <si>
    <t>Communication Allowances</t>
  </si>
  <si>
    <t xml:space="preserve"> 2022 Budget - 3% Personnel</t>
  </si>
  <si>
    <t>2022 Budget - Supplies, Services, Capital Expenditures</t>
  </si>
  <si>
    <t xml:space="preserve"> 2022 Budget - Appraisal Review Board (ARB)</t>
  </si>
  <si>
    <t>Type</t>
  </si>
  <si>
    <t>Date</t>
  </si>
  <si>
    <t>Num</t>
  </si>
  <si>
    <t>Name</t>
  </si>
  <si>
    <t>Memo</t>
  </si>
  <si>
    <t>Split</t>
  </si>
  <si>
    <t>Amount</t>
  </si>
  <si>
    <t>6100 · Materials/Supplies</t>
  </si>
  <si>
    <t>6110 · Office Supplies</t>
  </si>
  <si>
    <t>Total 6110 · Office Supplies</t>
  </si>
  <si>
    <t>Total 6100 · Materials/Supplies</t>
  </si>
  <si>
    <t>Credit</t>
  </si>
  <si>
    <t>Bill</t>
  </si>
  <si>
    <t>Check</t>
  </si>
  <si>
    <t>113-9498977-8293813</t>
  </si>
  <si>
    <t>3340249</t>
  </si>
  <si>
    <t>3089023</t>
  </si>
  <si>
    <t>222269671001</t>
  </si>
  <si>
    <t>ACH</t>
  </si>
  <si>
    <t>222764498001</t>
  </si>
  <si>
    <t>222810282001</t>
  </si>
  <si>
    <t>218354117001</t>
  </si>
  <si>
    <t>218224124001</t>
  </si>
  <si>
    <t>02.2022</t>
  </si>
  <si>
    <t>92027</t>
  </si>
  <si>
    <t>227702093001</t>
  </si>
  <si>
    <t>92191</t>
  </si>
  <si>
    <t>Amazon.com</t>
  </si>
  <si>
    <t>Verabank</t>
  </si>
  <si>
    <t>Quadient Finance USA, Inc</t>
  </si>
  <si>
    <t>Minuteman Press</t>
  </si>
  <si>
    <t>6110-8 - office supplies</t>
  </si>
  <si>
    <t>6110-5 - copier paper</t>
  </si>
  <si>
    <t>6110-8 - check order</t>
  </si>
  <si>
    <t>6110-10 - meter tapes</t>
  </si>
  <si>
    <t>6110-8 - Business cards - Customer Services (500)</t>
  </si>
  <si>
    <t>6110-8 - Business cards - RMata (250)</t>
  </si>
  <si>
    <t>2010 · Accounts Payable</t>
  </si>
  <si>
    <t>1005 · USB - Operating Account</t>
  </si>
  <si>
    <t>6110-6 Return ~ Flags</t>
  </si>
  <si>
    <t>6120 · Postage</t>
  </si>
  <si>
    <t>Total 6120 · Postage</t>
  </si>
  <si>
    <t>35703</t>
  </si>
  <si>
    <t>BR 7400.2022</t>
  </si>
  <si>
    <t>BR 74001.2022</t>
  </si>
  <si>
    <t>7-642-27299</t>
  </si>
  <si>
    <t>0013781</t>
  </si>
  <si>
    <t>E80252</t>
  </si>
  <si>
    <t>7-664-24098</t>
  </si>
  <si>
    <t>36322</t>
  </si>
  <si>
    <t>Variverge</t>
  </si>
  <si>
    <t>United States Postal Service</t>
  </si>
  <si>
    <t>FedEx</t>
  </si>
  <si>
    <t>Usio Postage</t>
  </si>
  <si>
    <t>The Master's Touch, LLC</t>
  </si>
  <si>
    <t>6120-16 - postage 13,470</t>
  </si>
  <si>
    <t>6120-14 - BRM Permit # - BR 74000 - renewal fee 2022</t>
  </si>
  <si>
    <t>6120-14 - BRM Annual Maintenance - BR 74001</t>
  </si>
  <si>
    <t>6120-13 - postage - mail ex board member gift</t>
  </si>
  <si>
    <t>6120-7 - postage for HS mailout</t>
  </si>
  <si>
    <t>6120-16 - renditions</t>
  </si>
  <si>
    <t>6120-1 - Postage for NAV</t>
  </si>
  <si>
    <t>6120-13 - postage - Abitrator - overnight</t>
  </si>
  <si>
    <t>6120-16 - postage 700</t>
  </si>
  <si>
    <t>6130 · Forms, Printing &amp; Reproduction</t>
  </si>
  <si>
    <t>Total 6130 · Forms, Printing &amp; Reproduction</t>
  </si>
  <si>
    <t>28464</t>
  </si>
  <si>
    <t>Usio Output Solutions</t>
  </si>
  <si>
    <t>6130-18 - laser printing - 49,320</t>
  </si>
  <si>
    <t>6130-18 - rendering - 13,483</t>
  </si>
  <si>
    <t>6130-18 - Paper for Laser Printing - 33,013</t>
  </si>
  <si>
    <t>6130-18 - envelopes - 13,483</t>
  </si>
  <si>
    <t>6130-18 - 1st insert - 13,597</t>
  </si>
  <si>
    <t>6130-18 - flats - 11</t>
  </si>
  <si>
    <t>6130-18 - 6x9 - 111</t>
  </si>
  <si>
    <t>6130-18 - Laser Printing Go Green Insert</t>
  </si>
  <si>
    <t>6130-15 - HS postcard mailout (1,354)</t>
  </si>
  <si>
    <t>Postage for NAV</t>
  </si>
  <si>
    <t>6130-18 - laser printing - 2,832</t>
  </si>
  <si>
    <t>6130-18 - rendering - 701</t>
  </si>
  <si>
    <t>6130-18 - Paper for Laser Printing - 1,414</t>
  </si>
  <si>
    <t>6130-18 - envelopes - 700</t>
  </si>
  <si>
    <t>6130-18 - 1st insert - 700</t>
  </si>
  <si>
    <t>6130-18 - Laser Printing Go Green Insert - 700</t>
  </si>
  <si>
    <t>6140 · Janitorial Supplies</t>
  </si>
  <si>
    <t>Total 6140 · Janitorial Supplies</t>
  </si>
  <si>
    <t>11104</t>
  </si>
  <si>
    <t>11207</t>
  </si>
  <si>
    <t>Express Commercial Cleaning, Inc.</t>
  </si>
  <si>
    <t>6140-1 - janitorial supplies</t>
  </si>
  <si>
    <t>Credit Card Charge</t>
  </si>
  <si>
    <t>141577</t>
  </si>
  <si>
    <t>Best Buy</t>
  </si>
  <si>
    <t>6160-8 - computer supplies</t>
  </si>
  <si>
    <t>2005 · Credit Card - USB - 0113</t>
  </si>
  <si>
    <t>6160 · Computer Supplies Expense</t>
  </si>
  <si>
    <t>Total 6160 · Computer Supplies Expense</t>
  </si>
  <si>
    <t>28AR468986</t>
  </si>
  <si>
    <t>10555441018</t>
  </si>
  <si>
    <t>CD_000361265</t>
  </si>
  <si>
    <t>1FFX-9HCY-4R6N</t>
  </si>
  <si>
    <t>Dell</t>
  </si>
  <si>
    <t>RingCentral Inc.</t>
  </si>
  <si>
    <t>Amazon Business</t>
  </si>
  <si>
    <t>6160-12 - Freight for toner</t>
  </si>
  <si>
    <t>6160-6 Dell Latitude 7420 i7, 32GB - Alvin</t>
  </si>
  <si>
    <t>6160-6 Dell Latitude 3520 i7 , 16GB board room</t>
  </si>
  <si>
    <t>6160-8 Polycom VVX 250 Business Phones</t>
  </si>
  <si>
    <t>6160-8 shipping</t>
  </si>
  <si>
    <t>6160-12 - computer supplies</t>
  </si>
  <si>
    <t>6200 · General - Services</t>
  </si>
  <si>
    <t>6210 · Schools/Conf Mbrshp Prof Dev</t>
  </si>
  <si>
    <t>Total 6210 · Schools/Conf Mbrshp Prof Dev</t>
  </si>
  <si>
    <t>Total 6200 · General - Services</t>
  </si>
  <si>
    <t>Credit Card Credit</t>
  </si>
  <si>
    <t>Deposit</t>
  </si>
  <si>
    <t>619454</t>
  </si>
  <si>
    <t>Renewal.2022</t>
  </si>
  <si>
    <t>01042022</t>
  </si>
  <si>
    <t>01102022</t>
  </si>
  <si>
    <t>Conference.2022</t>
  </si>
  <si>
    <t>00637G</t>
  </si>
  <si>
    <t>1620</t>
  </si>
  <si>
    <t>2237.70898909.2021</t>
  </si>
  <si>
    <t>2022.membership</t>
  </si>
  <si>
    <t>2MYVCH</t>
  </si>
  <si>
    <t>08222022</t>
  </si>
  <si>
    <t>01.2022</t>
  </si>
  <si>
    <t>156300</t>
  </si>
  <si>
    <t>018780</t>
  </si>
  <si>
    <t>2022367713</t>
  </si>
  <si>
    <t>2022367695</t>
  </si>
  <si>
    <t>2022367679</t>
  </si>
  <si>
    <t>2022367670</t>
  </si>
  <si>
    <t>2022367649</t>
  </si>
  <si>
    <t>200019536</t>
  </si>
  <si>
    <t>2022100667</t>
  </si>
  <si>
    <t>00104C</t>
  </si>
  <si>
    <t>renewal.2022</t>
  </si>
  <si>
    <t>11401511</t>
  </si>
  <si>
    <t>04294</t>
  </si>
  <si>
    <t>04238</t>
  </si>
  <si>
    <t>04282</t>
  </si>
  <si>
    <t>M04272</t>
  </si>
  <si>
    <t>M04213</t>
  </si>
  <si>
    <t>M04253</t>
  </si>
  <si>
    <t>M04255</t>
  </si>
  <si>
    <t>M04214</t>
  </si>
  <si>
    <t>1XVM-RH1V-FMR9</t>
  </si>
  <si>
    <t>10032022</t>
  </si>
  <si>
    <t>license.ANA.2022</t>
  </si>
  <si>
    <t>1-MAR-2022</t>
  </si>
  <si>
    <t>notary.KM.2022</t>
  </si>
  <si>
    <t>10994</t>
  </si>
  <si>
    <t>notary.CM.2022</t>
  </si>
  <si>
    <t>notary.GM.2022</t>
  </si>
  <si>
    <t>notary.AL.2022</t>
  </si>
  <si>
    <t>Texas Association of School Boards</t>
  </si>
  <si>
    <t>TAAD</t>
  </si>
  <si>
    <t>El Charrito Mexican Restaurant</t>
  </si>
  <si>
    <t>Tyler Technologies</t>
  </si>
  <si>
    <t>Texas Dept. of Licensing &amp; Regulation</t>
  </si>
  <si>
    <t>TAAD-IAAO Chapter</t>
  </si>
  <si>
    <t>Southwest Airlines</t>
  </si>
  <si>
    <t>Access Development</t>
  </si>
  <si>
    <t>GIS / Valuation Technologies Conference</t>
  </si>
  <si>
    <t>TAAO</t>
  </si>
  <si>
    <t>Florida Department of Revenue</t>
  </si>
  <si>
    <t>Wildfire</t>
  </si>
  <si>
    <t>Texas CO-OP Annual Membership</t>
  </si>
  <si>
    <t>Crown Awards</t>
  </si>
  <si>
    <t>Gaylord Texan Resort &amp; Convention Center</t>
  </si>
  <si>
    <t>Michael Page</t>
  </si>
  <si>
    <t>Christopher Connelly</t>
  </si>
  <si>
    <t>Kimberly R Gamboa</t>
  </si>
  <si>
    <t>Alvin Lankford</t>
  </si>
  <si>
    <t>Jennifer Phung</t>
  </si>
  <si>
    <t>James Griner</t>
  </si>
  <si>
    <t>Round Rock Express</t>
  </si>
  <si>
    <t>Notary Public Underwriting</t>
  </si>
  <si>
    <t>6210-16 - annual membership fee 2022</t>
  </si>
  <si>
    <t>6210-24 - membership renewal</t>
  </si>
  <si>
    <t>6210-27 - Course 101 - Megan Martinez</t>
  </si>
  <si>
    <t>6210-27 - Course 102 - Megan Martinez</t>
  </si>
  <si>
    <t>6210-27 - Course 5 - David Arrieta</t>
  </si>
  <si>
    <t>6210-21 - Chris Connelly</t>
  </si>
  <si>
    <t>6210-21 - Aaron Moore</t>
  </si>
  <si>
    <t>6210-21 - Jessica Miller</t>
  </si>
  <si>
    <t>6210-21 - Jamie Radke</t>
  </si>
  <si>
    <t>6210-21 - Kimberly Gamboa</t>
  </si>
  <si>
    <t>6210-21 - Colleen McElroy</t>
  </si>
  <si>
    <t>6210-21 - Michael Page</t>
  </si>
  <si>
    <t>6210-21 - Johnny Robins</t>
  </si>
  <si>
    <t>6210-21 - Amber Metcalfe</t>
  </si>
  <si>
    <t>6210-21 - Jennifer Phung</t>
  </si>
  <si>
    <t>6210-34 - Group package - 4 employees</t>
  </si>
  <si>
    <t>6210-21 - James Griner</t>
  </si>
  <si>
    <t>6210-16 - Continuing Education Provider Registration</t>
  </si>
  <si>
    <t>6210-18 - Amanda Bayler</t>
  </si>
  <si>
    <t>6210-18 - Chris Connelly</t>
  </si>
  <si>
    <t>6210-18 - James Griner</t>
  </si>
  <si>
    <t>6210-18 - Stephanie Heatley-Dugger</t>
  </si>
  <si>
    <t>6210-18 - Alvin Lankford</t>
  </si>
  <si>
    <t>6210-18 - Victor Longstreth</t>
  </si>
  <si>
    <t>6210-18 - KC McDade</t>
  </si>
  <si>
    <t>6210-18 - Jessica Miller</t>
  </si>
  <si>
    <t>6210-18 - Aaron Moore</t>
  </si>
  <si>
    <t>6210-18 - Richard Quinlan</t>
  </si>
  <si>
    <t>6210-18 - Jamie Radke</t>
  </si>
  <si>
    <t>6210-18 - Johnny Robins</t>
  </si>
  <si>
    <t>6210-18 - Amy Urbanek</t>
  </si>
  <si>
    <t>6210-18 - Charles Vasquez</t>
  </si>
  <si>
    <t>6210-17 - IAAO Spring Leadership - ARL - Kansas City</t>
  </si>
  <si>
    <t>6210-33 - Level IV Review - David Arrieta</t>
  </si>
  <si>
    <t>6210-16 - discount program</t>
  </si>
  <si>
    <t>6210-5 - GIS &amp; CAMA Conference registration - CVasquez</t>
  </si>
  <si>
    <t>6210-5 - GIS &amp; CAMA Conference registration - CConnelly</t>
  </si>
  <si>
    <t>6210-32 - license renewal - WHuntsberger</t>
  </si>
  <si>
    <t>6210-32 - license renewal - LSimmons</t>
  </si>
  <si>
    <t>6210-32 - license renewal - CPark</t>
  </si>
  <si>
    <t>6210-32 - license renewal - CVasquez</t>
  </si>
  <si>
    <t>6210-32 - license renewal - CBounds</t>
  </si>
  <si>
    <t>6210-27 - Laws &amp; Rules update - JGriner</t>
  </si>
  <si>
    <t>6210-11 - IAAO Course 101 - JMiller</t>
  </si>
  <si>
    <t>6210-18 - Presentation - Lunch - ARL, JRadke, MMoore</t>
  </si>
  <si>
    <t>6210-16 - annual membership renewal</t>
  </si>
  <si>
    <t>6210-21 - TAAD Conference Lodging - CMcElroy &amp; KGamboa</t>
  </si>
  <si>
    <t>6210-21 - TAAD Conference Lodging &amp; Parking - JMIller &amp; JRadke</t>
  </si>
  <si>
    <t>6210-21 - TAAD Conference Lodging &amp; Parking - JRobins &amp; MPage</t>
  </si>
  <si>
    <t>6210-21 - TAAD Conference Lodging - HGibbs</t>
  </si>
  <si>
    <t>6210-21 - TAAD Conference Lodging - AMoore &amp; JGriner</t>
  </si>
  <si>
    <t>6210-21 - TAAD Conference Lodging &amp; Parking - AMetcalfe * JPhung</t>
  </si>
  <si>
    <t>6210-21 - TAAD Conference Lodging &amp; Parking - CConnelly</t>
  </si>
  <si>
    <t>6210-21 - TAAD Conference Parking - JGriner</t>
  </si>
  <si>
    <t>6210-21 - TAAD Conference - mileage reimbursement</t>
  </si>
  <si>
    <t>6210-21 - TAAD Conference - travel reimbursement</t>
  </si>
  <si>
    <t>6210-16 - Annual Prime Membership Fee</t>
  </si>
  <si>
    <t>6210-27 - Course 101 - Jennifer Phung</t>
  </si>
  <si>
    <t>6210-27 - Course 102 - Jennifer Phung</t>
  </si>
  <si>
    <t>6210-32 - License application - AAnderson</t>
  </si>
  <si>
    <t>6210-21 - Reimbursement - mileage &amp; meal - TAAD Conference</t>
  </si>
  <si>
    <t>6210-3 - Professional Development</t>
  </si>
  <si>
    <t>6210-19 - Notary licenses &amp; supplies - KMuniz</t>
  </si>
  <si>
    <t>6210-17 - reimbursement to district for airfare for IAAO Fall leadership</t>
  </si>
  <si>
    <t>6210-19 - Notary licenses &amp; supplies - CMcElroy</t>
  </si>
  <si>
    <t>6210-19 - Notary licenses &amp; supplies - GMabry</t>
  </si>
  <si>
    <t>6210-19 - Notary licenses &amp; supplies - ALugo</t>
  </si>
  <si>
    <t>2007 · Credit Card - USB - 0880</t>
  </si>
  <si>
    <t>6215 · Equipment Lease/Rental</t>
  </si>
  <si>
    <t>Total 6215 · Equipment Lease/Rental</t>
  </si>
  <si>
    <t>30824759</t>
  </si>
  <si>
    <t>28AR463814</t>
  </si>
  <si>
    <t>30858063</t>
  </si>
  <si>
    <t>N9246542</t>
  </si>
  <si>
    <t>31018640</t>
  </si>
  <si>
    <t>28AR476385</t>
  </si>
  <si>
    <t>31051949</t>
  </si>
  <si>
    <t>31208994</t>
  </si>
  <si>
    <t>28AR489344</t>
  </si>
  <si>
    <t>TLC Office Systems (Dallas)</t>
  </si>
  <si>
    <t>Quadient Leasing USA, Inc.</t>
  </si>
  <si>
    <t>6215-4 - lease printer/copiers</t>
  </si>
  <si>
    <t>6215-4 - copier monthly maintenance</t>
  </si>
  <si>
    <t>6215-5 - property tax</t>
  </si>
  <si>
    <t>6215-2 Lease folder/inserter</t>
  </si>
  <si>
    <t>6215-1 - click chrgs overage</t>
  </si>
  <si>
    <t>6220 · Utilities</t>
  </si>
  <si>
    <t>Total 6220 · Utilities</t>
  </si>
  <si>
    <t>I2022010501020</t>
  </si>
  <si>
    <t>01.22</t>
  </si>
  <si>
    <t>0104757010722</t>
  </si>
  <si>
    <t>0365937011022</t>
  </si>
  <si>
    <t>CD_000348332</t>
  </si>
  <si>
    <t>287230258338x012722</t>
  </si>
  <si>
    <t>I2022020101290</t>
  </si>
  <si>
    <t>I2022012501045</t>
  </si>
  <si>
    <t>02.22</t>
  </si>
  <si>
    <t>011922</t>
  </si>
  <si>
    <t>0104757020722</t>
  </si>
  <si>
    <t>0365937021022</t>
  </si>
  <si>
    <t>I2022030101288</t>
  </si>
  <si>
    <t>021922</t>
  </si>
  <si>
    <t>03.22</t>
  </si>
  <si>
    <t>0104757030722</t>
  </si>
  <si>
    <t>AT&amp;T</t>
  </si>
  <si>
    <t>City of Georgetown</t>
  </si>
  <si>
    <t>6220-2 - Internet services</t>
  </si>
  <si>
    <t>6220-5 - internet services</t>
  </si>
  <si>
    <t>6220-3 - internet services</t>
  </si>
  <si>
    <t>6220-5 - Telephone services</t>
  </si>
  <si>
    <t>6220-1 - data plans</t>
  </si>
  <si>
    <t>6220-4 - internet services</t>
  </si>
  <si>
    <t>6220-8 - Water, electric, sewer, garbage</t>
  </si>
  <si>
    <t>6220-8 - storm drainage</t>
  </si>
  <si>
    <t>6220-5 - telephone services</t>
  </si>
  <si>
    <t>6225 · Building Repair &amp; Maintenance</t>
  </si>
  <si>
    <t>Total 6225 · Building Repair &amp; Maintenance</t>
  </si>
  <si>
    <t>11172</t>
  </si>
  <si>
    <t>SCPAY00139713</t>
  </si>
  <si>
    <t>2130609</t>
  </si>
  <si>
    <t>29140</t>
  </si>
  <si>
    <t>31208</t>
  </si>
  <si>
    <t>1FPT-HKLX-3FF3</t>
  </si>
  <si>
    <t>29236</t>
  </si>
  <si>
    <t>6900172</t>
  </si>
  <si>
    <t>1MMV-QVMP-GRPD</t>
  </si>
  <si>
    <t>13DQ-FKPM-G&amp;&amp;D</t>
  </si>
  <si>
    <t>831167</t>
  </si>
  <si>
    <t>56533</t>
  </si>
  <si>
    <t>SCPAY00140324</t>
  </si>
  <si>
    <t>29194</t>
  </si>
  <si>
    <t>831616</t>
  </si>
  <si>
    <t>56820</t>
  </si>
  <si>
    <t>SCPAY00140959</t>
  </si>
  <si>
    <t>11393</t>
  </si>
  <si>
    <t>29352</t>
  </si>
  <si>
    <t>13L4-XQVG-QQ1X</t>
  </si>
  <si>
    <t>6902314</t>
  </si>
  <si>
    <t>Entech Sales and Services</t>
  </si>
  <si>
    <t>Kings III Emergency Communications</t>
  </si>
  <si>
    <t>Stillwater Landscapes</t>
  </si>
  <si>
    <t>Mainstream Services Inc</t>
  </si>
  <si>
    <t>King's Pest Control</t>
  </si>
  <si>
    <t>Knight Security Systems</t>
  </si>
  <si>
    <t>Lochow Ranch Pond &amp; Lake</t>
  </si>
  <si>
    <t>6225-6 - Janitorial services</t>
  </si>
  <si>
    <t>6225-1 - HVAC PM</t>
  </si>
  <si>
    <t>6225-17 - Elevator Phone</t>
  </si>
  <si>
    <t>6225-13 - grounds maintenance</t>
  </si>
  <si>
    <t>6225-16 - Plumbing repair &amp; maintenance</t>
  </si>
  <si>
    <t>6225-17 - Building repair &amp; maintenance</t>
  </si>
  <si>
    <t>6225-14 - Irrigation repair</t>
  </si>
  <si>
    <t>6225-19 - pest services</t>
  </si>
  <si>
    <t>6225-19 - Rodent bait box</t>
  </si>
  <si>
    <t>6225-17 LED Full Color Sign 39" x 14" MFG #: CX-P10RGB 3X2 016A   ASIN: B091DVTVS1</t>
  </si>
  <si>
    <t>6225-17 Credit for LED Sign</t>
  </si>
  <si>
    <t>6225-22 - Building repair &amp; maintenance</t>
  </si>
  <si>
    <t>6225-24 - monthly fee</t>
  </si>
  <si>
    <t>6225-24 - Vitastim Pellets</t>
  </si>
  <si>
    <t>6225-15 - Software upgrade &amp; support plan</t>
  </si>
  <si>
    <t>6225-24 - MB Pellets</t>
  </si>
  <si>
    <t>6225-17 - bldg repair &amp; maintenance</t>
  </si>
  <si>
    <t>6235 · TLO Expenses</t>
  </si>
  <si>
    <t>Total 6235 · TLO Expenses</t>
  </si>
  <si>
    <t>03.2022</t>
  </si>
  <si>
    <t>Charles Rouse</t>
  </si>
  <si>
    <t>6235-1 - TLO Expense</t>
  </si>
  <si>
    <t>6235-2 - Auto Allowance</t>
  </si>
  <si>
    <t>6236 · Board of Directors Expenses</t>
  </si>
  <si>
    <t>Total 6236 · Board of Directors Expenses</t>
  </si>
  <si>
    <t>01251C</t>
  </si>
  <si>
    <t>11573201</t>
  </si>
  <si>
    <t>675052</t>
  </si>
  <si>
    <t>VBFXJQ</t>
  </si>
  <si>
    <t>1622-6853</t>
  </si>
  <si>
    <t>04071</t>
  </si>
  <si>
    <t>M04273</t>
  </si>
  <si>
    <t>02242022</t>
  </si>
  <si>
    <t>Jack Allen's Kitchen</t>
  </si>
  <si>
    <t>Nothing Bundt Cakes</t>
  </si>
  <si>
    <t>Cracker Barrel</t>
  </si>
  <si>
    <t>American Airlines</t>
  </si>
  <si>
    <t>Amanda L. Sauls</t>
  </si>
  <si>
    <t>6236-1 - Hope Hisle-Pope</t>
  </si>
  <si>
    <t>6236-1 - Lora Weber</t>
  </si>
  <si>
    <t>6236-1 - Board orientation Lunch - JLux, LWeber, HPope, ARL</t>
  </si>
  <si>
    <t>6236-1 Board Recognition</t>
  </si>
  <si>
    <t>6236-1 - Board Orientation Breakfast - LWeber, HGibbs, JLux, MMoser &amp; ARL</t>
  </si>
  <si>
    <t>6236-1 - Airline flight - TAAD Conference - LWeber</t>
  </si>
  <si>
    <t>6236-1 - TAAD Conference 2022 - Gaylord Texas Resort - HGibbs</t>
  </si>
  <si>
    <t>6236-1 - TAAD Conference lodging LWeber</t>
  </si>
  <si>
    <t>6236-1 - TAAD Conference Parking - HGibbs</t>
  </si>
  <si>
    <t>6236-1 - BOD snacks</t>
  </si>
  <si>
    <t>6240 · Publications</t>
  </si>
  <si>
    <t>Total 6240 · Publications</t>
  </si>
  <si>
    <t>115360564-1</t>
  </si>
  <si>
    <t>421904</t>
  </si>
  <si>
    <t>02012022</t>
  </si>
  <si>
    <t>2022</t>
  </si>
  <si>
    <t>32446248.00INV</t>
  </si>
  <si>
    <t>457134E</t>
  </si>
  <si>
    <t>115612915-1</t>
  </si>
  <si>
    <t>2021.code books</t>
  </si>
  <si>
    <t>ORDUS140206</t>
  </si>
  <si>
    <t>BD0012105</t>
  </si>
  <si>
    <t>424485</t>
  </si>
  <si>
    <t>115788897-1</t>
  </si>
  <si>
    <t>16954</t>
  </si>
  <si>
    <t>CoStar Realty Information, Inc.</t>
  </si>
  <si>
    <t>ALN Apartment Data, Inc</t>
  </si>
  <si>
    <t>Marshall &amp; Swift/Boeckh</t>
  </si>
  <si>
    <t>Austin American Statesman</t>
  </si>
  <si>
    <t>Mini-Storage Messenger</t>
  </si>
  <si>
    <t>Realty Rates</t>
  </si>
  <si>
    <t>Source Strategies</t>
  </si>
  <si>
    <t>Pricewaterhouse Coopers LLP</t>
  </si>
  <si>
    <t>Carahsoft Technology Corp.</t>
  </si>
  <si>
    <t>Comptroller of Public Accounts</t>
  </si>
  <si>
    <t>JD Power</t>
  </si>
  <si>
    <t>Trepp, LLC</t>
  </si>
  <si>
    <t>Infonation Inc.</t>
  </si>
  <si>
    <t>6240-11 - publication</t>
  </si>
  <si>
    <t>6240-3 - publication</t>
  </si>
  <si>
    <t>6240-4 - monthly subscription on-line</t>
  </si>
  <si>
    <t>6240-23 - publication</t>
  </si>
  <si>
    <t>6240-31 - publication - Realty rates Investor</t>
  </si>
  <si>
    <t>6240-36 - Texas Hotel Performance 3rd qtr</t>
  </si>
  <si>
    <t>6240-29 - Real Estate Investor Survey</t>
  </si>
  <si>
    <t xml:space="preserve">6240-23 Enhanced Real Estate Report* ($25,000 per job minimum)  TransUnion Corp - TU-ENHRE  </t>
  </si>
  <si>
    <t>6240-23 - code books - 55</t>
  </si>
  <si>
    <t>6240-23 - law books - 3</t>
  </si>
  <si>
    <t>6240-24 - publication</t>
  </si>
  <si>
    <t>6240-40 - publication</t>
  </si>
  <si>
    <t>6240-14 - publication</t>
  </si>
  <si>
    <t>6240-22 - Marshall Valuation Services - COMBO</t>
  </si>
  <si>
    <t>6260 · Consulting/Professional Srvs</t>
  </si>
  <si>
    <t>Total 6260 · Consulting/Professional Srvs</t>
  </si>
  <si>
    <t>1282</t>
  </si>
  <si>
    <t>77220</t>
  </si>
  <si>
    <t>6210</t>
  </si>
  <si>
    <t>681688197</t>
  </si>
  <si>
    <t>R372388</t>
  </si>
  <si>
    <t>289980</t>
  </si>
  <si>
    <t>22-14048</t>
  </si>
  <si>
    <t>681781171</t>
  </si>
  <si>
    <t>54134012622</t>
  </si>
  <si>
    <t>750</t>
  </si>
  <si>
    <t>R551118-2021</t>
  </si>
  <si>
    <t>R404618-2021</t>
  </si>
  <si>
    <t>33-14055</t>
  </si>
  <si>
    <t>681808994</t>
  </si>
  <si>
    <t>1286</t>
  </si>
  <si>
    <t>8458</t>
  </si>
  <si>
    <t>NJ3Z5</t>
  </si>
  <si>
    <t>681824672</t>
  </si>
  <si>
    <t>681821138</t>
  </si>
  <si>
    <t>681822965</t>
  </si>
  <si>
    <t>681821052</t>
  </si>
  <si>
    <t>77425</t>
  </si>
  <si>
    <t>290161</t>
  </si>
  <si>
    <t>38417</t>
  </si>
  <si>
    <t>US432297</t>
  </si>
  <si>
    <t>21059-2022</t>
  </si>
  <si>
    <t>R372420-2022</t>
  </si>
  <si>
    <t>1290</t>
  </si>
  <si>
    <t>8531</t>
  </si>
  <si>
    <t>0979</t>
  </si>
  <si>
    <t>R467759-21</t>
  </si>
  <si>
    <t>6494</t>
  </si>
  <si>
    <t>R090303-2022</t>
  </si>
  <si>
    <t>1069-2022</t>
  </si>
  <si>
    <t>Subvenion</t>
  </si>
  <si>
    <t>RSI Resource Software International Ltd</t>
  </si>
  <si>
    <t>GoodHire</t>
  </si>
  <si>
    <t>Rob D Holcomb</t>
  </si>
  <si>
    <t>On Site Services</t>
  </si>
  <si>
    <t>Hornsby &amp; Company</t>
  </si>
  <si>
    <t>Central Texas Shredding Inc.</t>
  </si>
  <si>
    <t>Cornell Consultants, LLC</t>
  </si>
  <si>
    <t>Edwin E Scharf, Arbitrator</t>
  </si>
  <si>
    <t>Glenn Louis Lockett Jr.</t>
  </si>
  <si>
    <t>Perdue, Brandon, Fielder, Collins &amp; Mott</t>
  </si>
  <si>
    <t>Nichols, Jackson, Dillard, Hager &amp; Smith</t>
  </si>
  <si>
    <t>Pictometry International Corp</t>
  </si>
  <si>
    <t>Salli R Smith</t>
  </si>
  <si>
    <t>Lynn Law, PLLC</t>
  </si>
  <si>
    <t>Diana Squires</t>
  </si>
  <si>
    <t>6260-15 - computer consultant</t>
  </si>
  <si>
    <t>6260-11 - Phone Stats Software</t>
  </si>
  <si>
    <t>6260-3 - Yearly IT Retainer</t>
  </si>
  <si>
    <t>6260-7 - employment screening - FGalvan</t>
  </si>
  <si>
    <t>6260-2 - Binding Arbitration - 24621A21018 - McDonalds USA LLC - R372388</t>
  </si>
  <si>
    <t>6260-7 - Employment screening - MMartinez</t>
  </si>
  <si>
    <t>6260-8 - LaFrontera - Cause 19-1110-C26</t>
  </si>
  <si>
    <t>6260-7 - Background screening - KWallace</t>
  </si>
  <si>
    <t>6260-12 - Shredding services</t>
  </si>
  <si>
    <t>6260-12 - extra boxes</t>
  </si>
  <si>
    <t>6260-5 Power BI Class &amp; Consulting</t>
  </si>
  <si>
    <t>6260-2 - Binding Arbitration - 246-21-A21032 - R551118</t>
  </si>
  <si>
    <t>6260-2 - Binding Arbitration - 246-21-A21025 - R404618</t>
  </si>
  <si>
    <t>6260-8 RPAI Cedar Park Town Center - Cause 20-1566-C26</t>
  </si>
  <si>
    <t>6260-7 - Background screening - AAnderson</t>
  </si>
  <si>
    <t>6260-8 - professional services - December Expenses</t>
  </si>
  <si>
    <t>6260-7 - refund on background check</t>
  </si>
  <si>
    <t>6260-7 - Background screening - VVasilev</t>
  </si>
  <si>
    <t>6260-7 - Background screening - VVasile</t>
  </si>
  <si>
    <t>6260-7 - Employment screening - FGalvan</t>
  </si>
  <si>
    <t>6260-7 - Employment screening - KWallace</t>
  </si>
  <si>
    <t>6260-7 - Employmnet screening - AAnderson</t>
  </si>
  <si>
    <t>6260-7 - Employment screening - VVasilen</t>
  </si>
  <si>
    <t>6260-8 - professional services</t>
  </si>
  <si>
    <t>6260-6 - Reveal Essentials Plus - Property (1,187)</t>
  </si>
  <si>
    <t>6260-6 - CONNECT image services</t>
  </si>
  <si>
    <t>6260-6 - Future view adv training</t>
  </si>
  <si>
    <t>6260-2 - Binding Arbitration - 24621A21059 - Harbor Freight Tools</t>
  </si>
  <si>
    <t>6260-2 - Arbitration - 24621A21039 - Austin FCS Limited - R372420</t>
  </si>
  <si>
    <t>6260-8 - professional services - January Expenses</t>
  </si>
  <si>
    <t>6260-8 - HR attorney</t>
  </si>
  <si>
    <t>6260-2 - Arbitration - Nation Retail Properties - 24621A21040</t>
  </si>
  <si>
    <t>6260-4 - MRA Services</t>
  </si>
  <si>
    <t>6260-2 - Binding Arbitration - 24621A21071 - Rosemeyer</t>
  </si>
  <si>
    <t>6260-2 - Binding Arbitration - 24621A21069 - Greater TX 3 accts</t>
  </si>
  <si>
    <t>6280 · Maintenance</t>
  </si>
  <si>
    <t>Total 6280 · Maintenance</t>
  </si>
  <si>
    <t>SIDMN0000597</t>
  </si>
  <si>
    <t>070-106592</t>
  </si>
  <si>
    <t>316873</t>
  </si>
  <si>
    <t>9002877306</t>
  </si>
  <si>
    <t>SIDMN0000738</t>
  </si>
  <si>
    <t>28AR470066</t>
  </si>
  <si>
    <t>601016833</t>
  </si>
  <si>
    <t>01312022</t>
  </si>
  <si>
    <t>28AR4481085</t>
  </si>
  <si>
    <t>105179</t>
  </si>
  <si>
    <t>Apex Software</t>
  </si>
  <si>
    <t>Open Text Inc</t>
  </si>
  <si>
    <t>Schneider Electric IT Corp</t>
  </si>
  <si>
    <t>Trusted Tech Team</t>
  </si>
  <si>
    <t>6280-28 - Premium Software Support Program - 01/13/2022 - 01/12/2023</t>
  </si>
  <si>
    <t>6280-33 - Appraisal</t>
  </si>
  <si>
    <t>6280-35 - Public Access for Appraisal</t>
  </si>
  <si>
    <t>6280-34 - Pictometry Interface</t>
  </si>
  <si>
    <t>6280-36 - ESRI GIS Interface</t>
  </si>
  <si>
    <t>6280-39 - ARB review</t>
  </si>
  <si>
    <t>6280-1 maintenance renewal</t>
  </si>
  <si>
    <t>6280-4 - Yearly web hosting</t>
  </si>
  <si>
    <t>6280-2 - Yearly online forms</t>
  </si>
  <si>
    <t>6280-3 - Yearly TnT</t>
  </si>
  <si>
    <t>6280-30 - teleform maintenance</t>
  </si>
  <si>
    <t>6280-31 - monthly printer management</t>
  </si>
  <si>
    <t>6280-9 Hourly rate for APC to work after hours</t>
  </si>
  <si>
    <t>6280-9 hourly rate for APC on weekend</t>
  </si>
  <si>
    <t>6280-7 - maintenance</t>
  </si>
  <si>
    <t>6280-42 - WMWare Maintenance</t>
  </si>
  <si>
    <t>6280-29 - portico maintenance - web hosting</t>
  </si>
  <si>
    <t>6285 · Computer Licenses/Services</t>
  </si>
  <si>
    <t>Total 6285 · Computer Licenses/Services</t>
  </si>
  <si>
    <t>11271</t>
  </si>
  <si>
    <t>011022</t>
  </si>
  <si>
    <t>2013501691</t>
  </si>
  <si>
    <t>20218</t>
  </si>
  <si>
    <t>273531</t>
  </si>
  <si>
    <t>1576434302</t>
  </si>
  <si>
    <t>2027457669</t>
  </si>
  <si>
    <t>11311</t>
  </si>
  <si>
    <t>20263</t>
  </si>
  <si>
    <t>2029294669</t>
  </si>
  <si>
    <t>2029982904</t>
  </si>
  <si>
    <t>67861370</t>
  </si>
  <si>
    <t>11345</t>
  </si>
  <si>
    <t>Just Appraised Inc</t>
  </si>
  <si>
    <t>GoDaddy.com</t>
  </si>
  <si>
    <t>AutoMox</t>
  </si>
  <si>
    <t>Payroll Fee</t>
  </si>
  <si>
    <t>PaperCut.com</t>
  </si>
  <si>
    <t>Adobe</t>
  </si>
  <si>
    <t>6285-7 - Deed Viewer subscription</t>
  </si>
  <si>
    <t>6285-12 - Office 365</t>
  </si>
  <si>
    <t>6285-4 - Standard UCC SSL up to 5 renewal</t>
  </si>
  <si>
    <t>6285-2 - Maintenance - manage plan</t>
  </si>
  <si>
    <t>6285-10 - Maintenance</t>
  </si>
  <si>
    <t>6285-1 - maintenance</t>
  </si>
  <si>
    <t>6285-4 - Standard UCC SSL up to 10 renewal</t>
  </si>
  <si>
    <t>6285-4 - Standard SSL</t>
  </si>
  <si>
    <t>6285-17 - computer licenses</t>
  </si>
  <si>
    <t>1010 · USB - Payroll Account</t>
  </si>
  <si>
    <t>6285-6 - payroll fee</t>
  </si>
  <si>
    <t>8000 · Capital Outlay</t>
  </si>
  <si>
    <t>8010 · Computer Capital</t>
  </si>
  <si>
    <t>Total 8010 · Computer Capital</t>
  </si>
  <si>
    <t>Total 8000 · Capital Outlay</t>
  </si>
  <si>
    <t>197881448</t>
  </si>
  <si>
    <t>B&amp;H</t>
  </si>
  <si>
    <t>8010-3 Synology Sliding Rail Kit BH# SYRKS02</t>
  </si>
  <si>
    <t>6800 · General - Debt Service</t>
  </si>
  <si>
    <t>6810 · Building Payment</t>
  </si>
  <si>
    <t>Total 6810 · Building Payment</t>
  </si>
  <si>
    <t>Total 6800 · General - Debt Service</t>
  </si>
  <si>
    <t>R51376</t>
  </si>
  <si>
    <t>1I3NSOT</t>
  </si>
  <si>
    <t>Banc of America Leasing</t>
  </si>
  <si>
    <t>6810-1 - bldg pymt</t>
  </si>
  <si>
    <t>6810-1 - Assigned Funds - bldg pymt payoff</t>
  </si>
  <si>
    <t>6300 · ARB - Services</t>
  </si>
  <si>
    <t>6310 · ARB Contract Labor</t>
  </si>
  <si>
    <t>Total 6310 · ARB Contract Labor</t>
  </si>
  <si>
    <t>Total 6300 · ARB - Services</t>
  </si>
  <si>
    <t>Allan Davis</t>
  </si>
  <si>
    <t>Allen W Barr, II</t>
  </si>
  <si>
    <t>Chrystle Swain</t>
  </si>
  <si>
    <t>Herbert Williams</t>
  </si>
  <si>
    <t>James J. Greene</t>
  </si>
  <si>
    <t>Irv Barenblat</t>
  </si>
  <si>
    <t>James L. Dunham</t>
  </si>
  <si>
    <t>Joan M Straach</t>
  </si>
  <si>
    <t>Roysanne Drummer-Baker</t>
  </si>
  <si>
    <t>Julia Menn</t>
  </si>
  <si>
    <t>Brenda Oliver</t>
  </si>
  <si>
    <t>Carol Frey</t>
  </si>
  <si>
    <t>6310-5 - ARB Meetings</t>
  </si>
  <si>
    <t>6310-4 ARB Meetings</t>
  </si>
  <si>
    <t>6310-2 - ARB meetings</t>
  </si>
  <si>
    <t>6310-6 - Secretary</t>
  </si>
  <si>
    <t>6310-5 -  ARB Meetings</t>
  </si>
  <si>
    <t>6310-4 - ARB Meetings</t>
  </si>
  <si>
    <t>6310-2 - ARB Meetings</t>
  </si>
  <si>
    <t>6310-6 - chair</t>
  </si>
  <si>
    <t>6330 · ARB Forms &amp; Printing</t>
  </si>
  <si>
    <t>Total 6330 · ARB Forms &amp; Printing</t>
  </si>
  <si>
    <t>6330-9 - code books - 21</t>
  </si>
  <si>
    <t>6350 · ARB Litigation</t>
  </si>
  <si>
    <t>Total 6350 · ARB Litigation</t>
  </si>
  <si>
    <t>Armstrong &amp; Armstrong</t>
  </si>
  <si>
    <t>6350-1 - Retainer services for ARB legal services</t>
  </si>
  <si>
    <t>9481066</t>
  </si>
  <si>
    <t>S052146</t>
  </si>
  <si>
    <t>4728207</t>
  </si>
  <si>
    <t>233525483001</t>
  </si>
  <si>
    <t>233215426001</t>
  </si>
  <si>
    <t>1JFT-QJ64-HLTV</t>
  </si>
  <si>
    <t>92525</t>
  </si>
  <si>
    <t>92523</t>
  </si>
  <si>
    <t>92524</t>
  </si>
  <si>
    <t>233987549001</t>
  </si>
  <si>
    <t>233986752001</t>
  </si>
  <si>
    <t>233987548001</t>
  </si>
  <si>
    <t>51435841</t>
  </si>
  <si>
    <t>92600</t>
  </si>
  <si>
    <t>2557</t>
  </si>
  <si>
    <t>1QRR-TK4D-94LT</t>
  </si>
  <si>
    <t>1GKW-LQ4W-3LDN</t>
  </si>
  <si>
    <t>236336726001</t>
  </si>
  <si>
    <t>1DYK-K9NQ-4TDJ</t>
  </si>
  <si>
    <t>235888509001</t>
  </si>
  <si>
    <t>119K-NGTH-643Y</t>
  </si>
  <si>
    <t>92838</t>
  </si>
  <si>
    <t>92924</t>
  </si>
  <si>
    <t>92943</t>
  </si>
  <si>
    <t>OSI Batteries</t>
  </si>
  <si>
    <t>McCoy's</t>
  </si>
  <si>
    <t>Patriot Supply Company</t>
  </si>
  <si>
    <t>Office supplies</t>
  </si>
  <si>
    <t>6110-8 - 2 name stamps</t>
  </si>
  <si>
    <t>6110-3 Cardiac Science 9146-302 Battery Intellisense AED</t>
  </si>
  <si>
    <t>6110-3 shipping</t>
  </si>
  <si>
    <t>ARB supplies</t>
  </si>
  <si>
    <t>6110-8 - 4 stamps - appraiser</t>
  </si>
  <si>
    <t>6110-8 - Business cards - KPulliman (250)</t>
  </si>
  <si>
    <t>6110-8 - Business cards - AAnderson (250)</t>
  </si>
  <si>
    <t>6110-8 - Business cards - VVasilev (250)</t>
  </si>
  <si>
    <t>6110-8 - keys made</t>
  </si>
  <si>
    <t>6110-8 - Business cards - KGamboa (250)</t>
  </si>
  <si>
    <t>6110-8 - Business cards - CMcElroy (250)</t>
  </si>
  <si>
    <t>6110-8 - Business cards - JMiller (250)</t>
  </si>
  <si>
    <t>6110-6 - Texas &amp; USA flags (3 each)</t>
  </si>
  <si>
    <t>6150-7 - minor equipment</t>
  </si>
  <si>
    <t>6110-8 - Nameplates - AAnderson, VVasilev, VBrumley</t>
  </si>
  <si>
    <t>6110-8 3 nameplate (MM,KM,FC) PS/Mail</t>
  </si>
  <si>
    <t>Recruit cards</t>
  </si>
  <si>
    <t>6110-8 Recruit Cards (100)</t>
  </si>
  <si>
    <t>110798513</t>
  </si>
  <si>
    <t>36514</t>
  </si>
  <si>
    <t>03212022</t>
  </si>
  <si>
    <t>Seagate.com</t>
  </si>
  <si>
    <t>Postmaster</t>
  </si>
  <si>
    <t>6120-11 - postage</t>
  </si>
  <si>
    <t>6120-16 - postage 246</t>
  </si>
  <si>
    <t>6120-15 - Replinish Postage Due Acct PD 95017-000</t>
  </si>
  <si>
    <t>6120-3 - Replinish Business Reply Acct 74-001</t>
  </si>
  <si>
    <t>47330</t>
  </si>
  <si>
    <t>Roberts Printing Co</t>
  </si>
  <si>
    <t>6130-18 - laser printing - 988</t>
  </si>
  <si>
    <t>6130-18 - rendering - 246</t>
  </si>
  <si>
    <t>6130-18 - Paper for Laser Printing - 494</t>
  </si>
  <si>
    <t>6130-18 - envelopes - 246</t>
  </si>
  <si>
    <t>6130-18 - 1st insert - 246</t>
  </si>
  <si>
    <t>6130-18 - Laser Printing Go Green Insert - 246</t>
  </si>
  <si>
    <t>6130-13 - #10 window 10K</t>
  </si>
  <si>
    <t>6130-13 - plates</t>
  </si>
  <si>
    <t>6150 · Minor Equipment / Furniture</t>
  </si>
  <si>
    <t>Total 6150 · Minor Equipment / Furniture</t>
  </si>
  <si>
    <t>1466-XFPW-LDPD</t>
  </si>
  <si>
    <t>10573030523</t>
  </si>
  <si>
    <t>06637427429</t>
  </si>
  <si>
    <t>6473271</t>
  </si>
  <si>
    <t>6150-13 Tall Office Chair Model: EDNZN-K01   ASIN: B09MJT8ZNZ</t>
  </si>
  <si>
    <t>6150-9 Dell Precision 3650 Tower Dell Quote US_QUOTE_3000109899051.1</t>
  </si>
  <si>
    <t>6150-7 - Nest cams</t>
  </si>
  <si>
    <t>6150-7 - nest cam returned</t>
  </si>
  <si>
    <t>1G6G-NG3H-CV1K</t>
  </si>
  <si>
    <t>1WRT-DGH9-GYLY</t>
  </si>
  <si>
    <t>1XP6-63JC-MW13</t>
  </si>
  <si>
    <t>Visual Edge IT</t>
  </si>
  <si>
    <t>6160-6 Dell latitude 9420 2-in-1 . 32GB ram, SIM tray, i7</t>
  </si>
  <si>
    <t>6160-12 - toner supplies</t>
  </si>
  <si>
    <t>SRVCE00323347</t>
  </si>
  <si>
    <t>SRVCE00323346</t>
  </si>
  <si>
    <t>1PJJ-HT6G-VWWF</t>
  </si>
  <si>
    <t>2113</t>
  </si>
  <si>
    <t>111294</t>
  </si>
  <si>
    <t>1005</t>
  </si>
  <si>
    <t>50354521</t>
  </si>
  <si>
    <t>51436204</t>
  </si>
  <si>
    <t>832488</t>
  </si>
  <si>
    <t>57123</t>
  </si>
  <si>
    <t>2182185</t>
  </si>
  <si>
    <t>SCPAY00141557</t>
  </si>
  <si>
    <t>11566</t>
  </si>
  <si>
    <t>29568</t>
  </si>
  <si>
    <t>220286</t>
  </si>
  <si>
    <t>7716</t>
  </si>
  <si>
    <t>Texas Dumpstars Dumpster Rentals</t>
  </si>
  <si>
    <t>Mr. Handyman of Northeast Austin</t>
  </si>
  <si>
    <t>Blitz Power Washing LLC</t>
  </si>
  <si>
    <t>Georgetown Fire and Safety</t>
  </si>
  <si>
    <t>On Site Signs</t>
  </si>
  <si>
    <t>6225-2 - HVAC repair &amp; maintenance</t>
  </si>
  <si>
    <t>6225-17 - 3 toilet seat</t>
  </si>
  <si>
    <t>6225-16 - Building repair &amp; maintenance</t>
  </si>
  <si>
    <t>6225-16 - handyman services</t>
  </si>
  <si>
    <t>6225-20 - Pressure washing building &amp; parking lot</t>
  </si>
  <si>
    <t>6225-16 - Gallon White Paint   Item 26070268</t>
  </si>
  <si>
    <t>6225-16 - Smooth Rod Caulk Gun 9" Item 27275002</t>
  </si>
  <si>
    <t>6225-16 - Construction Adhesive 10 oz  Item 27014900</t>
  </si>
  <si>
    <t>6225-16 - bldg repair &amp; maint</t>
  </si>
  <si>
    <t>6225-16 - Security doors not working</t>
  </si>
  <si>
    <t>6225-17 - bldg supplies</t>
  </si>
  <si>
    <t>6225-11 Annual Fire Extinguisher Inspections</t>
  </si>
  <si>
    <t>6225-17 - 4 ADA room signs</t>
  </si>
  <si>
    <t>022222</t>
  </si>
  <si>
    <t>2022428998</t>
  </si>
  <si>
    <t>2022428985</t>
  </si>
  <si>
    <t>2022429016</t>
  </si>
  <si>
    <t>2022434808</t>
  </si>
  <si>
    <t>2022442362</t>
  </si>
  <si>
    <t>5604</t>
  </si>
  <si>
    <t>032222</t>
  </si>
  <si>
    <t>0324.2022</t>
  </si>
  <si>
    <t>notary.FC.2022</t>
  </si>
  <si>
    <t>license.VV.2022</t>
  </si>
  <si>
    <t>07.2022</t>
  </si>
  <si>
    <t>3HE9IO</t>
  </si>
  <si>
    <t>30156617</t>
  </si>
  <si>
    <t>2022504795</t>
  </si>
  <si>
    <t>2022504802</t>
  </si>
  <si>
    <t>2022504785</t>
  </si>
  <si>
    <t>84797</t>
  </si>
  <si>
    <t>TAAO Capital Chapter</t>
  </si>
  <si>
    <t>TCDRS</t>
  </si>
  <si>
    <t>Colleen McElroy</t>
  </si>
  <si>
    <t>Lone Star Kolaches</t>
  </si>
  <si>
    <t>6210-16 - discount membership</t>
  </si>
  <si>
    <t>6210-32 - License renewal - LSarmiento</t>
  </si>
  <si>
    <t>6210-32 - License renewal - ABayler</t>
  </si>
  <si>
    <t>6210-32 - License renewal - JRadke</t>
  </si>
  <si>
    <t>6210-32 - License renewal - HMarin</t>
  </si>
  <si>
    <t>6210-32 - License renewal - AJones</t>
  </si>
  <si>
    <t>6210-19 - Notary licenses &amp; supplies - FCastellanos</t>
  </si>
  <si>
    <t>6210-32 - License application - VVasilev</t>
  </si>
  <si>
    <t>6210-31 - Kimberly Gamboa</t>
  </si>
  <si>
    <t>6210-17 - TAAD Legislative Mtg</t>
  </si>
  <si>
    <t>6210-32 - License renewal - RQuinlan</t>
  </si>
  <si>
    <t>6210-32 - License renewal - BBrown</t>
  </si>
  <si>
    <t>6210-32 - License renewal - RMata</t>
  </si>
  <si>
    <t>6210-18 - Reimbursement - entity meeting supplies</t>
  </si>
  <si>
    <t>6210-17 - breakfast for CS</t>
  </si>
  <si>
    <t>6210-17 - leadership conference - reimbursement airline tickets</t>
  </si>
  <si>
    <t>N9316525</t>
  </si>
  <si>
    <t>31245629</t>
  </si>
  <si>
    <t>31406734</t>
  </si>
  <si>
    <t>23AR912195</t>
  </si>
  <si>
    <t>6215-3 Lease meter</t>
  </si>
  <si>
    <t>287230258338X022722</t>
  </si>
  <si>
    <t>0365937031022</t>
  </si>
  <si>
    <t>CD_000374379</t>
  </si>
  <si>
    <t>287230258338X032722</t>
  </si>
  <si>
    <t>031922</t>
  </si>
  <si>
    <t>I2022040101287</t>
  </si>
  <si>
    <t>04.22</t>
  </si>
  <si>
    <t>04.2022</t>
  </si>
  <si>
    <t>MSM-86084</t>
  </si>
  <si>
    <t>74640486</t>
  </si>
  <si>
    <t>6010</t>
  </si>
  <si>
    <t>115910270-1</t>
  </si>
  <si>
    <t>425773</t>
  </si>
  <si>
    <t>2022.01</t>
  </si>
  <si>
    <t>RERC</t>
  </si>
  <si>
    <t>Hiran Marin</t>
  </si>
  <si>
    <t>6240-32 - self storage Almanac &amp; expense guide</t>
  </si>
  <si>
    <t>6240-1 -Aircraft blue book</t>
  </si>
  <si>
    <t>6240-30 - publication</t>
  </si>
  <si>
    <t>6240-23 - subscription services - 9 hours</t>
  </si>
  <si>
    <t>681927139</t>
  </si>
  <si>
    <t>681926803</t>
  </si>
  <si>
    <t>681926634</t>
  </si>
  <si>
    <t>681926748</t>
  </si>
  <si>
    <t>681926774</t>
  </si>
  <si>
    <t>681944880</t>
  </si>
  <si>
    <t>V45B5BD</t>
  </si>
  <si>
    <t>77601</t>
  </si>
  <si>
    <t>682054538</t>
  </si>
  <si>
    <t>290301</t>
  </si>
  <si>
    <t>682110276</t>
  </si>
  <si>
    <t>54134032322</t>
  </si>
  <si>
    <t>1295</t>
  </si>
  <si>
    <t>6677</t>
  </si>
  <si>
    <t>38798</t>
  </si>
  <si>
    <t>8599</t>
  </si>
  <si>
    <t>US432935</t>
  </si>
  <si>
    <t>0111</t>
  </si>
  <si>
    <t>14603</t>
  </si>
  <si>
    <t>TX02-22-0470-000</t>
  </si>
  <si>
    <t>77824</t>
  </si>
  <si>
    <t>R516171-2022</t>
  </si>
  <si>
    <t>R366505-2022</t>
  </si>
  <si>
    <t>290435</t>
  </si>
  <si>
    <t>R427369.2022</t>
  </si>
  <si>
    <t>R427525.2022</t>
  </si>
  <si>
    <t>R018692.2022</t>
  </si>
  <si>
    <t>R520932-2022</t>
  </si>
  <si>
    <t>682258366</t>
  </si>
  <si>
    <t>Quantanite USA Inc</t>
  </si>
  <si>
    <t>Capitol Appraisal Group, LLC</t>
  </si>
  <si>
    <t>Valbridge Property Advisors</t>
  </si>
  <si>
    <t>Tamika Craft Demming</t>
  </si>
  <si>
    <t>Charles Bratton</t>
  </si>
  <si>
    <t>Jason Visor</t>
  </si>
  <si>
    <t>Laura Browning</t>
  </si>
  <si>
    <t>6260-7 - additional cost for background check - EMurphy</t>
  </si>
  <si>
    <t>6260-7 - Background check - AQuintanilla</t>
  </si>
  <si>
    <t>6260-7 - Background check - KMuniz</t>
  </si>
  <si>
    <t>6260-7 - Background check - CSamaripa</t>
  </si>
  <si>
    <t>6260-7 - Background check - EMurphy</t>
  </si>
  <si>
    <t>6260-7 - Additional background check - AQuintanilla</t>
  </si>
  <si>
    <t>6260-7 - refund of charges for background check</t>
  </si>
  <si>
    <t>6260-11 - professional services</t>
  </si>
  <si>
    <t>6260-7 - background check - HCastellanos</t>
  </si>
  <si>
    <t>6260-7 - Employment screening - CSamaripa</t>
  </si>
  <si>
    <t>6260-7 - Employment screening - KMuniz</t>
  </si>
  <si>
    <t>6260-7 - Employmnet screening - EMurphy</t>
  </si>
  <si>
    <t>6260-7 - Employment screening - DOradesky</t>
  </si>
  <si>
    <t>6260-7 - Background check - FCastenallos</t>
  </si>
  <si>
    <t>6260-6 - ChangeFinder - Change Detection (Contracted 220,000, Delivered 245,602)</t>
  </si>
  <si>
    <t>6260-6 - ChangeFinder - project fee</t>
  </si>
  <si>
    <t>6260-10 - Phone answering services</t>
  </si>
  <si>
    <t>6260-9 - Appraisal services</t>
  </si>
  <si>
    <t>6260-8 - Market rpt 2020 - Chevron R031488</t>
  </si>
  <si>
    <t>6260-2 - Binding Arbitration - 24621A21072 - Branik R516171</t>
  </si>
  <si>
    <t>6260-2 - Arbitration - 24621A21027 - Fuad Khorsandian - R366505</t>
  </si>
  <si>
    <t>6260-7 - Employment screening - AQuintanilla</t>
  </si>
  <si>
    <t>6260-7 - Employment screening - FCastellaness</t>
  </si>
  <si>
    <t>6260-2 - Arbitration - 24621A21081 - Sonic R427369</t>
  </si>
  <si>
    <t>6260-2 - Arbitration - 246-21-A21079 - Sonic R427525</t>
  </si>
  <si>
    <t>6260-2 - Arbitration - 26621A21084 - Sonic - R018692</t>
  </si>
  <si>
    <t>6260-2 - 24621A21077 - Central TX Refuse R520932</t>
  </si>
  <si>
    <t>6260-7 - Background check - HHawley</t>
  </si>
  <si>
    <t>46223071</t>
  </si>
  <si>
    <t>03052022</t>
  </si>
  <si>
    <t>28AR493496</t>
  </si>
  <si>
    <t>070-106715</t>
  </si>
  <si>
    <t>070-107048</t>
  </si>
  <si>
    <t>04052022</t>
  </si>
  <si>
    <t>47232721</t>
  </si>
  <si>
    <t>Network Solutions</t>
  </si>
  <si>
    <t>6280-24 - maintenance</t>
  </si>
  <si>
    <t>6280-41 - Open Assessment &amp; Assessment Connect - 2022 year</t>
  </si>
  <si>
    <t>6280-41 - Credit for invoice 070-106715</t>
  </si>
  <si>
    <t>95987</t>
  </si>
  <si>
    <t>94.99</t>
  </si>
  <si>
    <t>1817094670R</t>
  </si>
  <si>
    <t>2039339104</t>
  </si>
  <si>
    <t>67896922</t>
  </si>
  <si>
    <t>20862</t>
  </si>
  <si>
    <t>1L3839898B6</t>
  </si>
  <si>
    <t>67955269</t>
  </si>
  <si>
    <t>202219</t>
  </si>
  <si>
    <t>21601</t>
  </si>
  <si>
    <t>11372</t>
  </si>
  <si>
    <t>202218</t>
  </si>
  <si>
    <t>04062022</t>
  </si>
  <si>
    <t>ZOHO Corporation</t>
  </si>
  <si>
    <t>Visionect Joan</t>
  </si>
  <si>
    <t>Flywheel</t>
  </si>
  <si>
    <t>6285-9 - computer licenses</t>
  </si>
  <si>
    <t>6285-4 - computer licenses</t>
  </si>
  <si>
    <t>6285-4 - refund standard UCC SSL up to 5 renewal</t>
  </si>
  <si>
    <t>6285-10 - Annual hosted wordpress through Flywheel/GoDaddy</t>
  </si>
  <si>
    <t>Renewal</t>
  </si>
  <si>
    <t>6285-4 Standard SSL Two Year Renewal</t>
  </si>
  <si>
    <t>Computer licenses</t>
  </si>
  <si>
    <t>6285-4 - Go Daddy SSL Certificate 2 Years standard UCC SSL up to 5</t>
  </si>
  <si>
    <t>6285-4 - refund licenses</t>
  </si>
  <si>
    <t>Andrew Koester</t>
  </si>
  <si>
    <t>Charles Sawin</t>
  </si>
  <si>
    <t>Coletta Ruggiero</t>
  </si>
  <si>
    <t>Diana Beaufils</t>
  </si>
  <si>
    <t>Jane Schwartz</t>
  </si>
  <si>
    <t>Kim Peterson</t>
  </si>
  <si>
    <t>Mary Bonnette</t>
  </si>
  <si>
    <t>Sandra George</t>
  </si>
  <si>
    <t>Stanley Schwartz</t>
  </si>
  <si>
    <t>6310-3 - ARB meetings</t>
  </si>
  <si>
    <t>6310-3 - ARB Meetings</t>
  </si>
  <si>
    <t>6310-4 -  ARB Meetings</t>
  </si>
  <si>
    <t>6320 · ARB Supplies</t>
  </si>
  <si>
    <t>Total 6320 · ARB Supplies</t>
  </si>
  <si>
    <t>1QDW-CYMY-VR1R</t>
  </si>
  <si>
    <t>92839</t>
  </si>
  <si>
    <t>6320-1 - ARB 21 name plate holder</t>
  </si>
  <si>
    <t>6320-1 - ARB supplies</t>
  </si>
  <si>
    <t>6320-1 - 5 air purifier</t>
  </si>
  <si>
    <t>6320-1 - Nameplates - JMenn, BOliver, HWilliams</t>
  </si>
  <si>
    <t>5257</t>
  </si>
  <si>
    <t>5256</t>
  </si>
  <si>
    <t>5255</t>
  </si>
  <si>
    <t>5254</t>
  </si>
  <si>
    <t>5253</t>
  </si>
  <si>
    <t>6350-1 - ARB legal services - December 2021</t>
  </si>
  <si>
    <t>6350-1 - ARB legal services - November 2021</t>
  </si>
  <si>
    <t>6350-1 - ARB legal services - October 2021</t>
  </si>
  <si>
    <t>6350-1 - ARB legal services - September 2021</t>
  </si>
  <si>
    <t>6350-1 - ARB legal services - August 2021</t>
  </si>
  <si>
    <t>0176</t>
  </si>
  <si>
    <t>174910S</t>
  </si>
  <si>
    <t>1DFD-QQH3-F3J4</t>
  </si>
  <si>
    <t>Austin Cell &amp; Tablet Repair</t>
  </si>
  <si>
    <t>ebay.com</t>
  </si>
  <si>
    <t>6150-7 - repair screen on surface pro 7</t>
  </si>
  <si>
    <t>6150-8 - Cisco Nexus 48 port switch</t>
  </si>
  <si>
    <t>6150-6 - minor equipment</t>
  </si>
  <si>
    <t>6153392</t>
  </si>
  <si>
    <t>6150-5 Surface Pro 8 i5/16/256 LTE W10Platinum  Item # BB21904010 12960 EIN-00017</t>
  </si>
  <si>
    <t xml:space="preserve">6150-5 Microsoft Surface Pro X Keyboard w/Trackpad			BB21405061 12960 QJX-00001	</t>
  </si>
  <si>
    <t>6150-5 Shipping</t>
  </si>
  <si>
    <t>10614396261</t>
  </si>
  <si>
    <t>1YKW-NP93-T1RL</t>
  </si>
  <si>
    <t>V37725503</t>
  </si>
  <si>
    <t>V38067027</t>
  </si>
  <si>
    <t>V38320107</t>
  </si>
  <si>
    <t>1H4Y-TJTD-V1ML</t>
  </si>
  <si>
    <t>13QC-XWVQ-GFQL</t>
  </si>
  <si>
    <t>1WY9-X4C1-MXGN</t>
  </si>
  <si>
    <t>10625445718</t>
  </si>
  <si>
    <t>1XGY-HKNL-JXDT</t>
  </si>
  <si>
    <t>1DGJ-DG4W-9PXL</t>
  </si>
  <si>
    <t>1DK4-9TLF-H4NQ</t>
  </si>
  <si>
    <t>13R3-NT96-749X</t>
  </si>
  <si>
    <t>146Q-MDG7-D9G1</t>
  </si>
  <si>
    <t>5984</t>
  </si>
  <si>
    <t>Huntsberger, James Wade</t>
  </si>
  <si>
    <t>Cox Office Furniture</t>
  </si>
  <si>
    <t>Ruben Juarez</t>
  </si>
  <si>
    <t>6150-6 - Dell Latitude 5531</t>
  </si>
  <si>
    <t>6150-6 - Dell Dock wd19s</t>
  </si>
  <si>
    <t>6150-1 - Dell Ultra sharp 23.8 ASIN: B0929QYCQ7</t>
  </si>
  <si>
    <t>6150-3 - desktop scanner</t>
  </si>
  <si>
    <t>6150-7 - misc supplies</t>
  </si>
  <si>
    <t>6150-8 - minor equipment &amp; supplies</t>
  </si>
  <si>
    <t>6150-5 Microsoft Surface Pro X Keyboard w/Trackpad  BB21405061 12960 QJX-00001</t>
  </si>
  <si>
    <t>6150-6 - minor equipment &amp; supplies</t>
  </si>
  <si>
    <t>6150-7 - Dymo Labelwriter 550</t>
  </si>
  <si>
    <t>6150-9 Dell Precision Tower</t>
  </si>
  <si>
    <t>6150-7 VIVO 25" Standing desk  Model: DESK-V001G ASIN B078WXFS6Q</t>
  </si>
  <si>
    <t>6150-7 - Refund - credit issued</t>
  </si>
  <si>
    <t>6150-7 - GL 6110 BUNN 33200.0015 VPR-2GD 12-Cup Pourover Commercial Coffee Brewer</t>
  </si>
  <si>
    <t>6150-7 HP LaserJet Enterprise M406dn</t>
  </si>
  <si>
    <t>6150-7 VIVO Black Height Adjustable Standing Desk</t>
  </si>
  <si>
    <t>6150-7 - EL103G - 30x60 Desk Shell (Gray) - 4 @ $299.00 ea</t>
  </si>
  <si>
    <t>6150-7 - EL166G - Box/File Pedestal (Gray) - 4 @ $325.00 ea.</t>
  </si>
  <si>
    <t>6150-7 - PL155NPG - 48" Bookcase 2 Adj Shelf 14"x32" - Newport Gray</t>
  </si>
  <si>
    <t>6150-7 - PL120NPG - Corner End Table 24x24x20 - Newport Gray</t>
  </si>
  <si>
    <t>6150-7 - delivery, assembly &amp; installation of new furniture</t>
  </si>
  <si>
    <t>92837</t>
  </si>
  <si>
    <t>92830</t>
  </si>
  <si>
    <t>9008227</t>
  </si>
  <si>
    <t>5749819</t>
  </si>
  <si>
    <t>9927461</t>
  </si>
  <si>
    <t>7423447</t>
  </si>
  <si>
    <t>237876527001</t>
  </si>
  <si>
    <t>237922551001</t>
  </si>
  <si>
    <t>5610647</t>
  </si>
  <si>
    <t>237745868001</t>
  </si>
  <si>
    <t>237933697001</t>
  </si>
  <si>
    <t>93038</t>
  </si>
  <si>
    <t>235323699001</t>
  </si>
  <si>
    <t>9474623</t>
  </si>
  <si>
    <t>5072222</t>
  </si>
  <si>
    <t>93287</t>
  </si>
  <si>
    <t>244777292001</t>
  </si>
  <si>
    <t>93375</t>
  </si>
  <si>
    <t>1Y66-MLGV-RLTN</t>
  </si>
  <si>
    <t>3891405</t>
  </si>
  <si>
    <t>1396254</t>
  </si>
  <si>
    <t>8960262</t>
  </si>
  <si>
    <t>1214631</t>
  </si>
  <si>
    <t>8457830</t>
  </si>
  <si>
    <t>247196007001</t>
  </si>
  <si>
    <t>241691975001</t>
  </si>
  <si>
    <t>250256464001</t>
  </si>
  <si>
    <t>248975776001</t>
  </si>
  <si>
    <t>249625751001</t>
  </si>
  <si>
    <t>251132461001</t>
  </si>
  <si>
    <t>250556624001</t>
  </si>
  <si>
    <t>251124207001</t>
  </si>
  <si>
    <t>8771460</t>
  </si>
  <si>
    <t>250619938001</t>
  </si>
  <si>
    <t>251132236001</t>
  </si>
  <si>
    <t>253342132001</t>
  </si>
  <si>
    <t>2536337017001</t>
  </si>
  <si>
    <t>251504940001</t>
  </si>
  <si>
    <t>94134</t>
  </si>
  <si>
    <t>94106</t>
  </si>
  <si>
    <t>1MRD-DP79-C9LY</t>
  </si>
  <si>
    <t>254947305001</t>
  </si>
  <si>
    <t>254912707001</t>
  </si>
  <si>
    <t>072022</t>
  </si>
  <si>
    <t>1XKD-JHRK-T1R9</t>
  </si>
  <si>
    <t>94380</t>
  </si>
  <si>
    <t>258930546001</t>
  </si>
  <si>
    <t>69380</t>
  </si>
  <si>
    <t>1D4N-R63G-T4CM</t>
  </si>
  <si>
    <t>08082022</t>
  </si>
  <si>
    <t>1LKJ-PVXC-4RYR</t>
  </si>
  <si>
    <t>1W3K-1VVG-FJVT</t>
  </si>
  <si>
    <t>177K-FK17-4WC6</t>
  </si>
  <si>
    <t>7802</t>
  </si>
  <si>
    <t>261182877001</t>
  </si>
  <si>
    <t>1VXG-FWCR-6KXK</t>
  </si>
  <si>
    <t>94896</t>
  </si>
  <si>
    <t>4619</t>
  </si>
  <si>
    <t>94931</t>
  </si>
  <si>
    <t>94930</t>
  </si>
  <si>
    <t>266477801001</t>
  </si>
  <si>
    <t>266477604001</t>
  </si>
  <si>
    <t>016996</t>
  </si>
  <si>
    <t>14K4-4PRV-7XL9</t>
  </si>
  <si>
    <t>19JV-CDNV-7YQG</t>
  </si>
  <si>
    <t>1QP1-VLN6-Q14N</t>
  </si>
  <si>
    <t>1F71-X4KW-6Q77</t>
  </si>
  <si>
    <t>269419850001</t>
  </si>
  <si>
    <t>269427035001</t>
  </si>
  <si>
    <t>00551E</t>
  </si>
  <si>
    <t>272504195001</t>
  </si>
  <si>
    <t>13520</t>
  </si>
  <si>
    <t>273968555001</t>
  </si>
  <si>
    <t>271758646001</t>
  </si>
  <si>
    <t>276178899001</t>
  </si>
  <si>
    <t>13DT-RTDW-9FLX</t>
  </si>
  <si>
    <t>1DK4-9TLF-GCTD</t>
  </si>
  <si>
    <t>95993</t>
  </si>
  <si>
    <t>13776</t>
  </si>
  <si>
    <t>4922556</t>
  </si>
  <si>
    <t>96057</t>
  </si>
  <si>
    <t>1PR1-CNWF-KM1X</t>
  </si>
  <si>
    <t>1GKP-HL3Q-6VR6</t>
  </si>
  <si>
    <t>277847233001</t>
  </si>
  <si>
    <t>277864640001</t>
  </si>
  <si>
    <t>27786439001</t>
  </si>
  <si>
    <t>96421</t>
  </si>
  <si>
    <t>1X3F-KRJF-3TT6</t>
  </si>
  <si>
    <t>00632J</t>
  </si>
  <si>
    <t>1W3D-HNPC-9VRW</t>
  </si>
  <si>
    <t>281863892001</t>
  </si>
  <si>
    <t>1Y7K-W6LG-KJ39</t>
  </si>
  <si>
    <t>284820916001</t>
  </si>
  <si>
    <t>96794</t>
  </si>
  <si>
    <t>96795</t>
  </si>
  <si>
    <t>S1752</t>
  </si>
  <si>
    <t>1XXY-NRRY-FVNX</t>
  </si>
  <si>
    <t>2022.10</t>
  </si>
  <si>
    <t>ODP Business Solutions, LLC</t>
  </si>
  <si>
    <t>Capital Surveying Supplies</t>
  </si>
  <si>
    <t>Amanda Bayler</t>
  </si>
  <si>
    <t>The Award Group</t>
  </si>
  <si>
    <t>Academy</t>
  </si>
  <si>
    <t>Walmart</t>
  </si>
  <si>
    <t>The American Registry</t>
  </si>
  <si>
    <t>Hobby Lobby</t>
  </si>
  <si>
    <t>Leticia De La Garza</t>
  </si>
  <si>
    <t>6110-8 - refund on checks charged</t>
  </si>
  <si>
    <t>6110-5 -  boxes of letter copy paper</t>
  </si>
  <si>
    <t>6110-8 - 3 D batteries for maintenance</t>
  </si>
  <si>
    <t>6110-8 - Nameplate</t>
  </si>
  <si>
    <t>6110-8 - Business cards - AReid (250)</t>
  </si>
  <si>
    <t>6110-8 - Nameplates</t>
  </si>
  <si>
    <t>6110-5 - office supplies</t>
  </si>
  <si>
    <t>6110-9 - ink</t>
  </si>
  <si>
    <t>6110-8 - Business cards - WHuntsberger (250)</t>
  </si>
  <si>
    <t>6110-5 - Copier paper</t>
  </si>
  <si>
    <t>6110-8 - Business cards - HMarin (250)</t>
  </si>
  <si>
    <t>6110-8 - Business cards - KCMcDade (250)</t>
  </si>
  <si>
    <t>6110-8 - Office supplies</t>
  </si>
  <si>
    <t>6110-9 - ink for meter machine</t>
  </si>
  <si>
    <t>6110-7 - office supplies - measuring tapes</t>
  </si>
  <si>
    <t>6110-8 (2) xxl Reflective Safety Vest for Women Men High Visibility Security with Pockets Zipper...</t>
  </si>
  <si>
    <t>6110-8 (1) xl Reflective Safety Vest for Women Men High Visibility Security with Pockets Zipper ...</t>
  </si>
  <si>
    <t>6110-8 (individual signs) 21X10” white magnetic signs w/   black, red and blue vinyl film letter...</t>
  </si>
  <si>
    <t>6110-8 - certificate renewal</t>
  </si>
  <si>
    <t>6110-8 - name plates - 3 ee</t>
  </si>
  <si>
    <t>6110-8 - name plates - 1 ee</t>
  </si>
  <si>
    <t>6110-8 - canopies</t>
  </si>
  <si>
    <t>6110-8 20 Pack retractable badge holder   Part # BH-20 ASIN 55121804</t>
  </si>
  <si>
    <t>6110-11 Security Badges HID iClass Card  HID 2000PGGMN  ASIN: B0068F18L6</t>
  </si>
  <si>
    <t>6110-8 - misc credit</t>
  </si>
  <si>
    <t>6110-8 - business cards - Gilberto Garcia</t>
  </si>
  <si>
    <t>6110-7 - office supplies</t>
  </si>
  <si>
    <t>6110-8 - Awards</t>
  </si>
  <si>
    <t>Minor Equipment</t>
  </si>
  <si>
    <t>6110-8 - business cards - Lyz Jones</t>
  </si>
  <si>
    <t>6110-8 - business cards - New Hire</t>
  </si>
  <si>
    <t>6110-8 - office supplies (gift bags for YOS &amp; EOY awards)</t>
  </si>
  <si>
    <t>6110-8 - Name Plates</t>
  </si>
  <si>
    <t>6110-8 - business cards - Ameen Ahmad</t>
  </si>
  <si>
    <t>6110-8 - business cards - Steven Gregory</t>
  </si>
  <si>
    <t>6110-8 - business cards - Bethany Wright</t>
  </si>
  <si>
    <t>6110-8 - Plaque for EOY</t>
  </si>
  <si>
    <t>6110-8 - group photo</t>
  </si>
  <si>
    <t>36771</t>
  </si>
  <si>
    <t>38183</t>
  </si>
  <si>
    <t>7-738-50509</t>
  </si>
  <si>
    <t>E81653</t>
  </si>
  <si>
    <t>37215</t>
  </si>
  <si>
    <t>37421</t>
  </si>
  <si>
    <t>37422</t>
  </si>
  <si>
    <t>37523</t>
  </si>
  <si>
    <t>7-768-36579</t>
  </si>
  <si>
    <t>37698</t>
  </si>
  <si>
    <t>37991</t>
  </si>
  <si>
    <t>37990</t>
  </si>
  <si>
    <t>7-811-28810</t>
  </si>
  <si>
    <t>38496</t>
  </si>
  <si>
    <t>38495</t>
  </si>
  <si>
    <t>7-832-86295</t>
  </si>
  <si>
    <t>E83157</t>
  </si>
  <si>
    <t>38856</t>
  </si>
  <si>
    <t>38857</t>
  </si>
  <si>
    <t>0014493</t>
  </si>
  <si>
    <t>09122022</t>
  </si>
  <si>
    <t>39384</t>
  </si>
  <si>
    <t>00146452</t>
  </si>
  <si>
    <t>10102022</t>
  </si>
  <si>
    <t>E84631</t>
  </si>
  <si>
    <t>12.2022</t>
  </si>
  <si>
    <t>7-978-03163</t>
  </si>
  <si>
    <t>0014851</t>
  </si>
  <si>
    <t>6120-10 - postage (6,188)</t>
  </si>
  <si>
    <t>6120-13 - postage - AED Batteries</t>
  </si>
  <si>
    <t>6120-10 - Postage for Go Green</t>
  </si>
  <si>
    <t>6120-1 - postage</t>
  </si>
  <si>
    <t>6120-13 - postage</t>
  </si>
  <si>
    <t>6120-8 - postage</t>
  </si>
  <si>
    <t>6120-19 - Postage for Tax Rate Website</t>
  </si>
  <si>
    <t>6120-15 - Replenish Postage Due Acct PD 95017-000</t>
  </si>
  <si>
    <t>6120-3 - Replenish Business Reply Acct 74-001</t>
  </si>
  <si>
    <t>6120-6 - Ag letters</t>
  </si>
  <si>
    <t>6120-17 - Postage for sales questionnaires</t>
  </si>
  <si>
    <t>80252</t>
  </si>
  <si>
    <t>80757</t>
  </si>
  <si>
    <t>93484</t>
  </si>
  <si>
    <t>81653</t>
  </si>
  <si>
    <t>82158</t>
  </si>
  <si>
    <t>82662</t>
  </si>
  <si>
    <t>94294</t>
  </si>
  <si>
    <t>83157</t>
  </si>
  <si>
    <t>48711</t>
  </si>
  <si>
    <t>83445</t>
  </si>
  <si>
    <t>94809</t>
  </si>
  <si>
    <t>29264</t>
  </si>
  <si>
    <t>29432</t>
  </si>
  <si>
    <t>29655</t>
  </si>
  <si>
    <t>84631</t>
  </si>
  <si>
    <t>6130-1 - laser printing (246,670)</t>
  </si>
  <si>
    <t>6130-7 - Rendering fold/insert/meter (223,732)</t>
  </si>
  <si>
    <t>6130-2 - HS applications (23,056)</t>
  </si>
  <si>
    <t>6130-5 - Rights &amp; Remedies (182,500)</t>
  </si>
  <si>
    <t>6130-1 - Offset printing - go green (217,500)</t>
  </si>
  <si>
    <t>6130-4 - Envelopes #10 (177,251)</t>
  </si>
  <si>
    <t>6130-4 - envelopes 9x12 (544)</t>
  </si>
  <si>
    <t>6130-3 - OCR testing &amp; USB drive</t>
  </si>
  <si>
    <t>6130-1 - pdf files</t>
  </si>
  <si>
    <t>6130-17 - list processing</t>
  </si>
  <si>
    <t>6130-17 - CASS/NCOA Services</t>
  </si>
  <si>
    <t>6130-17 - Laser Printing</t>
  </si>
  <si>
    <t>6130-17 - Mailing services (6,188)</t>
  </si>
  <si>
    <t>6130-1 - laser printing (13,896)</t>
  </si>
  <si>
    <t>6130-7 - Rendering fold/insert/meter (5,159)</t>
  </si>
  <si>
    <t>6130-5 - Rights &amp; Remedies (4,781)</t>
  </si>
  <si>
    <t>6130-4 - Envelopes #10 (4,702)</t>
  </si>
  <si>
    <t>6130-4 - envelopes 9x12 (5)</t>
  </si>
  <si>
    <t>6130-1 - rendering (34)</t>
  </si>
  <si>
    <t>6130-4 - envelopes #10 (34)</t>
  </si>
  <si>
    <t>6130-9 - Flats (28)</t>
  </si>
  <si>
    <t>6130-9 - 6x9 (17)</t>
  </si>
  <si>
    <t>6130-1 - Processing fee (1)</t>
  </si>
  <si>
    <t>6130-7 - pre-sort (34)</t>
  </si>
  <si>
    <t>6130-1 - laser printing - 1,106</t>
  </si>
  <si>
    <t>6130-1 - rendering - 35</t>
  </si>
  <si>
    <t>6130-1 - paper for laser printing - 552</t>
  </si>
  <si>
    <t>6130-4 - envelopes - 35</t>
  </si>
  <si>
    <t>6130-1 - 1st insert - 49</t>
  </si>
  <si>
    <t>6130-1 - 2nd insert - 49</t>
  </si>
  <si>
    <t>6130-1 - 3rd insert - 49</t>
  </si>
  <si>
    <t>6130-9 - flats - 2</t>
  </si>
  <si>
    <t>6130-9 - 6x9's - 12</t>
  </si>
  <si>
    <t>6130-5 - R&amp;R - 49</t>
  </si>
  <si>
    <t>6130-1 - go green - 49</t>
  </si>
  <si>
    <t>6130-1 - health safety - 49</t>
  </si>
  <si>
    <t>6130-7 - processing fee</t>
  </si>
  <si>
    <t>6130-7 - pre-sort</t>
  </si>
  <si>
    <t>6130-1 - laser printing - 45,258</t>
  </si>
  <si>
    <t>6130-1 - rendering - 8,108</t>
  </si>
  <si>
    <t>6130-1 - paper for laser printing - 22,808</t>
  </si>
  <si>
    <t>6130-4 - envelopes - 8,108</t>
  </si>
  <si>
    <t>6130-1 - 1st insert - 8,285</t>
  </si>
  <si>
    <t>6130-1 - 2nd insert - 8,285</t>
  </si>
  <si>
    <t>6130-1 - 3rd insert - 8,285</t>
  </si>
  <si>
    <t>6130-9 - flats - 25</t>
  </si>
  <si>
    <t>6130-9 - 6x9's - 156</t>
  </si>
  <si>
    <t>6130-5 - R&amp;R - 8,285</t>
  </si>
  <si>
    <t>6130-1 - go green - 8,285</t>
  </si>
  <si>
    <t>6130-1 - health safety - 8,285</t>
  </si>
  <si>
    <t>6130-1 - rendering (62)</t>
  </si>
  <si>
    <t>6130-4 - envelopes #10 (62)</t>
  </si>
  <si>
    <t>6130-9 - Flats (8)</t>
  </si>
  <si>
    <t>6130-9 - 6x9 (9)</t>
  </si>
  <si>
    <t>6130-7 - pre-sort (62)</t>
  </si>
  <si>
    <t>6130-20 - survey postcards</t>
  </si>
  <si>
    <t>6130-1 - AVN - 2nd run corrections</t>
  </si>
  <si>
    <t>6130-7 - 8.5 x 11 Forms</t>
  </si>
  <si>
    <t>6130-4 - Envelopes #10 (661)</t>
  </si>
  <si>
    <t>6130-17 - Laser Printing (16,429)</t>
  </si>
  <si>
    <t>6130-17 - Rendering (16,421)</t>
  </si>
  <si>
    <t>6130-17 - Paper for laser printing (16,429)</t>
  </si>
  <si>
    <t>6130-13 - Envelopes #10 window</t>
  </si>
  <si>
    <t>6130-1 - laser printing - 19,154</t>
  </si>
  <si>
    <t>6130-1 - rendering - 2,070</t>
  </si>
  <si>
    <t>6130-1 - paper for laser printing - 9,791</t>
  </si>
  <si>
    <t>6130-4 - envelopes - 2,070</t>
  </si>
  <si>
    <t>6130-1 - 1st insert - 2,282</t>
  </si>
  <si>
    <t>6130-1 - 2nd insert - 2,282</t>
  </si>
  <si>
    <t>6130-1 - 3rd insert - 2,282</t>
  </si>
  <si>
    <t>6130-9 - flats - 21</t>
  </si>
  <si>
    <t>6130-9 - 6x9's - 192</t>
  </si>
  <si>
    <t>6130-5 - R&amp;R - 2,282</t>
  </si>
  <si>
    <t>6130-1 - go green - 2,282</t>
  </si>
  <si>
    <t>6130-1 - health safety - 2,282</t>
  </si>
  <si>
    <t>6130-1 - laser printing - 234</t>
  </si>
  <si>
    <t>6130-1 - rendering - 52</t>
  </si>
  <si>
    <t>6130-1 - paper for laser printing - 116</t>
  </si>
  <si>
    <t>6130-4 - envelopes - 52</t>
  </si>
  <si>
    <t>6130-1 - 1st insert - 52</t>
  </si>
  <si>
    <t>6130-1 - 2nd insert - 52</t>
  </si>
  <si>
    <t>6130-1 - 3rd insert - 52</t>
  </si>
  <si>
    <t>6130-9 - processing fees</t>
  </si>
  <si>
    <t>6130-9 - Postage-presort - 52</t>
  </si>
  <si>
    <t>6130-5 - R&amp;R - 52</t>
  </si>
  <si>
    <t>6130-1 - go green - 52</t>
  </si>
  <si>
    <t>6130-1 - health safety - 52</t>
  </si>
  <si>
    <t>6130-1 - AVN - 3rd run corrections</t>
  </si>
  <si>
    <t>6130-4 - envelopes</t>
  </si>
  <si>
    <t>6130-1 - protest form</t>
  </si>
  <si>
    <t>6130-5 - R&amp;R</t>
  </si>
  <si>
    <t>6130-10 - flash drive</t>
  </si>
  <si>
    <t>6130-1 - AVN - 4th run corrections</t>
  </si>
  <si>
    <t>6130-20 - survey cards - 1,000</t>
  </si>
  <si>
    <t>6130-1 - laser printing - 7,418</t>
  </si>
  <si>
    <t>6130-1 - rendering - 520</t>
  </si>
  <si>
    <t>6130-1 - paper for laser printing - 3,830</t>
  </si>
  <si>
    <t>6130-4 - envelopes - 520</t>
  </si>
  <si>
    <t>6130-1 - 1st insert - 642</t>
  </si>
  <si>
    <t>6130-1 - 2nd insert - 642</t>
  </si>
  <si>
    <t>6130-1 - 3rd insert - 642</t>
  </si>
  <si>
    <t>6130-9 - flats - 5</t>
  </si>
  <si>
    <t>6130-9 - 6x9's - 117</t>
  </si>
  <si>
    <t>6130-5 - R&amp;R - 642</t>
  </si>
  <si>
    <t>6130-1 - go green - 642</t>
  </si>
  <si>
    <t>6130-1 - health safety - 642</t>
  </si>
  <si>
    <t>6130-1 - laser printing - 446</t>
  </si>
  <si>
    <t>6130-1 - rendering - 93</t>
  </si>
  <si>
    <t>6130-1 - paper for laser printing - 228</t>
  </si>
  <si>
    <t>6130-4 - envelopes - 96</t>
  </si>
  <si>
    <t>6130-1 - 1st insert - 96</t>
  </si>
  <si>
    <t>6130-1 - 2nd insert - 96</t>
  </si>
  <si>
    <t>6130-1 - 3rd insert - 96</t>
  </si>
  <si>
    <t>6130-5 - R&amp;R - 96</t>
  </si>
  <si>
    <t>6130-1 - go green - 96</t>
  </si>
  <si>
    <t>6130-1 - health safety - 96</t>
  </si>
  <si>
    <t>6130-7 - postage presort fee</t>
  </si>
  <si>
    <t>Postage for Tax Rate Website</t>
  </si>
  <si>
    <t>6130-20 - tax rate website postcard</t>
  </si>
  <si>
    <t>6130-13 - #10 window 5K</t>
  </si>
  <si>
    <t>6130-1 - laser printing - 18</t>
  </si>
  <si>
    <t>6130-1 - rendering - 2</t>
  </si>
  <si>
    <t>6130-1 - paper for laser printing - 8</t>
  </si>
  <si>
    <t>6130-4 - envelopes - 2</t>
  </si>
  <si>
    <t>6130-1 - 1st insert - 2</t>
  </si>
  <si>
    <t>6130-1 - 2nd insert - 2</t>
  </si>
  <si>
    <t>6130-1 - 3rd insert - 2</t>
  </si>
  <si>
    <t>6130-9 - Processing fee</t>
  </si>
  <si>
    <t>6130-9 - presort</t>
  </si>
  <si>
    <t>6130-5 - R&amp;R - 2</t>
  </si>
  <si>
    <t>6130-1 - go green - 2</t>
  </si>
  <si>
    <t>6130-1 - health safety - 2</t>
  </si>
  <si>
    <t>6130-1 - laser printing - 126</t>
  </si>
  <si>
    <t>6130-1 - rendering - 11</t>
  </si>
  <si>
    <t>6130-1 - paper for laser printing - 68</t>
  </si>
  <si>
    <t>6130-4 - envelopes - 14</t>
  </si>
  <si>
    <t>6130-1 - 1st insert - 14</t>
  </si>
  <si>
    <t>6130-1 - 2nd insert - 14</t>
  </si>
  <si>
    <t>6130-1 - 3rd insert - 14</t>
  </si>
  <si>
    <t>6130-4 - 6x9</t>
  </si>
  <si>
    <t>6130-5 - R&amp;R - 14</t>
  </si>
  <si>
    <t>6130-1 - go green - 14</t>
  </si>
  <si>
    <t>6130-1 - health safety - 14</t>
  </si>
  <si>
    <t>6130-1 - NAV corrected notices</t>
  </si>
  <si>
    <t>6130-12 - business reply envelopes</t>
  </si>
  <si>
    <t>6130-15 - HS postcard mailout (4,511)</t>
  </si>
  <si>
    <t>6130-1 - laser printing - 198</t>
  </si>
  <si>
    <t>6130-1 - rendering - 4</t>
  </si>
  <si>
    <t>6130-1 - paper for laser printing - 112</t>
  </si>
  <si>
    <t>6130-4 - envelopes - 11</t>
  </si>
  <si>
    <t>6130-1 - 1st insert - 11</t>
  </si>
  <si>
    <t>6130-1 - 2nd insert - 11</t>
  </si>
  <si>
    <t>6130-1 - 3rd insert - 11</t>
  </si>
  <si>
    <t>6130-9 - 6x9 - 7</t>
  </si>
  <si>
    <t>6130-5 - R&amp;R - 11</t>
  </si>
  <si>
    <t>6130-1 - go green - 11</t>
  </si>
  <si>
    <t>6130-1 - health safety - 11</t>
  </si>
  <si>
    <t>6130-15 - HS postcard mailout (987)</t>
  </si>
  <si>
    <t>6130-15 - HS postcard mailout (2,613)</t>
  </si>
  <si>
    <t>6130-16 - Sales Survey</t>
  </si>
  <si>
    <t>11300</t>
  </si>
  <si>
    <t>11783</t>
  </si>
  <si>
    <t>11856</t>
  </si>
  <si>
    <t>12438</t>
  </si>
  <si>
    <t>12638</t>
  </si>
  <si>
    <t>12718</t>
  </si>
  <si>
    <t>12897</t>
  </si>
  <si>
    <t>13086</t>
  </si>
  <si>
    <t>13217</t>
  </si>
  <si>
    <t>V38591595</t>
  </si>
  <si>
    <t>1W79-PD47-TLXL</t>
  </si>
  <si>
    <t>V38866169</t>
  </si>
  <si>
    <t>9395</t>
  </si>
  <si>
    <t>V39162265</t>
  </si>
  <si>
    <t>208316434</t>
  </si>
  <si>
    <t>V39445502</t>
  </si>
  <si>
    <t>1H9R-6G67-4VRV</t>
  </si>
  <si>
    <t>V39747185</t>
  </si>
  <si>
    <t>278650550001</t>
  </si>
  <si>
    <t>209298190</t>
  </si>
  <si>
    <t>V39961428</t>
  </si>
  <si>
    <t>6150-13 Office Chair</t>
  </si>
  <si>
    <t>6150-8 - Ubiquti Network Wifi 6 Pro Dual Band</t>
  </si>
  <si>
    <t>6150-8 - Ubiquiti Networks Dream Machine</t>
  </si>
  <si>
    <t>6150-13 - replace ARB office chairs</t>
  </si>
  <si>
    <t>6150-7 - Sonos Wall Mounts for One and Play pair</t>
  </si>
  <si>
    <t xml:space="preserve">6150-8 - SHP-15909699  1454ZQ1    Dell OptiPlex 790			</t>
  </si>
  <si>
    <t>6150-7 - Sonos One Pair Kit</t>
  </si>
  <si>
    <t>1YVK-KRJC-C4YF</t>
  </si>
  <si>
    <t>23AR966920</t>
  </si>
  <si>
    <t>139C-MCQR-61KF</t>
  </si>
  <si>
    <t>23AR986700</t>
  </si>
  <si>
    <t>17CW-T7N4-4MMF</t>
  </si>
  <si>
    <t>1J4P-GHWT-JYJ7</t>
  </si>
  <si>
    <t>1G4M-NMH9-4G74</t>
  </si>
  <si>
    <t>1LC7-NLWH-93L7</t>
  </si>
  <si>
    <t>1J3R-KJYY-YQFY</t>
  </si>
  <si>
    <t>17JD-DL6Q-3PPH</t>
  </si>
  <si>
    <t>206100809</t>
  </si>
  <si>
    <t>1NNH-GC4T-36MD</t>
  </si>
  <si>
    <t>19GW-MHFY-4YT7</t>
  </si>
  <si>
    <t>1GKK-TG3D-77YC</t>
  </si>
  <si>
    <t>31661</t>
  </si>
  <si>
    <t>39437</t>
  </si>
  <si>
    <t>1CP9-7TCX-71M4</t>
  </si>
  <si>
    <t>1TXN-9L1N-6HWP</t>
  </si>
  <si>
    <t>Minor equipment</t>
  </si>
  <si>
    <t>6160-12 - toner cartridges</t>
  </si>
  <si>
    <t>6160-5 Cases for Surface Pro 8</t>
  </si>
  <si>
    <t>6160-5 - Field Device Accessories</t>
  </si>
  <si>
    <t>6160-8 - misc computer supplies</t>
  </si>
  <si>
    <t>6160-8 - Computer supplies</t>
  </si>
  <si>
    <t>6160-3 Brother ADS-2700W Desktop Scanner</t>
  </si>
  <si>
    <t>6160-8 - Ubiquti Network Wifi 6 Pro Dual Band</t>
  </si>
  <si>
    <t>6160-8 - Ubiquiti Networks Dream Machine</t>
  </si>
  <si>
    <t>6160-5 - Screen protectors for Surface Pro 8</t>
  </si>
  <si>
    <t xml:space="preserve">6150-5 - </t>
  </si>
  <si>
    <t>cr-02172022</t>
  </si>
  <si>
    <t>03142022</t>
  </si>
  <si>
    <t>11.2021</t>
  </si>
  <si>
    <t>3803</t>
  </si>
  <si>
    <t>61</t>
  </si>
  <si>
    <t>070833</t>
  </si>
  <si>
    <t>04132022</t>
  </si>
  <si>
    <t>42538261</t>
  </si>
  <si>
    <t>042222</t>
  </si>
  <si>
    <t>050422</t>
  </si>
  <si>
    <t>52</t>
  </si>
  <si>
    <t>38</t>
  </si>
  <si>
    <t>062022</t>
  </si>
  <si>
    <t>05.2022</t>
  </si>
  <si>
    <t>01515E</t>
  </si>
  <si>
    <t>01559E</t>
  </si>
  <si>
    <t>B56V8P</t>
  </si>
  <si>
    <t>01676E</t>
  </si>
  <si>
    <t>9DWP7</t>
  </si>
  <si>
    <t>01048</t>
  </si>
  <si>
    <t>42231995</t>
  </si>
  <si>
    <t>01898E</t>
  </si>
  <si>
    <t>01840E</t>
  </si>
  <si>
    <t>1000143772</t>
  </si>
  <si>
    <t>01887E</t>
  </si>
  <si>
    <t>1000143775</t>
  </si>
  <si>
    <t>1000143522</t>
  </si>
  <si>
    <t>D98801134</t>
  </si>
  <si>
    <t>052222</t>
  </si>
  <si>
    <t>7313572</t>
  </si>
  <si>
    <t>20-27839708</t>
  </si>
  <si>
    <t>license.BW.2022</t>
  </si>
  <si>
    <t>08.2022</t>
  </si>
  <si>
    <t>58403</t>
  </si>
  <si>
    <t>91076</t>
  </si>
  <si>
    <t>987061</t>
  </si>
  <si>
    <t>QULGZI</t>
  </si>
  <si>
    <t>ZOBGNN</t>
  </si>
  <si>
    <t>QDZGOP</t>
  </si>
  <si>
    <t>AQLABB</t>
  </si>
  <si>
    <t>06192022</t>
  </si>
  <si>
    <t>2022687345</t>
  </si>
  <si>
    <t>1XRT-Y6PW-RF79</t>
  </si>
  <si>
    <t>08242022</t>
  </si>
  <si>
    <t>2022713889</t>
  </si>
  <si>
    <t>R040A572</t>
  </si>
  <si>
    <t>license.SJG.2022</t>
  </si>
  <si>
    <t>license.AMA.2022</t>
  </si>
  <si>
    <t>07112022</t>
  </si>
  <si>
    <t>01263E</t>
  </si>
  <si>
    <t>1048</t>
  </si>
  <si>
    <t>R2566</t>
  </si>
  <si>
    <t>R2615</t>
  </si>
  <si>
    <t>QULGZI-2</t>
  </si>
  <si>
    <t>07192022</t>
  </si>
  <si>
    <t>2022742849</t>
  </si>
  <si>
    <t>2022742825</t>
  </si>
  <si>
    <t>Membership.22</t>
  </si>
  <si>
    <t>02502E</t>
  </si>
  <si>
    <t>17226</t>
  </si>
  <si>
    <t>7.2022</t>
  </si>
  <si>
    <t>5YF72965GP4</t>
  </si>
  <si>
    <t>74164</t>
  </si>
  <si>
    <t>62469</t>
  </si>
  <si>
    <t>010691</t>
  </si>
  <si>
    <t>8.2022</t>
  </si>
  <si>
    <t>10192022</t>
  </si>
  <si>
    <t>082022</t>
  </si>
  <si>
    <t>3580811084</t>
  </si>
  <si>
    <t>45793</t>
  </si>
  <si>
    <t>08152022</t>
  </si>
  <si>
    <t>INVZ00017060</t>
  </si>
  <si>
    <t>08172022</t>
  </si>
  <si>
    <t>74VP6</t>
  </si>
  <si>
    <t>74VR0</t>
  </si>
  <si>
    <t>74VR8</t>
  </si>
  <si>
    <t>0819</t>
  </si>
  <si>
    <t>EB5PP</t>
  </si>
  <si>
    <t>08232022</t>
  </si>
  <si>
    <t>21336703</t>
  </si>
  <si>
    <t>GXPAA</t>
  </si>
  <si>
    <t>VT70A</t>
  </si>
  <si>
    <t>S9MGP</t>
  </si>
  <si>
    <t>DVV5Y</t>
  </si>
  <si>
    <t>0823</t>
  </si>
  <si>
    <t>082322</t>
  </si>
  <si>
    <t>9J7T8</t>
  </si>
  <si>
    <t>02475E</t>
  </si>
  <si>
    <t>08252022</t>
  </si>
  <si>
    <t>renewal.22</t>
  </si>
  <si>
    <t>25194</t>
  </si>
  <si>
    <t>729</t>
  </si>
  <si>
    <t>02632E</t>
  </si>
  <si>
    <t>9437194</t>
  </si>
  <si>
    <t>12716</t>
  </si>
  <si>
    <t>44259469</t>
  </si>
  <si>
    <t>44259470</t>
  </si>
  <si>
    <t>Refund</t>
  </si>
  <si>
    <t>03108E</t>
  </si>
  <si>
    <t>1212</t>
  </si>
  <si>
    <t>M24632</t>
  </si>
  <si>
    <t>DG2D1</t>
  </si>
  <si>
    <t>DJY2P</t>
  </si>
  <si>
    <t>QVFW9</t>
  </si>
  <si>
    <t>QZ0V1</t>
  </si>
  <si>
    <t>45938</t>
  </si>
  <si>
    <t>304084</t>
  </si>
  <si>
    <t>2022-102427</t>
  </si>
  <si>
    <t>91X7X</t>
  </si>
  <si>
    <t>91X85</t>
  </si>
  <si>
    <t>AEKR</t>
  </si>
  <si>
    <t>09.2022</t>
  </si>
  <si>
    <t>notary.JP.2022</t>
  </si>
  <si>
    <t>34871-2022</t>
  </si>
  <si>
    <t>33672-2022</t>
  </si>
  <si>
    <t>37943-2022</t>
  </si>
  <si>
    <t>38020-2022</t>
  </si>
  <si>
    <t>37904-2022</t>
  </si>
  <si>
    <t>37944-2022</t>
  </si>
  <si>
    <t>45971</t>
  </si>
  <si>
    <t>S9M</t>
  </si>
  <si>
    <t>AH6H52</t>
  </si>
  <si>
    <t>34873-2022</t>
  </si>
  <si>
    <t>34869-2022</t>
  </si>
  <si>
    <t>08302022</t>
  </si>
  <si>
    <t>Z57V82</t>
  </si>
  <si>
    <t>LBW8</t>
  </si>
  <si>
    <t>M2X8SY</t>
  </si>
  <si>
    <t>B3AGT</t>
  </si>
  <si>
    <t>404081</t>
  </si>
  <si>
    <t>02152E</t>
  </si>
  <si>
    <t>DX5N1</t>
  </si>
  <si>
    <t>EEZN0</t>
  </si>
  <si>
    <t>AA5E</t>
  </si>
  <si>
    <t>BEY34</t>
  </si>
  <si>
    <t>17279</t>
  </si>
  <si>
    <t>83Q9Z</t>
  </si>
  <si>
    <t>AF1HF</t>
  </si>
  <si>
    <t>8700A</t>
  </si>
  <si>
    <t>2032051428</t>
  </si>
  <si>
    <t>2032051264</t>
  </si>
  <si>
    <t>DA0M0</t>
  </si>
  <si>
    <t>6661613678</t>
  </si>
  <si>
    <t>E300495</t>
  </si>
  <si>
    <t>G31DN</t>
  </si>
  <si>
    <t>095YW</t>
  </si>
  <si>
    <t>54S0V</t>
  </si>
  <si>
    <t>055R6X</t>
  </si>
  <si>
    <t>56B4T</t>
  </si>
  <si>
    <t>1021788357</t>
  </si>
  <si>
    <t>Z57SJH</t>
  </si>
  <si>
    <t>Z57SJ1</t>
  </si>
  <si>
    <t>Z57SJ9</t>
  </si>
  <si>
    <t>2022.CBC</t>
  </si>
  <si>
    <t>46129</t>
  </si>
  <si>
    <t>HAV8D</t>
  </si>
  <si>
    <t>H9JNS</t>
  </si>
  <si>
    <t>0F14</t>
  </si>
  <si>
    <t>1G9L</t>
  </si>
  <si>
    <t>E300626</t>
  </si>
  <si>
    <t>HRRB</t>
  </si>
  <si>
    <t>AP4FL</t>
  </si>
  <si>
    <t>membership.2022.LLip</t>
  </si>
  <si>
    <t>license.RMJ.2022</t>
  </si>
  <si>
    <t>101322</t>
  </si>
  <si>
    <t>617145</t>
  </si>
  <si>
    <t>10052022</t>
  </si>
  <si>
    <t>2032095648</t>
  </si>
  <si>
    <t>2032095636</t>
  </si>
  <si>
    <t>2032095626</t>
  </si>
  <si>
    <t>2032095658</t>
  </si>
  <si>
    <t>2032095653</t>
  </si>
  <si>
    <t>2032095608</t>
  </si>
  <si>
    <t>2032095621</t>
  </si>
  <si>
    <t>61782B</t>
  </si>
  <si>
    <t>10.2022</t>
  </si>
  <si>
    <t>715745</t>
  </si>
  <si>
    <t>D1GBB</t>
  </si>
  <si>
    <t>license.JRF.2022</t>
  </si>
  <si>
    <t>4T4WOL</t>
  </si>
  <si>
    <t>20-27895792</t>
  </si>
  <si>
    <t>98438</t>
  </si>
  <si>
    <t>XER1</t>
  </si>
  <si>
    <t>510</t>
  </si>
  <si>
    <t>758984</t>
  </si>
  <si>
    <t>11.2022</t>
  </si>
  <si>
    <t>M30980</t>
  </si>
  <si>
    <t>0J157ES</t>
  </si>
  <si>
    <t>renewal.2023</t>
  </si>
  <si>
    <t>11152022</t>
  </si>
  <si>
    <t>STH3XZ</t>
  </si>
  <si>
    <t>1935-7297</t>
  </si>
  <si>
    <t>6B8R</t>
  </si>
  <si>
    <t>6B98</t>
  </si>
  <si>
    <t>FBRB</t>
  </si>
  <si>
    <t>115</t>
  </si>
  <si>
    <t>255</t>
  </si>
  <si>
    <t>11082022</t>
  </si>
  <si>
    <t>01650E</t>
  </si>
  <si>
    <t>4000185</t>
  </si>
  <si>
    <t>PKNW8</t>
  </si>
  <si>
    <t>MX4QH</t>
  </si>
  <si>
    <t>46549</t>
  </si>
  <si>
    <t>9999</t>
  </si>
  <si>
    <t>P2J0</t>
  </si>
  <si>
    <t>1122-3467</t>
  </si>
  <si>
    <t>1004-2623</t>
  </si>
  <si>
    <t>4465112</t>
  </si>
  <si>
    <t>94064</t>
  </si>
  <si>
    <t>J116993748</t>
  </si>
  <si>
    <t>EEP3Q</t>
  </si>
  <si>
    <t>1207</t>
  </si>
  <si>
    <t>H011E</t>
  </si>
  <si>
    <t>12052022</t>
  </si>
  <si>
    <t>030630</t>
  </si>
  <si>
    <t>783</t>
  </si>
  <si>
    <t>D4KHB</t>
  </si>
  <si>
    <t>D4KHK</t>
  </si>
  <si>
    <t>D4KHV</t>
  </si>
  <si>
    <t>1061165</t>
  </si>
  <si>
    <t>25</t>
  </si>
  <si>
    <t>710</t>
  </si>
  <si>
    <t>4S3J6V</t>
  </si>
  <si>
    <t>1505</t>
  </si>
  <si>
    <t>1705-2097</t>
  </si>
  <si>
    <t>license.JAH</t>
  </si>
  <si>
    <t>12.20.2022</t>
  </si>
  <si>
    <t>H117529995</t>
  </si>
  <si>
    <t>32205743</t>
  </si>
  <si>
    <t>1145-3234</t>
  </si>
  <si>
    <t>2032219481</t>
  </si>
  <si>
    <t>2032219501</t>
  </si>
  <si>
    <t>2032219490</t>
  </si>
  <si>
    <t>2032219516</t>
  </si>
  <si>
    <t>2032219511</t>
  </si>
  <si>
    <t>1205-092022</t>
  </si>
  <si>
    <t>Charles Vasquez</t>
  </si>
  <si>
    <t>Sonny Bryans Smokehouse</t>
  </si>
  <si>
    <t>ABIA Parking</t>
  </si>
  <si>
    <t>Uber - taxi services</t>
  </si>
  <si>
    <t>Survey Monkey.com</t>
  </si>
  <si>
    <t>Mikey V's Tacos on the Square</t>
  </si>
  <si>
    <t>Capitol Visitors Parking Garage</t>
  </si>
  <si>
    <t>IPTI</t>
  </si>
  <si>
    <t>Amanda 1 Rompala</t>
  </si>
  <si>
    <t>Sushi Boss</t>
  </si>
  <si>
    <t>Tacodeli</t>
  </si>
  <si>
    <t>Winner's Circle Pub</t>
  </si>
  <si>
    <t>Westin Hotels</t>
  </si>
  <si>
    <t>Lyft - Taxi Services</t>
  </si>
  <si>
    <t>Ad Valorem Legal Seminar</t>
  </si>
  <si>
    <t>White Castle</t>
  </si>
  <si>
    <t>Weber Grill Restaurants</t>
  </si>
  <si>
    <t>PSI</t>
  </si>
  <si>
    <t>Fred Pryor Seminar</t>
  </si>
  <si>
    <t>IAAO Bank Lockbox</t>
  </si>
  <si>
    <t>TrainHR Learning</t>
  </si>
  <si>
    <t>City of Georgetown Parks and Recreation</t>
  </si>
  <si>
    <t>The YMCA</t>
  </si>
  <si>
    <t>Kalahari</t>
  </si>
  <si>
    <t>DoubleTree by Hilton</t>
  </si>
  <si>
    <t>Recuerdos Tex Mex</t>
  </si>
  <si>
    <t>Community Care</t>
  </si>
  <si>
    <t>Mouton's</t>
  </si>
  <si>
    <t>SHRM</t>
  </si>
  <si>
    <t>Scott G Winter Training &amp; Consulting</t>
  </si>
  <si>
    <t>CVS</t>
  </si>
  <si>
    <t>Hilton</t>
  </si>
  <si>
    <t>Energage, LLC</t>
  </si>
  <si>
    <t>Target Stores</t>
  </si>
  <si>
    <t>HEB</t>
  </si>
  <si>
    <t>Christopher Ryan Meyer</t>
  </si>
  <si>
    <t>Starbucks</t>
  </si>
  <si>
    <t>Tiff Treats</t>
  </si>
  <si>
    <t>2020 Market</t>
  </si>
  <si>
    <t>Blue Corn Harvest</t>
  </si>
  <si>
    <t>BJ's Restaurant</t>
  </si>
  <si>
    <t>ERC</t>
  </si>
  <si>
    <t>Taxi Cab</t>
  </si>
  <si>
    <t>Summer Shack Back Bay</t>
  </si>
  <si>
    <t>Yard House</t>
  </si>
  <si>
    <t>David Arrieta</t>
  </si>
  <si>
    <t>Omni Hotels</t>
  </si>
  <si>
    <t>Marriott</t>
  </si>
  <si>
    <t>Aaron Moore</t>
  </si>
  <si>
    <t>KC McDade</t>
  </si>
  <si>
    <t>Richard Quinlan</t>
  </si>
  <si>
    <t>McKissock</t>
  </si>
  <si>
    <t>Angie Lugo</t>
  </si>
  <si>
    <t>Jamie Radke</t>
  </si>
  <si>
    <t>Sirloin Stockade</t>
  </si>
  <si>
    <t>Digital River</t>
  </si>
  <si>
    <t>Texas A&amp;M AgriLife Extension Service</t>
  </si>
  <si>
    <t>Long Horn Steakhouse</t>
  </si>
  <si>
    <t>Kassandra Pulliam</t>
  </si>
  <si>
    <t>IAAO - Membership</t>
  </si>
  <si>
    <t>Abby Anderson</t>
  </si>
  <si>
    <t>Udemy Online Courses</t>
  </si>
  <si>
    <t>Tien Van</t>
  </si>
  <si>
    <t>Cheddar's</t>
  </si>
  <si>
    <t>Embassy Suites Hotels</t>
  </si>
  <si>
    <t>Rudy's</t>
  </si>
  <si>
    <t>Marriott Courtyard</t>
  </si>
  <si>
    <t>Chili's</t>
  </si>
  <si>
    <t>RTIC.com</t>
  </si>
  <si>
    <t>GTown Cap Co LLC</t>
  </si>
  <si>
    <t>George's</t>
  </si>
  <si>
    <t>IAAO</t>
  </si>
  <si>
    <t>Public Services Dept</t>
  </si>
  <si>
    <t>Baudville</t>
  </si>
  <si>
    <t>Metropolis</t>
  </si>
  <si>
    <t>Larry Sarmiento</t>
  </si>
  <si>
    <t>Austin Second Bar</t>
  </si>
  <si>
    <t>Valerie Brumley</t>
  </si>
  <si>
    <t>Johnny Robins</t>
  </si>
  <si>
    <t>Victor N Longstreth</t>
  </si>
  <si>
    <t>Heather Hayden</t>
  </si>
  <si>
    <t>6210-21 - Refund of overcharge on hotel bill - Johnny Robins</t>
  </si>
  <si>
    <t>6210-27 - Wade Huntsberger</t>
  </si>
  <si>
    <t>6210-27 - state course - meal reimbursement</t>
  </si>
  <si>
    <t>6210-5 - Reimbursement - GIS / Val Tech Conference (parking, meals, uber ride)</t>
  </si>
  <si>
    <t>6210-34 - Jessica Miller</t>
  </si>
  <si>
    <t>6210-34 - Chris Connelly</t>
  </si>
  <si>
    <t>6210-34 - Alvin Lankford</t>
  </si>
  <si>
    <t>6210-17 - TAAD Legistlative Mtg - Lunch</t>
  </si>
  <si>
    <t>6210-17 - TAAD Leg Com Mtg - ARL</t>
  </si>
  <si>
    <t>6210-17 - TAAD leg com mtg - airport to DCAD</t>
  </si>
  <si>
    <t>6210-5 - Reimbursement - GIS / Val Tech Conference (parking, meals, uber ride, lodging)</t>
  </si>
  <si>
    <t>6210-2 - survey renewal</t>
  </si>
  <si>
    <t>6210-27 - USPAP - RQuinlan</t>
  </si>
  <si>
    <t>6210-17 - ARL &amp; LGaddes - presentation to realtors - Lunch</t>
  </si>
  <si>
    <t>6210-17 - Presentation to local legislation on value increases</t>
  </si>
  <si>
    <t>6210-18 - Registration for CBC &amp; CAV</t>
  </si>
  <si>
    <t>6210-18 - reimbursement - continuing education</t>
  </si>
  <si>
    <t>6210-34 - Tyler Connect Dinner - ARL, CBC, JMiller</t>
  </si>
  <si>
    <t>6210-34 - Tyler Connect Breakfast - ARL, CBC, JMiller</t>
  </si>
  <si>
    <t>6210-34 - Tyler connect - ARL, CBC &amp; JMiller</t>
  </si>
  <si>
    <t>6210-34 - Tyler Connect Breakfast - ARL</t>
  </si>
  <si>
    <t>6210-34 - Airport to hotel - Tyler Connect</t>
  </si>
  <si>
    <t>6210-30 - Aaron Moore</t>
  </si>
  <si>
    <t>6210-30 - Angie Lugo</t>
  </si>
  <si>
    <t>6210-30 - Richard Quinlan</t>
  </si>
  <si>
    <t>6210-34 - Tyler Connect - Dinner - ARL, CBC, JMiller</t>
  </si>
  <si>
    <t>6210-34 - hotel to airport - Tyler Connect</t>
  </si>
  <si>
    <t>6210-34 - Tyler Connect Conference - Lunch - ARL, CBC, JMiller</t>
  </si>
  <si>
    <t>6210-34 - Hotel - Tyler Connect - ARL</t>
  </si>
  <si>
    <t>6210-34 - Parking - Tyler Connect - ARL</t>
  </si>
  <si>
    <t>6210-34 - Tyler Connect lodging - CBC</t>
  </si>
  <si>
    <t>6210-34 - Tyler Connect lodging - JMiller</t>
  </si>
  <si>
    <t>6210-33 - Level IV exam</t>
  </si>
  <si>
    <t>6210-17 - Alvin reimbursed the district on 6/3/2022 in cash</t>
  </si>
  <si>
    <t>6210-18 - Mgmt &amp; Leadership skills - MPage</t>
  </si>
  <si>
    <t>6210-32 - License application - BWright</t>
  </si>
  <si>
    <t>6210-8 - Alvin Lankford</t>
  </si>
  <si>
    <t>6210-8 - Chris Connelly</t>
  </si>
  <si>
    <t>6210-8 - Aaron Moore</t>
  </si>
  <si>
    <t>6210-8 - KC McDade</t>
  </si>
  <si>
    <t>6210-18 - stay interviews - KGamboa</t>
  </si>
  <si>
    <t>6210-18 - planning session</t>
  </si>
  <si>
    <t>6210-27 - Laws &amp; Rules Update - JRobins</t>
  </si>
  <si>
    <t>6210-8 - Airlines flight to IAAO Conference Boston - ARL</t>
  </si>
  <si>
    <t>6210-8 - Airlines flight to IAAO Conference Boston - CBC</t>
  </si>
  <si>
    <t>6210-8 - Airlines flight to IAAO Conference Boston - SAM</t>
  </si>
  <si>
    <t>6210-8 - Airlines flight to IAAO Conference Boston - KCM</t>
  </si>
  <si>
    <t>6210-2 - employee survey subscription</t>
  </si>
  <si>
    <t>Field device accessories</t>
  </si>
  <si>
    <t>6210-32 - License renewal - JRobins</t>
  </si>
  <si>
    <t>6210-3 - ERC recognition - KTaylor</t>
  </si>
  <si>
    <t>6210-6 - Mgmt Team bldg</t>
  </si>
  <si>
    <t>6210-32 - License renewal - CRMeyer</t>
  </si>
  <si>
    <t>6210-3 - Christmas party deposit</t>
  </si>
  <si>
    <t>6210-32 - License application - SGregory</t>
  </si>
  <si>
    <t>6210-32 - License application - AAhmad</t>
  </si>
  <si>
    <t>6210-5 - charged one night room - did not cancel in time for the ESRI conference</t>
  </si>
  <si>
    <t>6210-17 - Entity mtg - City of Round Rock - ARL &amp; KGamboa</t>
  </si>
  <si>
    <t>6210-28 - TAAO Conference - Houston - JGriner</t>
  </si>
  <si>
    <t>6210-28 - TAAO Conference - Houston - RQuinlan</t>
  </si>
  <si>
    <t>6210-8 - Airlines - Change in flight - ARL</t>
  </si>
  <si>
    <t>6210-16 - Sam's Club Membership Renewal - reimbursement</t>
  </si>
  <si>
    <t>6210-32 - License renewal - VBrumley</t>
  </si>
  <si>
    <t>6210-32 - License renewal - TVan</t>
  </si>
  <si>
    <t>6210-29 - Alvin Lankford</t>
  </si>
  <si>
    <t>6210-29 - Chris Connelly</t>
  </si>
  <si>
    <t>6210-29 - James Griner</t>
  </si>
  <si>
    <t>6210-29 - Richard Quinlan</t>
  </si>
  <si>
    <t>6210-17 - Entity mtg w/CLE - KGamboa &amp; ARL</t>
  </si>
  <si>
    <t>6210-6 - SHRM Certification renewal fee</t>
  </si>
  <si>
    <t>6210-8 - IAAO Conference Registration reimbursement</t>
  </si>
  <si>
    <t>6210-27 - class</t>
  </si>
  <si>
    <t>6210-27 - Class</t>
  </si>
  <si>
    <t>6210-27 - classes</t>
  </si>
  <si>
    <t>6210-12 - IAAO Course 102 - JMiller</t>
  </si>
  <si>
    <t>6210-3 - gift cards</t>
  </si>
  <si>
    <t>6210-31 - TCDRS Conference - mileage reimbursement</t>
  </si>
  <si>
    <t>6210-27 - PFIA training - Kgamboa</t>
  </si>
  <si>
    <t>6210-27 - Course 7 - print materials fee for class</t>
  </si>
  <si>
    <t>6210-7 - Insights for Small Business</t>
  </si>
  <si>
    <t>6210-3 - gift cards (4)</t>
  </si>
  <si>
    <t>6210-27 - State Course - Reimbursement ~ meal</t>
  </si>
  <si>
    <t>6210-18 - planning session luncheon - dir &amp; mgrs</t>
  </si>
  <si>
    <t>6210-18 - Planning Session Luncheon - Dir &amp; mgrs</t>
  </si>
  <si>
    <t>6210-3 - planning session</t>
  </si>
  <si>
    <t>6210-32 - License renewal</t>
  </si>
  <si>
    <t>6210-8 - Airlines flight to IAAO Conference Boston - chng flights</t>
  </si>
  <si>
    <t>6210-3 - reimburse district for EE recognition</t>
  </si>
  <si>
    <t>6210-8 - IAAO conference - taxi cab - airport to hotel</t>
  </si>
  <si>
    <t>6210-8 - IAAO conference - meal - per diem 4 ee</t>
  </si>
  <si>
    <t>6210-8 - IAAO conference - breakfast - ARL</t>
  </si>
  <si>
    <t>6210-33 - RPA Review - reimbursement meals</t>
  </si>
  <si>
    <t>6210-8 - late cancellation fees</t>
  </si>
  <si>
    <t>6210-8 - late cancellation fee</t>
  </si>
  <si>
    <t>6210-18 - Mgmt Team Building - refund</t>
  </si>
  <si>
    <t>6210-8 - IAAO Conference - hotel to airport - ARL</t>
  </si>
  <si>
    <t>6210-8 - IAAO Conference - Boston - lodging - ARL</t>
  </si>
  <si>
    <t>6210-8 - Reimbursement - IAAO Conference - hotel, parking</t>
  </si>
  <si>
    <t>6210-8 - Reimbursement - IAAO Conference - mileage, meals, parking</t>
  </si>
  <si>
    <t>6210-28 Reimbursement - TAAO Conference - mileage, meals</t>
  </si>
  <si>
    <t>6210-27 - Course 5 - JCR</t>
  </si>
  <si>
    <t>6210-27 - Land &amp; Site Valuation - JERobbins</t>
  </si>
  <si>
    <t>6210-11 - IAAO Course 101 - AUrbanek</t>
  </si>
  <si>
    <t>6210-28 - Reimbursement - lodging &amp; meal - TAAO Conference</t>
  </si>
  <si>
    <t>6210-8 - Reimbursement - IAAO Conference (parking, meals, uber ride)</t>
  </si>
  <si>
    <t>6210-30 - Reimbursement - Legal seminar - hotel, meals</t>
  </si>
  <si>
    <t>6210-19 - Notary licenses &amp; supplies - PJPhung</t>
  </si>
  <si>
    <t>6210-29 - membership - CConnelly</t>
  </si>
  <si>
    <t>6210-29 - membership - ABayler</t>
  </si>
  <si>
    <t>6210-29 - membership - KMcDade</t>
  </si>
  <si>
    <t>6210-29 - membership - SAMoore</t>
  </si>
  <si>
    <t>6210-29 - membership - RQuinlan</t>
  </si>
  <si>
    <t>6210-29 - membership - JMiller</t>
  </si>
  <si>
    <t>6210-27 - Course 7 - print materials fee for class - HAH</t>
  </si>
  <si>
    <t>6210-17 - Airline flights ARL - IAAO Leadership</t>
  </si>
  <si>
    <t>6210-29 - membership - JGriner</t>
  </si>
  <si>
    <t>6210-29 - membership - ALankford</t>
  </si>
  <si>
    <t>6210-8 - lyft ridge - arl</t>
  </si>
  <si>
    <t>6210-27 - State Course</t>
  </si>
  <si>
    <t>6210-27 - certificate for reduce TAAD sponsored state course</t>
  </si>
  <si>
    <t>6210-30 - 2022 Ad Valorem Conference - reimbursement meals, lodging, mileage</t>
  </si>
  <si>
    <t>6210-27 - state course - reimbursement meals</t>
  </si>
  <si>
    <t>6210-27 - USPAP update course</t>
  </si>
  <si>
    <t>6210-17 - Lunch - presenation at Round Rock Noon Kaiwanis - ARL</t>
  </si>
  <si>
    <t>6210-17 - Airlines - ARL midland</t>
  </si>
  <si>
    <t>6210-17 - reimbursed IAAO leadership conf ARL</t>
  </si>
  <si>
    <t>6210-17 - refund</t>
  </si>
  <si>
    <t>6210-15 - learning credits - Michael Page</t>
  </si>
  <si>
    <t>6210-20 - AMoore</t>
  </si>
  <si>
    <t>6210-20 - ALankford</t>
  </si>
  <si>
    <t>6210-20 - JRadke</t>
  </si>
  <si>
    <t>6210-20 - CConnelly</t>
  </si>
  <si>
    <t>6210-20 - KMcDade</t>
  </si>
  <si>
    <t>6210-20 - JRobins</t>
  </si>
  <si>
    <t>6210-20 - VLongstreth</t>
  </si>
  <si>
    <t>6210-27 - TAAD PVS Class - lunch - HH, JER, CBC, CAV, SAM, ARL</t>
  </si>
  <si>
    <t>6210-27 - Course 101 - BWright</t>
  </si>
  <si>
    <t>6210-27 - Course 101 - printed material</t>
  </si>
  <si>
    <t>6210-27 - Course 102 - BWright</t>
  </si>
  <si>
    <t>6210-27 - Course 102 - printed material</t>
  </si>
  <si>
    <t>6210-27 - Course 30 - KPulliam</t>
  </si>
  <si>
    <t>6210-27 - Coure 30 - printed material</t>
  </si>
  <si>
    <t>6210-27 - USPAP - WHuntsberger</t>
  </si>
  <si>
    <t>6210-27 - Ag Use - TVan</t>
  </si>
  <si>
    <t>6210-27 - Wildlife - TVan</t>
  </si>
  <si>
    <t>6210-27 - Course 30 - VVasilev &amp; AAnderson</t>
  </si>
  <si>
    <t>6210-27 - State Course - reimbursement - meals</t>
  </si>
  <si>
    <t>6210-20 - HHayden</t>
  </si>
  <si>
    <t>6210-10 - IAAO Membership - LLippe</t>
  </si>
  <si>
    <t>6210-32 - License application - RJules</t>
  </si>
  <si>
    <t>6210-17 - Early bird check-in fee - ARL</t>
  </si>
  <si>
    <t>6210-18 - MS SQL for beginners - DSmith</t>
  </si>
  <si>
    <t>6210-32 - License renewal - BHarris</t>
  </si>
  <si>
    <t>6210-32 - License renewal - SAMoore</t>
  </si>
  <si>
    <t>6210-32 - License renewal - AMetcalfe</t>
  </si>
  <si>
    <t>6210-32 - License renewal - BMorrison</t>
  </si>
  <si>
    <t>6210-32 - License renewal - KPulliam</t>
  </si>
  <si>
    <t>6210-32 - License renewal - CManas</t>
  </si>
  <si>
    <t>6210-32 - License renewal - VLongstreth</t>
  </si>
  <si>
    <t>6210-18 - MS Power BI Desktop for Business Intelligence - ABayler</t>
  </si>
  <si>
    <t>6210-17 - The Basics &amp; More of Being a Great Leader - CVasquez</t>
  </si>
  <si>
    <t>6210-18 - Conference registration</t>
  </si>
  <si>
    <t>6210-32 - License application - JFarrar</t>
  </si>
  <si>
    <t>6210-18 - Chicago, IL - ZOHO Conference - KCMcDade &amp; ARompala</t>
  </si>
  <si>
    <t>6210-18 - Mgmt &amp; Leadership skills for new Managers &amp; Supervisors</t>
  </si>
  <si>
    <t>6210-17 - TRCA conference dinner</t>
  </si>
  <si>
    <t>6210-11 - seminar - James Griner</t>
  </si>
  <si>
    <t>6210-17 - Lodging - ARL - TRCA Conference San Marcos</t>
  </si>
  <si>
    <t>6210-3 - Thanksgiving Luncheon</t>
  </si>
  <si>
    <t>6210-17 - ARL - Breakfast - Central TX TAAD Chapter Presentation - Wichita Falls</t>
  </si>
  <si>
    <t>6210-17 - ARL - Dinner - Central TX TAAD Chapter Presentation - Wichita Falls</t>
  </si>
  <si>
    <t>6210-3 - Years of Service Awards</t>
  </si>
  <si>
    <t>6210-10 - Membership renewal - Alvin Lankford</t>
  </si>
  <si>
    <t>6210-10 - AAS Designation</t>
  </si>
  <si>
    <t>6210-10 - CAE Designation</t>
  </si>
  <si>
    <t>6210-10 - Membership renewal - Chris Connelly</t>
  </si>
  <si>
    <t>6210-10 - Membership renewal - James Griner</t>
  </si>
  <si>
    <t>6210-10 - CAE Candidacy</t>
  </si>
  <si>
    <t>6210-10 - Membership renewal - KC McDade</t>
  </si>
  <si>
    <t>6210-10 - CMS Designation</t>
  </si>
  <si>
    <t>6210-10 - Membership renewal - Aaron Moore</t>
  </si>
  <si>
    <t>6210-10 - AAS Candidacy</t>
  </si>
  <si>
    <t>6210-10 - Membership renewal - Stephanie Heatley-Dugger</t>
  </si>
  <si>
    <t>6210-10 - Membership renewal - John Robins III</t>
  </si>
  <si>
    <t>6210-10 - RES Designation</t>
  </si>
  <si>
    <t>6210-10 - Membership renewal - Richard Quinlan</t>
  </si>
  <si>
    <t>6210-10 - Membership renewal - Charles Vasquez</t>
  </si>
  <si>
    <t>6210-10 - MAS Candidacy - Charles Vasquez</t>
  </si>
  <si>
    <t>6210-10 - Membership renewal - Amy Urbanek</t>
  </si>
  <si>
    <t>6210-10 - CMS Candidacy - Amy Urbanek</t>
  </si>
  <si>
    <t>6210-12 - Membership renewal - Jessica Miller</t>
  </si>
  <si>
    <t>6210-10 - Membership renewal - Amanda Bayler</t>
  </si>
  <si>
    <t>6210-10 - RES Candidacy - Amanda Bayler</t>
  </si>
  <si>
    <t>6210-10 - Membership renewal - Victor Longstreth</t>
  </si>
  <si>
    <t>6210-10 - RES Candidacy - Victor Longstreth</t>
  </si>
  <si>
    <t>6210-10 - Membership renewal - Jamie Radke</t>
  </si>
  <si>
    <t>6210-10 - Membership - Valerie Brumley</t>
  </si>
  <si>
    <t>6210-10 - Membership - Amber Jones</t>
  </si>
  <si>
    <t>6210-10 - Membership - Heather Hayden - Free membership</t>
  </si>
  <si>
    <t>6210-10 - Membership - Ramon Mata</t>
  </si>
  <si>
    <t>6210-10 - Membership - C Ryan Meyer - Free membership</t>
  </si>
  <si>
    <t>6210-27 - Course 4 - AJones</t>
  </si>
  <si>
    <t>6210-27 - Course 101 - VVasilev</t>
  </si>
  <si>
    <t>6210-27 - Course 4 - LSarmiento</t>
  </si>
  <si>
    <t>6210-27 - Coure 4 - printed material</t>
  </si>
  <si>
    <t>6210-27 - Course 101 - AAnderson</t>
  </si>
  <si>
    <t>6210-27 - Course 101 - KMuniz</t>
  </si>
  <si>
    <t>6210-27 - Course 102 - KMuniz</t>
  </si>
  <si>
    <t>6210-27 - Course 102 - AAnderson</t>
  </si>
  <si>
    <t>6210-27 - Course 102 - VVasilev</t>
  </si>
  <si>
    <t>6210-27 - Course 4 - GGarcia</t>
  </si>
  <si>
    <t>6210-27 - Course 4 - printed material</t>
  </si>
  <si>
    <t>6210-10 - Memership - Amber Metcalfe</t>
  </si>
  <si>
    <t>6210-10 - Membership - Brent Morrison</t>
  </si>
  <si>
    <t>6210-10 - Membership - Carrie Lindquist</t>
  </si>
  <si>
    <t>6210-10 - Membership - Wade Huntsberger</t>
  </si>
  <si>
    <t>6210-3 - family fun night</t>
  </si>
  <si>
    <t>6210-8 - reimbursement</t>
  </si>
  <si>
    <t>6210-17 - reimburse district - personal use</t>
  </si>
  <si>
    <t>6210-17 - reimburse district - personal use lyft</t>
  </si>
  <si>
    <t>6210-3 - Family fun night</t>
  </si>
  <si>
    <t>6210-27 - Course 30 - AAhmad</t>
  </si>
  <si>
    <t>6210-27 - Course 30 - SGregory</t>
  </si>
  <si>
    <t>6210-18 - Reimbursement - ZOHO Creater Conference - lodging, meals, parking</t>
  </si>
  <si>
    <t>6236-1 - board expense</t>
  </si>
  <si>
    <t>6210-3 - YOS &amp; EOY awards</t>
  </si>
  <si>
    <t>6210-27 - webinar</t>
  </si>
  <si>
    <t>6210-9 - legal seminar - 4 employees</t>
  </si>
  <si>
    <t>6210-27 - Course 203 - Appraisal of Real Property (AJones &amp; LSarimento</t>
  </si>
  <si>
    <t>6210-27 - printed materials</t>
  </si>
  <si>
    <t>6210-9 - parking - IAAO legal seminar</t>
  </si>
  <si>
    <t>6210-16 - Sam's Club membership reimbursement</t>
  </si>
  <si>
    <t>6210-27 - course 102 - AAhmad</t>
  </si>
  <si>
    <t>6210-27 - course 101 - AAhmad</t>
  </si>
  <si>
    <t>6210-17 - early bird check-in - ARL</t>
  </si>
  <si>
    <t>6210-33 - Level III exam - Jamie</t>
  </si>
  <si>
    <t>6210-27 - state course</t>
  </si>
  <si>
    <t>6210-30 - Reimbursement - IAAO Legal Seminar - parking</t>
  </si>
  <si>
    <t>6210-27 - Reimbursement Course Meals</t>
  </si>
  <si>
    <t>6210-17 - Parking @ airport - TAAD Midland Mtg - ARL</t>
  </si>
  <si>
    <t>6210-3 - EOY &amp; YOS awards engraving</t>
  </si>
  <si>
    <t>6210-3 - Christmas Party</t>
  </si>
  <si>
    <t>6210-27 - State course - reimbursement meals</t>
  </si>
  <si>
    <t>6210-11 - IAAO - Course 102 - CAV</t>
  </si>
  <si>
    <t>6210-17 - early bird check-in</t>
  </si>
  <si>
    <t>6210-11 - IAAO Course 102 - CVasquez</t>
  </si>
  <si>
    <t>6210-17 - Lunch at the airport before IAAO trip to Kansas</t>
  </si>
  <si>
    <t>6210-17 - earlybird check-in</t>
  </si>
  <si>
    <t>6210-33 - combined level III &amp; IV review course - VBrumley</t>
  </si>
  <si>
    <t>6210-32 - License application - JAHashem</t>
  </si>
  <si>
    <t>6210-20 - Reimbursement - PTI - lodging, meals</t>
  </si>
  <si>
    <t>6210-27 - State Courses - Reimbursement - meals</t>
  </si>
  <si>
    <t>6210-20 - Property Tax Institute - reimbursement - meals (3 employees)</t>
  </si>
  <si>
    <t>6210-20 - Reimbursement - PTI - lodging, mileage, meals</t>
  </si>
  <si>
    <t>6210-20 - PTI - reimbursement meals</t>
  </si>
  <si>
    <t>6210-33 - Class III exam - HMarin</t>
  </si>
  <si>
    <t>6210-20 - Property Tax Institute - Reimbursement - lodging, meals, mileage</t>
  </si>
  <si>
    <t>6210-3 - employee guest fees</t>
  </si>
  <si>
    <t>6210-32 - Duplicate license fee - lost - BWright</t>
  </si>
  <si>
    <t>6210-27 - State Course - Course 32 - AJones</t>
  </si>
  <si>
    <t>6210-32 - License renewal - LPerez</t>
  </si>
  <si>
    <t>6210-32 - License renewal - StephanieHD</t>
  </si>
  <si>
    <t>6210-32 - License renewal - HHayden</t>
  </si>
  <si>
    <t>6210-32 - License renewal - DavidA</t>
  </si>
  <si>
    <t>6210-20 - PTI reimbursement - lodging &amp; meal</t>
  </si>
  <si>
    <t>6210-11 - IAAO course #331 - CVasquez</t>
  </si>
  <si>
    <t>31440423</t>
  </si>
  <si>
    <t>N9389837</t>
  </si>
  <si>
    <t>23AR942713</t>
  </si>
  <si>
    <t>31607426</t>
  </si>
  <si>
    <t>31635971</t>
  </si>
  <si>
    <t>23AR973068</t>
  </si>
  <si>
    <t>31792382</t>
  </si>
  <si>
    <t>N9448724</t>
  </si>
  <si>
    <t>31832077</t>
  </si>
  <si>
    <t>31995535</t>
  </si>
  <si>
    <t>23AR1004428</t>
  </si>
  <si>
    <t>32030148</t>
  </si>
  <si>
    <t>N9520385</t>
  </si>
  <si>
    <t>23AR1036211</t>
  </si>
  <si>
    <t>32194669</t>
  </si>
  <si>
    <t>32232081</t>
  </si>
  <si>
    <t>32383006</t>
  </si>
  <si>
    <t>N9574700</t>
  </si>
  <si>
    <t>23AR1074723</t>
  </si>
  <si>
    <t>32419662</t>
  </si>
  <si>
    <t>23AR1102613</t>
  </si>
  <si>
    <t>32591710</t>
  </si>
  <si>
    <t>32626910</t>
  </si>
  <si>
    <t>N9652265</t>
  </si>
  <si>
    <t>32790595</t>
  </si>
  <si>
    <t>23AR1136662</t>
  </si>
  <si>
    <t>32831272</t>
  </si>
  <si>
    <t>32993548</t>
  </si>
  <si>
    <t>N9712041</t>
  </si>
  <si>
    <t>23AR1175321</t>
  </si>
  <si>
    <t>33028732</t>
  </si>
  <si>
    <t>6210-27 - New Laws &amp; Rules: Special Sessions Update - RQuinlan</t>
  </si>
  <si>
    <t>6210-3 - Team Building Breakfast</t>
  </si>
  <si>
    <t>6210-3 - Engraved Name Plates</t>
  </si>
  <si>
    <t>6210-17 - lodging - ARL</t>
  </si>
  <si>
    <t>6210-35 - Williamson County Growth Summit ~ HHayden, CLindquist &amp; RQuinlan</t>
  </si>
  <si>
    <t>0104757040722</t>
  </si>
  <si>
    <t>0365937041022</t>
  </si>
  <si>
    <t>CD_000388546</t>
  </si>
  <si>
    <t>287230258338X042722</t>
  </si>
  <si>
    <t>I2022050101279</t>
  </si>
  <si>
    <t>05.22</t>
  </si>
  <si>
    <t>042822</t>
  </si>
  <si>
    <t>0104757050722</t>
  </si>
  <si>
    <t>0365937051022</t>
  </si>
  <si>
    <t>CD_000402414</t>
  </si>
  <si>
    <t>287230258338X052722</t>
  </si>
  <si>
    <t>I2022060101278</t>
  </si>
  <si>
    <t>06.2022</t>
  </si>
  <si>
    <t>05302022</t>
  </si>
  <si>
    <t>0104757060722</t>
  </si>
  <si>
    <t>0365937061022</t>
  </si>
  <si>
    <t>CD_000416388</t>
  </si>
  <si>
    <t>06292022</t>
  </si>
  <si>
    <t>287230258338X062722</t>
  </si>
  <si>
    <t>I2022070101275</t>
  </si>
  <si>
    <t>0104757070722</t>
  </si>
  <si>
    <t>0365937071022</t>
  </si>
  <si>
    <t>CD_000430545</t>
  </si>
  <si>
    <t>287230258338X072722</t>
  </si>
  <si>
    <t>I2022080101270</t>
  </si>
  <si>
    <t>071922</t>
  </si>
  <si>
    <t>0104757080722</t>
  </si>
  <si>
    <t>0365937081022</t>
  </si>
  <si>
    <t>CD_000445238</t>
  </si>
  <si>
    <t>287230258338X082722</t>
  </si>
  <si>
    <t>I2022090101270</t>
  </si>
  <si>
    <t>081922</t>
  </si>
  <si>
    <t>0104757090722</t>
  </si>
  <si>
    <t>0365937091022</t>
  </si>
  <si>
    <t>CD_000460589</t>
  </si>
  <si>
    <t>287230258338X092722</t>
  </si>
  <si>
    <t>I2022100101266</t>
  </si>
  <si>
    <t>09192022</t>
  </si>
  <si>
    <t>0104757100722</t>
  </si>
  <si>
    <t>0365937101022</t>
  </si>
  <si>
    <t>293915</t>
  </si>
  <si>
    <t>CD_000476670</t>
  </si>
  <si>
    <t>287230258338X102722</t>
  </si>
  <si>
    <t>11/2022</t>
  </si>
  <si>
    <t>101922</t>
  </si>
  <si>
    <t>0104757110722</t>
  </si>
  <si>
    <t>0365937111022</t>
  </si>
  <si>
    <t>298270</t>
  </si>
  <si>
    <t>CD_000492186</t>
  </si>
  <si>
    <t>287230258338X112722</t>
  </si>
  <si>
    <t>12/2022</t>
  </si>
  <si>
    <t>11.19.2022</t>
  </si>
  <si>
    <t>0104757120722</t>
  </si>
  <si>
    <t>0365937121022</t>
  </si>
  <si>
    <t>303023</t>
  </si>
  <si>
    <t>CD_000507938</t>
  </si>
  <si>
    <t>287230258338X122722</t>
  </si>
  <si>
    <t>12.19.2022</t>
  </si>
  <si>
    <t>Switch, Ltd.</t>
  </si>
  <si>
    <t>Optimum Business</t>
  </si>
  <si>
    <t>Spectrum Enterprise</t>
  </si>
  <si>
    <t>11289</t>
  </si>
  <si>
    <t>18039918</t>
  </si>
  <si>
    <t>18054621</t>
  </si>
  <si>
    <t>WP29961060</t>
  </si>
  <si>
    <t>29573</t>
  </si>
  <si>
    <t>33287</t>
  </si>
  <si>
    <t>11580</t>
  </si>
  <si>
    <t>18070204</t>
  </si>
  <si>
    <t>SRVCE00324898</t>
  </si>
  <si>
    <t>1010</t>
  </si>
  <si>
    <t>433</t>
  </si>
  <si>
    <t>29763</t>
  </si>
  <si>
    <t>18084853</t>
  </si>
  <si>
    <t>57551</t>
  </si>
  <si>
    <t>SCPAY00142081</t>
  </si>
  <si>
    <t>29840</t>
  </si>
  <si>
    <t>11776</t>
  </si>
  <si>
    <t>30124</t>
  </si>
  <si>
    <t>33466</t>
  </si>
  <si>
    <t>1Y7F-FH1R-VWVC</t>
  </si>
  <si>
    <t>6905128</t>
  </si>
  <si>
    <t>1809550</t>
  </si>
  <si>
    <t>18096828</t>
  </si>
  <si>
    <t>SRVCE00327349</t>
  </si>
  <si>
    <t>18101037</t>
  </si>
  <si>
    <t>SRVCE00328062</t>
  </si>
  <si>
    <t>50359050</t>
  </si>
  <si>
    <t>58433</t>
  </si>
  <si>
    <t>SCPAY00142721</t>
  </si>
  <si>
    <t>11999</t>
  </si>
  <si>
    <t>306640383</t>
  </si>
  <si>
    <t>30096</t>
  </si>
  <si>
    <t>FS3980</t>
  </si>
  <si>
    <t>32085</t>
  </si>
  <si>
    <t>SRVCE00329202</t>
  </si>
  <si>
    <t>SRVCE00329231</t>
  </si>
  <si>
    <t>SRVCE00329230</t>
  </si>
  <si>
    <t>2235319</t>
  </si>
  <si>
    <t>32140</t>
  </si>
  <si>
    <t>1FV7-PVPL-PPGW</t>
  </si>
  <si>
    <t>58912</t>
  </si>
  <si>
    <t>SCPAY00143298</t>
  </si>
  <si>
    <t>12249</t>
  </si>
  <si>
    <t>30371</t>
  </si>
  <si>
    <t>6907590</t>
  </si>
  <si>
    <t>18151910</t>
  </si>
  <si>
    <t>59438</t>
  </si>
  <si>
    <t>SRVCE00332440</t>
  </si>
  <si>
    <t>SCPAY00143822</t>
  </si>
  <si>
    <t>12421</t>
  </si>
  <si>
    <t>22-06190</t>
  </si>
  <si>
    <t>30618</t>
  </si>
  <si>
    <t>22-06197</t>
  </si>
  <si>
    <t>SRVCE003333321</t>
  </si>
  <si>
    <t>1419</t>
  </si>
  <si>
    <t>1QK1-PQKP-1JNQ</t>
  </si>
  <si>
    <t>FS5206</t>
  </si>
  <si>
    <t>59895</t>
  </si>
  <si>
    <t>12622</t>
  </si>
  <si>
    <t>30895</t>
  </si>
  <si>
    <t>32607</t>
  </si>
  <si>
    <t>6910177</t>
  </si>
  <si>
    <t>30926</t>
  </si>
  <si>
    <t>32737</t>
  </si>
  <si>
    <t>111183</t>
  </si>
  <si>
    <t>30943</t>
  </si>
  <si>
    <t>SRVCE00336164</t>
  </si>
  <si>
    <t>40338663</t>
  </si>
  <si>
    <t>12663</t>
  </si>
  <si>
    <t>60253</t>
  </si>
  <si>
    <t>18203675</t>
  </si>
  <si>
    <t>2290205</t>
  </si>
  <si>
    <t>12828</t>
  </si>
  <si>
    <t>31005</t>
  </si>
  <si>
    <t>32906</t>
  </si>
  <si>
    <t>31198</t>
  </si>
  <si>
    <t>112256</t>
  </si>
  <si>
    <t>5145674</t>
  </si>
  <si>
    <t>SCPAY00145164</t>
  </si>
  <si>
    <t>112273</t>
  </si>
  <si>
    <t>2245</t>
  </si>
  <si>
    <t>14W4-HY6K-HDJJ</t>
  </si>
  <si>
    <t>677</t>
  </si>
  <si>
    <t>R0086922</t>
  </si>
  <si>
    <t>SRVCE00338573</t>
  </si>
  <si>
    <t>2259</t>
  </si>
  <si>
    <t>60667</t>
  </si>
  <si>
    <t>112354</t>
  </si>
  <si>
    <t>SCPAY00145592</t>
  </si>
  <si>
    <t>13013</t>
  </si>
  <si>
    <t>31183</t>
  </si>
  <si>
    <t>837193</t>
  </si>
  <si>
    <t>6912988</t>
  </si>
  <si>
    <t>61084</t>
  </si>
  <si>
    <t>SCPAY00146108</t>
  </si>
  <si>
    <t>13153</t>
  </si>
  <si>
    <t>31253</t>
  </si>
  <si>
    <t>166Y-NMVG-LNFD</t>
  </si>
  <si>
    <t>837863</t>
  </si>
  <si>
    <t>114G-3Q46-1N6K</t>
  </si>
  <si>
    <t>19Q9-J3JW-1K4Q</t>
  </si>
  <si>
    <t>31271</t>
  </si>
  <si>
    <t>2279</t>
  </si>
  <si>
    <t>6459</t>
  </si>
  <si>
    <t>61489</t>
  </si>
  <si>
    <t>Northstar Fire Protection of Texas, Inc</t>
  </si>
  <si>
    <t>Home Depot</t>
  </si>
  <si>
    <t>Meeks Family Chem-Dry LLC</t>
  </si>
  <si>
    <t>Tex Painting</t>
  </si>
  <si>
    <t>K L Turner Electric Inc</t>
  </si>
  <si>
    <t>TK Elevator Corporation</t>
  </si>
  <si>
    <t>Fox Commercial Services</t>
  </si>
  <si>
    <t>Comp-Utility</t>
  </si>
  <si>
    <t>Glacier X LLC</t>
  </si>
  <si>
    <t>Salt Air &amp; Electrict</t>
  </si>
  <si>
    <t>Russell Glass &amp; Mirror</t>
  </si>
  <si>
    <t>Fox TelPro LLC</t>
  </si>
  <si>
    <t>6225-22 - Alarm repair &amp; maintenance</t>
  </si>
  <si>
    <t>6225-22 - Qtrly alarm monitoring</t>
  </si>
  <si>
    <t>6225-17 - 2x2 Acoustic Ceiling tile 16 pack</t>
  </si>
  <si>
    <t>6225-13 - grounds maintenance - trim trees, haul off debrise, removal &amp; installation of 7 needle...</t>
  </si>
  <si>
    <t>6225-5 - carpet cleaning</t>
  </si>
  <si>
    <t>6225-23 - Stripping/waxing VCT floors</t>
  </si>
  <si>
    <t>6225-20 - stone restoration (Iron/red clay removal)</t>
  </si>
  <si>
    <t>6225-20 - soft washing windows (window cleaning)</t>
  </si>
  <si>
    <t>6225-16 - interior painting of bldg</t>
  </si>
  <si>
    <t>6225-13 - trim trees/raise canopies &amp; haul off debris</t>
  </si>
  <si>
    <t>6225-7 -  electrical work</t>
  </si>
  <si>
    <t>6225-13 - Fuel surcharge for gas over $3.50/gallon</t>
  </si>
  <si>
    <t>6225-14 - irrigation repair &amp; maintenance</t>
  </si>
  <si>
    <t>6225-23 - Lobby tile clean</t>
  </si>
  <si>
    <t>6225-23 - restroom tile clean</t>
  </si>
  <si>
    <t>6225-11 - Annual fire sprinkler inspection</t>
  </si>
  <si>
    <t>6225-17 - DEF Repairs - Alarm system</t>
  </si>
  <si>
    <t>6225-17 - 16 gal wet/dry vac</t>
  </si>
  <si>
    <t>6225-8 elevator annual maintenance</t>
  </si>
  <si>
    <t>6225-8 3% discount for paying in full</t>
  </si>
  <si>
    <t>6225-2 - Building repair &amp; maintenance - HVAC</t>
  </si>
  <si>
    <t>6225-1 - A/C preventive maintenance</t>
  </si>
  <si>
    <t>Assigned Funds - HVAC replacement 1-5 (downstairs appraisal)</t>
  </si>
  <si>
    <t>Assigned Funds - Generator - 50% down per agreement</t>
  </si>
  <si>
    <t>Assigned Funds - Generator - 25% per agreement</t>
  </si>
  <si>
    <t>Assigned Funds - 25% change order #1</t>
  </si>
  <si>
    <t>6225-9 Elevator inspection</t>
  </si>
  <si>
    <t>6225-16 - building repair &amp; maintenance</t>
  </si>
  <si>
    <t>6225-17 Everpure EV961222 I 200 2 Filter Cartridge Part: ?FPS-65583   ASIN: B0045LQD6U</t>
  </si>
  <si>
    <t>6225-17 - Filters for HVAC</t>
  </si>
  <si>
    <t>6225-14 - fire ants treatment</t>
  </si>
  <si>
    <t>Assigned Funds - handyman services - door &amp; wall installation</t>
  </si>
  <si>
    <t>6225-13 - maintenance</t>
  </si>
  <si>
    <t>6225-16 - trip charge to give us a quote</t>
  </si>
  <si>
    <t>6225-5 - Janitorial services - spot clean carpet</t>
  </si>
  <si>
    <t>6225-14 - irrigation repair</t>
  </si>
  <si>
    <t>6225-1 - A/C preventive maintenance air filters</t>
  </si>
  <si>
    <t>Assigned Funds - Lobby check-in area</t>
  </si>
  <si>
    <t>Assigned Funds - handyman services - lobby / horseshoe project</t>
  </si>
  <si>
    <t>6225-17 - waste away paint hardener</t>
  </si>
  <si>
    <t>6225-22 - Annual Alarm Monitoring</t>
  </si>
  <si>
    <t>6225-10 - elevator inspection filing fee</t>
  </si>
  <si>
    <t>6225-4 - Building repair &amp; maintenance</t>
  </si>
  <si>
    <t>6225-16 - Replace employee entrance badge reader</t>
  </si>
  <si>
    <t>6225-1 -  HVAC PM</t>
  </si>
  <si>
    <t>6225-16 -  electrical work</t>
  </si>
  <si>
    <t>6225-16 - relocate existing outlet locations</t>
  </si>
  <si>
    <t>2006 · Credit Card - The Home Depot</t>
  </si>
  <si>
    <t>Glenda Williams</t>
  </si>
  <si>
    <t>60</t>
  </si>
  <si>
    <t>45</t>
  </si>
  <si>
    <t>40005</t>
  </si>
  <si>
    <t>02774G</t>
  </si>
  <si>
    <t>8</t>
  </si>
  <si>
    <t>178329</t>
  </si>
  <si>
    <t>01835E</t>
  </si>
  <si>
    <t>4194307</t>
  </si>
  <si>
    <t>02574E</t>
  </si>
  <si>
    <t>02692E</t>
  </si>
  <si>
    <t>510003</t>
  </si>
  <si>
    <t>1D3D-GKV3-KDTG</t>
  </si>
  <si>
    <t>22075180</t>
  </si>
  <si>
    <t>44</t>
  </si>
  <si>
    <t>V7XHS</t>
  </si>
  <si>
    <t>Grove</t>
  </si>
  <si>
    <t>Jason's Deli</t>
  </si>
  <si>
    <t>Tejas Meat Supply</t>
  </si>
  <si>
    <t>Hope Hisle-Piper</t>
  </si>
  <si>
    <t>6236-1 - Board lunch - ARL, HPope, JLux</t>
  </si>
  <si>
    <t>6236-1 - Board lunch - ARL, MMoser, LWeber</t>
  </si>
  <si>
    <t>6236-1 - Board lunch - ARL, HGibbs</t>
  </si>
  <si>
    <t>6236-1 - Board luncheon - mtg training</t>
  </si>
  <si>
    <t>6236-1 - Board Lunch - ARL, LGaddes</t>
  </si>
  <si>
    <t>6236-1 - TAAD Conference - lodging &amp; mileage reimbursement</t>
  </si>
  <si>
    <t>6236-1 - board pictures</t>
  </si>
  <si>
    <t>6236-1 - board photos</t>
  </si>
  <si>
    <t>6236-1 - Board luncheon - MMason, LWeber &amp; ARL</t>
  </si>
  <si>
    <t>6236-1 - Board luncheon - HGibbs, LGaddes &amp; ARL</t>
  </si>
  <si>
    <t>6236-1 - Frames &amp; name plates for board members</t>
  </si>
  <si>
    <t>6236-1 - Board luncheon - HHPope, JLux &amp; ARL</t>
  </si>
  <si>
    <t>6236-1 - Board luncheon</t>
  </si>
  <si>
    <t>6236-1 - TLO retirement gift</t>
  </si>
  <si>
    <t>6236-1 - TLO - Charley retirement</t>
  </si>
  <si>
    <t>6236-1 - Board lunch - ARL &amp; JLux</t>
  </si>
  <si>
    <t>6236-1 - TLO Retirement</t>
  </si>
  <si>
    <t>427043</t>
  </si>
  <si>
    <t>116024256-1</t>
  </si>
  <si>
    <t>45504</t>
  </si>
  <si>
    <t>428318</t>
  </si>
  <si>
    <t>120049398</t>
  </si>
  <si>
    <t>120081134</t>
  </si>
  <si>
    <t>429583</t>
  </si>
  <si>
    <t>120104709</t>
  </si>
  <si>
    <t>430878</t>
  </si>
  <si>
    <t>57879</t>
  </si>
  <si>
    <t>120120918</t>
  </si>
  <si>
    <t>432154</t>
  </si>
  <si>
    <t>120145343</t>
  </si>
  <si>
    <t>433432</t>
  </si>
  <si>
    <t>INV-Q721287</t>
  </si>
  <si>
    <t>120172100</t>
  </si>
  <si>
    <t>41197</t>
  </si>
  <si>
    <t>434713</t>
  </si>
  <si>
    <t>12012022</t>
  </si>
  <si>
    <t>16583M</t>
  </si>
  <si>
    <t>renewal.202</t>
  </si>
  <si>
    <t>435984</t>
  </si>
  <si>
    <t>Williamson County Sun</t>
  </si>
  <si>
    <t>ConstructConnect</t>
  </si>
  <si>
    <t>6240-17 - Residential appaiser job posting</t>
  </si>
  <si>
    <t>6240-17 - 2022 Advertising Certificate</t>
  </si>
  <si>
    <t>6240-12 - Budget Hearing Ad</t>
  </si>
  <si>
    <t>6240-23 - Publication</t>
  </si>
  <si>
    <t>6240-23 - Property Assessment Valuation - 3rd edition</t>
  </si>
  <si>
    <t>6240-22 - Residential Cost Handbook</t>
  </si>
  <si>
    <t>6240-39 - Subscription</t>
  </si>
  <si>
    <t>6240-5 - publication renewal</t>
  </si>
  <si>
    <t>HFZXZ0</t>
  </si>
  <si>
    <t>1000</t>
  </si>
  <si>
    <t>MANXT0000272</t>
  </si>
  <si>
    <t>04182022</t>
  </si>
  <si>
    <t>04192022</t>
  </si>
  <si>
    <t>682287845</t>
  </si>
  <si>
    <t>1301</t>
  </si>
  <si>
    <t>63293912</t>
  </si>
  <si>
    <t>8680</t>
  </si>
  <si>
    <t>04282022</t>
  </si>
  <si>
    <t>39058</t>
  </si>
  <si>
    <t>0129</t>
  </si>
  <si>
    <t>78014</t>
  </si>
  <si>
    <t>6681</t>
  </si>
  <si>
    <t>6800</t>
  </si>
  <si>
    <t>05102022</t>
  </si>
  <si>
    <t>05112022</t>
  </si>
  <si>
    <t>R325296-2021</t>
  </si>
  <si>
    <t>R492986-21</t>
  </si>
  <si>
    <t>54134051822</t>
  </si>
  <si>
    <t>14677</t>
  </si>
  <si>
    <t>R442401-2021</t>
  </si>
  <si>
    <t>1307</t>
  </si>
  <si>
    <t>8763</t>
  </si>
  <si>
    <t>5351</t>
  </si>
  <si>
    <t>0145</t>
  </si>
  <si>
    <t>78186</t>
  </si>
  <si>
    <t>682572694</t>
  </si>
  <si>
    <t>682571196</t>
  </si>
  <si>
    <t>290692</t>
  </si>
  <si>
    <t>22-14309</t>
  </si>
  <si>
    <t>8836</t>
  </si>
  <si>
    <t>070-107333</t>
  </si>
  <si>
    <t>682732965</t>
  </si>
  <si>
    <t>682744335</t>
  </si>
  <si>
    <t>682751471</t>
  </si>
  <si>
    <t>1311</t>
  </si>
  <si>
    <t>682753057</t>
  </si>
  <si>
    <t>0155</t>
  </si>
  <si>
    <t>39853</t>
  </si>
  <si>
    <t>78383</t>
  </si>
  <si>
    <t>297105</t>
  </si>
  <si>
    <t>54134071322</t>
  </si>
  <si>
    <t>8909</t>
  </si>
  <si>
    <t>0183</t>
  </si>
  <si>
    <t>443595</t>
  </si>
  <si>
    <t>1317</t>
  </si>
  <si>
    <t>14789</t>
  </si>
  <si>
    <t>78536</t>
  </si>
  <si>
    <t>08102022</t>
  </si>
  <si>
    <t>8973</t>
  </si>
  <si>
    <t>445251</t>
  </si>
  <si>
    <t>1322</t>
  </si>
  <si>
    <t>78747</t>
  </si>
  <si>
    <t>EI01364358</t>
  </si>
  <si>
    <t>54134090722</t>
  </si>
  <si>
    <t>TX02-22-1195-001</t>
  </si>
  <si>
    <t>TX02-22-1195-002</t>
  </si>
  <si>
    <t>TX02-22-1195-000</t>
  </si>
  <si>
    <t>TX02-22-1195-003</t>
  </si>
  <si>
    <t>09162022</t>
  </si>
  <si>
    <t>09212022</t>
  </si>
  <si>
    <t>9038</t>
  </si>
  <si>
    <t>MANXT0000258</t>
  </si>
  <si>
    <t>MANXT0000192</t>
  </si>
  <si>
    <t>683322198</t>
  </si>
  <si>
    <t>683327295</t>
  </si>
  <si>
    <t>1325</t>
  </si>
  <si>
    <t>78929</t>
  </si>
  <si>
    <t>72428206</t>
  </si>
  <si>
    <t>683422480</t>
  </si>
  <si>
    <t>683422456</t>
  </si>
  <si>
    <t>683424023</t>
  </si>
  <si>
    <t>683429844</t>
  </si>
  <si>
    <t>22-14432</t>
  </si>
  <si>
    <t>9101</t>
  </si>
  <si>
    <t>1330</t>
  </si>
  <si>
    <t>79148</t>
  </si>
  <si>
    <t>54134110222</t>
  </si>
  <si>
    <t>22-14496</t>
  </si>
  <si>
    <t>TX02-22-1661-00</t>
  </si>
  <si>
    <t>22-14497</t>
  </si>
  <si>
    <t>7796</t>
  </si>
  <si>
    <t>789</t>
  </si>
  <si>
    <t>297858</t>
  </si>
  <si>
    <t>11112022</t>
  </si>
  <si>
    <t>22-14520</t>
  </si>
  <si>
    <t>1106</t>
  </si>
  <si>
    <t>9170</t>
  </si>
  <si>
    <t>1334</t>
  </si>
  <si>
    <t>79386</t>
  </si>
  <si>
    <t>1380798</t>
  </si>
  <si>
    <t>R570268-2022</t>
  </si>
  <si>
    <t>R099974-2022</t>
  </si>
  <si>
    <t>683683893</t>
  </si>
  <si>
    <t>683683599</t>
  </si>
  <si>
    <t>75686748</t>
  </si>
  <si>
    <t>R018730-2022</t>
  </si>
  <si>
    <t>R071267-2022</t>
  </si>
  <si>
    <t>R032411-2022</t>
  </si>
  <si>
    <t>473918</t>
  </si>
  <si>
    <t>12202022</t>
  </si>
  <si>
    <t>22.14553</t>
  </si>
  <si>
    <t>R043122-2022</t>
  </si>
  <si>
    <t>54134122822</t>
  </si>
  <si>
    <t>22-14546</t>
  </si>
  <si>
    <t>298178</t>
  </si>
  <si>
    <t>79602</t>
  </si>
  <si>
    <t>Aumentum Technologies</t>
  </si>
  <si>
    <t>Law Office of Lisa Richardson, PC</t>
  </si>
  <si>
    <t>Drew &amp; McCallum PLLC</t>
  </si>
  <si>
    <t>Betsy Chalmers Farver</t>
  </si>
  <si>
    <t>Gary Voit</t>
  </si>
  <si>
    <t>Courtney Bowie</t>
  </si>
  <si>
    <t>Segal</t>
  </si>
  <si>
    <t>Eide Bailly LLP</t>
  </si>
  <si>
    <t>Pushpin</t>
  </si>
  <si>
    <t>Lexitas</t>
  </si>
  <si>
    <t>Planet Depos</t>
  </si>
  <si>
    <t>6260-7 - refund on background checks</t>
  </si>
  <si>
    <t>6260-4 - MRA Project - 3 hours (March)</t>
  </si>
  <si>
    <t>6260-8 - Mediation - 4 cases</t>
  </si>
  <si>
    <t>6260-8 - Mediation - 3 cases</t>
  </si>
  <si>
    <t>6260-8 - Mediations</t>
  </si>
  <si>
    <t>6260-8 - professional services - March Expenses</t>
  </si>
  <si>
    <t>6260-8 - professional services - March Expenses - exemptions</t>
  </si>
  <si>
    <t>6260-8 - professional services - March Expenses - BOD grievance</t>
  </si>
  <si>
    <t>6260-8 - Mediation - Properties at Plaza Creek LP 20-1528-C26</t>
  </si>
  <si>
    <t>6260-8 - Mediation - Northland Lakeline 19-1231-C395 (2019, 2020)</t>
  </si>
  <si>
    <t>6260-2 - Binding Arbitration 24621A21082 - Sonic - R325296</t>
  </si>
  <si>
    <t>6260-8 - Arbitration - 246-21A21078 - Sonic - R492986</t>
  </si>
  <si>
    <t>6260-2 - Binding arbitration 24621A21083 - Sonic - R442401</t>
  </si>
  <si>
    <t>6260-8 - professional services - April Expenses</t>
  </si>
  <si>
    <t>6260-8 - professional services - April Expenses - ARB matters</t>
  </si>
  <si>
    <t>6260-8 - Legal services - March Expenses</t>
  </si>
  <si>
    <t>6260-7 - Background check - BWright</t>
  </si>
  <si>
    <t>6260-7 - Employment screening - HHawley</t>
  </si>
  <si>
    <t>6260-8 - The Plaza 183 (Synergy) - Cause 19-1522-C26 - 15% expert report</t>
  </si>
  <si>
    <t>6260-8 - professional services - May Expenses</t>
  </si>
  <si>
    <t>6260-7 - Background check - AAHamd</t>
  </si>
  <si>
    <t>6260-7 - background check additional fees - AAhmad</t>
  </si>
  <si>
    <t>6260-7 - background check refund - SGregory</t>
  </si>
  <si>
    <t>6260-7 - Background check - SGregory</t>
  </si>
  <si>
    <t>6260-7 - Background check additional fees - SGregory</t>
  </si>
  <si>
    <t>6260-14 - Survey cards</t>
  </si>
  <si>
    <t>6260-7 - Employment screening - BWright</t>
  </si>
  <si>
    <t>6260-7 - Employment screening - AAhmad</t>
  </si>
  <si>
    <t>6260-7 - Employment screening - SGregory</t>
  </si>
  <si>
    <t>6260-8 - professional services - June Expenses</t>
  </si>
  <si>
    <t>6260-8 - professional services - June Expenses - other</t>
  </si>
  <si>
    <t>6260-5 - market survey</t>
  </si>
  <si>
    <t>6260-8 - Mediation - Austintatious Enterprises LLC (3 cases) TY 2019, 2020, 2021</t>
  </si>
  <si>
    <t>6260-8 - professional services - July Expenses</t>
  </si>
  <si>
    <t>6260-8 - 7 lawsuits filed by WCAD &amp; draft electronic agreement)</t>
  </si>
  <si>
    <t>6260-1 audit 2021</t>
  </si>
  <si>
    <t>6260-8 - Appraisal report - 2020 - Star Ranch Station 19-0990.-C26</t>
  </si>
  <si>
    <t>6260-8 - Appraisal report - 2021 - Star Ranch Station 19-0990.-C26</t>
  </si>
  <si>
    <t>6260-8 - Appraisal report - 2019 - Star Ranch Station 19-0990.-C26</t>
  </si>
  <si>
    <t>6260-8 - Appraisal report - 2022 - Star Ranch Station 19-0990.-C26</t>
  </si>
  <si>
    <t>6260-8 - Mediation - BRI 1869 2018-2021</t>
  </si>
  <si>
    <t>6260-8 - Mediation - Noble Pursuits Austin LLC - 3 cases - TY 2020, 2021, 2022</t>
  </si>
  <si>
    <t>6260-8 - professional services - August Expenses</t>
  </si>
  <si>
    <t>6260-4 - MRA Project - 11.5 hours (Feb 2022)</t>
  </si>
  <si>
    <t>6260-4 - MRA Project - 12 hours (Oct 2020)</t>
  </si>
  <si>
    <t>6260-7 - Background check - RJules</t>
  </si>
  <si>
    <t>6260-7 - Background check additional fees - RJules</t>
  </si>
  <si>
    <t>6260-7 - Background check - JFarrar</t>
  </si>
  <si>
    <t>6260-7 - Background check - CRehmann</t>
  </si>
  <si>
    <t>6260-7 - Background check additional fees - CRehmann</t>
  </si>
  <si>
    <t>6260-7 - Background check additional fees - JFarrar</t>
  </si>
  <si>
    <t>6260-8 - BRI 1869 Parmer LLC - Cause 18-1059-C368 - Equal &amp; Uniform value reports 6 accts 2018 year</t>
  </si>
  <si>
    <t>6260-8 - professional services - September Expenses</t>
  </si>
  <si>
    <t>6260-8 - Kaymac - 2020 Market Report &amp; Review</t>
  </si>
  <si>
    <t>6260-8 - Consultation - PSL LPT Properties 19-1572-C26</t>
  </si>
  <si>
    <t>6260-5 - Power BI 4 hour class training</t>
  </si>
  <si>
    <t>6260-7 - Employment screening - RJules</t>
  </si>
  <si>
    <t>6260-7 - Employment screening - JFarrar</t>
  </si>
  <si>
    <t>6260-7 - Employment screening - CRehmann</t>
  </si>
  <si>
    <t>6260-8 - 12342 Hunters Chase Drive - Appraisal Services</t>
  </si>
  <si>
    <t>6260-5 - Ag change detection (10,528 parcels x 0.35/parcel)</t>
  </si>
  <si>
    <t>6260-8 - exemption issues - Alvin &amp; Charlie Crossfield</t>
  </si>
  <si>
    <t>6260-8 - SOAH</t>
  </si>
  <si>
    <t>6260-2 - Binding Arbitration - 24622A22009 - Ramsey</t>
  </si>
  <si>
    <t>6260-2 - Binding Arbitration - 24622A22013 - P&amp;J Walters Living Trust</t>
  </si>
  <si>
    <t>6260-7 - Background check additional fees - JAHashem</t>
  </si>
  <si>
    <t>6260-7 - Background check - JAHashem</t>
  </si>
  <si>
    <t>6260-2 - Binding Arbitration - 24622A22005 - RCNT LP</t>
  </si>
  <si>
    <t>6260-2 - Binding Arbitration - 24622A22007 - EPR-RAM Inc</t>
  </si>
  <si>
    <t>6260-2 - Binding Arbitration - 24622A22008 - Booth</t>
  </si>
  <si>
    <t>6260-8 - Deposition - Westdale Hunters Chase TX LP</t>
  </si>
  <si>
    <t>6260-8 - Mediation - 10 cases</t>
  </si>
  <si>
    <t>6260-2 - Binding Arbitration - 24622A22016 - Rakavi Properties, LLC</t>
  </si>
  <si>
    <t>6260-7 - Employment screening - JHassem</t>
  </si>
  <si>
    <t>6260-5 - Just Appraised API Endpoint</t>
  </si>
  <si>
    <t>6260-7 - AAhmad</t>
  </si>
  <si>
    <t>6260-8 - Deposition - Cause #20-1670-C26 - Westdale Hunters Chase TX LP</t>
  </si>
  <si>
    <t>6210-17 - lodging</t>
  </si>
  <si>
    <t>17JN-C14H-6RQR</t>
  </si>
  <si>
    <t>23AR921945</t>
  </si>
  <si>
    <t>P1-72376850</t>
  </si>
  <si>
    <t>IN561078</t>
  </si>
  <si>
    <t>05052022</t>
  </si>
  <si>
    <t>23AR950394</t>
  </si>
  <si>
    <t>070-107201</t>
  </si>
  <si>
    <t>06052022</t>
  </si>
  <si>
    <t>23AR983446</t>
  </si>
  <si>
    <t>070522</t>
  </si>
  <si>
    <t>94287076</t>
  </si>
  <si>
    <t>23AR1025048</t>
  </si>
  <si>
    <t>6013222009354</t>
  </si>
  <si>
    <t>08042022</t>
  </si>
  <si>
    <t>23AR1046390</t>
  </si>
  <si>
    <t>SIDMN0001010</t>
  </si>
  <si>
    <t>10001177913</t>
  </si>
  <si>
    <t>070-107589</t>
  </si>
  <si>
    <t>117515</t>
  </si>
  <si>
    <t>23AR1080839</t>
  </si>
  <si>
    <t>5KS58</t>
  </si>
  <si>
    <t>320303</t>
  </si>
  <si>
    <t>23AR1113967</t>
  </si>
  <si>
    <t>11052022</t>
  </si>
  <si>
    <t>P1-78074854</t>
  </si>
  <si>
    <t>23AR1148041</t>
  </si>
  <si>
    <t>1315674088</t>
  </si>
  <si>
    <t>23AR1180323</t>
  </si>
  <si>
    <t>52293597</t>
  </si>
  <si>
    <t>Sidwell, Harris Local Government</t>
  </si>
  <si>
    <t>Intuit</t>
  </si>
  <si>
    <t>Solarwinds ITSM US Inc</t>
  </si>
  <si>
    <t>ESRI, Inc.</t>
  </si>
  <si>
    <t>Presidio Network Solutions</t>
  </si>
  <si>
    <t>6150-9 melE Quiter2Q mini pc for Lobby TV PC</t>
  </si>
  <si>
    <t>6150-6 - display adapter v2,</t>
  </si>
  <si>
    <t>6280-23 - annual subscription</t>
  </si>
  <si>
    <t>6280-26 - software maintenance</t>
  </si>
  <si>
    <t>6280-40 - Orion Field Mobile Maintenance &amp; Support</t>
  </si>
  <si>
    <t>6280-9 - ArcGIS Desktop advanced Concurrent Use Primary Maintenance</t>
  </si>
  <si>
    <t>6280-10 - ArcGIS Desktop Advanced Concurrent Use Secondary Maintenance</t>
  </si>
  <si>
    <t>6280-11 - ArcGIS Desktop Standard Concurrent Use Primary Maintenance</t>
  </si>
  <si>
    <t>6280-12 - ArcGIS Desktop Standard Concurrent Use Secondary Maintenance</t>
  </si>
  <si>
    <t>6280-16 - ArcGIS Spatial Analyst for Desktop Concurrent Use Primary Maintenance</t>
  </si>
  <si>
    <t>6280-17 - ArcGIS 3D Analyst for Desktop Concurrent Use Primary Maintenance</t>
  </si>
  <si>
    <t>6280-18 - ArcGIS Geostatistical Analyst for Desktop Concurrent Use Primary Maintenance</t>
  </si>
  <si>
    <t>6280-13 - ArcGIS Desktop Basic Single Use Primary Maintenance</t>
  </si>
  <si>
    <t>6280-14 - ArcGIS Desktop Basic Single Use Secondary Maintenance</t>
  </si>
  <si>
    <t>6280-19  - ArcGIS Data Reviewer for Desktop Concurrent Use Primary Maintenance</t>
  </si>
  <si>
    <t>6280-21 - ArcGIS Online Creator - Term License (pre 4.4 pricing)</t>
  </si>
  <si>
    <t>6280-9 - ArcGIS Community Analyst Web App Online Term License</t>
  </si>
  <si>
    <t>6280-20 - Insights for ArcGIS in ArcGIS Online Term License</t>
  </si>
  <si>
    <t>6280-15 - ArcGIS Enterprise Standard Up to Four Cores Maintenance</t>
  </si>
  <si>
    <t>6280-6 - Maintenance</t>
  </si>
  <si>
    <t>6280-27 - Map Editor Maintenance</t>
  </si>
  <si>
    <t>6280-23 - QuickBooks Online Advanced</t>
  </si>
  <si>
    <t>6280-32 - TrueRoll Exemption Monitoring year 1 (04/01/2022 - 03/31/2023)</t>
  </si>
  <si>
    <t>Computer Licenses</t>
  </si>
  <si>
    <t>6285-9 Additional Apex 6 licenses</t>
  </si>
  <si>
    <t>6280-23 - maintenance / support</t>
  </si>
  <si>
    <t>2064150084</t>
  </si>
  <si>
    <t>202299129</t>
  </si>
  <si>
    <t>AE005966000</t>
  </si>
  <si>
    <t>6347</t>
  </si>
  <si>
    <t>21325</t>
  </si>
  <si>
    <t>11423</t>
  </si>
  <si>
    <t>68070715</t>
  </si>
  <si>
    <t>68071926</t>
  </si>
  <si>
    <t>22161</t>
  </si>
  <si>
    <t>80830C</t>
  </si>
  <si>
    <t>2202493100</t>
  </si>
  <si>
    <t>11459</t>
  </si>
  <si>
    <t>24183</t>
  </si>
  <si>
    <t>E0200ITCSQ</t>
  </si>
  <si>
    <t>95763B</t>
  </si>
  <si>
    <t>06232022</t>
  </si>
  <si>
    <t>11520</t>
  </si>
  <si>
    <t>24814</t>
  </si>
  <si>
    <t>07142022</t>
  </si>
  <si>
    <t>07182022</t>
  </si>
  <si>
    <t>68302603</t>
  </si>
  <si>
    <t>11573</t>
  </si>
  <si>
    <t>28951</t>
  </si>
  <si>
    <t>11624</t>
  </si>
  <si>
    <t>29517</t>
  </si>
  <si>
    <t>08262022</t>
  </si>
  <si>
    <t>09072022</t>
  </si>
  <si>
    <t>09132022</t>
  </si>
  <si>
    <t>09252022</t>
  </si>
  <si>
    <t>11677</t>
  </si>
  <si>
    <t>30207</t>
  </si>
  <si>
    <t>2345440081</t>
  </si>
  <si>
    <t>11730</t>
  </si>
  <si>
    <t>30786</t>
  </si>
  <si>
    <t>926N61</t>
  </si>
  <si>
    <t>11788</t>
  </si>
  <si>
    <t>22JEW</t>
  </si>
  <si>
    <t>122545</t>
  </si>
  <si>
    <t>31228</t>
  </si>
  <si>
    <t>GSPI-141344</t>
  </si>
  <si>
    <t>Sperry Software, Inc</t>
  </si>
  <si>
    <t>Port 53 Technologies Inc</t>
  </si>
  <si>
    <t>Furios Tech</t>
  </si>
  <si>
    <t>microsoft.com</t>
  </si>
  <si>
    <t>TechSmith</t>
  </si>
  <si>
    <t>Lou Ann Perez</t>
  </si>
  <si>
    <t>AVTech Software</t>
  </si>
  <si>
    <t>6285-4 - Standard UCC SSL up to 5</t>
  </si>
  <si>
    <t>6285-1 - adobe software</t>
  </si>
  <si>
    <t>6285-3 - Umbrella Insights by Cisco - 1 year</t>
  </si>
  <si>
    <t>6285-9 - renamer</t>
  </si>
  <si>
    <t>6285-4 - Standard Wildcard SSL Renewal</t>
  </si>
  <si>
    <t>6285-10 - maintenance</t>
  </si>
  <si>
    <t>6285-10 - refund of sales tax</t>
  </si>
  <si>
    <t>6285-4 - standard SSL renewal</t>
  </si>
  <si>
    <t>6285-4 - Standard SSL renewal</t>
  </si>
  <si>
    <t>6285-5 - computer licenses</t>
  </si>
  <si>
    <t>6285-6 - direct deposit returned</t>
  </si>
  <si>
    <t>6285-4 - standard wildcard ssl renewal</t>
  </si>
  <si>
    <t>6285-16 - Veeam: Suite universal license renewal</t>
  </si>
  <si>
    <t>6285-13 - room alert renewal</t>
  </si>
  <si>
    <t>6285-10 - software</t>
  </si>
  <si>
    <t>6285-17 - Computer Services</t>
  </si>
  <si>
    <t>6290 · Business Insurance</t>
  </si>
  <si>
    <t>Total 6290 · Business Insurance</t>
  </si>
  <si>
    <t>TML Intergovernmental Risk Pool</t>
  </si>
  <si>
    <t>6290-1 - Automobile Liability</t>
  </si>
  <si>
    <t>6290-3 - Errors &amp; Omission</t>
  </si>
  <si>
    <t>6290-4 - General Liability</t>
  </si>
  <si>
    <t>6290-2 - Crime Pub Emp Dis</t>
  </si>
  <si>
    <t>6290-5 - Real &amp; Pers Prop</t>
  </si>
  <si>
    <t>6290-2 - Pre-pymt discount - crime</t>
  </si>
  <si>
    <t>6290-3 - Pre-pymt discount - errors &amp; omissions liability</t>
  </si>
  <si>
    <t>6290-1 - Pre-pymt discount - automobile</t>
  </si>
  <si>
    <t>6290-5 - Pre-pymt discount - real &amp; personal property</t>
  </si>
  <si>
    <t>6290-4 - Pre-pymt discount - general liability</t>
  </si>
  <si>
    <t>10643686471</t>
  </si>
  <si>
    <t>8010-2 Dell PowerEdge R740XD Server</t>
  </si>
  <si>
    <t>6310-2 - ARB Meeting</t>
  </si>
  <si>
    <t>6310-2 - ARB Meeting overpayment...classified wrong on the number of years served</t>
  </si>
  <si>
    <t>1M9V-TTC6-PHM6</t>
  </si>
  <si>
    <t>6320-1 - ARB Supplies</t>
  </si>
  <si>
    <t>6320-1 - misc ARB supplies</t>
  </si>
  <si>
    <t>769278</t>
  </si>
  <si>
    <t>181383</t>
  </si>
  <si>
    <t>181384</t>
  </si>
  <si>
    <t>Print Management Partners</t>
  </si>
  <si>
    <t>JG Media / Community Impact Newspaper</t>
  </si>
  <si>
    <t>6330-2 - NOH letters</t>
  </si>
  <si>
    <t>6330-4 - certified letters</t>
  </si>
  <si>
    <t>6330-2 - audit</t>
  </si>
  <si>
    <t>6330-3 - special 6x9.5 window envelopes</t>
  </si>
  <si>
    <t>6330-2 - ARB determination ltrs</t>
  </si>
  <si>
    <t>6330-7 - ARB Job Ad - RRK</t>
  </si>
  <si>
    <t>6330-7 - ARB Job Ad - PFH</t>
  </si>
  <si>
    <t>6330-7 - ARB Job Ad - GEO</t>
  </si>
  <si>
    <t>5349</t>
  </si>
  <si>
    <t>5471</t>
  </si>
  <si>
    <t>5558</t>
  </si>
  <si>
    <t>6350-2 - ARB workshop</t>
  </si>
  <si>
    <t>6350-1 - Legal services - May Expenses</t>
  </si>
  <si>
    <t>6350-1 - Legal services - July Expenses</t>
  </si>
  <si>
    <t>6110-7 Sokkia Appraisal Tape 100" F/G w/Appraiser's Hook-845174-8ths</t>
  </si>
  <si>
    <t>6110-7 - shipping + tax</t>
  </si>
  <si>
    <t>6330-7 - ARB Job Ad - LCP</t>
  </si>
  <si>
    <t>6330-7 - ARB Job Ad</t>
  </si>
  <si>
    <t>5411</t>
  </si>
  <si>
    <t>6350-1 - ARB legal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</si>
</sst>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"/>
    <numFmt numFmtId="169" formatCode="&quot;$&quot;#,##0.000_);[Red]\(&quot;$&quot;#,##0.000\)"/>
    <numFmt numFmtId="170" formatCode="mm/dd/yyyy"/>
    <numFmt numFmtId="171" formatCode="#,##0.00;\-#,##0.00"/>
    <numFmt numFmtId="172" formatCode="_([$$-409]* #,##0_);_([$$-409]* \(#,##0\);_([$$-409]* &quot;-&quot;??_);_(@_)"/>
    <numFmt numFmtId="173" formatCode="0.0"/>
  </numFmts>
  <fonts count="11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0"/>
      <color rgb="FF4472C4"/>
      <name val="Arial"/>
      <family val="2"/>
    </font>
    <font>
      <b/>
      <sz val="15"/>
      <name val="Calibri"/>
      <family val="2"/>
    </font>
    <font>
      <sz val="11"/>
      <color rgb="FF00B050"/>
      <name val="Calibri"/>
      <family val="2"/>
    </font>
    <font>
      <b/>
      <i/>
      <sz val="8"/>
      <color rgb="FF000000"/>
      <name val="Calibri"/>
      <family val="2"/>
    </font>
    <font>
      <sz val="11"/>
      <color rgb="FF009900"/>
      <name val="Calibri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b/>
      <sz val="8"/>
      <color rgb="FF000000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i/>
      <sz val="8"/>
      <color rgb="FF000000"/>
      <name val="Calibri"/>
      <family val="2"/>
    </font>
    <font>
      <b/>
      <i/>
      <sz val="8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1"/>
      <color rgb="FF4472C4"/>
      <name val="Calibri"/>
      <family val="2"/>
    </font>
    <font>
      <strike/>
      <sz val="11"/>
      <color rgb="FF000000"/>
      <name val="Calibri"/>
      <family val="2"/>
    </font>
    <font>
      <b/>
      <sz val="15"/>
      <color rgb="FFFFFFFF"/>
      <name val="Calibri"/>
      <family val="2"/>
    </font>
    <font>
      <sz val="8"/>
      <name val="Calibri"/>
      <family val="2"/>
    </font>
    <font>
      <strike/>
      <sz val="11"/>
      <name val="Calibri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rgb="FF009900"/>
      <name val="Arial"/>
      <family val="2"/>
    </font>
    <font>
      <b/>
      <i/>
      <sz val="8"/>
      <color rgb="FFFF0000"/>
      <name val="Calibri"/>
      <family val="2"/>
    </font>
    <font>
      <b/>
      <sz val="22"/>
      <color rgb="FF000000"/>
      <name val="Calibri"/>
      <family val="2"/>
    </font>
    <font>
      <i/>
      <sz val="8"/>
      <name val="Calibri"/>
      <family val="2"/>
    </font>
    <font>
      <b/>
      <sz val="11"/>
      <color rgb="FF0099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Calibri"/>
      <family val="2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444444"/>
      <name val="Calibri"/>
      <family val="2"/>
    </font>
    <font>
      <b/>
      <sz val="20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7030A0"/>
      <name val="Calibri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8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99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i/>
      <strike/>
      <sz val="8"/>
      <name val="Calibri"/>
      <family val="2"/>
      <scheme val="minor"/>
    </font>
    <font>
      <i/>
      <sz val="8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name val="Calibri"/>
      <family val="2"/>
    </font>
    <font>
      <b/>
      <i/>
      <sz val="8"/>
      <color rgb="FF44444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2"/>
      <color rgb="FF0099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rgb="FF741B47"/>
      </patternFill>
    </fill>
    <fill>
      <patternFill patternType="solid">
        <fgColor theme="5"/>
        <bgColor rgb="FF5B9BD5"/>
      </patternFill>
    </fill>
    <fill>
      <patternFill patternType="solid">
        <fgColor theme="5" tint="0.79998168889431442"/>
        <bgColor rgb="FF9CC2E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rgb="FF741B47"/>
      </patternFill>
    </fill>
    <fill>
      <patternFill patternType="solid">
        <fgColor theme="9"/>
        <bgColor rgb="FF5B9BD5"/>
      </patternFill>
    </fill>
    <fill>
      <patternFill patternType="solid">
        <fgColor theme="9" tint="0.79998168889431442"/>
        <bgColor rgb="FF9CC2E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AD47"/>
        <bgColor rgb="FF5B9BD5"/>
      </patternFill>
    </fill>
    <fill>
      <patternFill patternType="solid">
        <fgColor theme="9"/>
        <bgColor rgb="FF741B47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2A1C7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rgb="FF000000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9">
    <xf numFmtId="0" fontId="0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3" fillId="0" borderId="7"/>
    <xf numFmtId="44" fontId="13" fillId="0" borderId="7" applyFont="0" applyFill="0" applyBorder="0" applyAlignment="0" applyProtection="0"/>
    <xf numFmtId="0" fontId="13" fillId="0" borderId="7"/>
    <xf numFmtId="0" fontId="73" fillId="0" borderId="7"/>
    <xf numFmtId="0" fontId="74" fillId="0" borderId="0" applyNumberFormat="0" applyFill="0" applyBorder="0" applyAlignment="0" applyProtection="0"/>
  </cellStyleXfs>
  <cellXfs count="987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8" fontId="6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6" fontId="10" fillId="0" borderId="0" xfId="0" applyNumberFormat="1" applyFont="1"/>
    <xf numFmtId="6" fontId="3" fillId="0" borderId="0" xfId="0" applyNumberFormat="1" applyFont="1"/>
    <xf numFmtId="166" fontId="6" fillId="0" borderId="0" xfId="0" applyNumberFormat="1" applyFont="1"/>
    <xf numFmtId="0" fontId="11" fillId="0" borderId="0" xfId="0" applyFont="1"/>
    <xf numFmtId="167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6" fontId="0" fillId="0" borderId="0" xfId="0" applyNumberFormat="1" applyAlignment="1">
      <alignment horizontal="right"/>
    </xf>
    <xf numFmtId="167" fontId="13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10" fontId="10" fillId="0" borderId="0" xfId="0" applyNumberFormat="1" applyFont="1"/>
    <xf numFmtId="0" fontId="15" fillId="0" borderId="0" xfId="0" applyFont="1"/>
    <xf numFmtId="165" fontId="15" fillId="0" borderId="0" xfId="0" applyNumberFormat="1" applyFont="1"/>
    <xf numFmtId="165" fontId="17" fillId="0" borderId="0" xfId="0" applyNumberFormat="1" applyFont="1"/>
    <xf numFmtId="167" fontId="13" fillId="0" borderId="0" xfId="0" applyNumberFormat="1" applyFont="1"/>
    <xf numFmtId="167" fontId="13" fillId="0" borderId="0" xfId="0" applyNumberFormat="1" applyFont="1" applyAlignment="1">
      <alignment horizontal="center"/>
    </xf>
    <xf numFmtId="0" fontId="13" fillId="0" borderId="0" xfId="0" applyFont="1"/>
    <xf numFmtId="6" fontId="13" fillId="0" borderId="0" xfId="0" applyNumberFormat="1" applyFont="1"/>
    <xf numFmtId="0" fontId="18" fillId="0" borderId="0" xfId="0" applyFont="1"/>
    <xf numFmtId="0" fontId="15" fillId="0" borderId="5" xfId="0" applyFont="1" applyBorder="1"/>
    <xf numFmtId="165" fontId="3" fillId="0" borderId="6" xfId="0" applyNumberFormat="1" applyFont="1" applyBorder="1"/>
    <xf numFmtId="165" fontId="15" fillId="0" borderId="6" xfId="0" applyNumberFormat="1" applyFont="1" applyBorder="1"/>
    <xf numFmtId="0" fontId="13" fillId="0" borderId="0" xfId="0" applyFont="1" applyAlignment="1">
      <alignment horizontal="right"/>
    </xf>
    <xf numFmtId="44" fontId="13" fillId="0" borderId="0" xfId="0" applyNumberFormat="1" applyFont="1"/>
    <xf numFmtId="166" fontId="0" fillId="0" borderId="0" xfId="0" applyNumberFormat="1" applyAlignment="1">
      <alignment horizontal="right"/>
    </xf>
    <xf numFmtId="8" fontId="3" fillId="0" borderId="0" xfId="0" applyNumberFormat="1" applyFont="1"/>
    <xf numFmtId="167" fontId="15" fillId="0" borderId="0" xfId="0" applyNumberFormat="1" applyFont="1" applyAlignment="1">
      <alignment horizontal="right"/>
    </xf>
    <xf numFmtId="8" fontId="13" fillId="0" borderId="0" xfId="0" applyNumberFormat="1" applyFont="1"/>
    <xf numFmtId="167" fontId="15" fillId="0" borderId="0" xfId="0" applyNumberFormat="1" applyFont="1" applyAlignment="1">
      <alignment horizontal="center"/>
    </xf>
    <xf numFmtId="6" fontId="16" fillId="0" borderId="0" xfId="0" applyNumberFormat="1" applyFont="1"/>
    <xf numFmtId="8" fontId="0" fillId="0" borderId="0" xfId="0" applyNumberFormat="1" applyAlignment="1">
      <alignment horizontal="right"/>
    </xf>
    <xf numFmtId="6" fontId="15" fillId="0" borderId="0" xfId="0" applyNumberFormat="1" applyFont="1"/>
    <xf numFmtId="8" fontId="21" fillId="0" borderId="0" xfId="0" applyNumberFormat="1" applyFont="1"/>
    <xf numFmtId="0" fontId="23" fillId="0" borderId="0" xfId="0" applyFont="1"/>
    <xf numFmtId="167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167" fontId="25" fillId="0" borderId="0" xfId="0" applyNumberFormat="1" applyFont="1"/>
    <xf numFmtId="1" fontId="3" fillId="0" borderId="0" xfId="0" applyNumberFormat="1" applyFont="1" applyAlignment="1">
      <alignment horizontal="center"/>
    </xf>
    <xf numFmtId="8" fontId="1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8" fontId="0" fillId="0" borderId="0" xfId="0" applyNumberFormat="1"/>
    <xf numFmtId="8" fontId="26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8" fontId="13" fillId="0" borderId="0" xfId="0" applyNumberFormat="1" applyFont="1" applyAlignment="1">
      <alignment horizontal="right"/>
    </xf>
    <xf numFmtId="8" fontId="26" fillId="0" borderId="0" xfId="0" applyNumberFormat="1" applyFont="1"/>
    <xf numFmtId="8" fontId="3" fillId="0" borderId="0" xfId="0" applyNumberFormat="1" applyFont="1" applyAlignment="1">
      <alignment horizontal="right"/>
    </xf>
    <xf numFmtId="0" fontId="27" fillId="0" borderId="0" xfId="0" applyFont="1"/>
    <xf numFmtId="8" fontId="30" fillId="0" borderId="0" xfId="0" applyNumberFormat="1" applyFont="1"/>
    <xf numFmtId="8" fontId="3" fillId="0" borderId="0" xfId="0" applyNumberFormat="1" applyFont="1" applyAlignment="1">
      <alignment vertical="top"/>
    </xf>
    <xf numFmtId="6" fontId="0" fillId="0" borderId="0" xfId="0" applyNumberFormat="1"/>
    <xf numFmtId="167" fontId="22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8" fontId="11" fillId="0" borderId="0" xfId="0" applyNumberFormat="1" applyFont="1"/>
    <xf numFmtId="166" fontId="3" fillId="0" borderId="0" xfId="0" applyNumberFormat="1" applyFont="1" applyAlignment="1">
      <alignment horizontal="right"/>
    </xf>
    <xf numFmtId="8" fontId="14" fillId="0" borderId="0" xfId="0" applyNumberFormat="1" applyFont="1" applyAlignment="1">
      <alignment wrapText="1"/>
    </xf>
    <xf numFmtId="8" fontId="26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right"/>
    </xf>
    <xf numFmtId="8" fontId="11" fillId="0" borderId="0" xfId="0" applyNumberFormat="1" applyFont="1" applyAlignment="1">
      <alignment horizontal="center"/>
    </xf>
    <xf numFmtId="8" fontId="26" fillId="0" borderId="0" xfId="0" applyNumberFormat="1" applyFont="1" applyAlignment="1">
      <alignment horizontal="right" wrapText="1"/>
    </xf>
    <xf numFmtId="1" fontId="26" fillId="0" borderId="0" xfId="0" applyNumberFormat="1" applyFont="1" applyAlignment="1">
      <alignment horizontal="right"/>
    </xf>
    <xf numFmtId="8" fontId="26" fillId="0" borderId="0" xfId="0" applyNumberFormat="1" applyFont="1" applyAlignment="1">
      <alignment vertical="top"/>
    </xf>
    <xf numFmtId="6" fontId="36" fillId="0" borderId="0" xfId="0" applyNumberFormat="1" applyFont="1"/>
    <xf numFmtId="0" fontId="37" fillId="0" borderId="0" xfId="0" applyFont="1"/>
    <xf numFmtId="166" fontId="3" fillId="0" borderId="0" xfId="0" applyNumberFormat="1" applyFont="1"/>
    <xf numFmtId="8" fontId="25" fillId="0" borderId="0" xfId="0" applyNumberFormat="1" applyFont="1" applyAlignment="1">
      <alignment wrapText="1"/>
    </xf>
    <xf numFmtId="8" fontId="35" fillId="0" borderId="0" xfId="0" applyNumberFormat="1" applyFont="1"/>
    <xf numFmtId="44" fontId="0" fillId="0" borderId="0" xfId="0" applyNumberFormat="1"/>
    <xf numFmtId="44" fontId="17" fillId="2" borderId="11" xfId="0" applyNumberFormat="1" applyFont="1" applyFill="1" applyBorder="1"/>
    <xf numFmtId="166" fontId="8" fillId="0" borderId="0" xfId="0" applyNumberFormat="1" applyFont="1"/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6" fontId="16" fillId="0" borderId="10" xfId="0" applyNumberFormat="1" applyFont="1" applyBorder="1"/>
    <xf numFmtId="6" fontId="15" fillId="0" borderId="10" xfId="0" applyNumberFormat="1" applyFont="1" applyBorder="1"/>
    <xf numFmtId="10" fontId="11" fillId="0" borderId="0" xfId="0" applyNumberFormat="1" applyFont="1"/>
    <xf numFmtId="8" fontId="15" fillId="0" borderId="0" xfId="0" applyNumberFormat="1" applyFont="1"/>
    <xf numFmtId="49" fontId="17" fillId="0" borderId="12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 wrapText="1"/>
    </xf>
    <xf numFmtId="49" fontId="0" fillId="0" borderId="0" xfId="0" applyNumberFormat="1"/>
    <xf numFmtId="170" fontId="0" fillId="0" borderId="0" xfId="0" applyNumberFormat="1"/>
    <xf numFmtId="8" fontId="3" fillId="0" borderId="0" xfId="0" applyNumberFormat="1" applyFont="1" applyAlignment="1">
      <alignment wrapText="1"/>
    </xf>
    <xf numFmtId="171" fontId="0" fillId="0" borderId="0" xfId="0" applyNumberFormat="1"/>
    <xf numFmtId="168" fontId="3" fillId="0" borderId="0" xfId="0" applyNumberFormat="1" applyFont="1" applyAlignment="1">
      <alignment horizontal="left"/>
    </xf>
    <xf numFmtId="8" fontId="14" fillId="0" borderId="0" xfId="0" applyNumberFormat="1" applyFont="1"/>
    <xf numFmtId="0" fontId="32" fillId="0" borderId="0" xfId="0" applyFont="1"/>
    <xf numFmtId="8" fontId="17" fillId="0" borderId="0" xfId="0" applyNumberFormat="1" applyFont="1"/>
    <xf numFmtId="8" fontId="3" fillId="0" borderId="0" xfId="0" applyNumberFormat="1" applyFont="1" applyAlignment="1">
      <alignment horizontal="left" wrapText="1"/>
    </xf>
    <xf numFmtId="8" fontId="29" fillId="0" borderId="0" xfId="0" applyNumberFormat="1" applyFont="1" applyAlignment="1">
      <alignment wrapText="1"/>
    </xf>
    <xf numFmtId="8" fontId="10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 wrapText="1"/>
    </xf>
    <xf numFmtId="1" fontId="13" fillId="0" borderId="0" xfId="0" applyNumberFormat="1" applyFont="1"/>
    <xf numFmtId="0" fontId="28" fillId="0" borderId="0" xfId="0" applyFont="1"/>
    <xf numFmtId="8" fontId="29" fillId="0" borderId="0" xfId="0" applyNumberFormat="1" applyFont="1" applyAlignment="1">
      <alignment horizontal="left" wrapText="1"/>
    </xf>
    <xf numFmtId="8" fontId="39" fillId="0" borderId="0" xfId="0" applyNumberFormat="1" applyFont="1" applyAlignment="1">
      <alignment wrapText="1"/>
    </xf>
    <xf numFmtId="8" fontId="22" fillId="0" borderId="0" xfId="0" applyNumberFormat="1" applyFont="1" applyAlignment="1">
      <alignment wrapText="1"/>
    </xf>
    <xf numFmtId="6" fontId="10" fillId="4" borderId="0" xfId="0" applyNumberFormat="1" applyFont="1" applyFill="1"/>
    <xf numFmtId="6" fontId="40" fillId="0" borderId="16" xfId="0" applyNumberFormat="1" applyFont="1" applyBorder="1"/>
    <xf numFmtId="6" fontId="10" fillId="2" borderId="13" xfId="0" applyNumberFormat="1" applyFont="1" applyFill="1" applyBorder="1"/>
    <xf numFmtId="10" fontId="40" fillId="0" borderId="0" xfId="0" applyNumberFormat="1" applyFont="1"/>
    <xf numFmtId="10" fontId="40" fillId="4" borderId="0" xfId="0" applyNumberFormat="1" applyFont="1" applyFill="1"/>
    <xf numFmtId="10" fontId="3" fillId="2" borderId="13" xfId="0" applyNumberFormat="1" applyFont="1" applyFill="1" applyBorder="1"/>
    <xf numFmtId="6" fontId="40" fillId="0" borderId="10" xfId="0" applyNumberFormat="1" applyFont="1" applyBorder="1"/>
    <xf numFmtId="6" fontId="40" fillId="2" borderId="16" xfId="0" applyNumberFormat="1" applyFont="1" applyFill="1" applyBorder="1"/>
    <xf numFmtId="6" fontId="15" fillId="0" borderId="9" xfId="0" applyNumberFormat="1" applyFont="1" applyBorder="1" applyAlignment="1">
      <alignment horizontal="right"/>
    </xf>
    <xf numFmtId="6" fontId="13" fillId="0" borderId="9" xfId="0" applyNumberFormat="1" applyFont="1" applyBorder="1"/>
    <xf numFmtId="6" fontId="15" fillId="2" borderId="11" xfId="0" applyNumberFormat="1" applyFont="1" applyFill="1" applyBorder="1"/>
    <xf numFmtId="8" fontId="14" fillId="4" borderId="0" xfId="0" applyNumberFormat="1" applyFont="1" applyFill="1" applyAlignment="1">
      <alignment wrapText="1"/>
    </xf>
    <xf numFmtId="8" fontId="14" fillId="4" borderId="0" xfId="0" applyNumberFormat="1" applyFont="1" applyFill="1"/>
    <xf numFmtId="8" fontId="43" fillId="0" borderId="0" xfId="0" applyNumberFormat="1" applyFont="1" applyAlignment="1">
      <alignment wrapText="1"/>
    </xf>
    <xf numFmtId="0" fontId="41" fillId="0" borderId="0" xfId="0" applyFont="1"/>
    <xf numFmtId="8" fontId="14" fillId="4" borderId="0" xfId="0" applyNumberFormat="1" applyFont="1" applyFill="1" applyAlignment="1">
      <alignment vertical="center"/>
    </xf>
    <xf numFmtId="165" fontId="0" fillId="0" borderId="16" xfId="0" applyNumberFormat="1" applyBorder="1"/>
    <xf numFmtId="165" fontId="0" fillId="0" borderId="0" xfId="2" applyNumberFormat="1" applyFont="1"/>
    <xf numFmtId="43" fontId="0" fillId="0" borderId="0" xfId="1" applyFont="1"/>
    <xf numFmtId="8" fontId="45" fillId="0" borderId="0" xfId="0" applyNumberFormat="1" applyFont="1"/>
    <xf numFmtId="0" fontId="46" fillId="0" borderId="0" xfId="0" applyFont="1"/>
    <xf numFmtId="0" fontId="48" fillId="0" borderId="0" xfId="0" applyFont="1"/>
    <xf numFmtId="0" fontId="49" fillId="0" borderId="0" xfId="0" applyFont="1"/>
    <xf numFmtId="168" fontId="3" fillId="0" borderId="0" xfId="0" applyNumberFormat="1" applyFont="1" applyAlignment="1">
      <alignment horizontal="left" vertical="top"/>
    </xf>
    <xf numFmtId="0" fontId="42" fillId="0" borderId="0" xfId="0" applyFont="1" applyAlignment="1">
      <alignment wrapText="1"/>
    </xf>
    <xf numFmtId="168" fontId="10" fillId="0" borderId="0" xfId="0" applyNumberFormat="1" applyFont="1" applyAlignment="1">
      <alignment horizontal="left" vertical="top"/>
    </xf>
    <xf numFmtId="168" fontId="0" fillId="0" borderId="0" xfId="0" applyNumberFormat="1"/>
    <xf numFmtId="0" fontId="42" fillId="0" borderId="0" xfId="0" applyFont="1"/>
    <xf numFmtId="8" fontId="14" fillId="4" borderId="7" xfId="0" applyNumberFormat="1" applyFont="1" applyFill="1" applyBorder="1" applyAlignment="1">
      <alignment wrapText="1"/>
    </xf>
    <xf numFmtId="8" fontId="33" fillId="4" borderId="0" xfId="0" applyNumberFormat="1" applyFont="1" applyFill="1"/>
    <xf numFmtId="0" fontId="24" fillId="0" borderId="0" xfId="0" applyFont="1"/>
    <xf numFmtId="8" fontId="13" fillId="0" borderId="8" xfId="0" applyNumberFormat="1" applyFont="1" applyBorder="1"/>
    <xf numFmtId="165" fontId="17" fillId="0" borderId="16" xfId="0" applyNumberFormat="1" applyFont="1" applyBorder="1"/>
    <xf numFmtId="9" fontId="0" fillId="0" borderId="0" xfId="0" applyNumberFormat="1"/>
    <xf numFmtId="164" fontId="0" fillId="0" borderId="0" xfId="3" applyNumberFormat="1" applyFont="1"/>
    <xf numFmtId="164" fontId="0" fillId="0" borderId="0" xfId="0" applyNumberFormat="1"/>
    <xf numFmtId="8" fontId="14" fillId="4" borderId="7" xfId="0" applyNumberFormat="1" applyFont="1" applyFill="1" applyBorder="1"/>
    <xf numFmtId="0" fontId="20" fillId="0" borderId="0" xfId="0" applyFont="1"/>
    <xf numFmtId="8" fontId="14" fillId="0" borderId="7" xfId="0" applyNumberFormat="1" applyFont="1" applyBorder="1" applyAlignment="1">
      <alignment wrapText="1"/>
    </xf>
    <xf numFmtId="8" fontId="14" fillId="2" borderId="7" xfId="0" applyNumberFormat="1" applyFont="1" applyFill="1" applyBorder="1"/>
    <xf numFmtId="8" fontId="14" fillId="0" borderId="7" xfId="0" applyNumberFormat="1" applyFont="1" applyBorder="1"/>
    <xf numFmtId="8" fontId="14" fillId="0" borderId="7" xfId="0" applyNumberFormat="1" applyFont="1" applyBorder="1" applyAlignment="1">
      <alignment vertical="center"/>
    </xf>
    <xf numFmtId="8" fontId="7" fillId="0" borderId="0" xfId="0" applyNumberFormat="1" applyFont="1" applyAlignment="1">
      <alignment wrapText="1"/>
    </xf>
    <xf numFmtId="8" fontId="33" fillId="0" borderId="0" xfId="0" applyNumberFormat="1" applyFont="1" applyAlignment="1">
      <alignment wrapText="1"/>
    </xf>
    <xf numFmtId="8" fontId="33" fillId="0" borderId="0" xfId="0" applyNumberFormat="1" applyFont="1"/>
    <xf numFmtId="8" fontId="33" fillId="2" borderId="7" xfId="0" applyNumberFormat="1" applyFont="1" applyFill="1" applyBorder="1"/>
    <xf numFmtId="165" fontId="0" fillId="4" borderId="7" xfId="0" applyNumberFormat="1" applyFill="1" applyBorder="1"/>
    <xf numFmtId="165" fontId="0" fillId="2" borderId="7" xfId="0" applyNumberFormat="1" applyFill="1" applyBorder="1"/>
    <xf numFmtId="165" fontId="0" fillId="0" borderId="7" xfId="0" applyNumberFormat="1" applyBorder="1"/>
    <xf numFmtId="165" fontId="0" fillId="2" borderId="4" xfId="0" applyNumberFormat="1" applyFill="1" applyBorder="1"/>
    <xf numFmtId="44" fontId="3" fillId="2" borderId="7" xfId="0" applyNumberFormat="1" applyFont="1" applyFill="1" applyBorder="1"/>
    <xf numFmtId="165" fontId="15" fillId="2" borderId="4" xfId="0" applyNumberFormat="1" applyFont="1" applyFill="1" applyBorder="1"/>
    <xf numFmtId="165" fontId="2" fillId="0" borderId="7" xfId="0" applyNumberFormat="1" applyFont="1" applyBorder="1"/>
    <xf numFmtId="165" fontId="3" fillId="0" borderId="16" xfId="0" applyNumberFormat="1" applyFont="1" applyBorder="1"/>
    <xf numFmtId="0" fontId="3" fillId="4" borderId="7" xfId="0" applyFont="1" applyFill="1" applyBorder="1"/>
    <xf numFmtId="165" fontId="3" fillId="4" borderId="7" xfId="0" applyNumberFormat="1" applyFont="1" applyFill="1" applyBorder="1"/>
    <xf numFmtId="10" fontId="8" fillId="4" borderId="7" xfId="0" applyNumberFormat="1" applyFont="1" applyFill="1" applyBorder="1"/>
    <xf numFmtId="10" fontId="8" fillId="0" borderId="7" xfId="0" applyNumberFormat="1" applyFont="1" applyBorder="1"/>
    <xf numFmtId="0" fontId="3" fillId="2" borderId="7" xfId="0" applyFont="1" applyFill="1" applyBorder="1"/>
    <xf numFmtId="165" fontId="3" fillId="2" borderId="7" xfId="0" applyNumberFormat="1" applyFont="1" applyFill="1" applyBorder="1"/>
    <xf numFmtId="0" fontId="3" fillId="0" borderId="7" xfId="0" applyFont="1" applyBorder="1"/>
    <xf numFmtId="165" fontId="3" fillId="0" borderId="7" xfId="0" applyNumberFormat="1" applyFont="1" applyBorder="1"/>
    <xf numFmtId="165" fontId="3" fillId="2" borderId="4" xfId="0" applyNumberFormat="1" applyFont="1" applyFill="1" applyBorder="1"/>
    <xf numFmtId="10" fontId="16" fillId="0" borderId="17" xfId="0" applyNumberFormat="1" applyFont="1" applyBorder="1"/>
    <xf numFmtId="10" fontId="8" fillId="2" borderId="7" xfId="0" applyNumberFormat="1" applyFont="1" applyFill="1" applyBorder="1"/>
    <xf numFmtId="0" fontId="15" fillId="2" borderId="7" xfId="0" applyFont="1" applyFill="1" applyBorder="1"/>
    <xf numFmtId="165" fontId="15" fillId="5" borderId="4" xfId="0" applyNumberFormat="1" applyFont="1" applyFill="1" applyBorder="1"/>
    <xf numFmtId="10" fontId="16" fillId="2" borderId="14" xfId="0" applyNumberFormat="1" applyFont="1" applyFill="1" applyBorder="1"/>
    <xf numFmtId="0" fontId="19" fillId="0" borderId="7" xfId="0" applyFont="1" applyBorder="1"/>
    <xf numFmtId="6" fontId="10" fillId="2" borderId="7" xfId="0" applyNumberFormat="1" applyFont="1" applyFill="1" applyBorder="1"/>
    <xf numFmtId="10" fontId="16" fillId="0" borderId="15" xfId="0" applyNumberFormat="1" applyFont="1" applyBorder="1"/>
    <xf numFmtId="0" fontId="11" fillId="2" borderId="7" xfId="0" applyFont="1" applyFill="1" applyBorder="1"/>
    <xf numFmtId="167" fontId="0" fillId="2" borderId="7" xfId="0" applyNumberFormat="1" applyFill="1" applyBorder="1" applyAlignment="1">
      <alignment horizontal="left"/>
    </xf>
    <xf numFmtId="167" fontId="0" fillId="2" borderId="7" xfId="0" applyNumberFormat="1" applyFill="1" applyBorder="1" applyAlignment="1">
      <alignment horizontal="center"/>
    </xf>
    <xf numFmtId="0" fontId="12" fillId="2" borderId="7" xfId="0" applyFont="1" applyFill="1" applyBorder="1"/>
    <xf numFmtId="167" fontId="0" fillId="2" borderId="7" xfId="0" applyNumberFormat="1" applyFill="1" applyBorder="1"/>
    <xf numFmtId="6" fontId="8" fillId="2" borderId="7" xfId="0" applyNumberFormat="1" applyFont="1" applyFill="1" applyBorder="1"/>
    <xf numFmtId="6" fontId="0" fillId="2" borderId="7" xfId="0" applyNumberFormat="1" applyFill="1" applyBorder="1"/>
    <xf numFmtId="0" fontId="20" fillId="2" borderId="7" xfId="0" applyFont="1" applyFill="1" applyBorder="1"/>
    <xf numFmtId="167" fontId="3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center"/>
    </xf>
    <xf numFmtId="6" fontId="16" fillId="0" borderId="11" xfId="0" applyNumberFormat="1" applyFont="1" applyBorder="1"/>
    <xf numFmtId="6" fontId="15" fillId="0" borderId="11" xfId="0" applyNumberFormat="1" applyFont="1" applyBorder="1"/>
    <xf numFmtId="0" fontId="18" fillId="0" borderId="0" xfId="0" applyFont="1" applyAlignment="1">
      <alignment horizontal="center"/>
    </xf>
    <xf numFmtId="6" fontId="10" fillId="0" borderId="7" xfId="0" applyNumberFormat="1" applyFont="1" applyBorder="1"/>
    <xf numFmtId="167" fontId="42" fillId="2" borderId="7" xfId="0" applyNumberFormat="1" applyFont="1" applyFill="1" applyBorder="1" applyAlignment="1">
      <alignment horizontal="left"/>
    </xf>
    <xf numFmtId="6" fontId="8" fillId="2" borderId="4" xfId="0" applyNumberFormat="1" applyFont="1" applyFill="1" applyBorder="1"/>
    <xf numFmtId="6" fontId="0" fillId="2" borderId="4" xfId="0" applyNumberFormat="1" applyFill="1" applyBorder="1"/>
    <xf numFmtId="6" fontId="40" fillId="0" borderId="7" xfId="0" applyNumberFormat="1" applyFont="1" applyBorder="1"/>
    <xf numFmtId="167" fontId="18" fillId="0" borderId="0" xfId="0" applyNumberFormat="1" applyFont="1"/>
    <xf numFmtId="167" fontId="18" fillId="0" borderId="0" xfId="0" applyNumberFormat="1" applyFont="1" applyAlignment="1">
      <alignment horizontal="center"/>
    </xf>
    <xf numFmtId="0" fontId="0" fillId="2" borderId="7" xfId="0" applyFill="1" applyBorder="1"/>
    <xf numFmtId="6" fontId="3" fillId="2" borderId="7" xfId="0" applyNumberFormat="1" applyFont="1" applyFill="1" applyBorder="1"/>
    <xf numFmtId="0" fontId="9" fillId="2" borderId="7" xfId="0" applyFont="1" applyFill="1" applyBorder="1"/>
    <xf numFmtId="6" fontId="3" fillId="2" borderId="4" xfId="0" applyNumberFormat="1" applyFont="1" applyFill="1" applyBorder="1"/>
    <xf numFmtId="167" fontId="25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center"/>
    </xf>
    <xf numFmtId="6" fontId="15" fillId="2" borderId="7" xfId="0" applyNumberFormat="1" applyFont="1" applyFill="1" applyBorder="1"/>
    <xf numFmtId="167" fontId="34" fillId="0" borderId="0" xfId="0" applyNumberFormat="1" applyFont="1"/>
    <xf numFmtId="165" fontId="15" fillId="0" borderId="11" xfId="0" applyNumberFormat="1" applyFont="1" applyBorder="1"/>
    <xf numFmtId="8" fontId="29" fillId="0" borderId="7" xfId="0" applyNumberFormat="1" applyFon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8" fontId="6" fillId="0" borderId="7" xfId="0" applyNumberFormat="1" applyFont="1" applyBorder="1"/>
    <xf numFmtId="0" fontId="48" fillId="2" borderId="7" xfId="0" applyFont="1" applyFill="1" applyBorder="1"/>
    <xf numFmtId="167" fontId="22" fillId="2" borderId="7" xfId="0" applyNumberFormat="1" applyFont="1" applyFill="1" applyBorder="1"/>
    <xf numFmtId="167" fontId="22" fillId="2" borderId="7" xfId="0" applyNumberFormat="1" applyFont="1" applyFill="1" applyBorder="1" applyAlignment="1">
      <alignment horizontal="center"/>
    </xf>
    <xf numFmtId="10" fontId="10" fillId="2" borderId="7" xfId="0" applyNumberFormat="1" applyFont="1" applyFill="1" applyBorder="1"/>
    <xf numFmtId="168" fontId="16" fillId="2" borderId="7" xfId="0" applyNumberFormat="1" applyFont="1" applyFill="1" applyBorder="1" applyAlignment="1">
      <alignment horizontal="right"/>
    </xf>
    <xf numFmtId="6" fontId="15" fillId="2" borderId="7" xfId="0" applyNumberFormat="1" applyFont="1" applyFill="1" applyBorder="1" applyAlignment="1">
      <alignment horizontal="right"/>
    </xf>
    <xf numFmtId="168" fontId="16" fillId="0" borderId="11" xfId="0" applyNumberFormat="1" applyFont="1" applyBorder="1" applyAlignment="1">
      <alignment horizontal="right"/>
    </xf>
    <xf numFmtId="167" fontId="22" fillId="0" borderId="0" xfId="0" applyNumberFormat="1" applyFont="1"/>
    <xf numFmtId="8" fontId="11" fillId="2" borderId="7" xfId="0" applyNumberFormat="1" applyFont="1" applyFill="1" applyBorder="1"/>
    <xf numFmtId="6" fontId="13" fillId="2" borderId="7" xfId="0" applyNumberFormat="1" applyFont="1" applyFill="1" applyBorder="1"/>
    <xf numFmtId="8" fontId="11" fillId="2" borderId="7" xfId="0" applyNumberFormat="1" applyFont="1" applyFill="1" applyBorder="1" applyAlignment="1">
      <alignment horizontal="center"/>
    </xf>
    <xf numFmtId="6" fontId="26" fillId="0" borderId="11" xfId="0" applyNumberFormat="1" applyFont="1" applyBorder="1"/>
    <xf numFmtId="0" fontId="11" fillId="2" borderId="7" xfId="0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right"/>
    </xf>
    <xf numFmtId="167" fontId="14" fillId="2" borderId="7" xfId="0" applyNumberFormat="1" applyFont="1" applyFill="1" applyBorder="1" applyAlignment="1">
      <alignment horizontal="center"/>
    </xf>
    <xf numFmtId="167" fontId="18" fillId="0" borderId="0" xfId="0" applyNumberFormat="1" applyFont="1" applyAlignment="1">
      <alignment horizontal="left"/>
    </xf>
    <xf numFmtId="10" fontId="3" fillId="2" borderId="4" xfId="0" applyNumberFormat="1" applyFont="1" applyFill="1" applyBorder="1"/>
    <xf numFmtId="10" fontId="0" fillId="2" borderId="4" xfId="0" applyNumberFormat="1" applyFill="1" applyBorder="1"/>
    <xf numFmtId="5" fontId="3" fillId="0" borderId="7" xfId="0" applyNumberFormat="1" applyFont="1" applyBorder="1"/>
    <xf numFmtId="166" fontId="16" fillId="0" borderId="11" xfId="0" applyNumberFormat="1" applyFont="1" applyBorder="1"/>
    <xf numFmtId="10" fontId="15" fillId="0" borderId="0" xfId="0" applyNumberFormat="1" applyFont="1" applyAlignment="1">
      <alignment horizontal="right"/>
    </xf>
    <xf numFmtId="8" fontId="29" fillId="3" borderId="7" xfId="0" applyNumberFormat="1" applyFont="1" applyFill="1" applyBorder="1" applyAlignment="1">
      <alignment horizontal="left" wrapText="1"/>
    </xf>
    <xf numFmtId="8" fontId="7" fillId="3" borderId="7" xfId="0" applyNumberFormat="1" applyFont="1" applyFill="1" applyBorder="1" applyAlignment="1">
      <alignment horizontal="left" wrapText="1"/>
    </xf>
    <xf numFmtId="0" fontId="0" fillId="3" borderId="7" xfId="0" applyFill="1" applyBorder="1"/>
    <xf numFmtId="168" fontId="0" fillId="0" borderId="7" xfId="0" applyNumberFormat="1" applyBorder="1"/>
    <xf numFmtId="8" fontId="43" fillId="2" borderId="7" xfId="0" applyNumberFormat="1" applyFont="1" applyFill="1" applyBorder="1"/>
    <xf numFmtId="10" fontId="3" fillId="0" borderId="0" xfId="0" applyNumberFormat="1" applyFont="1" applyAlignment="1">
      <alignment horizontal="right"/>
    </xf>
    <xf numFmtId="8" fontId="14" fillId="6" borderId="7" xfId="0" applyNumberFormat="1" applyFont="1" applyFill="1" applyBorder="1"/>
    <xf numFmtId="8" fontId="14" fillId="6" borderId="7" xfId="0" applyNumberFormat="1" applyFont="1" applyFill="1" applyBorder="1" applyAlignment="1">
      <alignment wrapText="1"/>
    </xf>
    <xf numFmtId="8" fontId="14" fillId="6" borderId="0" xfId="0" applyNumberFormat="1" applyFont="1" applyFill="1"/>
    <xf numFmtId="8" fontId="15" fillId="0" borderId="7" xfId="0" applyNumberFormat="1" applyFont="1" applyBorder="1"/>
    <xf numFmtId="8" fontId="17" fillId="0" borderId="7" xfId="0" applyNumberFormat="1" applyFont="1" applyBorder="1"/>
    <xf numFmtId="8" fontId="14" fillId="0" borderId="7" xfId="0" applyNumberFormat="1" applyFont="1" applyBorder="1" applyAlignment="1">
      <alignment horizontal="left" wrapText="1"/>
    </xf>
    <xf numFmtId="8" fontId="14" fillId="4" borderId="7" xfId="0" applyNumberFormat="1" applyFont="1" applyFill="1" applyBorder="1" applyAlignment="1">
      <alignment horizontal="left" wrapText="1"/>
    </xf>
    <xf numFmtId="168" fontId="0" fillId="0" borderId="0" xfId="0" applyNumberFormat="1" applyAlignment="1">
      <alignment horizontal="left"/>
    </xf>
    <xf numFmtId="0" fontId="3" fillId="8" borderId="7" xfId="0" applyFont="1" applyFill="1" applyBorder="1"/>
    <xf numFmtId="165" fontId="55" fillId="8" borderId="7" xfId="0" applyNumberFormat="1" applyFont="1" applyFill="1" applyBorder="1"/>
    <xf numFmtId="165" fontId="55" fillId="8" borderId="7" xfId="2" applyNumberFormat="1" applyFont="1" applyFill="1" applyBorder="1"/>
    <xf numFmtId="165" fontId="55" fillId="0" borderId="7" xfId="0" applyNumberFormat="1" applyFont="1" applyBorder="1"/>
    <xf numFmtId="165" fontId="55" fillId="0" borderId="7" xfId="2" applyNumberFormat="1" applyFont="1" applyBorder="1"/>
    <xf numFmtId="44" fontId="3" fillId="8" borderId="7" xfId="0" applyNumberFormat="1" applyFont="1" applyFill="1" applyBorder="1"/>
    <xf numFmtId="165" fontId="56" fillId="0" borderId="9" xfId="0" applyNumberFormat="1" applyFont="1" applyBorder="1"/>
    <xf numFmtId="165" fontId="56" fillId="0" borderId="17" xfId="2" applyNumberFormat="1" applyFont="1" applyBorder="1"/>
    <xf numFmtId="165" fontId="2" fillId="0" borderId="9" xfId="0" applyNumberFormat="1" applyFont="1" applyBorder="1"/>
    <xf numFmtId="165" fontId="55" fillId="0" borderId="17" xfId="2" applyNumberFormat="1" applyFont="1" applyBorder="1"/>
    <xf numFmtId="165" fontId="55" fillId="0" borderId="7" xfId="2" applyNumberFormat="1" applyFont="1" applyFill="1" applyBorder="1"/>
    <xf numFmtId="165" fontId="55" fillId="4" borderId="7" xfId="0" applyNumberFormat="1" applyFont="1" applyFill="1" applyBorder="1"/>
    <xf numFmtId="165" fontId="55" fillId="4" borderId="7" xfId="2" applyNumberFormat="1" applyFont="1" applyFill="1" applyBorder="1"/>
    <xf numFmtId="0" fontId="3" fillId="4" borderId="19" xfId="0" applyFont="1" applyFill="1" applyBorder="1"/>
    <xf numFmtId="165" fontId="55" fillId="4" borderId="19" xfId="0" applyNumberFormat="1" applyFont="1" applyFill="1" applyBorder="1"/>
    <xf numFmtId="165" fontId="55" fillId="4" borderId="19" xfId="2" applyNumberFormat="1" applyFont="1" applyFill="1" applyBorder="1"/>
    <xf numFmtId="165" fontId="0" fillId="0" borderId="4" xfId="0" applyNumberFormat="1" applyBorder="1"/>
    <xf numFmtId="165" fontId="3" fillId="0" borderId="4" xfId="0" applyNumberFormat="1" applyFont="1" applyBorder="1"/>
    <xf numFmtId="165" fontId="0" fillId="0" borderId="0" xfId="2" applyNumberFormat="1" applyFont="1" applyFill="1"/>
    <xf numFmtId="164" fontId="0" fillId="0" borderId="0" xfId="3" applyNumberFormat="1" applyFont="1" applyFill="1"/>
    <xf numFmtId="0" fontId="3" fillId="5" borderId="7" xfId="0" applyFont="1" applyFill="1" applyBorder="1"/>
    <xf numFmtId="165" fontId="0" fillId="5" borderId="7" xfId="0" applyNumberFormat="1" applyFill="1" applyBorder="1"/>
    <xf numFmtId="165" fontId="3" fillId="5" borderId="7" xfId="0" applyNumberFormat="1" applyFont="1" applyFill="1" applyBorder="1"/>
    <xf numFmtId="0" fontId="20" fillId="0" borderId="7" xfId="0" applyFont="1" applyBorder="1" applyAlignment="1">
      <alignment wrapText="1"/>
    </xf>
    <xf numFmtId="6" fontId="8" fillId="0" borderId="0" xfId="0" applyNumberFormat="1" applyFont="1"/>
    <xf numFmtId="0" fontId="51" fillId="5" borderId="7" xfId="0" applyFont="1" applyFill="1" applyBorder="1"/>
    <xf numFmtId="167" fontId="42" fillId="5" borderId="7" xfId="0" applyNumberFormat="1" applyFont="1" applyFill="1" applyBorder="1" applyAlignment="1">
      <alignment horizontal="left"/>
    </xf>
    <xf numFmtId="167" fontId="0" fillId="5" borderId="7" xfId="0" applyNumberFormat="1" applyFill="1" applyBorder="1" applyAlignment="1">
      <alignment horizontal="center"/>
    </xf>
    <xf numFmtId="167" fontId="0" fillId="5" borderId="7" xfId="0" applyNumberFormat="1" applyFill="1" applyBorder="1" applyAlignment="1">
      <alignment horizontal="left"/>
    </xf>
    <xf numFmtId="6" fontId="8" fillId="5" borderId="7" xfId="0" applyNumberFormat="1" applyFont="1" applyFill="1" applyBorder="1" applyAlignment="1">
      <alignment horizontal="right"/>
    </xf>
    <xf numFmtId="6" fontId="0" fillId="5" borderId="7" xfId="0" applyNumberFormat="1" applyFill="1" applyBorder="1" applyAlignment="1">
      <alignment horizontal="right"/>
    </xf>
    <xf numFmtId="0" fontId="20" fillId="5" borderId="7" xfId="0" applyFont="1" applyFill="1" applyBorder="1"/>
    <xf numFmtId="6" fontId="10" fillId="5" borderId="7" xfId="0" applyNumberFormat="1" applyFont="1" applyFill="1" applyBorder="1"/>
    <xf numFmtId="6" fontId="0" fillId="5" borderId="7" xfId="0" applyNumberFormat="1" applyFill="1" applyBorder="1"/>
    <xf numFmtId="0" fontId="47" fillId="5" borderId="7" xfId="0" applyFont="1" applyFill="1" applyBorder="1"/>
    <xf numFmtId="0" fontId="0" fillId="5" borderId="7" xfId="0" applyFill="1" applyBorder="1"/>
    <xf numFmtId="6" fontId="10" fillId="5" borderId="13" xfId="0" applyNumberFormat="1" applyFont="1" applyFill="1" applyBorder="1"/>
    <xf numFmtId="6" fontId="3" fillId="5" borderId="4" xfId="0" applyNumberFormat="1" applyFont="1" applyFill="1" applyBorder="1"/>
    <xf numFmtId="0" fontId="52" fillId="4" borderId="0" xfId="0" applyFont="1" applyFill="1"/>
    <xf numFmtId="8" fontId="14" fillId="5" borderId="7" xfId="0" applyNumberFormat="1" applyFont="1" applyFill="1" applyBorder="1"/>
    <xf numFmtId="8" fontId="14" fillId="0" borderId="0" xfId="0" applyNumberFormat="1" applyFont="1" applyAlignment="1">
      <alignment horizontal="left" wrapText="1"/>
    </xf>
    <xf numFmtId="8" fontId="33" fillId="5" borderId="7" xfId="0" applyNumberFormat="1" applyFont="1" applyFill="1" applyBorder="1"/>
    <xf numFmtId="0" fontId="0" fillId="0" borderId="20" xfId="0" applyBorder="1"/>
    <xf numFmtId="168" fontId="0" fillId="0" borderId="21" xfId="0" applyNumberFormat="1" applyBorder="1"/>
    <xf numFmtId="9" fontId="0" fillId="0" borderId="22" xfId="0" applyNumberFormat="1" applyBorder="1"/>
    <xf numFmtId="0" fontId="0" fillId="2" borderId="20" xfId="0" applyFill="1" applyBorder="1"/>
    <xf numFmtId="168" fontId="0" fillId="2" borderId="21" xfId="0" applyNumberFormat="1" applyFill="1" applyBorder="1"/>
    <xf numFmtId="9" fontId="0" fillId="2" borderId="22" xfId="0" applyNumberFormat="1" applyFill="1" applyBorder="1"/>
    <xf numFmtId="0" fontId="0" fillId="4" borderId="23" xfId="0" applyFill="1" applyBorder="1"/>
    <xf numFmtId="168" fontId="0" fillId="4" borderId="19" xfId="0" applyNumberFormat="1" applyFill="1" applyBorder="1"/>
    <xf numFmtId="9" fontId="0" fillId="4" borderId="24" xfId="0" applyNumberFormat="1" applyFill="1" applyBorder="1"/>
    <xf numFmtId="168" fontId="17" fillId="0" borderId="26" xfId="0" applyNumberFormat="1" applyFont="1" applyBorder="1"/>
    <xf numFmtId="9" fontId="17" fillId="0" borderId="27" xfId="0" applyNumberFormat="1" applyFont="1" applyBorder="1"/>
    <xf numFmtId="0" fontId="17" fillId="0" borderId="25" xfId="0" applyFont="1" applyBorder="1" applyAlignment="1">
      <alignment horizontal="right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right"/>
    </xf>
    <xf numFmtId="166" fontId="0" fillId="0" borderId="7" xfId="0" applyNumberFormat="1" applyBorder="1"/>
    <xf numFmtId="8" fontId="4" fillId="10" borderId="7" xfId="0" applyNumberFormat="1" applyFont="1" applyFill="1" applyBorder="1" applyAlignment="1">
      <alignment horizontal="center"/>
    </xf>
    <xf numFmtId="8" fontId="4" fillId="10" borderId="7" xfId="0" applyNumberFormat="1" applyFont="1" applyFill="1" applyBorder="1" applyAlignment="1">
      <alignment horizontal="center" wrapText="1"/>
    </xf>
    <xf numFmtId="8" fontId="14" fillId="0" borderId="0" xfId="0" applyNumberFormat="1" applyFont="1" applyAlignment="1">
      <alignment vertical="center"/>
    </xf>
    <xf numFmtId="0" fontId="5" fillId="10" borderId="7" xfId="0" applyFont="1" applyFill="1" applyBorder="1"/>
    <xf numFmtId="167" fontId="25" fillId="0" borderId="7" xfId="0" applyNumberFormat="1" applyFont="1" applyBorder="1"/>
    <xf numFmtId="167" fontId="3" fillId="0" borderId="7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center"/>
    </xf>
    <xf numFmtId="6" fontId="10" fillId="0" borderId="13" xfId="0" applyNumberFormat="1" applyFont="1" applyBorder="1"/>
    <xf numFmtId="6" fontId="15" fillId="0" borderId="13" xfId="0" applyNumberFormat="1" applyFont="1" applyBorder="1"/>
    <xf numFmtId="6" fontId="3" fillId="0" borderId="13" xfId="0" applyNumberFormat="1" applyFont="1" applyBorder="1"/>
    <xf numFmtId="0" fontId="1" fillId="10" borderId="1" xfId="0" applyFont="1" applyFill="1" applyBorder="1" applyAlignment="1">
      <alignment horizontal="center"/>
    </xf>
    <xf numFmtId="44" fontId="1" fillId="10" borderId="2" xfId="0" applyNumberFormat="1" applyFont="1" applyFill="1" applyBorder="1" applyAlignment="1">
      <alignment horizontal="center" wrapText="1"/>
    </xf>
    <xf numFmtId="164" fontId="1" fillId="10" borderId="3" xfId="0" applyNumberFormat="1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44" fontId="1" fillId="10" borderId="19" xfId="0" applyNumberFormat="1" applyFont="1" applyFill="1" applyBorder="1" applyAlignment="1">
      <alignment horizontal="center" wrapText="1"/>
    </xf>
    <xf numFmtId="0" fontId="54" fillId="13" borderId="19" xfId="0" applyFont="1" applyFill="1" applyBorder="1" applyAlignment="1">
      <alignment horizontal="center"/>
    </xf>
    <xf numFmtId="168" fontId="42" fillId="0" borderId="0" xfId="0" applyNumberFormat="1" applyFont="1" applyAlignment="1">
      <alignment horizontal="left"/>
    </xf>
    <xf numFmtId="168" fontId="57" fillId="0" borderId="0" xfId="0" applyNumberFormat="1" applyFont="1" applyAlignment="1">
      <alignment horizontal="left"/>
    </xf>
    <xf numFmtId="0" fontId="57" fillId="0" borderId="0" xfId="0" applyFont="1"/>
    <xf numFmtId="0" fontId="58" fillId="0" borderId="0" xfId="0" applyFont="1"/>
    <xf numFmtId="8" fontId="14" fillId="6" borderId="0" xfId="0" applyNumberFormat="1" applyFont="1" applyFill="1" applyAlignment="1">
      <alignment wrapText="1"/>
    </xf>
    <xf numFmtId="10" fontId="55" fillId="4" borderId="19" xfId="3" applyNumberFormat="1" applyFont="1" applyFill="1" applyBorder="1"/>
    <xf numFmtId="10" fontId="55" fillId="0" borderId="7" xfId="3" applyNumberFormat="1" applyFont="1" applyFill="1" applyBorder="1"/>
    <xf numFmtId="10" fontId="55" fillId="4" borderId="7" xfId="3" applyNumberFormat="1" applyFont="1" applyFill="1" applyBorder="1"/>
    <xf numFmtId="10" fontId="55" fillId="4" borderId="13" xfId="3" applyNumberFormat="1" applyFont="1" applyFill="1" applyBorder="1"/>
    <xf numFmtId="10" fontId="55" fillId="0" borderId="17" xfId="3" applyNumberFormat="1" applyFont="1" applyBorder="1"/>
    <xf numFmtId="10" fontId="3" fillId="8" borderId="7" xfId="3" applyNumberFormat="1" applyFont="1" applyFill="1" applyBorder="1"/>
    <xf numFmtId="10" fontId="55" fillId="0" borderId="0" xfId="3" applyNumberFormat="1" applyFont="1" applyFill="1"/>
    <xf numFmtId="10" fontId="55" fillId="0" borderId="18" xfId="3" applyNumberFormat="1" applyFont="1" applyBorder="1"/>
    <xf numFmtId="10" fontId="55" fillId="8" borderId="7" xfId="3" applyNumberFormat="1" applyFont="1" applyFill="1" applyBorder="1"/>
    <xf numFmtId="10" fontId="55" fillId="0" borderId="7" xfId="3" applyNumberFormat="1" applyFont="1" applyBorder="1"/>
    <xf numFmtId="10" fontId="55" fillId="8" borderId="0" xfId="3" applyNumberFormat="1" applyFont="1" applyFill="1"/>
    <xf numFmtId="168" fontId="2" fillId="0" borderId="0" xfId="0" applyNumberFormat="1" applyFont="1" applyAlignment="1">
      <alignment horizontal="left"/>
    </xf>
    <xf numFmtId="9" fontId="6" fillId="0" borderId="0" xfId="0" applyNumberFormat="1" applyFont="1" applyAlignment="1">
      <alignment horizontal="left"/>
    </xf>
    <xf numFmtId="8" fontId="14" fillId="6" borderId="7" xfId="0" applyNumberFormat="1" applyFont="1" applyFill="1" applyBorder="1" applyAlignment="1">
      <alignment horizontal="left" wrapText="1"/>
    </xf>
    <xf numFmtId="172" fontId="0" fillId="0" borderId="0" xfId="0" applyNumberFormat="1"/>
    <xf numFmtId="0" fontId="17" fillId="0" borderId="0" xfId="0" applyFont="1" applyAlignment="1">
      <alignment horizontal="center"/>
    </xf>
    <xf numFmtId="8" fontId="60" fillId="2" borderId="7" xfId="0" applyNumberFormat="1" applyFont="1" applyFill="1" applyBorder="1"/>
    <xf numFmtId="8" fontId="60" fillId="0" borderId="0" xfId="0" applyNumberFormat="1" applyFont="1"/>
    <xf numFmtId="0" fontId="6" fillId="14" borderId="0" xfId="0" applyFont="1" applyFill="1"/>
    <xf numFmtId="8" fontId="6" fillId="14" borderId="0" xfId="0" applyNumberFormat="1" applyFont="1" applyFill="1"/>
    <xf numFmtId="0" fontId="27" fillId="14" borderId="0" xfId="0" applyFont="1" applyFill="1"/>
    <xf numFmtId="8" fontId="13" fillId="0" borderId="7" xfId="0" applyNumberFormat="1" applyFont="1" applyBorder="1"/>
    <xf numFmtId="0" fontId="3" fillId="14" borderId="7" xfId="0" applyFont="1" applyFill="1" applyBorder="1"/>
    <xf numFmtId="168" fontId="42" fillId="0" borderId="0" xfId="0" applyNumberFormat="1" applyFont="1"/>
    <xf numFmtId="168" fontId="10" fillId="0" borderId="0" xfId="0" applyNumberFormat="1" applyFont="1" applyAlignment="1">
      <alignment horizontal="left"/>
    </xf>
    <xf numFmtId="10" fontId="8" fillId="14" borderId="7" xfId="0" applyNumberFormat="1" applyFont="1" applyFill="1" applyBorder="1"/>
    <xf numFmtId="165" fontId="0" fillId="14" borderId="7" xfId="0" applyNumberFormat="1" applyFill="1" applyBorder="1"/>
    <xf numFmtId="165" fontId="3" fillId="14" borderId="7" xfId="0" applyNumberFormat="1" applyFont="1" applyFill="1" applyBorder="1"/>
    <xf numFmtId="0" fontId="1" fillId="15" borderId="29" xfId="0" applyFont="1" applyFill="1" applyBorder="1"/>
    <xf numFmtId="0" fontId="1" fillId="15" borderId="30" xfId="0" applyFont="1" applyFill="1" applyBorder="1"/>
    <xf numFmtId="168" fontId="0" fillId="0" borderId="30" xfId="0" applyNumberFormat="1" applyBorder="1"/>
    <xf numFmtId="10" fontId="0" fillId="0" borderId="31" xfId="0" applyNumberFormat="1" applyBorder="1"/>
    <xf numFmtId="10" fontId="0" fillId="2" borderId="32" xfId="0" applyNumberFormat="1" applyFill="1" applyBorder="1"/>
    <xf numFmtId="0" fontId="0" fillId="0" borderId="29" xfId="0" applyBorder="1"/>
    <xf numFmtId="0" fontId="0" fillId="2" borderId="29" xfId="0" applyFill="1" applyBorder="1"/>
    <xf numFmtId="10" fontId="0" fillId="2" borderId="31" xfId="0" applyNumberFormat="1" applyFill="1" applyBorder="1"/>
    <xf numFmtId="0" fontId="1" fillId="15" borderId="31" xfId="0" applyFont="1" applyFill="1" applyBorder="1"/>
    <xf numFmtId="0" fontId="0" fillId="2" borderId="33" xfId="0" applyFill="1" applyBorder="1"/>
    <xf numFmtId="168" fontId="0" fillId="4" borderId="30" xfId="0" applyNumberFormat="1" applyFill="1" applyBorder="1"/>
    <xf numFmtId="168" fontId="0" fillId="4" borderId="0" xfId="0" applyNumberFormat="1" applyFill="1"/>
    <xf numFmtId="0" fontId="17" fillId="0" borderId="29" xfId="0" applyFont="1" applyBorder="1" applyAlignment="1">
      <alignment horizontal="right"/>
    </xf>
    <xf numFmtId="168" fontId="17" fillId="0" borderId="30" xfId="0" applyNumberFormat="1" applyFont="1" applyBorder="1"/>
    <xf numFmtId="10" fontId="17" fillId="0" borderId="31" xfId="0" applyNumberFormat="1" applyFont="1" applyBorder="1"/>
    <xf numFmtId="42" fontId="2" fillId="8" borderId="7" xfId="0" applyNumberFormat="1" applyFont="1" applyFill="1" applyBorder="1"/>
    <xf numFmtId="165" fontId="2" fillId="8" borderId="7" xfId="2" applyNumberFormat="1" applyFont="1" applyFill="1" applyBorder="1"/>
    <xf numFmtId="10" fontId="2" fillId="8" borderId="7" xfId="3" applyNumberFormat="1" applyFont="1" applyFill="1" applyBorder="1"/>
    <xf numFmtId="42" fontId="2" fillId="5" borderId="7" xfId="0" applyNumberFormat="1" applyFont="1" applyFill="1" applyBorder="1"/>
    <xf numFmtId="165" fontId="2" fillId="5" borderId="7" xfId="0" applyNumberFormat="1" applyFont="1" applyFill="1" applyBorder="1"/>
    <xf numFmtId="10" fontId="8" fillId="5" borderId="7" xfId="0" applyNumberFormat="1" applyFont="1" applyFill="1" applyBorder="1"/>
    <xf numFmtId="165" fontId="55" fillId="14" borderId="7" xfId="0" applyNumberFormat="1" applyFont="1" applyFill="1" applyBorder="1"/>
    <xf numFmtId="165" fontId="55" fillId="14" borderId="7" xfId="2" applyNumberFormat="1" applyFont="1" applyFill="1" applyBorder="1"/>
    <xf numFmtId="10" fontId="55" fillId="14" borderId="7" xfId="3" applyNumberFormat="1" applyFont="1" applyFill="1" applyBorder="1"/>
    <xf numFmtId="165" fontId="8" fillId="0" borderId="0" xfId="0" applyNumberFormat="1" applyFont="1"/>
    <xf numFmtId="0" fontId="20" fillId="4" borderId="7" xfId="0" applyFont="1" applyFill="1" applyBorder="1"/>
    <xf numFmtId="167" fontId="42" fillId="4" borderId="7" xfId="0" applyNumberFormat="1" applyFont="1" applyFill="1" applyBorder="1" applyAlignment="1">
      <alignment horizontal="left"/>
    </xf>
    <xf numFmtId="167" fontId="0" fillId="4" borderId="7" xfId="0" applyNumberFormat="1" applyFill="1" applyBorder="1" applyAlignment="1">
      <alignment horizontal="center"/>
    </xf>
    <xf numFmtId="166" fontId="0" fillId="4" borderId="7" xfId="1" applyNumberFormat="1" applyFont="1" applyFill="1" applyBorder="1" applyAlignment="1">
      <alignment horizontal="right"/>
    </xf>
    <xf numFmtId="6" fontId="10" fillId="4" borderId="7" xfId="0" applyNumberFormat="1" applyFont="1" applyFill="1" applyBorder="1"/>
    <xf numFmtId="6" fontId="8" fillId="4" borderId="7" xfId="0" applyNumberFormat="1" applyFont="1" applyFill="1" applyBorder="1"/>
    <xf numFmtId="6" fontId="3" fillId="4" borderId="7" xfId="0" applyNumberFormat="1" applyFont="1" applyFill="1" applyBorder="1"/>
    <xf numFmtId="167" fontId="3" fillId="4" borderId="7" xfId="0" applyNumberFormat="1" applyFont="1" applyFill="1" applyBorder="1" applyAlignment="1">
      <alignment horizontal="left"/>
    </xf>
    <xf numFmtId="167" fontId="3" fillId="4" borderId="7" xfId="0" applyNumberFormat="1" applyFont="1" applyFill="1" applyBorder="1" applyAlignment="1">
      <alignment horizontal="center"/>
    </xf>
    <xf numFmtId="166" fontId="3" fillId="4" borderId="7" xfId="1" applyNumberFormat="1" applyFont="1" applyFill="1" applyBorder="1" applyAlignment="1">
      <alignment horizontal="right"/>
    </xf>
    <xf numFmtId="0" fontId="15" fillId="4" borderId="7" xfId="0" applyFont="1" applyFill="1" applyBorder="1"/>
    <xf numFmtId="165" fontId="15" fillId="4" borderId="9" xfId="0" applyNumberFormat="1" applyFont="1" applyFill="1" applyBorder="1"/>
    <xf numFmtId="165" fontId="56" fillId="4" borderId="17" xfId="2" applyNumberFormat="1" applyFont="1" applyFill="1" applyBorder="1"/>
    <xf numFmtId="10" fontId="55" fillId="4" borderId="17" xfId="3" applyNumberFormat="1" applyFont="1" applyFill="1" applyBorder="1"/>
    <xf numFmtId="0" fontId="66" fillId="4" borderId="7" xfId="4" applyFont="1" applyFill="1"/>
    <xf numFmtId="10" fontId="68" fillId="4" borderId="0" xfId="0" applyNumberFormat="1" applyFont="1" applyFill="1"/>
    <xf numFmtId="0" fontId="66" fillId="0" borderId="7" xfId="4" applyFont="1"/>
    <xf numFmtId="10" fontId="68" fillId="0" borderId="0" xfId="0" applyNumberFormat="1" applyFont="1"/>
    <xf numFmtId="10" fontId="66" fillId="0" borderId="0" xfId="0" applyNumberFormat="1" applyFont="1"/>
    <xf numFmtId="10" fontId="69" fillId="0" borderId="0" xfId="0" applyNumberFormat="1" applyFont="1"/>
    <xf numFmtId="10" fontId="69" fillId="4" borderId="0" xfId="0" applyNumberFormat="1" applyFont="1" applyFill="1"/>
    <xf numFmtId="10" fontId="66" fillId="4" borderId="0" xfId="0" applyNumberFormat="1" applyFont="1" applyFill="1"/>
    <xf numFmtId="10" fontId="67" fillId="0" borderId="0" xfId="0" applyNumberFormat="1" applyFont="1"/>
    <xf numFmtId="10" fontId="67" fillId="4" borderId="7" xfId="0" applyNumberFormat="1" applyFont="1" applyFill="1" applyBorder="1"/>
    <xf numFmtId="0" fontId="70" fillId="0" borderId="0" xfId="0" applyFont="1" applyAlignment="1">
      <alignment horizontal="right"/>
    </xf>
    <xf numFmtId="10" fontId="68" fillId="0" borderId="17" xfId="0" applyNumberFormat="1" applyFont="1" applyBorder="1"/>
    <xf numFmtId="10" fontId="68" fillId="4" borderId="7" xfId="0" applyNumberFormat="1" applyFont="1" applyFill="1" applyBorder="1"/>
    <xf numFmtId="0" fontId="67" fillId="4" borderId="0" xfId="0" applyFont="1" applyFill="1" applyAlignment="1">
      <alignment horizontal="left"/>
    </xf>
    <xf numFmtId="0" fontId="70" fillId="14" borderId="25" xfId="0" applyFont="1" applyFill="1" applyBorder="1" applyAlignment="1">
      <alignment horizontal="right"/>
    </xf>
    <xf numFmtId="42" fontId="67" fillId="4" borderId="0" xfId="0" applyNumberFormat="1" applyFont="1" applyFill="1"/>
    <xf numFmtId="42" fontId="66" fillId="4" borderId="7" xfId="5" applyNumberFormat="1" applyFont="1" applyFill="1" applyBorder="1"/>
    <xf numFmtId="42" fontId="69" fillId="4" borderId="0" xfId="0" applyNumberFormat="1" applyFont="1" applyFill="1"/>
    <xf numFmtId="42" fontId="69" fillId="4" borderId="7" xfId="5" applyNumberFormat="1" applyFont="1" applyFill="1" applyBorder="1"/>
    <xf numFmtId="42" fontId="70" fillId="14" borderId="26" xfId="2" applyNumberFormat="1" applyFont="1" applyFill="1" applyBorder="1"/>
    <xf numFmtId="42" fontId="71" fillId="14" borderId="26" xfId="2" applyNumberFormat="1" applyFont="1" applyFill="1" applyBorder="1"/>
    <xf numFmtId="42" fontId="68" fillId="4" borderId="7" xfId="0" applyNumberFormat="1" applyFont="1" applyFill="1" applyBorder="1"/>
    <xf numFmtId="42" fontId="67" fillId="0" borderId="0" xfId="0" applyNumberFormat="1" applyFont="1"/>
    <xf numFmtId="42" fontId="66" fillId="0" borderId="7" xfId="5" applyNumberFormat="1" applyFont="1" applyFill="1" applyBorder="1"/>
    <xf numFmtId="42" fontId="68" fillId="0" borderId="7" xfId="0" applyNumberFormat="1" applyFont="1" applyBorder="1"/>
    <xf numFmtId="42" fontId="66" fillId="0" borderId="7" xfId="0" applyNumberFormat="1" applyFont="1" applyBorder="1"/>
    <xf numFmtId="42" fontId="69" fillId="0" borderId="7" xfId="0" applyNumberFormat="1" applyFont="1" applyBorder="1"/>
    <xf numFmtId="42" fontId="69" fillId="4" borderId="7" xfId="0" applyNumberFormat="1" applyFont="1" applyFill="1" applyBorder="1"/>
    <xf numFmtId="42" fontId="66" fillId="4" borderId="7" xfId="0" applyNumberFormat="1" applyFont="1" applyFill="1" applyBorder="1"/>
    <xf numFmtId="42" fontId="67" fillId="0" borderId="7" xfId="0" applyNumberFormat="1" applyFont="1" applyBorder="1"/>
    <xf numFmtId="42" fontId="67" fillId="4" borderId="13" xfId="0" applyNumberFormat="1" applyFont="1" applyFill="1" applyBorder="1"/>
    <xf numFmtId="42" fontId="66" fillId="4" borderId="13" xfId="5" applyNumberFormat="1" applyFont="1" applyFill="1" applyBorder="1"/>
    <xf numFmtId="42" fontId="67" fillId="4" borderId="7" xfId="0" applyNumberFormat="1" applyFont="1" applyFill="1" applyBorder="1"/>
    <xf numFmtId="42" fontId="68" fillId="0" borderId="17" xfId="0" applyNumberFormat="1" applyFont="1" applyBorder="1"/>
    <xf numFmtId="42" fontId="67" fillId="0" borderId="16" xfId="0" applyNumberFormat="1" applyFont="1" applyBorder="1"/>
    <xf numFmtId="42" fontId="66" fillId="0" borderId="16" xfId="5" applyNumberFormat="1" applyFont="1" applyFill="1" applyBorder="1"/>
    <xf numFmtId="42" fontId="65" fillId="4" borderId="35" xfId="0" applyNumberFormat="1" applyFont="1" applyFill="1" applyBorder="1"/>
    <xf numFmtId="42" fontId="65" fillId="14" borderId="26" xfId="0" applyNumberFormat="1" applyFont="1" applyFill="1" applyBorder="1"/>
    <xf numFmtId="0" fontId="65" fillId="4" borderId="7" xfId="0" applyFont="1" applyFill="1" applyBorder="1"/>
    <xf numFmtId="10" fontId="71" fillId="0" borderId="16" xfId="0" applyNumberFormat="1" applyFont="1" applyBorder="1"/>
    <xf numFmtId="10" fontId="72" fillId="14" borderId="26" xfId="0" applyNumberFormat="1" applyFont="1" applyFill="1" applyBorder="1"/>
    <xf numFmtId="167" fontId="0" fillId="0" borderId="7" xfId="0" applyNumberFormat="1" applyBorder="1" applyAlignment="1">
      <alignment horizontal="center"/>
    </xf>
    <xf numFmtId="167" fontId="0" fillId="0" borderId="7" xfId="0" applyNumberFormat="1" applyBorder="1" applyAlignment="1">
      <alignment horizontal="left"/>
    </xf>
    <xf numFmtId="167" fontId="0" fillId="0" borderId="7" xfId="0" applyNumberFormat="1" applyBorder="1"/>
    <xf numFmtId="167" fontId="3" fillId="0" borderId="7" xfId="0" applyNumberFormat="1" applyFont="1" applyBorder="1"/>
    <xf numFmtId="167" fontId="3" fillId="0" borderId="7" xfId="0" applyNumberFormat="1" applyFont="1" applyBorder="1" applyAlignment="1">
      <alignment horizontal="center"/>
    </xf>
    <xf numFmtId="167" fontId="3" fillId="4" borderId="0" xfId="0" applyNumberFormat="1" applyFont="1" applyFill="1"/>
    <xf numFmtId="167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left"/>
    </xf>
    <xf numFmtId="0" fontId="65" fillId="0" borderId="0" xfId="0" applyFont="1"/>
    <xf numFmtId="0" fontId="53" fillId="0" borderId="0" xfId="0" applyFont="1"/>
    <xf numFmtId="171" fontId="0" fillId="0" borderId="7" xfId="0" applyNumberFormat="1" applyBorder="1"/>
    <xf numFmtId="171" fontId="0" fillId="0" borderId="37" xfId="0" applyNumberFormat="1" applyBorder="1"/>
    <xf numFmtId="171" fontId="0" fillId="0" borderId="38" xfId="0" applyNumberFormat="1" applyBorder="1"/>
    <xf numFmtId="49" fontId="0" fillId="0" borderId="0" xfId="0" applyNumberFormat="1" applyAlignment="1">
      <alignment horizontal="center"/>
    </xf>
    <xf numFmtId="49" fontId="0" fillId="0" borderId="36" xfId="0" applyNumberFormat="1" applyBorder="1" applyAlignment="1">
      <alignment horizontal="center"/>
    </xf>
    <xf numFmtId="10" fontId="74" fillId="0" borderId="7" xfId="8" applyNumberFormat="1" applyFill="1" applyBorder="1"/>
    <xf numFmtId="0" fontId="0" fillId="0" borderId="0" xfId="0" applyAlignment="1">
      <alignment horizontal="center"/>
    </xf>
    <xf numFmtId="8" fontId="77" fillId="0" borderId="0" xfId="0" applyNumberFormat="1" applyFont="1"/>
    <xf numFmtId="8" fontId="77" fillId="2" borderId="7" xfId="0" applyNumberFormat="1" applyFont="1" applyFill="1" applyBorder="1"/>
    <xf numFmtId="167" fontId="43" fillId="0" borderId="0" xfId="0" applyNumberFormat="1" applyFont="1" applyAlignment="1">
      <alignment horizontal="right"/>
    </xf>
    <xf numFmtId="167" fontId="78" fillId="0" borderId="0" xfId="0" applyNumberFormat="1" applyFont="1"/>
    <xf numFmtId="6" fontId="79" fillId="0" borderId="0" xfId="0" applyNumberFormat="1" applyFont="1"/>
    <xf numFmtId="6" fontId="79" fillId="4" borderId="0" xfId="0" applyNumberFormat="1" applyFont="1" applyFill="1"/>
    <xf numFmtId="6" fontId="78" fillId="4" borderId="0" xfId="0" applyNumberFormat="1" applyFont="1" applyFill="1"/>
    <xf numFmtId="6" fontId="80" fillId="0" borderId="7" xfId="0" applyNumberFormat="1" applyFont="1" applyBorder="1" applyAlignment="1">
      <alignment horizontal="right"/>
    </xf>
    <xf numFmtId="6" fontId="77" fillId="0" borderId="7" xfId="0" applyNumberFormat="1" applyFont="1" applyBorder="1" applyAlignment="1">
      <alignment horizontal="right"/>
    </xf>
    <xf numFmtId="6" fontId="78" fillId="4" borderId="0" xfId="0" applyNumberFormat="1" applyFont="1" applyFill="1" applyAlignment="1">
      <alignment horizontal="right"/>
    </xf>
    <xf numFmtId="6" fontId="77" fillId="4" borderId="0" xfId="0" applyNumberFormat="1" applyFont="1" applyFill="1" applyAlignment="1">
      <alignment horizontal="right"/>
    </xf>
    <xf numFmtId="6" fontId="80" fillId="0" borderId="7" xfId="0" applyNumberFormat="1" applyFont="1" applyBorder="1"/>
    <xf numFmtId="6" fontId="77" fillId="0" borderId="7" xfId="0" applyNumberFormat="1" applyFont="1" applyBorder="1"/>
    <xf numFmtId="6" fontId="81" fillId="0" borderId="16" xfId="0" applyNumberFormat="1" applyFont="1" applyBorder="1"/>
    <xf numFmtId="6" fontId="82" fillId="0" borderId="11" xfId="0" applyNumberFormat="1" applyFont="1" applyBorder="1"/>
    <xf numFmtId="6" fontId="83" fillId="0" borderId="11" xfId="0" applyNumberFormat="1" applyFont="1" applyBorder="1"/>
    <xf numFmtId="167" fontId="78" fillId="4" borderId="0" xfId="0" applyNumberFormat="1" applyFont="1" applyFill="1"/>
    <xf numFmtId="167" fontId="77" fillId="0" borderId="7" xfId="0" applyNumberFormat="1" applyFont="1" applyBorder="1" applyAlignment="1">
      <alignment horizontal="left"/>
    </xf>
    <xf numFmtId="167" fontId="78" fillId="4" borderId="0" xfId="0" applyNumberFormat="1" applyFont="1" applyFill="1" applyAlignment="1">
      <alignment horizontal="left"/>
    </xf>
    <xf numFmtId="167" fontId="77" fillId="0" borderId="7" xfId="0" applyNumberFormat="1" applyFont="1" applyBorder="1"/>
    <xf numFmtId="167" fontId="78" fillId="0" borderId="7" xfId="0" applyNumberFormat="1" applyFont="1" applyBorder="1"/>
    <xf numFmtId="8" fontId="85" fillId="16" borderId="7" xfId="0" applyNumberFormat="1" applyFont="1" applyFill="1" applyBorder="1" applyAlignment="1">
      <alignment horizontal="center"/>
    </xf>
    <xf numFmtId="8" fontId="85" fillId="19" borderId="7" xfId="0" applyNumberFormat="1" applyFont="1" applyFill="1" applyBorder="1" applyAlignment="1">
      <alignment horizontal="center"/>
    </xf>
    <xf numFmtId="0" fontId="86" fillId="16" borderId="7" xfId="0" applyFont="1" applyFill="1" applyBorder="1"/>
    <xf numFmtId="8" fontId="85" fillId="16" borderId="7" xfId="0" applyNumberFormat="1" applyFont="1" applyFill="1" applyBorder="1" applyAlignment="1">
      <alignment horizontal="center" wrapText="1"/>
    </xf>
    <xf numFmtId="167" fontId="87" fillId="2" borderId="7" xfId="0" applyNumberFormat="1" applyFont="1" applyFill="1" applyBorder="1"/>
    <xf numFmtId="167" fontId="87" fillId="0" borderId="0" xfId="0" applyNumberFormat="1" applyFont="1"/>
    <xf numFmtId="167" fontId="87" fillId="0" borderId="7" xfId="0" applyNumberFormat="1" applyFont="1" applyBorder="1"/>
    <xf numFmtId="0" fontId="84" fillId="0" borderId="0" xfId="0" applyFont="1"/>
    <xf numFmtId="0" fontId="84" fillId="2" borderId="7" xfId="0" applyFont="1" applyFill="1" applyBorder="1"/>
    <xf numFmtId="167" fontId="88" fillId="0" borderId="0" xfId="0" applyNumberFormat="1" applyFont="1"/>
    <xf numFmtId="167" fontId="89" fillId="0" borderId="0" xfId="0" applyNumberFormat="1" applyFont="1"/>
    <xf numFmtId="0" fontId="90" fillId="0" borderId="0" xfId="0" applyFont="1"/>
    <xf numFmtId="0" fontId="90" fillId="0" borderId="0" xfId="0" applyFont="1" applyAlignment="1">
      <alignment horizontal="center"/>
    </xf>
    <xf numFmtId="0" fontId="78" fillId="0" borderId="0" xfId="0" applyFont="1"/>
    <xf numFmtId="167" fontId="78" fillId="0" borderId="0" xfId="0" applyNumberFormat="1" applyFont="1" applyAlignment="1">
      <alignment horizontal="left"/>
    </xf>
    <xf numFmtId="167" fontId="78" fillId="0" borderId="0" xfId="0" applyNumberFormat="1" applyFont="1" applyAlignment="1">
      <alignment horizontal="center"/>
    </xf>
    <xf numFmtId="6" fontId="79" fillId="0" borderId="7" xfId="0" applyNumberFormat="1" applyFont="1" applyBorder="1"/>
    <xf numFmtId="6" fontId="78" fillId="0" borderId="0" xfId="0" applyNumberFormat="1" applyFont="1"/>
    <xf numFmtId="167" fontId="77" fillId="2" borderId="7" xfId="0" applyNumberFormat="1" applyFont="1" applyFill="1" applyBorder="1" applyAlignment="1">
      <alignment horizontal="left"/>
    </xf>
    <xf numFmtId="167" fontId="77" fillId="2" borderId="7" xfId="0" applyNumberFormat="1" applyFont="1" applyFill="1" applyBorder="1" applyAlignment="1">
      <alignment horizontal="center"/>
    </xf>
    <xf numFmtId="6" fontId="79" fillId="2" borderId="13" xfId="0" applyNumberFormat="1" applyFont="1" applyFill="1" applyBorder="1"/>
    <xf numFmtId="6" fontId="80" fillId="2" borderId="4" xfId="0" applyNumberFormat="1" applyFont="1" applyFill="1" applyBorder="1"/>
    <xf numFmtId="6" fontId="77" fillId="2" borderId="4" xfId="0" applyNumberFormat="1" applyFont="1" applyFill="1" applyBorder="1"/>
    <xf numFmtId="167" fontId="83" fillId="0" borderId="0" xfId="0" applyNumberFormat="1" applyFont="1" applyAlignment="1">
      <alignment horizontal="right"/>
    </xf>
    <xf numFmtId="167" fontId="83" fillId="0" borderId="0" xfId="0" applyNumberFormat="1" applyFont="1" applyAlignment="1">
      <alignment horizontal="center"/>
    </xf>
    <xf numFmtId="0" fontId="77" fillId="0" borderId="0" xfId="0" applyFont="1"/>
    <xf numFmtId="6" fontId="81" fillId="0" borderId="7" xfId="0" applyNumberFormat="1" applyFont="1" applyBorder="1"/>
    <xf numFmtId="6" fontId="82" fillId="0" borderId="0" xfId="0" applyNumberFormat="1" applyFont="1"/>
    <xf numFmtId="6" fontId="83" fillId="0" borderId="0" xfId="0" applyNumberFormat="1" applyFont="1"/>
    <xf numFmtId="0" fontId="77" fillId="0" borderId="0" xfId="0" applyFont="1" applyAlignment="1">
      <alignment horizontal="center"/>
    </xf>
    <xf numFmtId="167" fontId="90" fillId="0" borderId="0" xfId="0" applyNumberFormat="1" applyFont="1"/>
    <xf numFmtId="167" fontId="90" fillId="0" borderId="0" xfId="0" applyNumberFormat="1" applyFont="1" applyAlignment="1">
      <alignment horizontal="center"/>
    </xf>
    <xf numFmtId="167" fontId="77" fillId="2" borderId="7" xfId="0" applyNumberFormat="1" applyFont="1" applyFill="1" applyBorder="1"/>
    <xf numFmtId="0" fontId="77" fillId="2" borderId="7" xfId="0" applyFont="1" applyFill="1" applyBorder="1"/>
    <xf numFmtId="6" fontId="79" fillId="2" borderId="7" xfId="0" applyNumberFormat="1" applyFont="1" applyFill="1" applyBorder="1"/>
    <xf numFmtId="6" fontId="78" fillId="2" borderId="7" xfId="0" applyNumberFormat="1" applyFont="1" applyFill="1" applyBorder="1"/>
    <xf numFmtId="6" fontId="78" fillId="2" borderId="4" xfId="0" applyNumberFormat="1" applyFont="1" applyFill="1" applyBorder="1"/>
    <xf numFmtId="167" fontId="83" fillId="0" borderId="0" xfId="0" applyNumberFormat="1" applyFont="1" applyAlignment="1">
      <alignment horizontal="left"/>
    </xf>
    <xf numFmtId="1" fontId="83" fillId="0" borderId="0" xfId="0" applyNumberFormat="1" applyFont="1" applyAlignment="1">
      <alignment horizontal="center"/>
    </xf>
    <xf numFmtId="167" fontId="78" fillId="2" borderId="7" xfId="0" applyNumberFormat="1" applyFont="1" applyFill="1" applyBorder="1" applyAlignment="1">
      <alignment horizontal="left"/>
    </xf>
    <xf numFmtId="1" fontId="78" fillId="2" borderId="7" xfId="0" applyNumberFormat="1" applyFont="1" applyFill="1" applyBorder="1" applyAlignment="1">
      <alignment horizontal="center"/>
    </xf>
    <xf numFmtId="165" fontId="77" fillId="2" borderId="7" xfId="0" applyNumberFormat="1" applyFont="1" applyFill="1" applyBorder="1"/>
    <xf numFmtId="6" fontId="83" fillId="2" borderId="7" xfId="0" applyNumberFormat="1" applyFont="1" applyFill="1" applyBorder="1"/>
    <xf numFmtId="1" fontId="78" fillId="0" borderId="0" xfId="0" applyNumberFormat="1" applyFont="1" applyAlignment="1">
      <alignment horizontal="center"/>
    </xf>
    <xf numFmtId="165" fontId="77" fillId="0" borderId="0" xfId="0" applyNumberFormat="1" applyFont="1"/>
    <xf numFmtId="167" fontId="78" fillId="0" borderId="7" xfId="0" applyNumberFormat="1" applyFont="1" applyBorder="1" applyAlignment="1">
      <alignment horizontal="left"/>
    </xf>
    <xf numFmtId="1" fontId="78" fillId="0" borderId="7" xfId="0" applyNumberFormat="1" applyFont="1" applyBorder="1" applyAlignment="1">
      <alignment horizontal="center"/>
    </xf>
    <xf numFmtId="165" fontId="77" fillId="0" borderId="7" xfId="0" applyNumberFormat="1" applyFont="1" applyBorder="1"/>
    <xf numFmtId="6" fontId="79" fillId="0" borderId="13" xfId="0" applyNumberFormat="1" applyFont="1" applyBorder="1"/>
    <xf numFmtId="6" fontId="83" fillId="0" borderId="13" xfId="0" applyNumberFormat="1" applyFont="1" applyBorder="1"/>
    <xf numFmtId="6" fontId="78" fillId="0" borderId="13" xfId="0" applyNumberFormat="1" applyFont="1" applyBorder="1"/>
    <xf numFmtId="10" fontId="81" fillId="0" borderId="0" xfId="0" applyNumberFormat="1" applyFont="1"/>
    <xf numFmtId="165" fontId="83" fillId="0" borderId="11" xfId="0" applyNumberFormat="1" applyFont="1" applyBorder="1"/>
    <xf numFmtId="10" fontId="79" fillId="0" borderId="0" xfId="0" applyNumberFormat="1" applyFont="1"/>
    <xf numFmtId="8" fontId="77" fillId="0" borderId="0" xfId="0" applyNumberFormat="1" applyFont="1" applyAlignment="1">
      <alignment horizontal="center"/>
    </xf>
    <xf numFmtId="8" fontId="91" fillId="0" borderId="0" xfId="0" applyNumberFormat="1" applyFont="1"/>
    <xf numFmtId="0" fontId="84" fillId="2" borderId="7" xfId="0" applyFont="1" applyFill="1" applyBorder="1" applyAlignment="1">
      <alignment horizontal="right"/>
    </xf>
    <xf numFmtId="44" fontId="77" fillId="0" borderId="0" xfId="0" applyNumberFormat="1" applyFont="1"/>
    <xf numFmtId="6" fontId="77" fillId="0" borderId="0" xfId="0" applyNumberFormat="1" applyFont="1"/>
    <xf numFmtId="167" fontId="43" fillId="2" borderId="7" xfId="0" applyNumberFormat="1" applyFont="1" applyFill="1" applyBorder="1" applyAlignment="1">
      <alignment horizontal="right"/>
    </xf>
    <xf numFmtId="10" fontId="81" fillId="4" borderId="0" xfId="0" applyNumberFormat="1" applyFont="1" applyFill="1"/>
    <xf numFmtId="6" fontId="81" fillId="2" borderId="16" xfId="0" applyNumberFormat="1" applyFont="1" applyFill="1" applyBorder="1"/>
    <xf numFmtId="44" fontId="91" fillId="2" borderId="11" xfId="0" applyNumberFormat="1" applyFont="1" applyFill="1" applyBorder="1"/>
    <xf numFmtId="6" fontId="83" fillId="2" borderId="11" xfId="0" applyNumberFormat="1" applyFont="1" applyFill="1" applyBorder="1"/>
    <xf numFmtId="167" fontId="83" fillId="2" borderId="7" xfId="0" applyNumberFormat="1" applyFont="1" applyFill="1" applyBorder="1" applyAlignment="1">
      <alignment horizontal="center"/>
    </xf>
    <xf numFmtId="167" fontId="90" fillId="0" borderId="0" xfId="0" applyNumberFormat="1" applyFont="1" applyAlignment="1">
      <alignment horizontal="left"/>
    </xf>
    <xf numFmtId="10" fontId="78" fillId="2" borderId="4" xfId="0" applyNumberFormat="1" applyFont="1" applyFill="1" applyBorder="1"/>
    <xf numFmtId="10" fontId="77" fillId="2" borderId="4" xfId="0" applyNumberFormat="1" applyFont="1" applyFill="1" applyBorder="1"/>
    <xf numFmtId="166" fontId="80" fillId="0" borderId="0" xfId="0" applyNumberFormat="1" applyFont="1"/>
    <xf numFmtId="166" fontId="78" fillId="0" borderId="0" xfId="0" applyNumberFormat="1" applyFont="1"/>
    <xf numFmtId="5" fontId="78" fillId="0" borderId="7" xfId="0" applyNumberFormat="1" applyFont="1" applyBorder="1"/>
    <xf numFmtId="10" fontId="78" fillId="2" borderId="13" xfId="0" applyNumberFormat="1" applyFont="1" applyFill="1" applyBorder="1"/>
    <xf numFmtId="166" fontId="82" fillId="0" borderId="11" xfId="0" applyNumberFormat="1" applyFont="1" applyBorder="1"/>
    <xf numFmtId="0" fontId="91" fillId="0" borderId="0" xfId="0" applyFont="1" applyAlignment="1">
      <alignment horizontal="right"/>
    </xf>
    <xf numFmtId="0" fontId="91" fillId="0" borderId="0" xfId="0" applyFont="1" applyAlignment="1">
      <alignment horizontal="center"/>
    </xf>
    <xf numFmtId="6" fontId="81" fillId="0" borderId="10" xfId="0" applyNumberFormat="1" applyFont="1" applyBorder="1"/>
    <xf numFmtId="6" fontId="82" fillId="0" borderId="10" xfId="0" applyNumberFormat="1" applyFont="1" applyBorder="1"/>
    <xf numFmtId="6" fontId="83" fillId="0" borderId="10" xfId="0" applyNumberFormat="1" applyFont="1" applyBorder="1"/>
    <xf numFmtId="0" fontId="85" fillId="16" borderId="1" xfId="0" applyFont="1" applyFill="1" applyBorder="1" applyAlignment="1">
      <alignment horizontal="center"/>
    </xf>
    <xf numFmtId="44" fontId="85" fillId="16" borderId="2" xfId="0" applyNumberFormat="1" applyFont="1" applyFill="1" applyBorder="1" applyAlignment="1">
      <alignment horizontal="center" wrapText="1"/>
    </xf>
    <xf numFmtId="164" fontId="85" fillId="16" borderId="3" xfId="0" applyNumberFormat="1" applyFont="1" applyFill="1" applyBorder="1" applyAlignment="1">
      <alignment horizontal="center"/>
    </xf>
    <xf numFmtId="0" fontId="78" fillId="2" borderId="7" xfId="0" applyFont="1" applyFill="1" applyBorder="1"/>
    <xf numFmtId="0" fontId="78" fillId="5" borderId="7" xfId="0" applyFont="1" applyFill="1" applyBorder="1"/>
    <xf numFmtId="0" fontId="78" fillId="0" borderId="7" xfId="0" applyFont="1" applyBorder="1"/>
    <xf numFmtId="165" fontId="78" fillId="0" borderId="7" xfId="0" applyNumberFormat="1" applyFont="1" applyBorder="1"/>
    <xf numFmtId="0" fontId="83" fillId="0" borderId="0" xfId="0" applyFont="1"/>
    <xf numFmtId="165" fontId="91" fillId="0" borderId="0" xfId="0" applyNumberFormat="1" applyFont="1"/>
    <xf numFmtId="165" fontId="83" fillId="0" borderId="0" xfId="0" applyNumberFormat="1" applyFont="1"/>
    <xf numFmtId="10" fontId="82" fillId="0" borderId="17" xfId="0" applyNumberFormat="1" applyFont="1" applyBorder="1"/>
    <xf numFmtId="44" fontId="78" fillId="2" borderId="7" xfId="0" applyNumberFormat="1" applyFont="1" applyFill="1" applyBorder="1"/>
    <xf numFmtId="10" fontId="80" fillId="2" borderId="7" xfId="0" applyNumberFormat="1" applyFont="1" applyFill="1" applyBorder="1"/>
    <xf numFmtId="0" fontId="83" fillId="2" borderId="7" xfId="0" applyFont="1" applyFill="1" applyBorder="1"/>
    <xf numFmtId="165" fontId="83" fillId="2" borderId="4" xfId="0" applyNumberFormat="1" applyFont="1" applyFill="1" applyBorder="1"/>
    <xf numFmtId="10" fontId="82" fillId="2" borderId="14" xfId="0" applyNumberFormat="1" applyFont="1" applyFill="1" applyBorder="1"/>
    <xf numFmtId="0" fontId="92" fillId="0" borderId="7" xfId="0" applyFont="1" applyBorder="1"/>
    <xf numFmtId="165" fontId="76" fillId="0" borderId="7" xfId="0" applyNumberFormat="1" applyFont="1" applyBorder="1"/>
    <xf numFmtId="10" fontId="80" fillId="0" borderId="7" xfId="0" applyNumberFormat="1" applyFont="1" applyBorder="1"/>
    <xf numFmtId="42" fontId="76" fillId="5" borderId="7" xfId="0" applyNumberFormat="1" applyFont="1" applyFill="1" applyBorder="1"/>
    <xf numFmtId="165" fontId="76" fillId="5" borderId="7" xfId="0" applyNumberFormat="1" applyFont="1" applyFill="1" applyBorder="1"/>
    <xf numFmtId="10" fontId="80" fillId="5" borderId="7" xfId="0" applyNumberFormat="1" applyFont="1" applyFill="1" applyBorder="1"/>
    <xf numFmtId="0" fontId="83" fillId="0" borderId="5" xfId="0" applyFont="1" applyBorder="1"/>
    <xf numFmtId="165" fontId="78" fillId="0" borderId="6" xfId="0" applyNumberFormat="1" applyFont="1" applyBorder="1"/>
    <xf numFmtId="165" fontId="83" fillId="0" borderId="6" xfId="0" applyNumberFormat="1" applyFont="1" applyBorder="1"/>
    <xf numFmtId="10" fontId="82" fillId="0" borderId="15" xfId="0" applyNumberFormat="1" applyFont="1" applyBorder="1"/>
    <xf numFmtId="167" fontId="88" fillId="0" borderId="0" xfId="0" applyNumberFormat="1" applyFont="1" applyAlignment="1">
      <alignment horizontal="center" vertical="top"/>
    </xf>
    <xf numFmtId="167" fontId="78" fillId="0" borderId="7" xfId="0" applyNumberFormat="1" applyFont="1" applyBorder="1" applyAlignment="1">
      <alignment horizontal="center"/>
    </xf>
    <xf numFmtId="0" fontId="77" fillId="0" borderId="7" xfId="0" applyFont="1" applyBorder="1"/>
    <xf numFmtId="0" fontId="77" fillId="0" borderId="7" xfId="0" applyFont="1" applyBorder="1" applyAlignment="1">
      <alignment horizontal="center"/>
    </xf>
    <xf numFmtId="1" fontId="85" fillId="16" borderId="7" xfId="0" applyNumberFormat="1" applyFont="1" applyFill="1" applyBorder="1" applyAlignment="1">
      <alignment horizontal="center" wrapText="1"/>
    </xf>
    <xf numFmtId="8" fontId="75" fillId="16" borderId="7" xfId="0" applyNumberFormat="1" applyFont="1" applyFill="1" applyBorder="1" applyAlignment="1">
      <alignment horizontal="center" wrapText="1"/>
    </xf>
    <xf numFmtId="8" fontId="88" fillId="0" borderId="0" xfId="0" applyNumberFormat="1" applyFont="1" applyAlignment="1">
      <alignment wrapText="1"/>
    </xf>
    <xf numFmtId="0" fontId="77" fillId="0" borderId="0" xfId="0" applyFont="1" applyAlignment="1">
      <alignment wrapText="1"/>
    </xf>
    <xf numFmtId="166" fontId="77" fillId="0" borderId="0" xfId="0" applyNumberFormat="1" applyFont="1"/>
    <xf numFmtId="166" fontId="77" fillId="0" borderId="0" xfId="0" applyNumberFormat="1" applyFont="1" applyAlignment="1">
      <alignment horizontal="right"/>
    </xf>
    <xf numFmtId="166" fontId="77" fillId="0" borderId="0" xfId="0" applyNumberFormat="1" applyFont="1" applyAlignment="1">
      <alignment horizontal="center"/>
    </xf>
    <xf numFmtId="8" fontId="77" fillId="0" borderId="0" xfId="0" applyNumberFormat="1" applyFont="1" applyAlignment="1">
      <alignment horizontal="right"/>
    </xf>
    <xf numFmtId="8" fontId="78" fillId="0" borderId="0" xfId="0" applyNumberFormat="1" applyFont="1"/>
    <xf numFmtId="0" fontId="78" fillId="4" borderId="7" xfId="0" applyFont="1" applyFill="1" applyBorder="1" applyAlignment="1">
      <alignment horizontal="left" wrapText="1"/>
    </xf>
    <xf numFmtId="166" fontId="78" fillId="4" borderId="7" xfId="0" applyNumberFormat="1" applyFont="1" applyFill="1" applyBorder="1" applyAlignment="1">
      <alignment horizontal="center"/>
    </xf>
    <xf numFmtId="166" fontId="78" fillId="4" borderId="7" xfId="0" applyNumberFormat="1" applyFont="1" applyFill="1" applyBorder="1" applyAlignment="1">
      <alignment horizontal="right"/>
    </xf>
    <xf numFmtId="8" fontId="78" fillId="4" borderId="7" xfId="0" applyNumberFormat="1" applyFont="1" applyFill="1" applyBorder="1" applyAlignment="1">
      <alignment horizontal="right"/>
    </xf>
    <xf numFmtId="8" fontId="78" fillId="4" borderId="0" xfId="0" applyNumberFormat="1" applyFont="1" applyFill="1"/>
    <xf numFmtId="8" fontId="78" fillId="2" borderId="7" xfId="0" applyNumberFormat="1" applyFont="1" applyFill="1" applyBorder="1"/>
    <xf numFmtId="0" fontId="78" fillId="0" borderId="0" xfId="0" applyFont="1" applyAlignment="1">
      <alignment horizontal="left" wrapText="1"/>
    </xf>
    <xf numFmtId="166" fontId="78" fillId="0" borderId="0" xfId="0" applyNumberFormat="1" applyFont="1" applyAlignment="1">
      <alignment horizontal="center"/>
    </xf>
    <xf numFmtId="166" fontId="78" fillId="0" borderId="0" xfId="0" applyNumberFormat="1" applyFont="1" applyAlignment="1">
      <alignment horizontal="right"/>
    </xf>
    <xf numFmtId="8" fontId="78" fillId="0" borderId="0" xfId="0" applyNumberFormat="1" applyFont="1" applyAlignment="1">
      <alignment horizontal="right"/>
    </xf>
    <xf numFmtId="0" fontId="77" fillId="4" borderId="0" xfId="0" applyFont="1" applyFill="1" applyAlignment="1">
      <alignment horizontal="left" wrapText="1"/>
    </xf>
    <xf numFmtId="166" fontId="77" fillId="4" borderId="0" xfId="0" applyNumberFormat="1" applyFont="1" applyFill="1" applyAlignment="1">
      <alignment horizontal="left"/>
    </xf>
    <xf numFmtId="166" fontId="77" fillId="4" borderId="0" xfId="0" applyNumberFormat="1" applyFont="1" applyFill="1" applyAlignment="1">
      <alignment horizontal="right"/>
    </xf>
    <xf numFmtId="8" fontId="77" fillId="4" borderId="0" xfId="0" applyNumberFormat="1" applyFont="1" applyFill="1" applyAlignment="1">
      <alignment horizontal="right"/>
    </xf>
    <xf numFmtId="0" fontId="78" fillId="0" borderId="7" xfId="0" applyFont="1" applyBorder="1" applyAlignment="1">
      <alignment horizontal="left" wrapText="1"/>
    </xf>
    <xf numFmtId="166" fontId="78" fillId="0" borderId="7" xfId="0" applyNumberFormat="1" applyFont="1" applyBorder="1" applyAlignment="1">
      <alignment horizontal="center"/>
    </xf>
    <xf numFmtId="166" fontId="78" fillId="0" borderId="7" xfId="0" applyNumberFormat="1" applyFont="1" applyBorder="1" applyAlignment="1">
      <alignment horizontal="right"/>
    </xf>
    <xf numFmtId="8" fontId="78" fillId="0" borderId="7" xfId="0" applyNumberFormat="1" applyFont="1" applyBorder="1" applyAlignment="1">
      <alignment horizontal="right"/>
    </xf>
    <xf numFmtId="8" fontId="78" fillId="0" borderId="7" xfId="0" applyNumberFormat="1" applyFont="1" applyBorder="1"/>
    <xf numFmtId="166" fontId="77" fillId="4" borderId="0" xfId="0" applyNumberFormat="1" applyFont="1" applyFill="1" applyAlignment="1">
      <alignment horizontal="center"/>
    </xf>
    <xf numFmtId="166" fontId="83" fillId="0" borderId="0" xfId="0" applyNumberFormat="1" applyFont="1" applyAlignment="1">
      <alignment horizontal="right"/>
    </xf>
    <xf numFmtId="166" fontId="83" fillId="0" borderId="0" xfId="0" applyNumberFormat="1" applyFont="1" applyAlignment="1">
      <alignment horizontal="center"/>
    </xf>
    <xf numFmtId="8" fontId="78" fillId="4" borderId="7" xfId="0" applyNumberFormat="1" applyFont="1" applyFill="1" applyBorder="1"/>
    <xf numFmtId="0" fontId="77" fillId="4" borderId="7" xfId="0" applyFont="1" applyFill="1" applyBorder="1" applyAlignment="1">
      <alignment horizontal="left" wrapText="1"/>
    </xf>
    <xf numFmtId="166" fontId="77" fillId="4" borderId="7" xfId="0" applyNumberFormat="1" applyFont="1" applyFill="1" applyBorder="1" applyAlignment="1">
      <alignment horizontal="center"/>
    </xf>
    <xf numFmtId="166" fontId="77" fillId="4" borderId="7" xfId="0" applyNumberFormat="1" applyFont="1" applyFill="1" applyBorder="1" applyAlignment="1">
      <alignment horizontal="right"/>
    </xf>
    <xf numFmtId="8" fontId="77" fillId="4" borderId="7" xfId="0" applyNumberFormat="1" applyFont="1" applyFill="1" applyBorder="1" applyAlignment="1">
      <alignment horizontal="right"/>
    </xf>
    <xf numFmtId="8" fontId="83" fillId="0" borderId="0" xfId="0" applyNumberFormat="1" applyFont="1" applyAlignment="1">
      <alignment horizontal="right" wrapText="1"/>
    </xf>
    <xf numFmtId="1" fontId="83" fillId="0" borderId="0" xfId="0" applyNumberFormat="1" applyFont="1" applyAlignment="1">
      <alignment horizontal="right"/>
    </xf>
    <xf numFmtId="10" fontId="83" fillId="0" borderId="0" xfId="0" applyNumberFormat="1" applyFont="1" applyAlignment="1">
      <alignment horizontal="right"/>
    </xf>
    <xf numFmtId="8" fontId="83" fillId="0" borderId="16" xfId="0" applyNumberFormat="1" applyFont="1" applyBorder="1"/>
    <xf numFmtId="8" fontId="83" fillId="0" borderId="11" xfId="0" applyNumberFormat="1" applyFont="1" applyBorder="1"/>
    <xf numFmtId="8" fontId="83" fillId="0" borderId="0" xfId="0" applyNumberFormat="1" applyFont="1" applyAlignment="1">
      <alignment horizontal="right"/>
    </xf>
    <xf numFmtId="8" fontId="83" fillId="0" borderId="0" xfId="0" applyNumberFormat="1" applyFont="1" applyAlignment="1">
      <alignment vertical="top"/>
    </xf>
    <xf numFmtId="0" fontId="93" fillId="0" borderId="0" xfId="0" applyFont="1"/>
    <xf numFmtId="0" fontId="78" fillId="0" borderId="0" xfId="0" applyFont="1" applyAlignment="1">
      <alignment wrapText="1"/>
    </xf>
    <xf numFmtId="0" fontId="77" fillId="6" borderId="7" xfId="0" applyFont="1" applyFill="1" applyBorder="1" applyAlignment="1">
      <alignment horizontal="left" wrapText="1"/>
    </xf>
    <xf numFmtId="166" fontId="77" fillId="6" borderId="7" xfId="0" applyNumberFormat="1" applyFont="1" applyFill="1" applyBorder="1" applyAlignment="1">
      <alignment horizontal="right"/>
    </xf>
    <xf numFmtId="166" fontId="77" fillId="6" borderId="7" xfId="0" applyNumberFormat="1" applyFont="1" applyFill="1" applyBorder="1" applyAlignment="1">
      <alignment horizontal="left"/>
    </xf>
    <xf numFmtId="8" fontId="77" fillId="6" borderId="7" xfId="0" applyNumberFormat="1" applyFont="1" applyFill="1" applyBorder="1" applyAlignment="1">
      <alignment horizontal="right"/>
    </xf>
    <xf numFmtId="8" fontId="78" fillId="6" borderId="7" xfId="0" applyNumberFormat="1" applyFont="1" applyFill="1" applyBorder="1"/>
    <xf numFmtId="0" fontId="77" fillId="2" borderId="7" xfId="0" applyFont="1" applyFill="1" applyBorder="1" applyAlignment="1">
      <alignment wrapText="1"/>
    </xf>
    <xf numFmtId="166" fontId="77" fillId="2" borderId="7" xfId="0" applyNumberFormat="1" applyFont="1" applyFill="1" applyBorder="1"/>
    <xf numFmtId="8" fontId="77" fillId="2" borderId="7" xfId="0" applyNumberFormat="1" applyFont="1" applyFill="1" applyBorder="1" applyAlignment="1">
      <alignment horizontal="right"/>
    </xf>
    <xf numFmtId="0" fontId="78" fillId="2" borderId="7" xfId="0" applyFont="1" applyFill="1" applyBorder="1" applyAlignment="1">
      <alignment horizontal="left" wrapText="1"/>
    </xf>
    <xf numFmtId="166" fontId="78" fillId="2" borderId="7" xfId="0" applyNumberFormat="1" applyFont="1" applyFill="1" applyBorder="1"/>
    <xf numFmtId="8" fontId="78" fillId="2" borderId="7" xfId="0" applyNumberFormat="1" applyFont="1" applyFill="1" applyBorder="1" applyAlignment="1">
      <alignment horizontal="right"/>
    </xf>
    <xf numFmtId="166" fontId="78" fillId="0" borderId="0" xfId="0" applyNumberFormat="1" applyFont="1" applyAlignment="1">
      <alignment horizontal="left"/>
    </xf>
    <xf numFmtId="166" fontId="77" fillId="0" borderId="7" xfId="0" applyNumberFormat="1" applyFont="1" applyBorder="1" applyAlignment="1">
      <alignment horizontal="right"/>
    </xf>
    <xf numFmtId="0" fontId="78" fillId="4" borderId="0" xfId="0" applyFont="1" applyFill="1" applyAlignment="1">
      <alignment horizontal="left" wrapText="1"/>
    </xf>
    <xf numFmtId="166" fontId="78" fillId="4" borderId="0" xfId="0" applyNumberFormat="1" applyFont="1" applyFill="1" applyAlignment="1">
      <alignment horizontal="left"/>
    </xf>
    <xf numFmtId="166" fontId="78" fillId="4" borderId="0" xfId="0" applyNumberFormat="1" applyFont="1" applyFill="1" applyAlignment="1">
      <alignment horizontal="right"/>
    </xf>
    <xf numFmtId="8" fontId="78" fillId="4" borderId="0" xfId="0" applyNumberFormat="1" applyFont="1" applyFill="1" applyAlignment="1">
      <alignment horizontal="right"/>
    </xf>
    <xf numFmtId="0" fontId="77" fillId="4" borderId="7" xfId="0" applyFont="1" applyFill="1" applyBorder="1" applyAlignment="1">
      <alignment wrapText="1"/>
    </xf>
    <xf numFmtId="0" fontId="77" fillId="0" borderId="7" xfId="0" applyFont="1" applyBorder="1" applyAlignment="1">
      <alignment horizontal="left" wrapText="1"/>
    </xf>
    <xf numFmtId="166" fontId="77" fillId="0" borderId="7" xfId="0" applyNumberFormat="1" applyFont="1" applyBorder="1" applyAlignment="1">
      <alignment horizontal="left"/>
    </xf>
    <xf numFmtId="8" fontId="77" fillId="0" borderId="7" xfId="0" applyNumberFormat="1" applyFont="1" applyBorder="1" applyAlignment="1">
      <alignment horizontal="right"/>
    </xf>
    <xf numFmtId="166" fontId="78" fillId="0" borderId="7" xfId="0" applyNumberFormat="1" applyFont="1" applyBorder="1" applyAlignment="1">
      <alignment horizontal="left"/>
    </xf>
    <xf numFmtId="0" fontId="77" fillId="4" borderId="0" xfId="0" applyFont="1" applyFill="1" applyAlignment="1">
      <alignment wrapText="1"/>
    </xf>
    <xf numFmtId="166" fontId="77" fillId="4" borderId="0" xfId="0" applyNumberFormat="1" applyFont="1" applyFill="1"/>
    <xf numFmtId="0" fontId="77" fillId="0" borderId="7" xfId="0" applyFont="1" applyBorder="1" applyAlignment="1">
      <alignment wrapText="1"/>
    </xf>
    <xf numFmtId="0" fontId="78" fillId="4" borderId="0" xfId="0" applyFont="1" applyFill="1" applyAlignment="1">
      <alignment wrapText="1"/>
    </xf>
    <xf numFmtId="10" fontId="80" fillId="0" borderId="0" xfId="0" applyNumberFormat="1" applyFont="1" applyAlignment="1">
      <alignment horizontal="right"/>
    </xf>
    <xf numFmtId="8" fontId="83" fillId="0" borderId="0" xfId="0" applyNumberFormat="1" applyFont="1"/>
    <xf numFmtId="0" fontId="78" fillId="6" borderId="0" xfId="0" applyFont="1" applyFill="1" applyAlignment="1">
      <alignment horizontal="left" wrapText="1"/>
    </xf>
    <xf numFmtId="166" fontId="78" fillId="6" borderId="0" xfId="0" applyNumberFormat="1" applyFont="1" applyFill="1" applyAlignment="1">
      <alignment horizontal="left"/>
    </xf>
    <xf numFmtId="166" fontId="77" fillId="6" borderId="0" xfId="0" applyNumberFormat="1" applyFont="1" applyFill="1"/>
    <xf numFmtId="8" fontId="78" fillId="6" borderId="0" xfId="0" applyNumberFormat="1" applyFont="1" applyFill="1" applyAlignment="1">
      <alignment horizontal="right"/>
    </xf>
    <xf numFmtId="8" fontId="78" fillId="6" borderId="0" xfId="0" applyNumberFormat="1" applyFont="1" applyFill="1"/>
    <xf numFmtId="0" fontId="77" fillId="0" borderId="0" xfId="0" applyFont="1" applyAlignment="1">
      <alignment horizontal="left" wrapText="1"/>
    </xf>
    <xf numFmtId="166" fontId="77" fillId="0" borderId="0" xfId="0" applyNumberFormat="1" applyFont="1" applyAlignment="1">
      <alignment horizontal="left"/>
    </xf>
    <xf numFmtId="0" fontId="78" fillId="0" borderId="7" xfId="0" applyFont="1" applyBorder="1" applyAlignment="1">
      <alignment wrapText="1"/>
    </xf>
    <xf numFmtId="166" fontId="78" fillId="0" borderId="7" xfId="0" applyNumberFormat="1" applyFont="1" applyBorder="1"/>
    <xf numFmtId="8" fontId="78" fillId="0" borderId="7" xfId="0" applyNumberFormat="1" applyFont="1" applyBorder="1" applyAlignment="1">
      <alignment wrapText="1"/>
    </xf>
    <xf numFmtId="8" fontId="76" fillId="0" borderId="0" xfId="0" applyNumberFormat="1" applyFont="1" applyAlignment="1">
      <alignment horizontal="right"/>
    </xf>
    <xf numFmtId="8" fontId="43" fillId="0" borderId="0" xfId="0" applyNumberFormat="1" applyFont="1"/>
    <xf numFmtId="1" fontId="78" fillId="0" borderId="0" xfId="0" applyNumberFormat="1" applyFont="1" applyAlignment="1">
      <alignment horizontal="right"/>
    </xf>
    <xf numFmtId="8" fontId="78" fillId="0" borderId="13" xfId="0" applyNumberFormat="1" applyFont="1" applyBorder="1"/>
    <xf numFmtId="8" fontId="83" fillId="0" borderId="39" xfId="0" applyNumberFormat="1" applyFont="1" applyBorder="1"/>
    <xf numFmtId="8" fontId="43" fillId="4" borderId="0" xfId="0" applyNumberFormat="1" applyFont="1" applyFill="1"/>
    <xf numFmtId="8" fontId="43" fillId="6" borderId="0" xfId="0" applyNumberFormat="1" applyFont="1" applyFill="1"/>
    <xf numFmtId="8" fontId="43" fillId="0" borderId="7" xfId="0" applyNumberFormat="1" applyFont="1" applyBorder="1"/>
    <xf numFmtId="8" fontId="78" fillId="0" borderId="0" xfId="0" applyNumberFormat="1" applyFont="1" applyAlignment="1">
      <alignment wrapText="1"/>
    </xf>
    <xf numFmtId="1" fontId="94" fillId="0" borderId="0" xfId="0" applyNumberFormat="1" applyFont="1" applyAlignment="1">
      <alignment horizontal="right"/>
    </xf>
    <xf numFmtId="167" fontId="94" fillId="0" borderId="0" xfId="0" applyNumberFormat="1" applyFont="1" applyAlignment="1">
      <alignment horizontal="right"/>
    </xf>
    <xf numFmtId="1" fontId="78" fillId="2" borderId="7" xfId="0" applyNumberFormat="1" applyFont="1" applyFill="1" applyBorder="1" applyAlignment="1">
      <alignment horizontal="right"/>
    </xf>
    <xf numFmtId="1" fontId="78" fillId="0" borderId="7" xfId="0" applyNumberFormat="1" applyFont="1" applyBorder="1" applyAlignment="1">
      <alignment horizontal="right"/>
    </xf>
    <xf numFmtId="8" fontId="77" fillId="0" borderId="7" xfId="0" applyNumberFormat="1" applyFont="1" applyBorder="1"/>
    <xf numFmtId="1" fontId="77" fillId="4" borderId="0" xfId="0" applyNumberFormat="1" applyFont="1" applyFill="1" applyAlignment="1">
      <alignment horizontal="right"/>
    </xf>
    <xf numFmtId="8" fontId="77" fillId="4" borderId="0" xfId="0" applyNumberFormat="1" applyFont="1" applyFill="1"/>
    <xf numFmtId="8" fontId="77" fillId="0" borderId="0" xfId="0" applyNumberFormat="1" applyFont="1" applyAlignment="1">
      <alignment wrapText="1"/>
    </xf>
    <xf numFmtId="1" fontId="77" fillId="0" borderId="0" xfId="0" applyNumberFormat="1" applyFont="1" applyAlignment="1">
      <alignment horizontal="right"/>
    </xf>
    <xf numFmtId="8" fontId="77" fillId="4" borderId="0" xfId="0" applyNumberFormat="1" applyFont="1" applyFill="1" applyAlignment="1">
      <alignment wrapText="1"/>
    </xf>
    <xf numFmtId="1" fontId="95" fillId="4" borderId="0" xfId="0" applyNumberFormat="1" applyFont="1" applyFill="1" applyAlignment="1">
      <alignment horizontal="right"/>
    </xf>
    <xf numFmtId="1" fontId="77" fillId="0" borderId="7" xfId="0" applyNumberFormat="1" applyFont="1" applyBorder="1" applyAlignment="1">
      <alignment horizontal="right"/>
    </xf>
    <xf numFmtId="1" fontId="96" fillId="4" borderId="0" xfId="0" applyNumberFormat="1" applyFont="1" applyFill="1" applyAlignment="1">
      <alignment horizontal="right"/>
    </xf>
    <xf numFmtId="1" fontId="78" fillId="4" borderId="0" xfId="0" applyNumberFormat="1" applyFont="1" applyFill="1" applyAlignment="1">
      <alignment horizontal="right"/>
    </xf>
    <xf numFmtId="1" fontId="96" fillId="4" borderId="0" xfId="0" applyNumberFormat="1" applyFont="1" applyFill="1" applyAlignment="1">
      <alignment horizontal="center"/>
    </xf>
    <xf numFmtId="1" fontId="78" fillId="0" borderId="0" xfId="0" applyNumberFormat="1" applyFont="1"/>
    <xf numFmtId="1" fontId="78" fillId="6" borderId="0" xfId="0" applyNumberFormat="1" applyFont="1" applyFill="1" applyAlignment="1">
      <alignment horizontal="right"/>
    </xf>
    <xf numFmtId="8" fontId="77" fillId="6" borderId="0" xfId="0" applyNumberFormat="1" applyFont="1" applyFill="1"/>
    <xf numFmtId="1" fontId="78" fillId="0" borderId="7" xfId="0" applyNumberFormat="1" applyFont="1" applyBorder="1"/>
    <xf numFmtId="8" fontId="91" fillId="0" borderId="11" xfId="0" applyNumberFormat="1" applyFont="1" applyBorder="1"/>
    <xf numFmtId="1" fontId="78" fillId="0" borderId="0" xfId="0" applyNumberFormat="1" applyFont="1" applyAlignment="1">
      <alignment horizontal="left"/>
    </xf>
    <xf numFmtId="1" fontId="77" fillId="4" borderId="0" xfId="0" applyNumberFormat="1" applyFont="1" applyFill="1"/>
    <xf numFmtId="1" fontId="77" fillId="0" borderId="7" xfId="0" applyNumberFormat="1" applyFont="1" applyBorder="1" applyAlignment="1">
      <alignment horizontal="left"/>
    </xf>
    <xf numFmtId="1" fontId="77" fillId="4" borderId="0" xfId="0" applyNumberFormat="1" applyFont="1" applyFill="1" applyAlignment="1">
      <alignment horizontal="left"/>
    </xf>
    <xf numFmtId="8" fontId="78" fillId="4" borderId="0" xfId="0" applyNumberFormat="1" applyFont="1" applyFill="1" applyAlignment="1">
      <alignment horizontal="left" wrapText="1"/>
    </xf>
    <xf numFmtId="1" fontId="83" fillId="4" borderId="0" xfId="0" applyNumberFormat="1" applyFont="1" applyFill="1" applyAlignment="1">
      <alignment horizontal="right"/>
    </xf>
    <xf numFmtId="167" fontId="83" fillId="4" borderId="0" xfId="0" applyNumberFormat="1" applyFont="1" applyFill="1" applyAlignment="1">
      <alignment horizontal="right"/>
    </xf>
    <xf numFmtId="1" fontId="77" fillId="0" borderId="0" xfId="0" applyNumberFormat="1" applyFont="1" applyAlignment="1">
      <alignment horizontal="left"/>
    </xf>
    <xf numFmtId="0" fontId="78" fillId="4" borderId="7" xfId="0" applyFont="1" applyFill="1" applyBorder="1" applyAlignment="1">
      <alignment wrapText="1"/>
    </xf>
    <xf numFmtId="1" fontId="78" fillId="4" borderId="7" xfId="0" applyNumberFormat="1" applyFont="1" applyFill="1" applyBorder="1"/>
    <xf numFmtId="0" fontId="78" fillId="4" borderId="7" xfId="0" applyFont="1" applyFill="1" applyBorder="1" applyAlignment="1">
      <alignment horizontal="right"/>
    </xf>
    <xf numFmtId="8" fontId="77" fillId="4" borderId="7" xfId="0" applyNumberFormat="1" applyFont="1" applyFill="1" applyBorder="1"/>
    <xf numFmtId="8" fontId="43" fillId="6" borderId="7" xfId="0" applyNumberFormat="1" applyFont="1" applyFill="1" applyBorder="1"/>
    <xf numFmtId="3" fontId="78" fillId="0" borderId="7" xfId="0" applyNumberFormat="1" applyFont="1" applyBorder="1" applyAlignment="1">
      <alignment horizontal="right"/>
    </xf>
    <xf numFmtId="8" fontId="78" fillId="0" borderId="7" xfId="0" applyNumberFormat="1" applyFont="1" applyBorder="1" applyAlignment="1">
      <alignment horizontal="right" vertical="top"/>
    </xf>
    <xf numFmtId="1" fontId="78" fillId="0" borderId="7" xfId="0" applyNumberFormat="1" applyFont="1" applyBorder="1" applyAlignment="1">
      <alignment horizontal="left"/>
    </xf>
    <xf numFmtId="3" fontId="78" fillId="0" borderId="0" xfId="0" applyNumberFormat="1" applyFont="1"/>
    <xf numFmtId="3" fontId="78" fillId="0" borderId="0" xfId="0" applyNumberFormat="1" applyFont="1" applyAlignment="1">
      <alignment horizontal="right"/>
    </xf>
    <xf numFmtId="1" fontId="77" fillId="4" borderId="7" xfId="0" applyNumberFormat="1" applyFont="1" applyFill="1" applyBorder="1" applyAlignment="1">
      <alignment horizontal="right"/>
    </xf>
    <xf numFmtId="1" fontId="77" fillId="0" borderId="0" xfId="0" applyNumberFormat="1" applyFont="1"/>
    <xf numFmtId="0" fontId="77" fillId="6" borderId="7" xfId="0" applyFont="1" applyFill="1" applyBorder="1" applyAlignment="1">
      <alignment wrapText="1"/>
    </xf>
    <xf numFmtId="1" fontId="77" fillId="6" borderId="7" xfId="0" applyNumberFormat="1" applyFont="1" applyFill="1" applyBorder="1"/>
    <xf numFmtId="1" fontId="77" fillId="6" borderId="7" xfId="0" applyNumberFormat="1" applyFont="1" applyFill="1" applyBorder="1" applyAlignment="1">
      <alignment horizontal="right"/>
    </xf>
    <xf numFmtId="8" fontId="77" fillId="6" borderId="7" xfId="0" applyNumberFormat="1" applyFont="1" applyFill="1" applyBorder="1"/>
    <xf numFmtId="1" fontId="77" fillId="4" borderId="7" xfId="0" applyNumberFormat="1" applyFont="1" applyFill="1" applyBorder="1"/>
    <xf numFmtId="0" fontId="78" fillId="0" borderId="0" xfId="0" applyFont="1" applyAlignment="1">
      <alignment horizontal="right" wrapText="1"/>
    </xf>
    <xf numFmtId="0" fontId="78" fillId="4" borderId="7" xfId="0" applyFont="1" applyFill="1" applyBorder="1" applyAlignment="1">
      <alignment horizontal="right" wrapText="1"/>
    </xf>
    <xf numFmtId="1" fontId="78" fillId="4" borderId="7" xfId="0" applyNumberFormat="1" applyFont="1" applyFill="1" applyBorder="1" applyAlignment="1">
      <alignment horizontal="right"/>
    </xf>
    <xf numFmtId="1" fontId="78" fillId="4" borderId="7" xfId="0" applyNumberFormat="1" applyFont="1" applyFill="1" applyBorder="1" applyAlignment="1">
      <alignment horizontal="left"/>
    </xf>
    <xf numFmtId="3" fontId="78" fillId="4" borderId="0" xfId="0" applyNumberFormat="1" applyFont="1" applyFill="1"/>
    <xf numFmtId="3" fontId="78" fillId="4" borderId="0" xfId="0" applyNumberFormat="1" applyFont="1" applyFill="1" applyAlignment="1">
      <alignment horizontal="right"/>
    </xf>
    <xf numFmtId="1" fontId="77" fillId="0" borderId="7" xfId="0" applyNumberFormat="1" applyFont="1" applyBorder="1"/>
    <xf numFmtId="0" fontId="78" fillId="6" borderId="7" xfId="0" applyFont="1" applyFill="1" applyBorder="1" applyAlignment="1">
      <alignment horizontal="left" wrapText="1"/>
    </xf>
    <xf numFmtId="0" fontId="78" fillId="6" borderId="7" xfId="0" applyFont="1" applyFill="1" applyBorder="1" applyAlignment="1">
      <alignment horizontal="right" wrapText="1"/>
    </xf>
    <xf numFmtId="1" fontId="78" fillId="6" borderId="7" xfId="0" applyNumberFormat="1" applyFont="1" applyFill="1" applyBorder="1" applyAlignment="1">
      <alignment horizontal="right"/>
    </xf>
    <xf numFmtId="8" fontId="88" fillId="0" borderId="0" xfId="0" applyNumberFormat="1" applyFont="1"/>
    <xf numFmtId="8" fontId="29" fillId="0" borderId="7" xfId="0" applyNumberFormat="1" applyFont="1" applyBorder="1" applyAlignment="1">
      <alignment horizontal="left" wrapText="1"/>
    </xf>
    <xf numFmtId="8" fontId="87" fillId="0" borderId="0" xfId="0" applyNumberFormat="1" applyFont="1"/>
    <xf numFmtId="8" fontId="87" fillId="2" borderId="7" xfId="0" applyNumberFormat="1" applyFont="1" applyFill="1" applyBorder="1"/>
    <xf numFmtId="8" fontId="98" fillId="5" borderId="7" xfId="0" applyNumberFormat="1" applyFont="1" applyFill="1" applyBorder="1" applyAlignment="1">
      <alignment wrapText="1"/>
    </xf>
    <xf numFmtId="8" fontId="87" fillId="0" borderId="0" xfId="0" applyNumberFormat="1" applyFont="1" applyAlignment="1">
      <alignment wrapText="1"/>
    </xf>
    <xf numFmtId="8" fontId="87" fillId="0" borderId="7" xfId="0" applyNumberFormat="1" applyFont="1" applyBorder="1"/>
    <xf numFmtId="8" fontId="87" fillId="4" borderId="0" xfId="0" applyNumberFormat="1" applyFont="1" applyFill="1" applyAlignment="1">
      <alignment wrapText="1"/>
    </xf>
    <xf numFmtId="8" fontId="87" fillId="0" borderId="7" xfId="0" applyNumberFormat="1" applyFont="1" applyBorder="1" applyAlignment="1">
      <alignment wrapText="1"/>
    </xf>
    <xf numFmtId="8" fontId="87" fillId="4" borderId="7" xfId="0" applyNumberFormat="1" applyFont="1" applyFill="1" applyBorder="1" applyAlignment="1">
      <alignment wrapText="1"/>
    </xf>
    <xf numFmtId="8" fontId="87" fillId="6" borderId="7" xfId="0" applyNumberFormat="1" applyFont="1" applyFill="1" applyBorder="1"/>
    <xf numFmtId="0" fontId="87" fillId="0" borderId="0" xfId="0" applyFont="1" applyAlignment="1">
      <alignment wrapText="1"/>
    </xf>
    <xf numFmtId="8" fontId="87" fillId="4" borderId="7" xfId="0" applyNumberFormat="1" applyFont="1" applyFill="1" applyBorder="1"/>
    <xf numFmtId="0" fontId="47" fillId="0" borderId="0" xfId="0" applyFont="1" applyAlignment="1">
      <alignment wrapText="1"/>
    </xf>
    <xf numFmtId="8" fontId="87" fillId="4" borderId="0" xfId="0" applyNumberFormat="1" applyFont="1" applyFill="1"/>
    <xf numFmtId="8" fontId="47" fillId="0" borderId="0" xfId="0" applyNumberFormat="1" applyFont="1" applyAlignment="1">
      <alignment wrapText="1"/>
    </xf>
    <xf numFmtId="8" fontId="47" fillId="4" borderId="0" xfId="0" applyNumberFormat="1" applyFont="1" applyFill="1" applyAlignment="1">
      <alignment wrapText="1"/>
    </xf>
    <xf numFmtId="8" fontId="87" fillId="6" borderId="0" xfId="0" applyNumberFormat="1" applyFont="1" applyFill="1"/>
    <xf numFmtId="8" fontId="99" fillId="0" borderId="0" xfId="0" applyNumberFormat="1" applyFont="1" applyAlignment="1">
      <alignment wrapText="1"/>
    </xf>
    <xf numFmtId="8" fontId="87" fillId="2" borderId="7" xfId="0" applyNumberFormat="1" applyFont="1" applyFill="1" applyBorder="1" applyAlignment="1">
      <alignment wrapText="1"/>
    </xf>
    <xf numFmtId="8" fontId="87" fillId="6" borderId="0" xfId="0" applyNumberFormat="1" applyFont="1" applyFill="1" applyAlignment="1">
      <alignment wrapText="1"/>
    </xf>
    <xf numFmtId="8" fontId="93" fillId="0" borderId="7" xfId="0" applyNumberFormat="1" applyFont="1" applyBorder="1" applyAlignment="1">
      <alignment wrapText="1"/>
    </xf>
    <xf numFmtId="8" fontId="87" fillId="6" borderId="7" xfId="0" applyNumberFormat="1" applyFont="1" applyFill="1" applyBorder="1" applyAlignment="1">
      <alignment wrapText="1"/>
    </xf>
    <xf numFmtId="8" fontId="100" fillId="0" borderId="0" xfId="0" applyNumberFormat="1" applyFont="1" applyAlignment="1">
      <alignment vertical="top"/>
    </xf>
    <xf numFmtId="0" fontId="77" fillId="2" borderId="7" xfId="0" applyFont="1" applyFill="1" applyBorder="1" applyAlignment="1">
      <alignment horizontal="left" wrapText="1"/>
    </xf>
    <xf numFmtId="1" fontId="77" fillId="2" borderId="7" xfId="0" applyNumberFormat="1" applyFont="1" applyFill="1" applyBorder="1" applyAlignment="1">
      <alignment horizontal="left"/>
    </xf>
    <xf numFmtId="1" fontId="77" fillId="2" borderId="7" xfId="0" applyNumberFormat="1" applyFont="1" applyFill="1" applyBorder="1" applyAlignment="1">
      <alignment horizontal="right"/>
    </xf>
    <xf numFmtId="37" fontId="78" fillId="0" borderId="0" xfId="0" applyNumberFormat="1" applyFont="1"/>
    <xf numFmtId="0" fontId="77" fillId="5" borderId="7" xfId="0" applyFont="1" applyFill="1" applyBorder="1" applyAlignment="1">
      <alignment horizontal="left" wrapText="1"/>
    </xf>
    <xf numFmtId="1" fontId="77" fillId="5" borderId="7" xfId="0" applyNumberFormat="1" applyFont="1" applyFill="1" applyBorder="1" applyAlignment="1">
      <alignment horizontal="left"/>
    </xf>
    <xf numFmtId="3" fontId="78" fillId="5" borderId="7" xfId="0" applyNumberFormat="1" applyFont="1" applyFill="1" applyBorder="1"/>
    <xf numFmtId="1" fontId="77" fillId="5" borderId="7" xfId="0" applyNumberFormat="1" applyFont="1" applyFill="1" applyBorder="1" applyAlignment="1">
      <alignment horizontal="right"/>
    </xf>
    <xf numFmtId="8" fontId="77" fillId="5" borderId="7" xfId="0" applyNumberFormat="1" applyFont="1" applyFill="1" applyBorder="1" applyAlignment="1">
      <alignment horizontal="right"/>
    </xf>
    <xf numFmtId="8" fontId="78" fillId="5" borderId="7" xfId="0" applyNumberFormat="1" applyFont="1" applyFill="1" applyBorder="1"/>
    <xf numFmtId="1" fontId="78" fillId="2" borderId="7" xfId="0" applyNumberFormat="1" applyFont="1" applyFill="1" applyBorder="1" applyAlignment="1">
      <alignment horizontal="left"/>
    </xf>
    <xf numFmtId="8" fontId="85" fillId="0" borderId="7" xfId="0" applyNumberFormat="1" applyFont="1" applyBorder="1" applyAlignment="1">
      <alignment horizontal="left" wrapText="1"/>
    </xf>
    <xf numFmtId="8" fontId="83" fillId="0" borderId="7" xfId="0" applyNumberFormat="1" applyFont="1" applyBorder="1" applyAlignment="1">
      <alignment horizontal="left" wrapText="1"/>
    </xf>
    <xf numFmtId="1" fontId="78" fillId="4" borderId="0" xfId="0" applyNumberFormat="1" applyFont="1" applyFill="1"/>
    <xf numFmtId="1" fontId="78" fillId="4" borderId="0" xfId="0" applyNumberFormat="1" applyFont="1" applyFill="1" applyAlignment="1">
      <alignment horizontal="left"/>
    </xf>
    <xf numFmtId="8" fontId="87" fillId="4" borderId="0" xfId="0" applyNumberFormat="1" applyFont="1" applyFill="1" applyAlignment="1">
      <alignment horizontal="left" wrapText="1"/>
    </xf>
    <xf numFmtId="1" fontId="77" fillId="2" borderId="7" xfId="0" applyNumberFormat="1" applyFont="1" applyFill="1" applyBorder="1"/>
    <xf numFmtId="1" fontId="78" fillId="2" borderId="7" xfId="0" applyNumberFormat="1" applyFont="1" applyFill="1" applyBorder="1"/>
    <xf numFmtId="1" fontId="83" fillId="0" borderId="7" xfId="0" applyNumberFormat="1" applyFont="1" applyBorder="1" applyAlignment="1">
      <alignment horizontal="left"/>
    </xf>
    <xf numFmtId="1" fontId="78" fillId="6" borderId="7" xfId="0" applyNumberFormat="1" applyFont="1" applyFill="1" applyBorder="1"/>
    <xf numFmtId="8" fontId="78" fillId="0" borderId="0" xfId="0" applyNumberFormat="1" applyFont="1" applyAlignment="1">
      <alignment horizontal="right" wrapText="1"/>
    </xf>
    <xf numFmtId="8" fontId="87" fillId="0" borderId="0" xfId="0" applyNumberFormat="1" applyFont="1" applyAlignment="1">
      <alignment horizontal="left" wrapText="1"/>
    </xf>
    <xf numFmtId="8" fontId="99" fillId="0" borderId="0" xfId="0" applyNumberFormat="1" applyFont="1" applyAlignment="1">
      <alignment horizontal="left" wrapText="1"/>
    </xf>
    <xf numFmtId="8" fontId="78" fillId="0" borderId="0" xfId="0" applyNumberFormat="1" applyFont="1" applyAlignment="1">
      <alignment horizontal="left" wrapText="1"/>
    </xf>
    <xf numFmtId="38" fontId="78" fillId="0" borderId="0" xfId="0" applyNumberFormat="1" applyFont="1" applyAlignment="1">
      <alignment horizontal="right" wrapText="1"/>
    </xf>
    <xf numFmtId="8" fontId="83" fillId="0" borderId="11" xfId="0" applyNumberFormat="1" applyFont="1" applyBorder="1" applyAlignment="1">
      <alignment horizontal="right"/>
    </xf>
    <xf numFmtId="8" fontId="87" fillId="0" borderId="0" xfId="0" applyNumberFormat="1" applyFont="1" applyAlignment="1">
      <alignment vertical="center"/>
    </xf>
    <xf numFmtId="8" fontId="87" fillId="0" borderId="7" xfId="0" applyNumberFormat="1" applyFont="1" applyBorder="1" applyAlignment="1">
      <alignment vertical="center"/>
    </xf>
    <xf numFmtId="8" fontId="87" fillId="4" borderId="0" xfId="0" applyNumberFormat="1" applyFont="1" applyFill="1" applyAlignment="1">
      <alignment vertical="center"/>
    </xf>
    <xf numFmtId="8" fontId="101" fillId="0" borderId="0" xfId="0" applyNumberFormat="1" applyFont="1"/>
    <xf numFmtId="8" fontId="87" fillId="4" borderId="7" xfId="0" applyNumberFormat="1" applyFont="1" applyFill="1" applyBorder="1" applyAlignment="1">
      <alignment vertical="center"/>
    </xf>
    <xf numFmtId="0" fontId="77" fillId="6" borderId="0" xfId="0" applyFont="1" applyFill="1" applyAlignment="1">
      <alignment horizontal="left" wrapText="1"/>
    </xf>
    <xf numFmtId="1" fontId="77" fillId="6" borderId="0" xfId="0" applyNumberFormat="1" applyFont="1" applyFill="1"/>
    <xf numFmtId="1" fontId="77" fillId="6" borderId="0" xfId="0" applyNumberFormat="1" applyFont="1" applyFill="1" applyAlignment="1">
      <alignment horizontal="right"/>
    </xf>
    <xf numFmtId="8" fontId="77" fillId="6" borderId="0" xfId="0" applyNumberFormat="1" applyFont="1" applyFill="1" applyAlignment="1">
      <alignment horizontal="right"/>
    </xf>
    <xf numFmtId="1" fontId="77" fillId="6" borderId="0" xfId="0" applyNumberFormat="1" applyFont="1" applyFill="1" applyAlignment="1">
      <alignment horizontal="left"/>
    </xf>
    <xf numFmtId="3" fontId="78" fillId="6" borderId="0" xfId="0" applyNumberFormat="1" applyFont="1" applyFill="1" applyAlignment="1">
      <alignment horizontal="right"/>
    </xf>
    <xf numFmtId="37" fontId="78" fillId="6" borderId="0" xfId="0" applyNumberFormat="1" applyFont="1" applyFill="1" applyAlignment="1">
      <alignment horizontal="right"/>
    </xf>
    <xf numFmtId="1" fontId="96" fillId="0" borderId="0" xfId="0" applyNumberFormat="1" applyFont="1" applyAlignment="1">
      <alignment horizontal="left"/>
    </xf>
    <xf numFmtId="1" fontId="77" fillId="4" borderId="7" xfId="0" applyNumberFormat="1" applyFont="1" applyFill="1" applyBorder="1" applyAlignment="1">
      <alignment horizontal="left"/>
    </xf>
    <xf numFmtId="0" fontId="77" fillId="4" borderId="0" xfId="0" applyFont="1" applyFill="1"/>
    <xf numFmtId="0" fontId="102" fillId="0" borderId="0" xfId="0" applyFont="1"/>
    <xf numFmtId="1" fontId="82" fillId="4" borderId="7" xfId="0" applyNumberFormat="1" applyFont="1" applyFill="1" applyBorder="1" applyAlignment="1">
      <alignment horizontal="right"/>
    </xf>
    <xf numFmtId="1" fontId="83" fillId="4" borderId="7" xfId="0" applyNumberFormat="1" applyFont="1" applyFill="1" applyBorder="1" applyAlignment="1">
      <alignment horizontal="left"/>
    </xf>
    <xf numFmtId="8" fontId="98" fillId="4" borderId="7" xfId="0" applyNumberFormat="1" applyFont="1" applyFill="1" applyBorder="1"/>
    <xf numFmtId="8" fontId="98" fillId="0" borderId="7" xfId="0" applyNumberFormat="1" applyFont="1" applyBorder="1"/>
    <xf numFmtId="8" fontId="93" fillId="7" borderId="7" xfId="0" applyNumberFormat="1" applyFont="1" applyFill="1" applyBorder="1"/>
    <xf numFmtId="0" fontId="87" fillId="4" borderId="0" xfId="0" applyFont="1" applyFill="1" applyAlignment="1">
      <alignment horizontal="left" wrapText="1"/>
    </xf>
    <xf numFmtId="8" fontId="47" fillId="0" borderId="0" xfId="0" applyNumberFormat="1" applyFont="1"/>
    <xf numFmtId="0" fontId="77" fillId="7" borderId="7" xfId="0" applyFont="1" applyFill="1" applyBorder="1" applyAlignment="1">
      <alignment wrapText="1"/>
    </xf>
    <xf numFmtId="1" fontId="77" fillId="7" borderId="7" xfId="0" applyNumberFormat="1" applyFont="1" applyFill="1" applyBorder="1"/>
    <xf numFmtId="1" fontId="77" fillId="7" borderId="7" xfId="0" applyNumberFormat="1" applyFont="1" applyFill="1" applyBorder="1" applyAlignment="1">
      <alignment horizontal="right"/>
    </xf>
    <xf numFmtId="8" fontId="77" fillId="7" borderId="7" xfId="0" applyNumberFormat="1" applyFont="1" applyFill="1" applyBorder="1" applyAlignment="1">
      <alignment horizontal="right"/>
    </xf>
    <xf numFmtId="8" fontId="78" fillId="7" borderId="0" xfId="0" applyNumberFormat="1" applyFont="1" applyFill="1"/>
    <xf numFmtId="8" fontId="78" fillId="7" borderId="7" xfId="0" applyNumberFormat="1" applyFont="1" applyFill="1" applyBorder="1"/>
    <xf numFmtId="8" fontId="77" fillId="7" borderId="7" xfId="0" applyNumberFormat="1" applyFont="1" applyFill="1" applyBorder="1"/>
    <xf numFmtId="8" fontId="78" fillId="4" borderId="0" xfId="0" applyNumberFormat="1" applyFont="1" applyFill="1" applyAlignment="1">
      <alignment wrapText="1"/>
    </xf>
    <xf numFmtId="0" fontId="96" fillId="4" borderId="0" xfId="0" applyFont="1" applyFill="1" applyAlignment="1">
      <alignment horizontal="left" wrapText="1"/>
    </xf>
    <xf numFmtId="1" fontId="103" fillId="4" borderId="7" xfId="0" applyNumberFormat="1" applyFont="1" applyFill="1" applyBorder="1"/>
    <xf numFmtId="1" fontId="83" fillId="0" borderId="0" xfId="0" applyNumberFormat="1" applyFont="1" applyAlignment="1">
      <alignment horizontal="left"/>
    </xf>
    <xf numFmtId="1" fontId="83" fillId="4" borderId="0" xfId="0" applyNumberFormat="1" applyFont="1" applyFill="1" applyAlignment="1">
      <alignment horizontal="left"/>
    </xf>
    <xf numFmtId="0" fontId="77" fillId="6" borderId="0" xfId="0" applyFont="1" applyFill="1" applyAlignment="1">
      <alignment wrapText="1"/>
    </xf>
    <xf numFmtId="8" fontId="77" fillId="4" borderId="7" xfId="0" applyNumberFormat="1" applyFont="1" applyFill="1" applyBorder="1" applyAlignment="1">
      <alignment wrapText="1"/>
    </xf>
    <xf numFmtId="8" fontId="77" fillId="0" borderId="7" xfId="0" applyNumberFormat="1" applyFont="1" applyBorder="1" applyAlignment="1">
      <alignment wrapText="1"/>
    </xf>
    <xf numFmtId="8" fontId="78" fillId="4" borderId="4" xfId="0" applyNumberFormat="1" applyFont="1" applyFill="1" applyBorder="1"/>
    <xf numFmtId="8" fontId="77" fillId="4" borderId="4" xfId="0" applyNumberFormat="1" applyFont="1" applyFill="1" applyBorder="1"/>
    <xf numFmtId="1" fontId="83" fillId="4" borderId="7" xfId="0" applyNumberFormat="1" applyFont="1" applyFill="1" applyBorder="1" applyAlignment="1">
      <alignment horizontal="right"/>
    </xf>
    <xf numFmtId="167" fontId="83" fillId="4" borderId="7" xfId="0" applyNumberFormat="1" applyFont="1" applyFill="1" applyBorder="1" applyAlignment="1">
      <alignment horizontal="right"/>
    </xf>
    <xf numFmtId="8" fontId="43" fillId="0" borderId="0" xfId="0" quotePrefix="1" applyNumberFormat="1" applyFont="1"/>
    <xf numFmtId="8" fontId="104" fillId="0" borderId="0" xfId="0" applyNumberFormat="1" applyFont="1" applyAlignment="1">
      <alignment horizontal="left" wrapText="1"/>
    </xf>
    <xf numFmtId="8" fontId="99" fillId="0" borderId="0" xfId="0" applyNumberFormat="1" applyFont="1"/>
    <xf numFmtId="8" fontId="83" fillId="0" borderId="10" xfId="0" applyNumberFormat="1" applyFont="1" applyBorder="1"/>
    <xf numFmtId="0" fontId="105" fillId="16" borderId="7" xfId="0" applyFont="1" applyFill="1" applyBorder="1"/>
    <xf numFmtId="0" fontId="85" fillId="16" borderId="7" xfId="0" applyFont="1" applyFill="1" applyBorder="1" applyAlignment="1">
      <alignment horizontal="center" wrapText="1"/>
    </xf>
    <xf numFmtId="8" fontId="80" fillId="0" borderId="0" xfId="0" applyNumberFormat="1" applyFont="1" applyAlignment="1">
      <alignment horizontal="right"/>
    </xf>
    <xf numFmtId="8" fontId="80" fillId="5" borderId="7" xfId="0" applyNumberFormat="1" applyFont="1" applyFill="1" applyBorder="1" applyAlignment="1">
      <alignment horizontal="right"/>
    </xf>
    <xf numFmtId="8" fontId="80" fillId="2" borderId="7" xfId="0" applyNumberFormat="1" applyFont="1" applyFill="1" applyBorder="1" applyAlignment="1">
      <alignment horizontal="right"/>
    </xf>
    <xf numFmtId="10" fontId="97" fillId="0" borderId="0" xfId="0" applyNumberFormat="1" applyFont="1" applyAlignment="1">
      <alignment horizontal="right"/>
    </xf>
    <xf numFmtId="8" fontId="82" fillId="0" borderId="11" xfId="0" applyNumberFormat="1" applyFont="1" applyBorder="1" applyAlignment="1">
      <alignment horizontal="right"/>
    </xf>
    <xf numFmtId="8" fontId="80" fillId="0" borderId="7" xfId="0" applyNumberFormat="1" applyFont="1" applyBorder="1" applyAlignment="1">
      <alignment horizontal="right"/>
    </xf>
    <xf numFmtId="8" fontId="78" fillId="0" borderId="7" xfId="0" applyNumberFormat="1" applyFont="1" applyBorder="1" applyAlignment="1">
      <alignment vertical="top"/>
    </xf>
    <xf numFmtId="0" fontId="78" fillId="4" borderId="0" xfId="0" applyFont="1" applyFill="1"/>
    <xf numFmtId="8" fontId="80" fillId="4" borderId="0" xfId="0" applyNumberFormat="1" applyFont="1" applyFill="1" applyAlignment="1">
      <alignment horizontal="right"/>
    </xf>
    <xf numFmtId="8" fontId="78" fillId="4" borderId="0" xfId="0" applyNumberFormat="1" applyFont="1" applyFill="1" applyAlignment="1">
      <alignment vertical="top"/>
    </xf>
    <xf numFmtId="3" fontId="77" fillId="0" borderId="7" xfId="0" applyNumberFormat="1" applyFont="1" applyBorder="1"/>
    <xf numFmtId="8" fontId="78" fillId="0" borderId="0" xfId="0" applyNumberFormat="1" applyFont="1" applyAlignment="1">
      <alignment vertical="top"/>
    </xf>
    <xf numFmtId="8" fontId="78" fillId="4" borderId="7" xfId="0" applyNumberFormat="1" applyFont="1" applyFill="1" applyBorder="1" applyAlignment="1">
      <alignment wrapText="1"/>
    </xf>
    <xf numFmtId="169" fontId="77" fillId="4" borderId="7" xfId="0" applyNumberFormat="1" applyFont="1" applyFill="1" applyBorder="1" applyAlignment="1">
      <alignment horizontal="right"/>
    </xf>
    <xf numFmtId="8" fontId="80" fillId="4" borderId="7" xfId="0" applyNumberFormat="1" applyFont="1" applyFill="1" applyBorder="1" applyAlignment="1">
      <alignment horizontal="right"/>
    </xf>
    <xf numFmtId="8" fontId="87" fillId="5" borderId="7" xfId="0" applyNumberFormat="1" applyFont="1" applyFill="1" applyBorder="1"/>
    <xf numFmtId="8" fontId="77" fillId="5" borderId="7" xfId="0" applyNumberFormat="1" applyFont="1" applyFill="1" applyBorder="1"/>
    <xf numFmtId="8" fontId="76" fillId="5" borderId="7" xfId="0" applyNumberFormat="1" applyFont="1" applyFill="1" applyBorder="1"/>
    <xf numFmtId="8" fontId="106" fillId="0" borderId="0" xfId="0" applyNumberFormat="1" applyFont="1" applyAlignment="1">
      <alignment wrapText="1"/>
    </xf>
    <xf numFmtId="0" fontId="107" fillId="0" borderId="0" xfId="0" applyFont="1"/>
    <xf numFmtId="8" fontId="80" fillId="4" borderId="0" xfId="0" applyNumberFormat="1" applyFont="1" applyFill="1"/>
    <xf numFmtId="8" fontId="82" fillId="0" borderId="10" xfId="0" applyNumberFormat="1" applyFont="1" applyBorder="1" applyAlignment="1">
      <alignment horizontal="right"/>
    </xf>
    <xf numFmtId="0" fontId="77" fillId="4" borderId="7" xfId="0" applyFont="1" applyFill="1" applyBorder="1"/>
    <xf numFmtId="0" fontId="78" fillId="4" borderId="7" xfId="0" applyFont="1" applyFill="1" applyBorder="1" applyAlignment="1">
      <alignment horizontal="left"/>
    </xf>
    <xf numFmtId="1" fontId="78" fillId="4" borderId="0" xfId="0" applyNumberFormat="1" applyFont="1" applyFill="1" applyAlignment="1">
      <alignment horizontal="center"/>
    </xf>
    <xf numFmtId="0" fontId="47" fillId="0" borderId="0" xfId="0" applyFont="1"/>
    <xf numFmtId="0" fontId="47" fillId="0" borderId="7" xfId="0" applyFont="1" applyBorder="1"/>
    <xf numFmtId="0" fontId="47" fillId="2" borderId="7" xfId="0" applyFont="1" applyFill="1" applyBorder="1"/>
    <xf numFmtId="167" fontId="99" fillId="0" borderId="0" xfId="0" applyNumberFormat="1" applyFont="1"/>
    <xf numFmtId="0" fontId="102" fillId="4" borderId="0" xfId="0" applyFont="1" applyFill="1"/>
    <xf numFmtId="0" fontId="47" fillId="4" borderId="0" xfId="0" applyFont="1" applyFill="1"/>
    <xf numFmtId="0" fontId="47" fillId="0" borderId="7" xfId="0" applyFont="1" applyBorder="1" applyAlignment="1">
      <alignment wrapText="1"/>
    </xf>
    <xf numFmtId="0" fontId="78" fillId="2" borderId="42" xfId="0" applyFont="1" applyFill="1" applyBorder="1"/>
    <xf numFmtId="165" fontId="77" fillId="2" borderId="42" xfId="0" applyNumberFormat="1" applyFont="1" applyFill="1" applyBorder="1"/>
    <xf numFmtId="165" fontId="78" fillId="2" borderId="42" xfId="0" applyNumberFormat="1" applyFont="1" applyFill="1" applyBorder="1"/>
    <xf numFmtId="10" fontId="80" fillId="4" borderId="42" xfId="0" applyNumberFormat="1" applyFont="1" applyFill="1" applyBorder="1"/>
    <xf numFmtId="0" fontId="78" fillId="5" borderId="42" xfId="0" applyFont="1" applyFill="1" applyBorder="1"/>
    <xf numFmtId="165" fontId="77" fillId="5" borderId="42" xfId="0" applyNumberFormat="1" applyFont="1" applyFill="1" applyBorder="1"/>
    <xf numFmtId="165" fontId="78" fillId="5" borderId="42" xfId="0" applyNumberFormat="1" applyFont="1" applyFill="1" applyBorder="1"/>
    <xf numFmtId="0" fontId="78" fillId="0" borderId="42" xfId="0" applyFont="1" applyBorder="1"/>
    <xf numFmtId="165" fontId="77" fillId="0" borderId="42" xfId="0" applyNumberFormat="1" applyFont="1" applyBorder="1"/>
    <xf numFmtId="165" fontId="78" fillId="0" borderId="42" xfId="0" applyNumberFormat="1" applyFont="1" applyBorder="1"/>
    <xf numFmtId="10" fontId="80" fillId="0" borderId="42" xfId="0" applyNumberFormat="1" applyFont="1" applyBorder="1"/>
    <xf numFmtId="0" fontId="78" fillId="4" borderId="42" xfId="0" applyFont="1" applyFill="1" applyBorder="1"/>
    <xf numFmtId="165" fontId="77" fillId="4" borderId="42" xfId="0" applyNumberFormat="1" applyFont="1" applyFill="1" applyBorder="1"/>
    <xf numFmtId="165" fontId="78" fillId="4" borderId="42" xfId="0" applyNumberFormat="1" applyFont="1" applyFill="1" applyBorder="1"/>
    <xf numFmtId="0" fontId="78" fillId="2" borderId="41" xfId="0" applyFont="1" applyFill="1" applyBorder="1"/>
    <xf numFmtId="165" fontId="77" fillId="2" borderId="43" xfId="0" applyNumberFormat="1" applyFont="1" applyFill="1" applyBorder="1"/>
    <xf numFmtId="165" fontId="78" fillId="2" borderId="43" xfId="0" applyNumberFormat="1" applyFont="1" applyFill="1" applyBorder="1"/>
    <xf numFmtId="10" fontId="80" fillId="4" borderId="41" xfId="0" applyNumberFormat="1" applyFont="1" applyFill="1" applyBorder="1"/>
    <xf numFmtId="0" fontId="47" fillId="4" borderId="7" xfId="0" applyFont="1" applyFill="1" applyBorder="1" applyAlignment="1">
      <alignment wrapText="1"/>
    </xf>
    <xf numFmtId="0" fontId="47" fillId="5" borderId="7" xfId="0" applyFont="1" applyFill="1" applyBorder="1" applyAlignment="1">
      <alignment wrapText="1"/>
    </xf>
    <xf numFmtId="167" fontId="77" fillId="5" borderId="7" xfId="0" applyNumberFormat="1" applyFont="1" applyFill="1" applyBorder="1" applyAlignment="1">
      <alignment horizontal="left"/>
    </xf>
    <xf numFmtId="167" fontId="77" fillId="5" borderId="7" xfId="0" applyNumberFormat="1" applyFont="1" applyFill="1" applyBorder="1" applyAlignment="1">
      <alignment horizontal="center"/>
    </xf>
    <xf numFmtId="6" fontId="79" fillId="5" borderId="7" xfId="0" applyNumberFormat="1" applyFont="1" applyFill="1" applyBorder="1"/>
    <xf numFmtId="6" fontId="77" fillId="5" borderId="7" xfId="0" applyNumberFormat="1" applyFont="1" applyFill="1" applyBorder="1"/>
    <xf numFmtId="166" fontId="78" fillId="0" borderId="7" xfId="1" applyNumberFormat="1" applyFont="1" applyFill="1" applyBorder="1" applyAlignment="1">
      <alignment horizontal="right"/>
    </xf>
    <xf numFmtId="0" fontId="48" fillId="4" borderId="7" xfId="0" applyFont="1" applyFill="1" applyBorder="1"/>
    <xf numFmtId="167" fontId="78" fillId="4" borderId="7" xfId="0" applyNumberFormat="1" applyFont="1" applyFill="1" applyBorder="1" applyAlignment="1">
      <alignment horizontal="left"/>
    </xf>
    <xf numFmtId="167" fontId="78" fillId="4" borderId="7" xfId="0" applyNumberFormat="1" applyFont="1" applyFill="1" applyBorder="1" applyAlignment="1">
      <alignment horizontal="center"/>
    </xf>
    <xf numFmtId="166" fontId="78" fillId="4" borderId="7" xfId="1" applyNumberFormat="1" applyFont="1" applyFill="1" applyBorder="1" applyAlignment="1">
      <alignment horizontal="right"/>
    </xf>
    <xf numFmtId="6" fontId="79" fillId="4" borderId="7" xfId="0" applyNumberFormat="1" applyFont="1" applyFill="1" applyBorder="1"/>
    <xf numFmtId="6" fontId="78" fillId="4" borderId="7" xfId="0" applyNumberFormat="1" applyFont="1" applyFill="1" applyBorder="1"/>
    <xf numFmtId="0" fontId="47" fillId="4" borderId="7" xfId="0" applyFont="1" applyFill="1" applyBorder="1"/>
    <xf numFmtId="167" fontId="77" fillId="4" borderId="7" xfId="0" applyNumberFormat="1" applyFont="1" applyFill="1" applyBorder="1" applyAlignment="1">
      <alignment horizontal="left"/>
    </xf>
    <xf numFmtId="167" fontId="77" fillId="4" borderId="7" xfId="0" applyNumberFormat="1" applyFont="1" applyFill="1" applyBorder="1" applyAlignment="1">
      <alignment horizontal="center"/>
    </xf>
    <xf numFmtId="6" fontId="80" fillId="4" borderId="7" xfId="0" applyNumberFormat="1" applyFont="1" applyFill="1" applyBorder="1"/>
    <xf numFmtId="6" fontId="78" fillId="0" borderId="7" xfId="0" applyNumberFormat="1" applyFont="1" applyBorder="1"/>
    <xf numFmtId="167" fontId="78" fillId="4" borderId="7" xfId="0" applyNumberFormat="1" applyFont="1" applyFill="1" applyBorder="1"/>
    <xf numFmtId="167" fontId="3" fillId="4" borderId="7" xfId="0" applyNumberFormat="1" applyFont="1" applyFill="1" applyBorder="1"/>
    <xf numFmtId="167" fontId="83" fillId="0" borderId="7" xfId="0" applyNumberFormat="1" applyFont="1" applyBorder="1" applyAlignment="1">
      <alignment horizontal="right"/>
    </xf>
    <xf numFmtId="8" fontId="77" fillId="0" borderId="7" xfId="0" applyNumberFormat="1" applyFont="1" applyBorder="1" applyAlignment="1">
      <alignment horizontal="center"/>
    </xf>
    <xf numFmtId="10" fontId="81" fillId="0" borderId="7" xfId="0" applyNumberFormat="1" applyFont="1" applyBorder="1"/>
    <xf numFmtId="0" fontId="102" fillId="0" borderId="7" xfId="0" applyFont="1" applyBorder="1"/>
    <xf numFmtId="6" fontId="82" fillId="0" borderId="7" xfId="0" applyNumberFormat="1" applyFont="1" applyBorder="1"/>
    <xf numFmtId="6" fontId="83" fillId="0" borderId="7" xfId="0" applyNumberFormat="1" applyFont="1" applyBorder="1"/>
    <xf numFmtId="167" fontId="83" fillId="0" borderId="7" xfId="0" applyNumberFormat="1" applyFont="1" applyBorder="1" applyAlignment="1">
      <alignment horizontal="center"/>
    </xf>
    <xf numFmtId="168" fontId="82" fillId="0" borderId="7" xfId="0" applyNumberFormat="1" applyFont="1" applyBorder="1" applyAlignment="1">
      <alignment horizontal="right"/>
    </xf>
    <xf numFmtId="6" fontId="83" fillId="0" borderId="7" xfId="0" applyNumberFormat="1" applyFont="1" applyBorder="1" applyAlignment="1">
      <alignment horizontal="right"/>
    </xf>
    <xf numFmtId="0" fontId="77" fillId="5" borderId="7" xfId="0" applyFont="1" applyFill="1" applyBorder="1"/>
    <xf numFmtId="6" fontId="78" fillId="5" borderId="7" xfId="0" applyNumberFormat="1" applyFont="1" applyFill="1" applyBorder="1"/>
    <xf numFmtId="167" fontId="78" fillId="5" borderId="7" xfId="0" applyNumberFormat="1" applyFont="1" applyFill="1" applyBorder="1"/>
    <xf numFmtId="167" fontId="78" fillId="5" borderId="7" xfId="0" applyNumberFormat="1" applyFont="1" applyFill="1" applyBorder="1" applyAlignment="1">
      <alignment horizontal="center"/>
    </xf>
    <xf numFmtId="10" fontId="79" fillId="5" borderId="7" xfId="0" applyNumberFormat="1" applyFont="1" applyFill="1" applyBorder="1"/>
    <xf numFmtId="6" fontId="79" fillId="5" borderId="13" xfId="0" applyNumberFormat="1" applyFont="1" applyFill="1" applyBorder="1"/>
    <xf numFmtId="168" fontId="82" fillId="5" borderId="13" xfId="0" applyNumberFormat="1" applyFont="1" applyFill="1" applyBorder="1" applyAlignment="1">
      <alignment horizontal="right"/>
    </xf>
    <xf numFmtId="6" fontId="83" fillId="5" borderId="13" xfId="0" applyNumberFormat="1" applyFont="1" applyFill="1" applyBorder="1" applyAlignment="1">
      <alignment horizontal="right"/>
    </xf>
    <xf numFmtId="6" fontId="78" fillId="5" borderId="13" xfId="0" applyNumberFormat="1" applyFont="1" applyFill="1" applyBorder="1"/>
    <xf numFmtId="8" fontId="77" fillId="5" borderId="7" xfId="0" applyNumberFormat="1" applyFont="1" applyFill="1" applyBorder="1" applyAlignment="1">
      <alignment horizontal="center"/>
    </xf>
    <xf numFmtId="0" fontId="109" fillId="4" borderId="7" xfId="0" applyFont="1" applyFill="1" applyBorder="1"/>
    <xf numFmtId="6" fontId="79" fillId="4" borderId="13" xfId="0" applyNumberFormat="1" applyFont="1" applyFill="1" applyBorder="1"/>
    <xf numFmtId="8" fontId="77" fillId="4" borderId="13" xfId="0" applyNumberFormat="1" applyFont="1" applyFill="1" applyBorder="1"/>
    <xf numFmtId="6" fontId="78" fillId="4" borderId="13" xfId="0" applyNumberFormat="1" applyFont="1" applyFill="1" applyBorder="1"/>
    <xf numFmtId="165" fontId="77" fillId="0" borderId="4" xfId="0" applyNumberFormat="1" applyFont="1" applyBorder="1"/>
    <xf numFmtId="165" fontId="78" fillId="0" borderId="4" xfId="0" applyNumberFormat="1" applyFont="1" applyBorder="1"/>
    <xf numFmtId="0" fontId="78" fillId="4" borderId="40" xfId="0" applyFont="1" applyFill="1" applyBorder="1"/>
    <xf numFmtId="165" fontId="77" fillId="4" borderId="40" xfId="0" applyNumberFormat="1" applyFont="1" applyFill="1" applyBorder="1"/>
    <xf numFmtId="165" fontId="78" fillId="4" borderId="40" xfId="0" applyNumberFormat="1" applyFont="1" applyFill="1" applyBorder="1"/>
    <xf numFmtId="10" fontId="80" fillId="4" borderId="40" xfId="0" applyNumberFormat="1" applyFont="1" applyFill="1" applyBorder="1"/>
    <xf numFmtId="166" fontId="77" fillId="4" borderId="7" xfId="0" applyNumberFormat="1" applyFont="1" applyFill="1" applyBorder="1"/>
    <xf numFmtId="0" fontId="77" fillId="5" borderId="7" xfId="0" applyFont="1" applyFill="1" applyBorder="1" applyAlignment="1">
      <alignment wrapText="1"/>
    </xf>
    <xf numFmtId="166" fontId="77" fillId="5" borderId="7" xfId="0" applyNumberFormat="1" applyFont="1" applyFill="1" applyBorder="1"/>
    <xf numFmtId="166" fontId="78" fillId="5" borderId="7" xfId="0" applyNumberFormat="1" applyFont="1" applyFill="1" applyBorder="1" applyAlignment="1">
      <alignment horizontal="right"/>
    </xf>
    <xf numFmtId="166" fontId="77" fillId="0" borderId="7" xfId="0" applyNumberFormat="1" applyFont="1" applyBorder="1"/>
    <xf numFmtId="8" fontId="14" fillId="5" borderId="7" xfId="0" applyNumberFormat="1" applyFont="1" applyFill="1" applyBorder="1" applyAlignment="1">
      <alignment wrapText="1"/>
    </xf>
    <xf numFmtId="0" fontId="78" fillId="5" borderId="7" xfId="0" applyFont="1" applyFill="1" applyBorder="1" applyAlignment="1">
      <alignment horizontal="left" wrapText="1"/>
    </xf>
    <xf numFmtId="166" fontId="78" fillId="5" borderId="7" xfId="0" applyNumberFormat="1" applyFont="1" applyFill="1" applyBorder="1"/>
    <xf numFmtId="166" fontId="77" fillId="5" borderId="7" xfId="0" applyNumberFormat="1" applyFont="1" applyFill="1" applyBorder="1" applyAlignment="1">
      <alignment horizontal="right"/>
    </xf>
    <xf numFmtId="8" fontId="78" fillId="5" borderId="7" xfId="0" applyNumberFormat="1" applyFont="1" applyFill="1" applyBorder="1" applyAlignment="1">
      <alignment horizontal="right"/>
    </xf>
    <xf numFmtId="166" fontId="78" fillId="4" borderId="7" xfId="0" applyNumberFormat="1" applyFont="1" applyFill="1" applyBorder="1" applyAlignment="1">
      <alignment horizontal="left"/>
    </xf>
    <xf numFmtId="8" fontId="43" fillId="0" borderId="0" xfId="0" applyNumberFormat="1" applyFont="1" applyAlignment="1">
      <alignment horizontal="left" wrapText="1"/>
    </xf>
    <xf numFmtId="8" fontId="78" fillId="0" borderId="0" xfId="0" applyNumberFormat="1" applyFont="1" applyAlignment="1">
      <alignment horizontal="left"/>
    </xf>
    <xf numFmtId="1" fontId="82" fillId="0" borderId="7" xfId="0" applyNumberFormat="1" applyFont="1" applyBorder="1" applyAlignment="1">
      <alignment horizontal="right"/>
    </xf>
    <xf numFmtId="173" fontId="78" fillId="0" borderId="0" xfId="0" applyNumberFormat="1" applyFont="1" applyAlignment="1">
      <alignment horizontal="right"/>
    </xf>
    <xf numFmtId="8" fontId="87" fillId="4" borderId="0" xfId="0" quotePrefix="1" applyNumberFormat="1" applyFont="1" applyFill="1" applyAlignment="1">
      <alignment vertical="center" wrapText="1"/>
    </xf>
    <xf numFmtId="1" fontId="78" fillId="5" borderId="7" xfId="0" applyNumberFormat="1" applyFont="1" applyFill="1" applyBorder="1" applyAlignment="1">
      <alignment horizontal="right"/>
    </xf>
    <xf numFmtId="8" fontId="87" fillId="0" borderId="0" xfId="0" quotePrefix="1" applyNumberFormat="1" applyFont="1" applyAlignment="1">
      <alignment vertical="center" wrapText="1"/>
    </xf>
    <xf numFmtId="8" fontId="78" fillId="0" borderId="7" xfId="0" applyNumberFormat="1" applyFont="1" applyBorder="1" applyAlignment="1">
      <alignment horizontal="left" wrapText="1"/>
    </xf>
    <xf numFmtId="0" fontId="1" fillId="20" borderId="20" xfId="0" applyFont="1" applyFill="1" applyBorder="1" applyAlignment="1">
      <alignment horizontal="center"/>
    </xf>
    <xf numFmtId="0" fontId="1" fillId="20" borderId="21" xfId="0" applyFont="1" applyFill="1" applyBorder="1" applyAlignment="1">
      <alignment horizontal="center"/>
    </xf>
    <xf numFmtId="0" fontId="1" fillId="20" borderId="22" xfId="0" applyFont="1" applyFill="1" applyBorder="1" applyAlignment="1">
      <alignment horizontal="center"/>
    </xf>
    <xf numFmtId="165" fontId="13" fillId="0" borderId="0" xfId="2" applyNumberFormat="1" applyFont="1"/>
    <xf numFmtId="165" fontId="13" fillId="0" borderId="0" xfId="0" applyNumberFormat="1" applyFont="1" applyAlignment="1">
      <alignment horizontal="right"/>
    </xf>
    <xf numFmtId="165" fontId="3" fillId="0" borderId="0" xfId="2" applyNumberFormat="1" applyFont="1"/>
    <xf numFmtId="0" fontId="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111" fillId="21" borderId="34" xfId="0" applyFont="1" applyFill="1" applyBorder="1" applyAlignment="1">
      <alignment horizontal="center" vertical="center" wrapText="1"/>
    </xf>
    <xf numFmtId="0" fontId="111" fillId="21" borderId="34" xfId="0" applyFont="1" applyFill="1" applyBorder="1" applyAlignment="1">
      <alignment horizontal="center" vertical="center"/>
    </xf>
    <xf numFmtId="165" fontId="80" fillId="0" borderId="7" xfId="0" applyNumberFormat="1" applyFont="1" applyBorder="1"/>
    <xf numFmtId="166" fontId="77" fillId="4" borderId="7" xfId="1" applyNumberFormat="1" applyFont="1" applyFill="1" applyBorder="1" applyAlignment="1">
      <alignment horizontal="right"/>
    </xf>
    <xf numFmtId="0" fontId="1" fillId="20" borderId="44" xfId="0" applyFont="1" applyFill="1" applyBorder="1"/>
    <xf numFmtId="0" fontId="1" fillId="20" borderId="42" xfId="0" applyFont="1" applyFill="1" applyBorder="1"/>
    <xf numFmtId="0" fontId="1" fillId="20" borderId="45" xfId="0" applyFont="1" applyFill="1" applyBorder="1"/>
    <xf numFmtId="0" fontId="0" fillId="0" borderId="44" xfId="0" applyBorder="1"/>
    <xf numFmtId="168" fontId="0" fillId="0" borderId="42" xfId="0" applyNumberFormat="1" applyBorder="1"/>
    <xf numFmtId="10" fontId="0" fillId="0" borderId="45" xfId="0" applyNumberFormat="1" applyBorder="1"/>
    <xf numFmtId="0" fontId="0" fillId="2" borderId="44" xfId="0" applyFill="1" applyBorder="1"/>
    <xf numFmtId="168" fontId="0" fillId="2" borderId="42" xfId="0" applyNumberFormat="1" applyFill="1" applyBorder="1"/>
    <xf numFmtId="10" fontId="0" fillId="2" borderId="45" xfId="0" applyNumberFormat="1" applyFill="1" applyBorder="1"/>
    <xf numFmtId="49" fontId="42" fillId="0" borderId="0" xfId="0" applyNumberFormat="1" applyFont="1"/>
    <xf numFmtId="0" fontId="0" fillId="0" borderId="0" xfId="0" applyNumberFormat="1"/>
    <xf numFmtId="165" fontId="83" fillId="4" borderId="4" xfId="0" applyNumberFormat="1" applyFont="1" applyFill="1" applyBorder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53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8" fontId="7" fillId="11" borderId="7" xfId="0" applyNumberFormat="1" applyFont="1" applyFill="1" applyBorder="1" applyAlignment="1">
      <alignment horizontal="left" wrapText="1"/>
    </xf>
    <xf numFmtId="0" fontId="3" fillId="12" borderId="7" xfId="0" applyFont="1" applyFill="1" applyBorder="1"/>
    <xf numFmtId="8" fontId="7" fillId="11" borderId="7" xfId="0" applyNumberFormat="1" applyFont="1" applyFill="1" applyBorder="1" applyAlignment="1">
      <alignment horizontal="left"/>
    </xf>
    <xf numFmtId="0" fontId="53" fillId="0" borderId="28" xfId="0" applyFont="1" applyBorder="1" applyAlignment="1">
      <alignment horizontal="center" wrapText="1"/>
    </xf>
    <xf numFmtId="8" fontId="7" fillId="17" borderId="7" xfId="0" applyNumberFormat="1" applyFont="1" applyFill="1" applyBorder="1" applyAlignment="1">
      <alignment horizontal="left" wrapText="1"/>
    </xf>
    <xf numFmtId="0" fontId="3" fillId="18" borderId="7" xfId="0" applyFont="1" applyFill="1" applyBorder="1"/>
    <xf numFmtId="8" fontId="7" fillId="17" borderId="7" xfId="0" applyNumberFormat="1" applyFont="1" applyFill="1" applyBorder="1" applyAlignment="1">
      <alignment horizontal="left"/>
    </xf>
    <xf numFmtId="168" fontId="0" fillId="0" borderId="0" xfId="0" applyNumberFormat="1" applyAlignment="1">
      <alignment horizontal="left"/>
    </xf>
    <xf numFmtId="0" fontId="53" fillId="0" borderId="7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</cellXfs>
  <cellStyles count="9">
    <cellStyle name="Comma" xfId="1" builtinId="3"/>
    <cellStyle name="Currency" xfId="2" builtinId="4"/>
    <cellStyle name="Currency 2" xfId="5" xr:uid="{6248BE3C-122E-48A7-BADD-F769C4CD68D0}"/>
    <cellStyle name="Hyperlink" xfId="8" builtinId="8"/>
    <cellStyle name="Normal" xfId="0" builtinId="0"/>
    <cellStyle name="Normal 2" xfId="6" xr:uid="{492FF7F5-37A4-4B16-BCBA-1B04F4C6A560}"/>
    <cellStyle name="Normal 3" xfId="4" xr:uid="{7AF0FECC-0CC2-4D6D-A2D7-425ABF74EFE7}"/>
    <cellStyle name="Normal 4" xfId="7" xr:uid="{2815A886-AE64-40EB-B0C2-0561FD044760}"/>
    <cellStyle name="Percent" xfId="3" builtinId="5"/>
  </cellStyles>
  <dxfs count="189">
    <dxf>
      <font>
        <color rgb="FF008000"/>
      </font>
    </dxf>
    <dxf>
      <font>
        <color rgb="FFFF0000"/>
      </font>
    </dxf>
    <dxf>
      <font>
        <color theme="1"/>
      </font>
    </dxf>
    <dxf>
      <font>
        <color rgb="FF008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b/>
        <i val="0"/>
        <color rgb="FF00B05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CC00"/>
      <color rgb="FF70AD47"/>
      <color rgb="FFFF99FF"/>
      <color rgb="FF4472C4"/>
      <color rgb="FFFB6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Williamson central appraisal district</a:t>
            </a:r>
          </a:p>
          <a:p>
            <a:pPr algn="ctr" rtl="0">
              <a:defRPr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5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2022 Approved Budget</a:t>
            </a:r>
          </a:p>
        </cx:rich>
      </cx:tx>
    </cx:title>
    <cx:plotArea>
      <cx:plotAreaRegion>
        <cx:series layoutId="treemap" uniqueId="{ED44D7D8-E5BC-40EC-8D3A-1FE4E07A0297}">
          <cx:dataLabels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lvl="0" algn="ctr" rtl="0">
              <a:defRPr sz="2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</a:rPr>
              <a:t>Williamson Central Appraisal District</a:t>
            </a:r>
          </a:p>
          <a:p>
            <a:pPr lvl="0" algn="ctr" rtl="0">
              <a:defRPr sz="28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2000" b="1" i="0" u="none" strike="noStrike" kern="1200" cap="all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</a:rPr>
              <a:t>2022 Approved Budget - ARB</a:t>
            </a:r>
          </a:p>
        </cx:rich>
      </cx:tx>
    </cx:title>
    <cx:plotArea>
      <cx:plotAreaRegion>
        <cx:series layoutId="treemap" uniqueId="{DE6E578A-9148-4F25-9804-F29797DE3283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</a:defRPr>
                </a:pPr>
                <a:endParaRPr lang="en-US" sz="1000" b="0" i="0" u="none" strike="noStrike" kern="1200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92074</xdr:rowOff>
    </xdr:from>
    <xdr:to>
      <xdr:col>0</xdr:col>
      <xdr:colOff>1404938</xdr:colOff>
      <xdr:row>0</xdr:row>
      <xdr:rowOff>611188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2074"/>
          <a:ext cx="1404938" cy="519114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1084261</xdr:colOff>
      <xdr:row>0</xdr:row>
      <xdr:rowOff>47625</xdr:rowOff>
    </xdr:from>
    <xdr:to>
      <xdr:col>7</xdr:col>
      <xdr:colOff>674687</xdr:colOff>
      <xdr:row>0</xdr:row>
      <xdr:rowOff>609600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4761" y="47625"/>
          <a:ext cx="677864" cy="561975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0355" name="FILTER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E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0356" name="HEADER" hidden="1">
              <a:extLst>
                <a:ext uri="{63B3BB69-23CF-44E3-9099-C40C66FF867C}">
                  <a14:compatExt spid="_x0000_s100356"/>
                </a:ext>
                <a:ext uri="{FF2B5EF4-FFF2-40B4-BE49-F238E27FC236}">
                  <a16:creationId xmlns:a16="http://schemas.microsoft.com/office/drawing/2014/main" id="{00000000-0008-0000-0E00-000004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1387" name="FILTER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F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1388" name="HEADER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F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2405" name="FILTER" hidden="1">
              <a:extLst>
                <a:ext uri="{63B3BB69-23CF-44E3-9099-C40C66FF867C}">
                  <a14:compatExt spid="_x0000_s102405"/>
                </a:ext>
                <a:ext uri="{FF2B5EF4-FFF2-40B4-BE49-F238E27FC236}">
                  <a16:creationId xmlns:a16="http://schemas.microsoft.com/office/drawing/2014/main" id="{00000000-0008-0000-1000-000005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2406" name="HEADER" hidden="1">
              <a:extLst>
                <a:ext uri="{63B3BB69-23CF-44E3-9099-C40C66FF867C}">
                  <a14:compatExt spid="_x0000_s102406"/>
                </a:ext>
                <a:ext uri="{FF2B5EF4-FFF2-40B4-BE49-F238E27FC236}">
                  <a16:creationId xmlns:a16="http://schemas.microsoft.com/office/drawing/2014/main" id="{00000000-0008-0000-1000-000006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8073" name="FILTER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11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8074" name="HEADER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11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9093" name="FILTER" hidden="1">
              <a:extLst>
                <a:ext uri="{63B3BB69-23CF-44E3-9099-C40C66FF867C}">
                  <a14:compatExt spid="_x0000_s89093"/>
                </a:ext>
                <a:ext uri="{FF2B5EF4-FFF2-40B4-BE49-F238E27FC236}">
                  <a16:creationId xmlns:a16="http://schemas.microsoft.com/office/drawing/2014/main" id="{00000000-0008-0000-1200-00000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9094" name="HEADER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1200-00000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7045" name="FILTER" hidden="1">
              <a:extLst>
                <a:ext uri="{63B3BB69-23CF-44E3-9099-C40C66FF867C}">
                  <a14:compatExt spid="_x0000_s87045"/>
                </a:ext>
                <a:ext uri="{FF2B5EF4-FFF2-40B4-BE49-F238E27FC236}">
                  <a16:creationId xmlns:a16="http://schemas.microsoft.com/office/drawing/2014/main" id="{00000000-0008-0000-1300-00000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7046" name="HEADER" hidden="1">
              <a:extLst>
                <a:ext uri="{63B3BB69-23CF-44E3-9099-C40C66FF867C}">
                  <a14:compatExt spid="_x0000_s87046"/>
                </a:ext>
                <a:ext uri="{FF2B5EF4-FFF2-40B4-BE49-F238E27FC236}">
                  <a16:creationId xmlns:a16="http://schemas.microsoft.com/office/drawing/2014/main" id="{00000000-0008-0000-1300-00000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5477" name="FILTER" hidden="1">
              <a:extLst>
                <a:ext uri="{63B3BB69-23CF-44E3-9099-C40C66FF867C}">
                  <a14:compatExt spid="_x0000_s105477"/>
                </a:ext>
                <a:ext uri="{FF2B5EF4-FFF2-40B4-BE49-F238E27FC236}">
                  <a16:creationId xmlns:a16="http://schemas.microsoft.com/office/drawing/2014/main" id="{00000000-0008-0000-1400-00000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5478" name="HEADER" hidden="1">
              <a:extLst>
                <a:ext uri="{63B3BB69-23CF-44E3-9099-C40C66FF867C}">
                  <a14:compatExt spid="_x0000_s105478"/>
                </a:ext>
                <a:ext uri="{FF2B5EF4-FFF2-40B4-BE49-F238E27FC236}">
                  <a16:creationId xmlns:a16="http://schemas.microsoft.com/office/drawing/2014/main" id="{00000000-0008-0000-1400-00000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5717" name="FILTER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1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5718" name="HEADER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1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6499" name="FILTER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1600-00000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6500" name="HEADER" hidden="1">
              <a:extLst>
                <a:ext uri="{63B3BB69-23CF-44E3-9099-C40C66FF867C}">
                  <a14:compatExt spid="_x0000_s106500"/>
                </a:ext>
                <a:ext uri="{FF2B5EF4-FFF2-40B4-BE49-F238E27FC236}">
                  <a16:creationId xmlns:a16="http://schemas.microsoft.com/office/drawing/2014/main" id="{00000000-0008-0000-1600-00000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7525" name="FILTER" hidden="1">
              <a:extLst>
                <a:ext uri="{63B3BB69-23CF-44E3-9099-C40C66FF867C}">
                  <a14:compatExt spid="_x0000_s107525"/>
                </a:ext>
                <a:ext uri="{FF2B5EF4-FFF2-40B4-BE49-F238E27FC236}">
                  <a16:creationId xmlns:a16="http://schemas.microsoft.com/office/drawing/2014/main" id="{00000000-0008-0000-1700-00000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7526" name="HEADER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00000000-0008-0000-1700-00000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135007</xdr:colOff>
      <xdr:row>0</xdr:row>
      <xdr:rowOff>0</xdr:rowOff>
    </xdr:from>
    <xdr:to>
      <xdr:col>0</xdr:col>
      <xdr:colOff>3305519</xdr:colOff>
      <xdr:row>0</xdr:row>
      <xdr:rowOff>597314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007" y="0"/>
          <a:ext cx="3170512" cy="5973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8549" name="FILTER" hidden="1">
              <a:extLst>
                <a:ext uri="{63B3BB69-23CF-44E3-9099-C40C66FF867C}">
                  <a14:compatExt spid="_x0000_s108549"/>
                </a:ext>
                <a:ext uri="{FF2B5EF4-FFF2-40B4-BE49-F238E27FC236}">
                  <a16:creationId xmlns:a16="http://schemas.microsoft.com/office/drawing/2014/main" id="{00000000-0008-0000-1900-00000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8550" name="HEADER" hidden="1">
              <a:extLst>
                <a:ext uri="{63B3BB69-23CF-44E3-9099-C40C66FF867C}">
                  <a14:compatExt spid="_x0000_s108550"/>
                </a:ext>
                <a:ext uri="{FF2B5EF4-FFF2-40B4-BE49-F238E27FC236}">
                  <a16:creationId xmlns:a16="http://schemas.microsoft.com/office/drawing/2014/main" id="{00000000-0008-0000-1900-00000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9573" name="FILTER" hidden="1">
              <a:extLst>
                <a:ext uri="{63B3BB69-23CF-44E3-9099-C40C66FF867C}">
                  <a14:compatExt spid="_x0000_s109573"/>
                </a:ext>
                <a:ext uri="{FF2B5EF4-FFF2-40B4-BE49-F238E27FC236}">
                  <a16:creationId xmlns:a16="http://schemas.microsoft.com/office/drawing/2014/main" id="{00000000-0008-0000-1A00-00000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09574" name="HEADER" hidden="1">
              <a:extLst>
                <a:ext uri="{63B3BB69-23CF-44E3-9099-C40C66FF867C}">
                  <a14:compatExt spid="_x0000_s109574"/>
                </a:ext>
                <a:ext uri="{FF2B5EF4-FFF2-40B4-BE49-F238E27FC236}">
                  <a16:creationId xmlns:a16="http://schemas.microsoft.com/office/drawing/2014/main" id="{00000000-0008-0000-1A00-00000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0599" name="FILTER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1B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0600" name="HEADER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1B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39265" name="FILTER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1C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39266" name="HEADER" hidden="1">
              <a:extLst>
                <a:ext uri="{63B3BB69-23CF-44E3-9099-C40C66FF867C}">
                  <a14:compatExt spid="_x0000_s139266"/>
                </a:ext>
                <a:ext uri="{FF2B5EF4-FFF2-40B4-BE49-F238E27FC236}">
                  <a16:creationId xmlns:a16="http://schemas.microsoft.com/office/drawing/2014/main" id="{00000000-0008-0000-1C00-000002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8789" name="FILTER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1D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8790" name="HEADER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1D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31075" name="FILTER" hidden="1">
              <a:extLst>
                <a:ext uri="{63B3BB69-23CF-44E3-9099-C40C66FF867C}">
                  <a14:compatExt spid="_x0000_s131075"/>
                </a:ext>
                <a:ext uri="{FF2B5EF4-FFF2-40B4-BE49-F238E27FC236}">
                  <a16:creationId xmlns:a16="http://schemas.microsoft.com/office/drawing/2014/main" id="{00000000-0008-0000-1E00-000003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31076" name="HEADER" hidden="1">
              <a:extLst>
                <a:ext uri="{63B3BB69-23CF-44E3-9099-C40C66FF867C}">
                  <a14:compatExt spid="_x0000_s131076"/>
                </a:ext>
                <a:ext uri="{FF2B5EF4-FFF2-40B4-BE49-F238E27FC236}">
                  <a16:creationId xmlns:a16="http://schemas.microsoft.com/office/drawing/2014/main" id="{00000000-0008-0000-1E00-000004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20839" name="FILTER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1F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1623" name="FILTER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21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2641" name="FILTER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2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12642" name="HEADER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2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22883" name="FILTER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23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122884" name="HEADER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23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142875</xdr:colOff>
      <xdr:row>43</xdr:row>
      <xdr:rowOff>161925</xdr:rowOff>
    </xdr:to>
    <xdr:sp macro="" textlink="">
      <xdr:nvSpPr>
        <xdr:cNvPr id="2106" name="Text Box 58" hidden="1">
          <a:extLst>
            <a:ext uri="{FF2B5EF4-FFF2-40B4-BE49-F238E27FC236}">
              <a16:creationId xmlns:a16="http://schemas.microsoft.com/office/drawing/2014/main" id="{00000000-0008-0000-08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295275</xdr:colOff>
      <xdr:row>44</xdr:row>
      <xdr:rowOff>142875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190499</xdr:rowOff>
    </xdr:from>
    <xdr:to>
      <xdr:col>8</xdr:col>
      <xdr:colOff>666749</xdr:colOff>
      <xdr:row>45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091542"/>
              <a:ext cx="7024006" cy="6057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>
    <xdr:from>
      <xdr:col>9</xdr:col>
      <xdr:colOff>57150</xdr:colOff>
      <xdr:row>14</xdr:row>
      <xdr:rowOff>19050</xdr:rowOff>
    </xdr:from>
    <xdr:to>
      <xdr:col>17</xdr:col>
      <xdr:colOff>657226</xdr:colOff>
      <xdr:row>45</xdr:row>
      <xdr:rowOff>133349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A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70964" y="3110593"/>
              <a:ext cx="6652533" cy="6019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 editAs="oneCell">
    <xdr:from>
      <xdr:col>2</xdr:col>
      <xdr:colOff>39239</xdr:colOff>
      <xdr:row>0</xdr:row>
      <xdr:rowOff>133350</xdr:rowOff>
    </xdr:from>
    <xdr:to>
      <xdr:col>6</xdr:col>
      <xdr:colOff>626747</xdr:colOff>
      <xdr:row>4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389" y="133350"/>
          <a:ext cx="3730758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0</xdr:row>
      <xdr:rowOff>85725</xdr:rowOff>
    </xdr:from>
    <xdr:to>
      <xdr:col>15</xdr:col>
      <xdr:colOff>482733</xdr:colOff>
      <xdr:row>4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85725"/>
          <a:ext cx="3730758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1123951</xdr:colOff>
      <xdr:row>0</xdr:row>
      <xdr:rowOff>38101</xdr:rowOff>
    </xdr:from>
    <xdr:to>
      <xdr:col>3</xdr:col>
      <xdr:colOff>177275</xdr:colOff>
      <xdr:row>3</xdr:row>
      <xdr:rowOff>291467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1" y="38101"/>
          <a:ext cx="3428999" cy="831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3973" name="FILTER" hidden="1">
              <a:extLst>
                <a:ext uri="{63B3BB69-23CF-44E3-9099-C40C66FF867C}">
                  <a14:compatExt spid="_x0000_s83973"/>
                </a:ext>
                <a:ext uri="{FF2B5EF4-FFF2-40B4-BE49-F238E27FC236}">
                  <a16:creationId xmlns:a16="http://schemas.microsoft.com/office/drawing/2014/main" id="{00000000-0008-0000-0B00-00000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3974" name="HEADER" hidden="1">
              <a:extLst>
                <a:ext uri="{63B3BB69-23CF-44E3-9099-C40C66FF867C}">
                  <a14:compatExt spid="_x0000_s83974"/>
                </a:ext>
                <a:ext uri="{FF2B5EF4-FFF2-40B4-BE49-F238E27FC236}">
                  <a16:creationId xmlns:a16="http://schemas.microsoft.com/office/drawing/2014/main" id="{00000000-0008-0000-0B00-00000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4997" name="FILTER" hidden="1">
              <a:extLst>
                <a:ext uri="{63B3BB69-23CF-44E3-9099-C40C66FF867C}">
                  <a14:compatExt spid="_x0000_s84997"/>
                </a:ext>
                <a:ext uri="{FF2B5EF4-FFF2-40B4-BE49-F238E27FC236}">
                  <a16:creationId xmlns:a16="http://schemas.microsoft.com/office/drawing/2014/main" id="{00000000-0008-0000-0C00-00000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4998" name="HEADER" hidden="1">
              <a:extLst>
                <a:ext uri="{63B3BB69-23CF-44E3-9099-C40C66FF867C}">
                  <a14:compatExt spid="_x0000_s84998"/>
                </a:ext>
                <a:ext uri="{FF2B5EF4-FFF2-40B4-BE49-F238E27FC236}">
                  <a16:creationId xmlns:a16="http://schemas.microsoft.com/office/drawing/2014/main" id="{00000000-0008-0000-0C00-00000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6021" name="FILTER" hidden="1">
              <a:extLst>
                <a:ext uri="{63B3BB69-23CF-44E3-9099-C40C66FF867C}">
                  <a14:compatExt spid="_x0000_s86021"/>
                </a:ext>
                <a:ext uri="{FF2B5EF4-FFF2-40B4-BE49-F238E27FC236}">
                  <a16:creationId xmlns:a16="http://schemas.microsoft.com/office/drawing/2014/main" id="{00000000-0008-0000-0D00-00000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489857</xdr:colOff>
          <xdr:row>1</xdr:row>
          <xdr:rowOff>38100</xdr:rowOff>
        </xdr:to>
        <xdr:sp macro="" textlink="">
          <xdr:nvSpPr>
            <xdr:cNvPr id="86022" name="HEADER" hidden="1">
              <a:extLst>
                <a:ext uri="{63B3BB69-23CF-44E3-9099-C40C66FF867C}">
                  <a14:compatExt spid="_x0000_s86022"/>
                </a:ext>
                <a:ext uri="{FF2B5EF4-FFF2-40B4-BE49-F238E27FC236}">
                  <a16:creationId xmlns:a16="http://schemas.microsoft.com/office/drawing/2014/main" id="{00000000-0008-0000-0D00-00000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mberly Gamboa" id="{C2C51652-F7FA-4E0E-B7E1-4A4ED2DE50FE}" userId="Kimberly Gamboa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A67ABA32-1B6F-43CF-B617-840F0FE0227D}">
    <text>we actually di 50% - 5.15.18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personId="{C2C51652-F7FA-4E0E-B7E1-4A4ED2DE50FE}" id="{EFED5C70-84C2-4E9A-9250-CC4C77461078}">
    <text>we actually di 50% - 5.15.18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4.xml"/><Relationship Id="rId5" Type="http://schemas.openxmlformats.org/officeDocument/2006/relationships/image" Target="../media/image5.emf"/><Relationship Id="rId4" Type="http://schemas.openxmlformats.org/officeDocument/2006/relationships/control" Target="../activeX/activeX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6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6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8.xml"/><Relationship Id="rId5" Type="http://schemas.openxmlformats.org/officeDocument/2006/relationships/image" Target="../media/image5.emf"/><Relationship Id="rId4" Type="http://schemas.openxmlformats.org/officeDocument/2006/relationships/control" Target="../activeX/activeX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6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10.xml"/><Relationship Id="rId5" Type="http://schemas.openxmlformats.org/officeDocument/2006/relationships/image" Target="../media/image5.emf"/><Relationship Id="rId4" Type="http://schemas.openxmlformats.org/officeDocument/2006/relationships/control" Target="../activeX/activeX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6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12.xml"/><Relationship Id="rId5" Type="http://schemas.openxmlformats.org/officeDocument/2006/relationships/image" Target="../media/image5.emf"/><Relationship Id="rId4" Type="http://schemas.openxmlformats.org/officeDocument/2006/relationships/control" Target="../activeX/activeX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5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14.xml"/><Relationship Id="rId5" Type="http://schemas.openxmlformats.org/officeDocument/2006/relationships/image" Target="../media/image6.emf"/><Relationship Id="rId4" Type="http://schemas.openxmlformats.org/officeDocument/2006/relationships/control" Target="../activeX/activeX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5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16.xml"/><Relationship Id="rId5" Type="http://schemas.openxmlformats.org/officeDocument/2006/relationships/image" Target="../media/image6.emf"/><Relationship Id="rId4" Type="http://schemas.openxmlformats.org/officeDocument/2006/relationships/control" Target="../activeX/activeX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5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18.xml"/><Relationship Id="rId5" Type="http://schemas.openxmlformats.org/officeDocument/2006/relationships/image" Target="../media/image6.emf"/><Relationship Id="rId4" Type="http://schemas.openxmlformats.org/officeDocument/2006/relationships/control" Target="../activeX/activeX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5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20.xml"/><Relationship Id="rId5" Type="http://schemas.openxmlformats.org/officeDocument/2006/relationships/image" Target="../media/image6.emf"/><Relationship Id="rId4" Type="http://schemas.openxmlformats.org/officeDocument/2006/relationships/control" Target="../activeX/activeX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5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22.xml"/><Relationship Id="rId5" Type="http://schemas.openxmlformats.org/officeDocument/2006/relationships/image" Target="../media/image6.emf"/><Relationship Id="rId4" Type="http://schemas.openxmlformats.org/officeDocument/2006/relationships/control" Target="../activeX/activeX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5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24.xml"/><Relationship Id="rId5" Type="http://schemas.openxmlformats.org/officeDocument/2006/relationships/image" Target="../media/image6.emf"/><Relationship Id="rId4" Type="http://schemas.openxmlformats.org/officeDocument/2006/relationships/control" Target="../activeX/activeX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5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26.xml"/><Relationship Id="rId5" Type="http://schemas.openxmlformats.org/officeDocument/2006/relationships/image" Target="../media/image6.emf"/><Relationship Id="rId4" Type="http://schemas.openxmlformats.org/officeDocument/2006/relationships/control" Target="../activeX/activeX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image" Target="../media/image5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28.xml"/><Relationship Id="rId5" Type="http://schemas.openxmlformats.org/officeDocument/2006/relationships/image" Target="../media/image6.emf"/><Relationship Id="rId4" Type="http://schemas.openxmlformats.org/officeDocument/2006/relationships/control" Target="../activeX/activeX2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image" Target="../media/image5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Relationship Id="rId6" Type="http://schemas.openxmlformats.org/officeDocument/2006/relationships/control" Target="../activeX/activeX30.xml"/><Relationship Id="rId5" Type="http://schemas.openxmlformats.org/officeDocument/2006/relationships/image" Target="../media/image6.emf"/><Relationship Id="rId4" Type="http://schemas.openxmlformats.org/officeDocument/2006/relationships/control" Target="../activeX/activeX2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image" Target="../media/image5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32.xml"/><Relationship Id="rId5" Type="http://schemas.openxmlformats.org/officeDocument/2006/relationships/image" Target="../media/image6.emf"/><Relationship Id="rId4" Type="http://schemas.openxmlformats.org/officeDocument/2006/relationships/control" Target="../activeX/activeX3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image" Target="../media/image5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Relationship Id="rId6" Type="http://schemas.openxmlformats.org/officeDocument/2006/relationships/control" Target="../activeX/activeX34.xml"/><Relationship Id="rId5" Type="http://schemas.openxmlformats.org/officeDocument/2006/relationships/image" Target="../media/image6.emf"/><Relationship Id="rId4" Type="http://schemas.openxmlformats.org/officeDocument/2006/relationships/control" Target="../activeX/activeX3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image" Target="../media/image5.emf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Relationship Id="rId6" Type="http://schemas.openxmlformats.org/officeDocument/2006/relationships/control" Target="../activeX/activeX36.xml"/><Relationship Id="rId5" Type="http://schemas.openxmlformats.org/officeDocument/2006/relationships/image" Target="../media/image6.emf"/><Relationship Id="rId4" Type="http://schemas.openxmlformats.org/officeDocument/2006/relationships/control" Target="../activeX/activeX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5.emf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Relationship Id="rId6" Type="http://schemas.openxmlformats.org/officeDocument/2006/relationships/control" Target="../activeX/activeX38.xml"/><Relationship Id="rId5" Type="http://schemas.openxmlformats.org/officeDocument/2006/relationships/image" Target="../media/image6.emf"/><Relationship Id="rId4" Type="http://schemas.openxmlformats.org/officeDocument/2006/relationships/control" Target="../activeX/activeX37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7.emf"/><Relationship Id="rId4" Type="http://schemas.openxmlformats.org/officeDocument/2006/relationships/control" Target="../activeX/activeX3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7.emf"/><Relationship Id="rId4" Type="http://schemas.openxmlformats.org/officeDocument/2006/relationships/control" Target="../activeX/activeX40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7" Type="http://schemas.openxmlformats.org/officeDocument/2006/relationships/image" Target="../media/image6.emf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Relationship Id="rId6" Type="http://schemas.openxmlformats.org/officeDocument/2006/relationships/control" Target="../activeX/activeX42.xml"/><Relationship Id="rId5" Type="http://schemas.openxmlformats.org/officeDocument/2006/relationships/image" Target="../media/image5.emf"/><Relationship Id="rId4" Type="http://schemas.openxmlformats.org/officeDocument/2006/relationships/control" Target="../activeX/activeX41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7" Type="http://schemas.openxmlformats.org/officeDocument/2006/relationships/image" Target="../media/image5.emf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Relationship Id="rId6" Type="http://schemas.openxmlformats.org/officeDocument/2006/relationships/control" Target="../activeX/activeX44.xml"/><Relationship Id="rId5" Type="http://schemas.openxmlformats.org/officeDocument/2006/relationships/image" Target="../media/image6.emf"/><Relationship Id="rId4" Type="http://schemas.openxmlformats.org/officeDocument/2006/relationships/control" Target="../activeX/activeX4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40" zoomScaleNormal="140" workbookViewId="0">
      <pane ySplit="2" topLeftCell="A24" activePane="bottomLeft" state="frozen"/>
      <selection pane="bottomLeft" sqref="A1:H1"/>
    </sheetView>
  </sheetViews>
  <sheetFormatPr defaultRowHeight="14.6" x14ac:dyDescent="0.4"/>
  <cols>
    <col min="1" max="1" width="47.69140625" customWidth="1"/>
    <col min="2" max="2" width="12.3046875" bestFit="1" customWidth="1"/>
    <col min="3" max="6" width="12.3046875" customWidth="1"/>
    <col min="7" max="7" width="13.15234375" customWidth="1"/>
    <col min="8" max="8" width="13.84375" customWidth="1"/>
    <col min="9" max="9" width="10.53515625" customWidth="1"/>
    <col min="11" max="11" width="114.3046875" bestFit="1" customWidth="1"/>
    <col min="12" max="13" width="0" hidden="1" customWidth="1"/>
  </cols>
  <sheetData>
    <row r="1" spans="1:11" ht="49.5" customHeight="1" x14ac:dyDescent="0.7">
      <c r="A1" s="968" t="s">
        <v>0</v>
      </c>
      <c r="B1" s="968"/>
      <c r="C1" s="968"/>
      <c r="D1" s="968"/>
      <c r="E1" s="968"/>
      <c r="F1" s="968"/>
      <c r="G1" s="968"/>
      <c r="H1" s="968"/>
    </row>
    <row r="2" spans="1:11" ht="42" customHeight="1" x14ac:dyDescent="0.4">
      <c r="A2" s="319" t="s">
        <v>1</v>
      </c>
      <c r="B2" s="320" t="s">
        <v>2</v>
      </c>
      <c r="C2" s="320" t="s">
        <v>3</v>
      </c>
      <c r="D2" s="321" t="s">
        <v>4</v>
      </c>
      <c r="E2" s="320" t="s">
        <v>5</v>
      </c>
      <c r="F2" s="321" t="s">
        <v>6</v>
      </c>
      <c r="G2" s="320" t="s">
        <v>7</v>
      </c>
      <c r="H2" s="321" t="s">
        <v>8</v>
      </c>
    </row>
    <row r="3" spans="1:11" x14ac:dyDescent="0.4">
      <c r="A3" s="260" t="s">
        <v>9</v>
      </c>
      <c r="B3" s="261">
        <v>4650100</v>
      </c>
      <c r="C3" s="262">
        <f>SUM('1% Overview'!J3)</f>
        <v>4758900</v>
      </c>
      <c r="D3" s="327">
        <f>(C3-B3)/B3</f>
        <v>2.3397346293628093E-2</v>
      </c>
      <c r="E3" s="262">
        <f>SUM('2% Overview'!J3)</f>
        <v>4781600</v>
      </c>
      <c r="F3" s="327">
        <f>(E3-B3)/B3</f>
        <v>2.8278961742758221E-2</v>
      </c>
      <c r="G3" s="262">
        <f>SUM('3% Overview'!K3)</f>
        <v>5200600</v>
      </c>
      <c r="H3" s="327">
        <f>(G3-B3)/B3</f>
        <v>0.11838455086987376</v>
      </c>
    </row>
    <row r="4" spans="1:11" x14ac:dyDescent="0.4">
      <c r="A4" s="167" t="s">
        <v>10</v>
      </c>
      <c r="B4" s="168">
        <v>265800</v>
      </c>
      <c r="C4" s="257">
        <f>SUM('1% Overview'!J4)</f>
        <v>269300</v>
      </c>
      <c r="D4" s="328">
        <f>(C4-B4)/B4</f>
        <v>1.3167795334838224E-2</v>
      </c>
      <c r="E4" s="257">
        <f>SUM('2% Overview'!J4)</f>
        <v>269300</v>
      </c>
      <c r="F4" s="328">
        <f t="shared" ref="F4:F31" si="0">(E4-B4)/B4</f>
        <v>1.3167795334838224E-2</v>
      </c>
      <c r="G4" s="257">
        <f>SUM('3% Overview'!K4)</f>
        <v>319100</v>
      </c>
      <c r="H4" s="328">
        <f t="shared" ref="H4:H23" si="1">(G4-B4)/B4</f>
        <v>0.20052671181339352</v>
      </c>
    </row>
    <row r="5" spans="1:11" x14ac:dyDescent="0.4">
      <c r="A5" s="161" t="s">
        <v>11</v>
      </c>
      <c r="B5" s="258">
        <v>675600</v>
      </c>
      <c r="C5" s="259">
        <f>SUM('1% Overview'!J5)</f>
        <v>656400</v>
      </c>
      <c r="D5" s="329">
        <f t="shared" ref="D5:D31" si="2">(C5-B5)/B5</f>
        <v>-2.8419182948490232E-2</v>
      </c>
      <c r="E5" s="259">
        <f>SUM('2% Overview'!J5)</f>
        <v>656400</v>
      </c>
      <c r="F5" s="329">
        <f t="shared" si="0"/>
        <v>-2.8419182948490232E-2</v>
      </c>
      <c r="G5" s="259">
        <f>SUM('3% Overview'!K5)</f>
        <v>729800</v>
      </c>
      <c r="H5" s="329">
        <f t="shared" si="1"/>
        <v>8.0224985198342216E-2</v>
      </c>
    </row>
    <row r="6" spans="1:11" x14ac:dyDescent="0.4">
      <c r="A6" s="167" t="s">
        <v>12</v>
      </c>
      <c r="B6" s="250">
        <v>882200</v>
      </c>
      <c r="C6" s="257">
        <f>SUM('1% Overview'!J6)</f>
        <v>903500</v>
      </c>
      <c r="D6" s="328">
        <f t="shared" si="2"/>
        <v>2.414418499206529E-2</v>
      </c>
      <c r="E6" s="257">
        <f>SUM('2% Overview'!J6)</f>
        <v>907800</v>
      </c>
      <c r="F6" s="328">
        <f t="shared" si="0"/>
        <v>2.9018363182951711E-2</v>
      </c>
      <c r="G6" s="257">
        <f>SUM('3% Overview'!K6)</f>
        <v>1000600</v>
      </c>
      <c r="H6" s="328">
        <f t="shared" si="1"/>
        <v>0.13420992972115167</v>
      </c>
    </row>
    <row r="7" spans="1:11" x14ac:dyDescent="0.4">
      <c r="A7" s="161" t="s">
        <v>13</v>
      </c>
      <c r="B7" s="258">
        <v>8900</v>
      </c>
      <c r="C7" s="259">
        <f>SUM('1% Overview'!J7)</f>
        <v>8900</v>
      </c>
      <c r="D7" s="329">
        <f t="shared" si="2"/>
        <v>0</v>
      </c>
      <c r="E7" s="259">
        <f>SUM('2% Overview'!J7)</f>
        <v>8900</v>
      </c>
      <c r="F7" s="329">
        <f t="shared" si="0"/>
        <v>0</v>
      </c>
      <c r="G7" s="259">
        <f>SUM('3% Overview'!K7)</f>
        <v>8900</v>
      </c>
      <c r="H7" s="329">
        <f t="shared" si="1"/>
        <v>0</v>
      </c>
    </row>
    <row r="8" spans="1:11" x14ac:dyDescent="0.4">
      <c r="A8" s="167" t="s">
        <v>14</v>
      </c>
      <c r="B8" s="250">
        <v>71000</v>
      </c>
      <c r="C8" s="257">
        <f>SUM('1% Overview'!J8)</f>
        <v>72600</v>
      </c>
      <c r="D8" s="328">
        <f t="shared" si="2"/>
        <v>2.2535211267605635E-2</v>
      </c>
      <c r="E8" s="257">
        <f>SUM('2% Overview'!J8)</f>
        <v>72900</v>
      </c>
      <c r="F8" s="328">
        <f t="shared" si="0"/>
        <v>2.6760563380281689E-2</v>
      </c>
      <c r="G8" s="257">
        <f>SUM('3% Overview'!K8)</f>
        <v>79700</v>
      </c>
      <c r="H8" s="328">
        <f t="shared" si="1"/>
        <v>0.12253521126760564</v>
      </c>
      <c r="K8" t="s">
        <v>15</v>
      </c>
    </row>
    <row r="9" spans="1:11" x14ac:dyDescent="0.4">
      <c r="A9" s="161" t="s">
        <v>16</v>
      </c>
      <c r="B9" s="258">
        <v>13600</v>
      </c>
      <c r="C9" s="259">
        <f>SUM('1% Overview'!J9)</f>
        <v>13900</v>
      </c>
      <c r="D9" s="329">
        <f t="shared" si="2"/>
        <v>2.2058823529411766E-2</v>
      </c>
      <c r="E9" s="259">
        <f>SUM('2% Overview'!J9)</f>
        <v>13900</v>
      </c>
      <c r="F9" s="329">
        <f t="shared" si="0"/>
        <v>2.2058823529411766E-2</v>
      </c>
      <c r="G9" s="259">
        <f>SUM('3% Overview'!K9)</f>
        <v>13900</v>
      </c>
      <c r="H9" s="329">
        <f t="shared" si="1"/>
        <v>2.2058823529411766E-2</v>
      </c>
      <c r="K9" t="s">
        <v>17</v>
      </c>
    </row>
    <row r="10" spans="1:11" x14ac:dyDescent="0.4">
      <c r="A10" s="167" t="s">
        <v>18</v>
      </c>
      <c r="B10" s="250">
        <v>210900</v>
      </c>
      <c r="C10" s="257">
        <f>SUM('1% Overview'!J10)</f>
        <v>228000</v>
      </c>
      <c r="D10" s="328">
        <f t="shared" si="2"/>
        <v>8.1081081081081086E-2</v>
      </c>
      <c r="E10" s="257">
        <f>SUM('2% Overview'!J10)</f>
        <v>228000</v>
      </c>
      <c r="F10" s="328">
        <f t="shared" si="0"/>
        <v>8.1081081081081086E-2</v>
      </c>
      <c r="G10" s="257">
        <f>SUM('3% Overview'!K10)</f>
        <v>228000</v>
      </c>
      <c r="H10" s="328">
        <f t="shared" si="1"/>
        <v>8.1081081081081086E-2</v>
      </c>
      <c r="K10" t="s">
        <v>19</v>
      </c>
    </row>
    <row r="11" spans="1:11" x14ac:dyDescent="0.4">
      <c r="A11" s="161" t="s">
        <v>20</v>
      </c>
      <c r="B11" s="258">
        <v>85000</v>
      </c>
      <c r="C11" s="259">
        <f>SUM('1% Overview'!J11)</f>
        <v>97100</v>
      </c>
      <c r="D11" s="329">
        <f t="shared" si="2"/>
        <v>0.1423529411764706</v>
      </c>
      <c r="E11" s="259">
        <f>SUM('2% Overview'!J11)</f>
        <v>97100</v>
      </c>
      <c r="F11" s="329">
        <f t="shared" si="0"/>
        <v>0.1423529411764706</v>
      </c>
      <c r="G11" s="259">
        <f>SUM('3% Overview'!K11)</f>
        <v>97100</v>
      </c>
      <c r="H11" s="329">
        <f t="shared" si="1"/>
        <v>0.1423529411764706</v>
      </c>
      <c r="K11" t="s">
        <v>21</v>
      </c>
    </row>
    <row r="12" spans="1:11" x14ac:dyDescent="0.4">
      <c r="A12" s="167" t="s">
        <v>22</v>
      </c>
      <c r="B12" s="250">
        <v>7200</v>
      </c>
      <c r="C12" s="257">
        <f>SUM('1% Overview'!J12)</f>
        <v>7200</v>
      </c>
      <c r="D12" s="328">
        <f t="shared" si="2"/>
        <v>0</v>
      </c>
      <c r="E12" s="257">
        <f>SUM('2% Overview'!J12)</f>
        <v>7200</v>
      </c>
      <c r="F12" s="328">
        <f t="shared" si="0"/>
        <v>0</v>
      </c>
      <c r="G12" s="257">
        <f>SUM('3% Overview'!K12)</f>
        <v>7200</v>
      </c>
      <c r="H12" s="328">
        <f t="shared" si="1"/>
        <v>0</v>
      </c>
      <c r="K12" t="s">
        <v>23</v>
      </c>
    </row>
    <row r="13" spans="1:11" x14ac:dyDescent="0.4">
      <c r="A13" s="247" t="s">
        <v>24</v>
      </c>
      <c r="B13" s="248">
        <v>80800</v>
      </c>
      <c r="C13" s="259">
        <f>SUM('1% Overview'!J13)</f>
        <v>87700</v>
      </c>
      <c r="D13" s="329">
        <f t="shared" si="2"/>
        <v>8.5396039603960402E-2</v>
      </c>
      <c r="E13" s="259">
        <f>SUM('2% Overview'!J13)</f>
        <v>87700</v>
      </c>
      <c r="F13" s="329">
        <f t="shared" si="0"/>
        <v>8.5396039603960402E-2</v>
      </c>
      <c r="G13" s="249">
        <f>SUM('3% Overview'!K13)</f>
        <v>87700</v>
      </c>
      <c r="H13" s="335">
        <f t="shared" si="1"/>
        <v>8.5396039603960402E-2</v>
      </c>
      <c r="K13" t="s">
        <v>25</v>
      </c>
    </row>
    <row r="14" spans="1:11" x14ac:dyDescent="0.4">
      <c r="A14" s="167" t="s">
        <v>26</v>
      </c>
      <c r="B14" s="250">
        <v>13500</v>
      </c>
      <c r="C14" s="257">
        <f>SUM('1% Overview'!J14)</f>
        <v>13400</v>
      </c>
      <c r="D14" s="328">
        <f t="shared" si="2"/>
        <v>-7.4074074074074077E-3</v>
      </c>
      <c r="E14" s="257">
        <f>SUM('2% Overview'!J14)</f>
        <v>13400</v>
      </c>
      <c r="F14" s="328">
        <f t="shared" si="0"/>
        <v>-7.4074074074074077E-3</v>
      </c>
      <c r="G14" s="251">
        <f>SUM('3% Overview'!K14)</f>
        <v>13400</v>
      </c>
      <c r="H14" s="336">
        <f t="shared" si="1"/>
        <v>-7.4074074074074077E-3</v>
      </c>
      <c r="K14" t="s">
        <v>27</v>
      </c>
    </row>
    <row r="15" spans="1:11" x14ac:dyDescent="0.4">
      <c r="A15" s="161" t="s">
        <v>28</v>
      </c>
      <c r="B15" s="258">
        <v>111700</v>
      </c>
      <c r="C15" s="259">
        <f>SUM('1% Overview'!J15)</f>
        <v>123400</v>
      </c>
      <c r="D15" s="329">
        <f t="shared" si="2"/>
        <v>0.10474485228290063</v>
      </c>
      <c r="E15" s="259">
        <f>SUM('2% Overview'!J15)</f>
        <v>123400</v>
      </c>
      <c r="F15" s="329">
        <f t="shared" si="0"/>
        <v>0.10474485228290063</v>
      </c>
      <c r="G15" s="259">
        <f>SUM('3% Overview'!K15)</f>
        <v>123400</v>
      </c>
      <c r="H15" s="329">
        <f t="shared" si="1"/>
        <v>0.10474485228290063</v>
      </c>
    </row>
    <row r="16" spans="1:11" x14ac:dyDescent="0.4">
      <c r="A16" s="167" t="s">
        <v>29</v>
      </c>
      <c r="B16" s="250">
        <v>40000</v>
      </c>
      <c r="C16" s="257">
        <f>SUM('1% Overview'!J16)</f>
        <v>41100</v>
      </c>
      <c r="D16" s="328">
        <f t="shared" si="2"/>
        <v>2.75E-2</v>
      </c>
      <c r="E16" s="257">
        <f>SUM('2% Overview'!J16)</f>
        <v>41100</v>
      </c>
      <c r="F16" s="328">
        <f t="shared" si="0"/>
        <v>2.75E-2</v>
      </c>
      <c r="G16" s="251">
        <f>SUM('3% Overview'!K16)</f>
        <v>41100</v>
      </c>
      <c r="H16" s="336">
        <f t="shared" si="1"/>
        <v>2.75E-2</v>
      </c>
    </row>
    <row r="17" spans="1:8" x14ac:dyDescent="0.4">
      <c r="A17" s="247" t="s">
        <v>30</v>
      </c>
      <c r="B17" s="248">
        <v>167300</v>
      </c>
      <c r="C17" s="259">
        <f>SUM('1% Overview'!J17)</f>
        <v>215900</v>
      </c>
      <c r="D17" s="329">
        <f t="shared" si="2"/>
        <v>0.2904961147638972</v>
      </c>
      <c r="E17" s="259">
        <f>SUM('2% Overview'!J17)</f>
        <v>215900</v>
      </c>
      <c r="F17" s="329">
        <f t="shared" si="0"/>
        <v>0.2904961147638972</v>
      </c>
      <c r="G17" s="249">
        <f>SUM('3% Overview'!K17)</f>
        <v>215900</v>
      </c>
      <c r="H17" s="335">
        <f t="shared" si="1"/>
        <v>0.2904961147638972</v>
      </c>
    </row>
    <row r="18" spans="1:8" x14ac:dyDescent="0.4">
      <c r="A18" s="167" t="s">
        <v>31</v>
      </c>
      <c r="B18" s="250">
        <v>129300</v>
      </c>
      <c r="C18" s="257">
        <f>SUM('1% Overview'!J18)</f>
        <v>154200</v>
      </c>
      <c r="D18" s="328">
        <f t="shared" si="2"/>
        <v>0.1925754060324826</v>
      </c>
      <c r="E18" s="257">
        <f>SUM('2% Overview'!J18)</f>
        <v>154200</v>
      </c>
      <c r="F18" s="328">
        <f t="shared" si="0"/>
        <v>0.1925754060324826</v>
      </c>
      <c r="G18" s="251">
        <f>SUM('3% Overview'!K18)</f>
        <v>154200</v>
      </c>
      <c r="H18" s="336">
        <f t="shared" si="1"/>
        <v>0.1925754060324826</v>
      </c>
    </row>
    <row r="19" spans="1:8" x14ac:dyDescent="0.4">
      <c r="A19" s="247" t="s">
        <v>32</v>
      </c>
      <c r="B19" s="248">
        <v>10200</v>
      </c>
      <c r="C19" s="259">
        <f>SUM('1% Overview'!J19)</f>
        <v>12000</v>
      </c>
      <c r="D19" s="329">
        <f t="shared" si="2"/>
        <v>0.17647058823529413</v>
      </c>
      <c r="E19" s="259">
        <f>SUM('2% Overview'!J19)</f>
        <v>12000</v>
      </c>
      <c r="F19" s="329">
        <f t="shared" si="0"/>
        <v>0.17647058823529413</v>
      </c>
      <c r="G19" s="249">
        <f>SUM('3% Overview'!K19)</f>
        <v>12000</v>
      </c>
      <c r="H19" s="335">
        <f t="shared" si="1"/>
        <v>0.17647058823529413</v>
      </c>
    </row>
    <row r="20" spans="1:8" x14ac:dyDescent="0.4">
      <c r="A20" s="167" t="s">
        <v>33</v>
      </c>
      <c r="B20" s="250">
        <v>6000</v>
      </c>
      <c r="C20" s="257">
        <f>SUM('1% Overview'!J20)</f>
        <v>6000</v>
      </c>
      <c r="D20" s="328">
        <f t="shared" si="2"/>
        <v>0</v>
      </c>
      <c r="E20" s="257">
        <f>SUM('2% Overview'!J20)</f>
        <v>6000</v>
      </c>
      <c r="F20" s="328">
        <f t="shared" si="0"/>
        <v>0</v>
      </c>
      <c r="G20" s="251">
        <f>SUM('3% Overview'!K20)</f>
        <v>6000</v>
      </c>
      <c r="H20" s="336">
        <f t="shared" si="1"/>
        <v>0</v>
      </c>
    </row>
    <row r="21" spans="1:8" x14ac:dyDescent="0.4">
      <c r="A21" s="247" t="s">
        <v>34</v>
      </c>
      <c r="B21" s="248">
        <v>85300</v>
      </c>
      <c r="C21" s="259">
        <f>SUM('1% Overview'!J21)</f>
        <v>109500</v>
      </c>
      <c r="D21" s="329">
        <f t="shared" si="2"/>
        <v>0.28370457209847599</v>
      </c>
      <c r="E21" s="259">
        <f>SUM('2% Overview'!J21)</f>
        <v>109500</v>
      </c>
      <c r="F21" s="329">
        <f t="shared" si="0"/>
        <v>0.28370457209847599</v>
      </c>
      <c r="G21" s="249">
        <f>SUM('3% Overview'!K21)</f>
        <v>109500</v>
      </c>
      <c r="H21" s="335">
        <f t="shared" si="1"/>
        <v>0.28370457209847599</v>
      </c>
    </row>
    <row r="22" spans="1:8" x14ac:dyDescent="0.4">
      <c r="A22" s="167" t="s">
        <v>35</v>
      </c>
      <c r="B22" s="250">
        <v>500</v>
      </c>
      <c r="C22" s="257">
        <f>SUM('1% Overview'!J22)</f>
        <v>500</v>
      </c>
      <c r="D22" s="328">
        <f t="shared" si="2"/>
        <v>0</v>
      </c>
      <c r="E22" s="257">
        <f>SUM('2% Overview'!J22)</f>
        <v>500</v>
      </c>
      <c r="F22" s="328">
        <f t="shared" si="0"/>
        <v>0</v>
      </c>
      <c r="G22" s="251">
        <f>SUM('3% Overview'!K22)</f>
        <v>500</v>
      </c>
      <c r="H22" s="336">
        <f t="shared" si="1"/>
        <v>0</v>
      </c>
    </row>
    <row r="23" spans="1:8" x14ac:dyDescent="0.4">
      <c r="A23" s="247" t="s">
        <v>36</v>
      </c>
      <c r="B23" s="248">
        <v>857700</v>
      </c>
      <c r="C23" s="259">
        <f>SUM('1% Overview'!J23)</f>
        <v>924600</v>
      </c>
      <c r="D23" s="329">
        <f t="shared" si="2"/>
        <v>7.7999300454704448E-2</v>
      </c>
      <c r="E23" s="259">
        <f>SUM('2% Overview'!J23)</f>
        <v>924600</v>
      </c>
      <c r="F23" s="329">
        <f t="shared" si="0"/>
        <v>7.7999300454704448E-2</v>
      </c>
      <c r="G23" s="249">
        <f>SUM('3% Overview'!K23)</f>
        <v>924600</v>
      </c>
      <c r="H23" s="335">
        <f t="shared" si="1"/>
        <v>7.7999300454704448E-2</v>
      </c>
    </row>
    <row r="24" spans="1:8" x14ac:dyDescent="0.4">
      <c r="A24" s="167" t="s">
        <v>37</v>
      </c>
      <c r="B24" s="250">
        <v>0</v>
      </c>
      <c r="C24" s="257">
        <f>SUM('1% Overview'!J24)</f>
        <v>0</v>
      </c>
      <c r="D24" s="328">
        <v>0</v>
      </c>
      <c r="E24" s="257">
        <f>SUM('2% Overview'!J24)</f>
        <v>0</v>
      </c>
      <c r="F24" s="328">
        <v>0</v>
      </c>
      <c r="G24" s="251">
        <f>SUM('3% Overview'!K24)</f>
        <v>0</v>
      </c>
      <c r="H24" s="336">
        <v>0</v>
      </c>
    </row>
    <row r="25" spans="1:8" x14ac:dyDescent="0.4">
      <c r="A25" s="349" t="s">
        <v>38</v>
      </c>
      <c r="B25" s="376">
        <v>277600</v>
      </c>
      <c r="C25" s="377">
        <f>SUM('1% Overview'!J25)</f>
        <v>394700</v>
      </c>
      <c r="D25" s="378">
        <f t="shared" si="2"/>
        <v>0.42182997118155618</v>
      </c>
      <c r="E25" s="377">
        <f>SUM('2% Overview'!J25)</f>
        <v>394700</v>
      </c>
      <c r="F25" s="378">
        <f t="shared" si="0"/>
        <v>0.42182997118155618</v>
      </c>
      <c r="G25" s="377">
        <f>SUM('3% Overview'!K25)</f>
        <v>394700</v>
      </c>
      <c r="H25" s="378">
        <f>(G25-B25)/B25</f>
        <v>0.42182997118155618</v>
      </c>
    </row>
    <row r="26" spans="1:8" x14ac:dyDescent="0.4">
      <c r="A26" s="167" t="s">
        <v>39</v>
      </c>
      <c r="B26" s="250">
        <v>123900</v>
      </c>
      <c r="C26" s="257">
        <f>SUM('1% Overview'!J26)</f>
        <v>157800</v>
      </c>
      <c r="D26" s="328">
        <f t="shared" si="2"/>
        <v>0.27360774818401939</v>
      </c>
      <c r="E26" s="257">
        <f>SUM('2% Overview'!J26)</f>
        <v>157800</v>
      </c>
      <c r="F26" s="328">
        <f t="shared" si="0"/>
        <v>0.27360774818401939</v>
      </c>
      <c r="G26" s="251">
        <f>SUM('3% Overview'!K26)</f>
        <v>157800</v>
      </c>
      <c r="H26" s="336">
        <f>(G26-B26)/B26</f>
        <v>0.27360774818401939</v>
      </c>
    </row>
    <row r="27" spans="1:8" x14ac:dyDescent="0.4">
      <c r="A27" s="247" t="s">
        <v>40</v>
      </c>
      <c r="B27" s="248">
        <v>17800</v>
      </c>
      <c r="C27" s="259">
        <f>SUM('1% Overview'!J27)</f>
        <v>19800</v>
      </c>
      <c r="D27" s="329">
        <f t="shared" si="2"/>
        <v>0.11235955056179775</v>
      </c>
      <c r="E27" s="259">
        <f>SUM('2% Overview'!J27)</f>
        <v>19800</v>
      </c>
      <c r="F27" s="329">
        <f t="shared" si="0"/>
        <v>0.11235955056179775</v>
      </c>
      <c r="G27" s="249">
        <f>SUM('3% Overview'!K27)</f>
        <v>19800</v>
      </c>
      <c r="H27" s="335">
        <f>(G27-B27)/B27</f>
        <v>0.11235955056179775</v>
      </c>
    </row>
    <row r="28" spans="1:8" x14ac:dyDescent="0.4">
      <c r="A28" s="167" t="s">
        <v>41</v>
      </c>
      <c r="B28" s="250">
        <v>425600</v>
      </c>
      <c r="C28" s="257">
        <f>SUM('1% Overview'!J28)</f>
        <v>0</v>
      </c>
      <c r="D28" s="328">
        <f t="shared" si="2"/>
        <v>-1</v>
      </c>
      <c r="E28" s="257">
        <f>SUM('2% Overview'!J28)</f>
        <v>0</v>
      </c>
      <c r="F28" s="328">
        <f t="shared" si="0"/>
        <v>-1</v>
      </c>
      <c r="G28" s="251">
        <f>SUM('3% Overview'!K28)</f>
        <v>0</v>
      </c>
      <c r="H28" s="336">
        <f>(G28-B28)/B28</f>
        <v>-1</v>
      </c>
    </row>
    <row r="29" spans="1:8" x14ac:dyDescent="0.4">
      <c r="A29" s="247" t="s">
        <v>42</v>
      </c>
      <c r="B29" s="248">
        <v>61200</v>
      </c>
      <c r="C29" s="259">
        <f>SUM('1% Overview'!J29)</f>
        <v>65000</v>
      </c>
      <c r="D29" s="329">
        <f t="shared" si="2"/>
        <v>6.2091503267973858E-2</v>
      </c>
      <c r="E29" s="259">
        <f>SUM('2% Overview'!J29)</f>
        <v>65000</v>
      </c>
      <c r="F29" s="329">
        <f t="shared" si="0"/>
        <v>6.2091503267973858E-2</v>
      </c>
      <c r="G29" s="249">
        <f>SUM('3% Overview'!K29)</f>
        <v>65000</v>
      </c>
      <c r="H29" s="335">
        <f>(G29-B29)/B29</f>
        <v>6.2091503267973858E-2</v>
      </c>
    </row>
    <row r="30" spans="1:8" x14ac:dyDescent="0.4">
      <c r="A30" s="167" t="s">
        <v>43</v>
      </c>
      <c r="B30" s="250">
        <v>0</v>
      </c>
      <c r="C30" s="257">
        <f>SUM('1% Overview'!J30)</f>
        <v>0</v>
      </c>
      <c r="D30" s="328">
        <v>0</v>
      </c>
      <c r="E30" s="257">
        <f>SUM('2% Overview'!J30)</f>
        <v>0</v>
      </c>
      <c r="F30" s="328">
        <v>0</v>
      </c>
      <c r="G30" s="251">
        <f>SUM('3% Overview'!K30)</f>
        <v>0</v>
      </c>
      <c r="H30" s="336">
        <v>0</v>
      </c>
    </row>
    <row r="31" spans="1:8" x14ac:dyDescent="0.4">
      <c r="A31" s="247" t="s">
        <v>44</v>
      </c>
      <c r="B31" s="248">
        <v>5000</v>
      </c>
      <c r="C31" s="259">
        <f>SUM('1% Overview'!J31)</f>
        <v>5000</v>
      </c>
      <c r="D31" s="330">
        <f t="shared" si="2"/>
        <v>0</v>
      </c>
      <c r="E31" s="259">
        <f>SUM('2% Overview'!J31)</f>
        <v>5000</v>
      </c>
      <c r="F31" s="330">
        <f t="shared" si="0"/>
        <v>0</v>
      </c>
      <c r="G31" s="249">
        <f>SUM('3% Overview'!K31)</f>
        <v>5000</v>
      </c>
      <c r="H31" s="335">
        <f>(G31-B31)/B31</f>
        <v>0</v>
      </c>
    </row>
    <row r="32" spans="1:8" x14ac:dyDescent="0.4">
      <c r="A32" s="21" t="s">
        <v>45</v>
      </c>
      <c r="B32" s="253">
        <f>SUM(B3:B31)</f>
        <v>9283700</v>
      </c>
      <c r="C32" s="254">
        <f>SUM(C3:C31)</f>
        <v>9346400</v>
      </c>
      <c r="D32" s="331">
        <f>(C32-B32)/B32</f>
        <v>6.7537727414716114E-3</v>
      </c>
      <c r="E32" s="254">
        <f>SUM(E3:E31)</f>
        <v>9373700</v>
      </c>
      <c r="F32" s="331">
        <f>(E32-B32)/B32</f>
        <v>9.6944106336913083E-3</v>
      </c>
      <c r="G32" s="254">
        <f>SUM(G3:G31)</f>
        <v>10015500</v>
      </c>
      <c r="H32" s="331">
        <f>(G32-$B$32)/$B$32</f>
        <v>7.8826330019281104E-2</v>
      </c>
    </row>
    <row r="33" spans="1:10" x14ac:dyDescent="0.4">
      <c r="A33" s="247"/>
      <c r="B33" s="252"/>
      <c r="C33" s="252"/>
      <c r="D33" s="332"/>
      <c r="E33" s="252"/>
      <c r="F33" s="332"/>
      <c r="G33" s="249"/>
      <c r="H33" s="337"/>
    </row>
    <row r="34" spans="1:10" x14ac:dyDescent="0.4">
      <c r="A34" s="3" t="s">
        <v>46</v>
      </c>
      <c r="B34" s="250">
        <v>227800</v>
      </c>
      <c r="C34" s="257">
        <f>'1% Overview'!J34</f>
        <v>242400</v>
      </c>
      <c r="D34" s="333">
        <f>(C34-$B$34)/$B$34</f>
        <v>6.4091308165057065E-2</v>
      </c>
      <c r="E34" s="257">
        <f>'2% Overview'!J34</f>
        <v>242400</v>
      </c>
      <c r="F34" s="333">
        <f>(E34-$B$34)/$B$34</f>
        <v>6.4091308165057065E-2</v>
      </c>
      <c r="G34" s="257">
        <f>SUM('3% Overview'!K34)</f>
        <v>242400</v>
      </c>
      <c r="H34" s="333">
        <f>(G34-$B$34)/$B$34</f>
        <v>6.4091308165057065E-2</v>
      </c>
    </row>
    <row r="35" spans="1:10" x14ac:dyDescent="0.4">
      <c r="A35" s="390" t="s">
        <v>47</v>
      </c>
      <c r="B35" s="391">
        <f>SUM(B32:B34)</f>
        <v>9511500</v>
      </c>
      <c r="C35" s="392">
        <f>SUM(C32:C34)</f>
        <v>9588800</v>
      </c>
      <c r="D35" s="393">
        <f>(C35-$B$35)/$B$35</f>
        <v>8.1270041528675816E-3</v>
      </c>
      <c r="E35" s="392">
        <f>SUM(E32:E34)</f>
        <v>9616100</v>
      </c>
      <c r="F35" s="393">
        <f>(E35-$B$35)/$B$35</f>
        <v>1.0997213898964412E-2</v>
      </c>
      <c r="G35" s="392">
        <f>SUM(G32:G34)</f>
        <v>10257900</v>
      </c>
      <c r="H35" s="393">
        <f>(G35-$B$35)/$B$35</f>
        <v>7.847342690427378E-2</v>
      </c>
      <c r="J35" s="134"/>
    </row>
    <row r="36" spans="1:10" x14ac:dyDescent="0.4">
      <c r="A36" s="175" t="s">
        <v>48</v>
      </c>
      <c r="B36" s="255"/>
      <c r="C36" s="256"/>
      <c r="D36" s="331"/>
      <c r="E36" s="256"/>
      <c r="F36" s="331"/>
      <c r="G36" s="256"/>
      <c r="H36" s="331"/>
    </row>
    <row r="37" spans="1:10" ht="15" thickBot="1" x14ac:dyDescent="0.45">
      <c r="A37" s="247" t="s">
        <v>49</v>
      </c>
      <c r="B37" s="370">
        <v>-158000</v>
      </c>
      <c r="C37" s="371">
        <f>-(322053+50000)</f>
        <v>-372053</v>
      </c>
      <c r="D37" s="372"/>
      <c r="E37" s="371">
        <f>SUM(C37)</f>
        <v>-372053</v>
      </c>
      <c r="F37" s="372"/>
      <c r="G37" s="371">
        <f>SUM(C37-27400)</f>
        <v>-399453</v>
      </c>
      <c r="H37" s="337"/>
    </row>
    <row r="38" spans="1:10" ht="15.45" thickTop="1" thickBot="1" x14ac:dyDescent="0.45">
      <c r="A38" s="29" t="s">
        <v>50</v>
      </c>
      <c r="B38" s="31">
        <f>SUM(B35:B37)</f>
        <v>9353500</v>
      </c>
      <c r="C38" s="31">
        <f t="shared" ref="C38" si="3">SUM(C35:C37)</f>
        <v>9216747</v>
      </c>
      <c r="D38" s="334">
        <f>(C38-$B$38)/$B$38</f>
        <v>-1.4620516384241193E-2</v>
      </c>
      <c r="E38" s="31">
        <f t="shared" ref="E38" si="4">SUM(E35:E37)</f>
        <v>9244047</v>
      </c>
      <c r="F38" s="334">
        <f>(E38-$B$38)/$B$38</f>
        <v>-1.1701822847062596E-2</v>
      </c>
      <c r="G38" s="31">
        <f t="shared" ref="G38" si="5">SUM(G35:G37)</f>
        <v>9858447</v>
      </c>
      <c r="H38" s="334">
        <f>(G38-$B$38)/$B$38</f>
        <v>5.3984818517132625E-2</v>
      </c>
    </row>
    <row r="39" spans="1:10" ht="15" thickTop="1" x14ac:dyDescent="0.4"/>
    <row r="40" spans="1:10" ht="20.6" x14ac:dyDescent="0.55000000000000004">
      <c r="A40" s="969" t="s">
        <v>51</v>
      </c>
      <c r="B40" s="969"/>
      <c r="C40" s="969"/>
      <c r="D40" s="969"/>
      <c r="E40" s="969"/>
      <c r="F40" s="969"/>
      <c r="G40" s="969"/>
      <c r="H40" s="969"/>
    </row>
    <row r="41" spans="1:10" hidden="1" x14ac:dyDescent="0.4">
      <c r="C41" s="5">
        <f>C38-B38</f>
        <v>-136753</v>
      </c>
    </row>
    <row r="42" spans="1:10" hidden="1" x14ac:dyDescent="0.4">
      <c r="C42" t="s">
        <v>52</v>
      </c>
    </row>
  </sheetData>
  <protectedRanges>
    <protectedRange sqref="C34:C38 E32 C32 E34:E38 G1:G1048576" name="Range1" securityDescriptor="O:WDG:WDD:(A;;CC;;;S-1-5-21-751916245-1090913435-1903153266-1213)"/>
  </protectedRanges>
  <mergeCells count="2">
    <mergeCell ref="A1:H1"/>
    <mergeCell ref="A40:H40"/>
  </mergeCells>
  <conditionalFormatting sqref="D3:D38 F3:F38 H3:H38">
    <cfRule type="cellIs" dxfId="188" priority="5" stopIfTrue="1" operator="lessThan">
      <formula>0</formula>
    </cfRule>
    <cfRule type="cellIs" dxfId="187" priority="6" stopIfTrue="1" operator="greaterThan">
      <formula>0</formula>
    </cfRule>
  </conditionalFormatting>
  <conditionalFormatting sqref="D34:D35">
    <cfRule type="cellIs" dxfId="186" priority="13" operator="equal">
      <formula>0</formula>
    </cfRule>
    <cfRule type="cellIs" dxfId="185" priority="14" operator="lessThan">
      <formula>0</formula>
    </cfRule>
    <cfRule type="cellIs" dxfId="184" priority="15" operator="greaterThan">
      <formula>0</formula>
    </cfRule>
  </conditionalFormatting>
  <conditionalFormatting sqref="D38">
    <cfRule type="cellIs" dxfId="183" priority="19" operator="equal">
      <formula>0</formula>
    </cfRule>
    <cfRule type="cellIs" dxfId="182" priority="20" operator="lessThan">
      <formula>0</formula>
    </cfRule>
    <cfRule type="cellIs" dxfId="181" priority="21" operator="greaterThan">
      <formula>0</formula>
    </cfRule>
  </conditionalFormatting>
  <conditionalFormatting sqref="F3:F31">
    <cfRule type="expression" dxfId="180" priority="1">
      <formula>"&lt;1"</formula>
    </cfRule>
  </conditionalFormatting>
  <conditionalFormatting sqref="F3:F38 D3:D38 H3:H38">
    <cfRule type="cellIs" dxfId="179" priority="4" stopIfTrue="1" operator="equal">
      <formula>0</formula>
    </cfRule>
  </conditionalFormatting>
  <conditionalFormatting sqref="F32">
    <cfRule type="cellIs" dxfId="178" priority="7" operator="equal">
      <formula>0</formula>
    </cfRule>
    <cfRule type="cellIs" dxfId="177" priority="8" operator="lessThan">
      <formula>0</formula>
    </cfRule>
    <cfRule type="cellIs" dxfId="176" priority="9" operator="greaterThan">
      <formula>0</formula>
    </cfRule>
  </conditionalFormatting>
  <conditionalFormatting sqref="F34:F35">
    <cfRule type="cellIs" dxfId="175" priority="10" operator="equal">
      <formula>0</formula>
    </cfRule>
    <cfRule type="cellIs" dxfId="174" priority="11" operator="lessThan">
      <formula>0</formula>
    </cfRule>
    <cfRule type="cellIs" dxfId="173" priority="12" operator="greaterThan">
      <formula>0</formula>
    </cfRule>
  </conditionalFormatting>
  <conditionalFormatting sqref="F38">
    <cfRule type="cellIs" dxfId="172" priority="22" operator="equal">
      <formula>0</formula>
    </cfRule>
    <cfRule type="cellIs" dxfId="171" priority="23" operator="lessThan">
      <formula>0</formula>
    </cfRule>
    <cfRule type="cellIs" dxfId="170" priority="24" operator="greaterThan">
      <formula>0</formula>
    </cfRule>
  </conditionalFormatting>
  <conditionalFormatting sqref="H3:H32">
    <cfRule type="cellIs" dxfId="169" priority="40" operator="equal">
      <formula>0</formula>
    </cfRule>
    <cfRule type="cellIs" dxfId="168" priority="41" operator="lessThan">
      <formula>0</formula>
    </cfRule>
    <cfRule type="cellIs" dxfId="167" priority="42" operator="greaterThan">
      <formula>0</formula>
    </cfRule>
  </conditionalFormatting>
  <conditionalFormatting sqref="H34:H35">
    <cfRule type="cellIs" dxfId="166" priority="55" operator="equal">
      <formula>0</formula>
    </cfRule>
    <cfRule type="cellIs" dxfId="165" priority="56" operator="lessThan">
      <formula>0</formula>
    </cfRule>
    <cfRule type="cellIs" dxfId="164" priority="57" operator="greaterThan">
      <formula>0</formula>
    </cfRule>
  </conditionalFormatting>
  <conditionalFormatting sqref="H38">
    <cfRule type="cellIs" dxfId="163" priority="52" operator="equal">
      <formula>0</formula>
    </cfRule>
    <cfRule type="cellIs" dxfId="162" priority="53" operator="lessThan">
      <formula>0</formula>
    </cfRule>
    <cfRule type="cellIs" dxfId="161" priority="54" operator="greaterThan">
      <formula>0</formula>
    </cfRule>
  </conditionalFormatting>
  <printOptions horizontalCentered="1" verticalCentered="1"/>
  <pageMargins left="0.45" right="0.45" top="0.25" bottom="0.25" header="0.3" footer="0.3"/>
  <pageSetup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R59"/>
  <sheetViews>
    <sheetView topLeftCell="A4" workbookViewId="0">
      <selection activeCell="H10" sqref="H10"/>
    </sheetView>
  </sheetViews>
  <sheetFormatPr defaultColWidth="14.3828125" defaultRowHeight="15" customHeight="1" x14ac:dyDescent="0.4"/>
  <cols>
    <col min="1" max="4" width="10.69140625" customWidth="1"/>
    <col min="5" max="5" width="15" bestFit="1" customWidth="1"/>
    <col min="6" max="18" width="10.69140625" customWidth="1"/>
    <col min="19" max="25" width="13.3046875" customWidth="1"/>
    <col min="26" max="26" width="15.15234375" customWidth="1"/>
  </cols>
  <sheetData>
    <row r="4" spans="1:18" ht="26.15" x14ac:dyDescent="0.7">
      <c r="A4" s="444"/>
      <c r="B4" s="444"/>
      <c r="C4" s="444"/>
      <c r="D4" s="444"/>
      <c r="E4" s="444"/>
      <c r="F4" s="444"/>
      <c r="G4" s="444"/>
      <c r="H4" s="444"/>
      <c r="I4" s="444"/>
      <c r="J4" s="444"/>
    </row>
    <row r="5" spans="1:18" ht="26.15" x14ac:dyDescent="0.7">
      <c r="A5" s="444"/>
      <c r="B5" s="444"/>
      <c r="C5" s="444"/>
      <c r="D5" s="444"/>
      <c r="E5" s="444"/>
      <c r="F5" s="444"/>
      <c r="G5" s="444"/>
      <c r="H5" s="444"/>
      <c r="I5" s="444"/>
      <c r="J5" s="444"/>
    </row>
    <row r="6" spans="1:18" ht="26.15" x14ac:dyDescent="0.7">
      <c r="A6" s="982" t="s">
        <v>633</v>
      </c>
      <c r="B6" s="982"/>
      <c r="C6" s="982"/>
      <c r="D6" s="982"/>
      <c r="E6" s="982"/>
      <c r="F6" s="982"/>
      <c r="G6" s="982"/>
      <c r="H6" s="982"/>
      <c r="I6" s="982"/>
      <c r="J6" s="982" t="s">
        <v>473</v>
      </c>
      <c r="K6" s="982"/>
      <c r="L6" s="982"/>
      <c r="M6" s="982"/>
      <c r="N6" s="982"/>
      <c r="O6" s="982"/>
      <c r="P6" s="982"/>
      <c r="Q6" s="982"/>
      <c r="R6" s="982"/>
    </row>
    <row r="7" spans="1:18" ht="15" customHeight="1" x14ac:dyDescent="0.4">
      <c r="C7" s="209"/>
      <c r="D7" s="956" t="s">
        <v>65</v>
      </c>
      <c r="E7" s="957" t="s">
        <v>66</v>
      </c>
      <c r="F7" s="958" t="s">
        <v>67</v>
      </c>
      <c r="M7" s="956" t="s">
        <v>65</v>
      </c>
      <c r="N7" s="957" t="s">
        <v>66</v>
      </c>
      <c r="O7" s="958" t="s">
        <v>67</v>
      </c>
      <c r="P7" s="209"/>
    </row>
    <row r="8" spans="1:18" ht="15" customHeight="1" x14ac:dyDescent="0.4">
      <c r="C8" s="209"/>
      <c r="D8" s="959" t="s">
        <v>64</v>
      </c>
      <c r="E8" s="960">
        <f>SUM(Summary!G3:G8)</f>
        <v>7338700</v>
      </c>
      <c r="F8" s="961">
        <f t="shared" ref="F8:F12" si="0">E8/$E$13</f>
        <v>0.73273426189406421</v>
      </c>
      <c r="M8" s="959" t="s">
        <v>474</v>
      </c>
      <c r="N8" s="960">
        <f>'ARB Budget'!F10</f>
        <v>208320</v>
      </c>
      <c r="O8" s="961">
        <f>N8/$N$13</f>
        <v>0.85940594059405939</v>
      </c>
      <c r="P8" s="209"/>
    </row>
    <row r="9" spans="1:18" ht="15" customHeight="1" x14ac:dyDescent="0.4">
      <c r="C9" s="209"/>
      <c r="D9" s="962" t="s">
        <v>68</v>
      </c>
      <c r="E9" s="963">
        <f>SUM(Summary!G9:G14)</f>
        <v>447300</v>
      </c>
      <c r="F9" s="964">
        <f t="shared" si="0"/>
        <v>4.4660775797513853E-2</v>
      </c>
      <c r="M9" s="962" t="s">
        <v>68</v>
      </c>
      <c r="N9" s="963">
        <f>'ARB Budget'!F15</f>
        <v>1060</v>
      </c>
      <c r="O9" s="964">
        <f>N9/$N$13</f>
        <v>4.3729372937293728E-3</v>
      </c>
      <c r="P9" s="209"/>
    </row>
    <row r="10" spans="1:18" ht="15" customHeight="1" x14ac:dyDescent="0.4">
      <c r="C10" s="209"/>
      <c r="D10" s="959" t="s">
        <v>69</v>
      </c>
      <c r="E10" s="960">
        <f>SUM(Summary!G15:G27)</f>
        <v>2159500</v>
      </c>
      <c r="F10" s="961">
        <f t="shared" si="0"/>
        <v>0.21561579551694873</v>
      </c>
      <c r="M10" s="959" t="s">
        <v>475</v>
      </c>
      <c r="N10" s="960">
        <f>'ARB Budget'!F27</f>
        <v>20236</v>
      </c>
      <c r="O10" s="961">
        <f>N10/$N$13</f>
        <v>8.3481848184818477E-2</v>
      </c>
      <c r="P10" s="209"/>
    </row>
    <row r="11" spans="1:18" ht="15" customHeight="1" x14ac:dyDescent="0.4">
      <c r="C11" s="209"/>
      <c r="D11" s="962" t="s">
        <v>71</v>
      </c>
      <c r="E11" s="963">
        <f>SUM(Summary!G28)</f>
        <v>0</v>
      </c>
      <c r="F11" s="964">
        <f t="shared" si="0"/>
        <v>0</v>
      </c>
      <c r="M11" s="962" t="s">
        <v>476</v>
      </c>
      <c r="N11" s="963">
        <f>'ARB Budget'!F32</f>
        <v>5280</v>
      </c>
      <c r="O11" s="964">
        <f>N11/$N$13</f>
        <v>2.1782178217821781E-2</v>
      </c>
      <c r="P11" s="209"/>
    </row>
    <row r="12" spans="1:18" ht="15" customHeight="1" x14ac:dyDescent="0.4">
      <c r="C12" s="209"/>
      <c r="D12" s="959" t="s">
        <v>72</v>
      </c>
      <c r="E12" s="960">
        <f>SUM(Summary!G29:G31)</f>
        <v>70000</v>
      </c>
      <c r="F12" s="961">
        <f t="shared" si="0"/>
        <v>6.9891667914732166E-3</v>
      </c>
      <c r="M12" s="959" t="s">
        <v>477</v>
      </c>
      <c r="N12" s="960">
        <f>'ARB Budget'!F37</f>
        <v>7500</v>
      </c>
      <c r="O12" s="961">
        <f>N12/$N$13</f>
        <v>3.094059405940594E-2</v>
      </c>
      <c r="P12" s="209"/>
    </row>
    <row r="13" spans="1:18" ht="15" customHeight="1" x14ac:dyDescent="0.4">
      <c r="C13" s="209"/>
      <c r="D13" s="962" t="s">
        <v>74</v>
      </c>
      <c r="E13" s="963">
        <f>SUM(E8:E12)</f>
        <v>10015500</v>
      </c>
      <c r="F13" s="964">
        <f>SUM(F8:F12)</f>
        <v>1</v>
      </c>
      <c r="M13" s="962" t="s">
        <v>74</v>
      </c>
      <c r="N13" s="963">
        <f>SUM(ROUNDUP(SUBTOTAL(109,N8:N12),-2))</f>
        <v>242400</v>
      </c>
      <c r="O13" s="964">
        <f>SUM(O8:O12)</f>
        <v>0.99998349834983502</v>
      </c>
      <c r="P13" s="209"/>
    </row>
    <row r="14" spans="1:18" ht="15" customHeight="1" x14ac:dyDescent="0.4">
      <c r="C14" s="209"/>
      <c r="D14" s="209"/>
      <c r="E14" s="209"/>
      <c r="F14" s="209"/>
    </row>
    <row r="52" spans="4:6" ht="15" customHeight="1" x14ac:dyDescent="0.4">
      <c r="D52" s="355" t="s">
        <v>65</v>
      </c>
      <c r="E52" s="356" t="s">
        <v>66</v>
      </c>
      <c r="F52" s="363" t="s">
        <v>67</v>
      </c>
    </row>
    <row r="53" spans="4:6" ht="15" customHeight="1" x14ac:dyDescent="0.4">
      <c r="D53" s="360" t="s">
        <v>64</v>
      </c>
      <c r="E53" s="357">
        <f>SUM(E8)</f>
        <v>7338700</v>
      </c>
      <c r="F53" s="358">
        <f t="shared" ref="F53:F58" si="1">E53/$E$59</f>
        <v>0.71541933534154167</v>
      </c>
    </row>
    <row r="54" spans="4:6" ht="15" customHeight="1" x14ac:dyDescent="0.4">
      <c r="D54" s="361" t="s">
        <v>68</v>
      </c>
      <c r="E54" s="365">
        <f>SUM(E9)</f>
        <v>447300</v>
      </c>
      <c r="F54" s="362">
        <f t="shared" si="1"/>
        <v>4.3605416313280493E-2</v>
      </c>
    </row>
    <row r="55" spans="4:6" ht="15" customHeight="1" x14ac:dyDescent="0.4">
      <c r="D55" s="360" t="s">
        <v>69</v>
      </c>
      <c r="E55" s="357">
        <f>SUM(E10)</f>
        <v>2159500</v>
      </c>
      <c r="F55" s="358">
        <f t="shared" si="1"/>
        <v>0.21052067187241053</v>
      </c>
    </row>
    <row r="56" spans="4:6" ht="15" customHeight="1" x14ac:dyDescent="0.4">
      <c r="D56" s="361" t="s">
        <v>71</v>
      </c>
      <c r="E56" s="365">
        <f>SUM(E11)</f>
        <v>0</v>
      </c>
      <c r="F56" s="362">
        <f t="shared" si="1"/>
        <v>0</v>
      </c>
    </row>
    <row r="57" spans="4:6" ht="15" customHeight="1" x14ac:dyDescent="0.4">
      <c r="D57" s="360" t="s">
        <v>72</v>
      </c>
      <c r="E57" s="357">
        <f>SUM(E12)</f>
        <v>70000</v>
      </c>
      <c r="F57" s="358">
        <f t="shared" si="1"/>
        <v>6.8240088127199524E-3</v>
      </c>
    </row>
    <row r="58" spans="4:6" ht="15" customHeight="1" x14ac:dyDescent="0.4">
      <c r="D58" s="364" t="s">
        <v>73</v>
      </c>
      <c r="E58" s="366">
        <f>SUM(N13)</f>
        <v>242400</v>
      </c>
      <c r="F58" s="359">
        <f t="shared" si="1"/>
        <v>2.3630567660047379E-2</v>
      </c>
    </row>
    <row r="59" spans="4:6" ht="15" customHeight="1" x14ac:dyDescent="0.4">
      <c r="D59" s="367" t="s">
        <v>158</v>
      </c>
      <c r="E59" s="368">
        <f>SUM(E53:E58)</f>
        <v>10257900</v>
      </c>
      <c r="F59" s="369">
        <f>SUM(F53:F58)</f>
        <v>1</v>
      </c>
    </row>
  </sheetData>
  <mergeCells count="2">
    <mergeCell ref="A6:I6"/>
    <mergeCell ref="J6:R6"/>
  </mergeCells>
  <printOptions horizontalCentered="1"/>
  <pageMargins left="0.25" right="0.25" top="0.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50C-E8DD-416A-8730-B2DDDF581907}">
  <sheetPr>
    <pageSetUpPr fitToPage="1"/>
  </sheetPr>
  <dimension ref="A4:E43"/>
  <sheetViews>
    <sheetView topLeftCell="A4" zoomScale="140" zoomScaleNormal="140" zoomScaleSheetLayoutView="70" workbookViewId="0">
      <selection activeCell="C11" sqref="C11"/>
    </sheetView>
  </sheetViews>
  <sheetFormatPr defaultRowHeight="14.6" x14ac:dyDescent="0.4"/>
  <cols>
    <col min="1" max="1" width="34.84375" bestFit="1" customWidth="1"/>
    <col min="2" max="3" width="15.53515625" bestFit="1" customWidth="1"/>
    <col min="4" max="4" width="14.3046875" customWidth="1"/>
    <col min="5" max="5" width="15.15234375" bestFit="1" customWidth="1"/>
  </cols>
  <sheetData>
    <row r="4" spans="1:5" ht="24.75" customHeight="1" x14ac:dyDescent="0.4"/>
    <row r="5" spans="1:5" ht="35.6" x14ac:dyDescent="0.9">
      <c r="A5" s="983" t="s">
        <v>478</v>
      </c>
      <c r="B5" s="983"/>
      <c r="C5" s="983"/>
      <c r="D5" s="983"/>
      <c r="E5" s="983"/>
    </row>
    <row r="6" spans="1:5" ht="19.5" customHeight="1" x14ac:dyDescent="0.6">
      <c r="A6" s="984" t="s">
        <v>628</v>
      </c>
      <c r="B6" s="984"/>
      <c r="C6" s="984"/>
      <c r="D6" s="984"/>
      <c r="E6" s="984"/>
    </row>
    <row r="7" spans="1:5" x14ac:dyDescent="0.4">
      <c r="A7" s="985" t="s">
        <v>629</v>
      </c>
      <c r="B7" s="985"/>
      <c r="C7" s="985"/>
      <c r="D7" s="985"/>
      <c r="E7" s="985"/>
    </row>
    <row r="8" spans="1:5" ht="9" customHeight="1" thickBot="1" x14ac:dyDescent="0.45">
      <c r="D8" s="443"/>
      <c r="E8" s="443"/>
    </row>
    <row r="9" spans="1:5" ht="30.45" thickBot="1" x14ac:dyDescent="0.45">
      <c r="A9" s="953" t="s">
        <v>479</v>
      </c>
      <c r="B9" s="952" t="s">
        <v>480</v>
      </c>
      <c r="C9" s="952" t="s">
        <v>631</v>
      </c>
      <c r="D9" s="952" t="s">
        <v>630</v>
      </c>
      <c r="E9" s="952" t="s">
        <v>481</v>
      </c>
    </row>
    <row r="10" spans="1:5" ht="15.45" x14ac:dyDescent="0.4">
      <c r="A10" s="394" t="s">
        <v>482</v>
      </c>
      <c r="B10" s="409">
        <f>SUM('3% Overview'!J3)</f>
        <v>4804400</v>
      </c>
      <c r="C10" s="410">
        <f>SUM('3% Overview'!K3)</f>
        <v>5200600</v>
      </c>
      <c r="D10" s="415">
        <f>SUM(C10-B10)</f>
        <v>396200</v>
      </c>
      <c r="E10" s="395">
        <f>(C10-B10)/B10</f>
        <v>8.2466072766630594E-2</v>
      </c>
    </row>
    <row r="11" spans="1:5" ht="15.45" x14ac:dyDescent="0.4">
      <c r="A11" s="396" t="s">
        <v>483</v>
      </c>
      <c r="B11" s="416">
        <f>SUM('3% Overview'!J4)</f>
        <v>269300</v>
      </c>
      <c r="C11" s="417">
        <f>SUM('3% Overview'!K4)</f>
        <v>319100</v>
      </c>
      <c r="D11" s="418">
        <f t="shared" ref="D11:D38" si="0">SUM(C11-B11)</f>
        <v>49800</v>
      </c>
      <c r="E11" s="397">
        <f>(C11-B11)/B11</f>
        <v>0.18492387671741553</v>
      </c>
    </row>
    <row r="12" spans="1:5" ht="15.45" x14ac:dyDescent="0.4">
      <c r="A12" s="394" t="s">
        <v>484</v>
      </c>
      <c r="B12" s="409">
        <f>SUM('3% Overview'!J5)</f>
        <v>656500</v>
      </c>
      <c r="C12" s="410">
        <f>SUM('3% Overview'!K5)</f>
        <v>729800</v>
      </c>
      <c r="D12" s="415">
        <f t="shared" si="0"/>
        <v>73300</v>
      </c>
      <c r="E12" s="395">
        <f>(C12-B12)/B12</f>
        <v>0.11165270373191165</v>
      </c>
    </row>
    <row r="13" spans="1:5" ht="15.45" x14ac:dyDescent="0.4">
      <c r="A13" s="396" t="s">
        <v>485</v>
      </c>
      <c r="B13" s="416">
        <f>SUM('3% Overview'!J6)</f>
        <v>912000</v>
      </c>
      <c r="C13" s="417">
        <f>SUM('3% Overview'!K6)</f>
        <v>1000600</v>
      </c>
      <c r="D13" s="418">
        <f t="shared" si="0"/>
        <v>88600</v>
      </c>
      <c r="E13" s="397">
        <f t="shared" ref="E13:E40" si="1">(C13-B13)/B13</f>
        <v>9.7149122807017541E-2</v>
      </c>
    </row>
    <row r="14" spans="1:5" ht="15.45" x14ac:dyDescent="0.4">
      <c r="A14" s="394" t="s">
        <v>486</v>
      </c>
      <c r="B14" s="409">
        <f>SUM('3% Overview'!J7)</f>
        <v>8900</v>
      </c>
      <c r="C14" s="410">
        <f>SUM('3% Overview'!K7)</f>
        <v>8900</v>
      </c>
      <c r="D14" s="415">
        <f t="shared" si="0"/>
        <v>0</v>
      </c>
      <c r="E14" s="395">
        <f t="shared" si="1"/>
        <v>0</v>
      </c>
    </row>
    <row r="15" spans="1:5" ht="15.45" x14ac:dyDescent="0.4">
      <c r="A15" s="396" t="s">
        <v>487</v>
      </c>
      <c r="B15" s="416">
        <f>SUM('3% Overview'!J8)</f>
        <v>73200</v>
      </c>
      <c r="C15" s="417">
        <f>SUM('3% Overview'!K8)</f>
        <v>79700</v>
      </c>
      <c r="D15" s="418">
        <f t="shared" si="0"/>
        <v>6500</v>
      </c>
      <c r="E15" s="397">
        <f t="shared" si="1"/>
        <v>8.8797814207650275E-2</v>
      </c>
    </row>
    <row r="16" spans="1:5" ht="15.45" x14ac:dyDescent="0.4">
      <c r="A16" s="394" t="s">
        <v>488</v>
      </c>
      <c r="B16" s="409">
        <f>SUM('3% Overview'!J9)</f>
        <v>12500</v>
      </c>
      <c r="C16" s="410">
        <f>SUM('3% Overview'!K9)</f>
        <v>13900</v>
      </c>
      <c r="D16" s="415">
        <f>SUM(C16-B16)</f>
        <v>1400</v>
      </c>
      <c r="E16" s="395">
        <f t="shared" si="1"/>
        <v>0.112</v>
      </c>
    </row>
    <row r="17" spans="1:5" ht="15.45" x14ac:dyDescent="0.4">
      <c r="A17" s="396" t="s">
        <v>489</v>
      </c>
      <c r="B17" s="416">
        <f>SUM('3% Overview'!J10)</f>
        <v>223300</v>
      </c>
      <c r="C17" s="417">
        <f>SUM('3% Overview'!K10)</f>
        <v>228000</v>
      </c>
      <c r="D17" s="418">
        <f t="shared" si="0"/>
        <v>4700</v>
      </c>
      <c r="E17" s="397">
        <f t="shared" si="1"/>
        <v>2.1047917599641738E-2</v>
      </c>
    </row>
    <row r="18" spans="1:5" ht="15.45" x14ac:dyDescent="0.4">
      <c r="A18" s="394" t="s">
        <v>490</v>
      </c>
      <c r="B18" s="409">
        <f>SUM('3% Overview'!J11)</f>
        <v>88200</v>
      </c>
      <c r="C18" s="410">
        <f>SUM('3% Overview'!K11)</f>
        <v>97100</v>
      </c>
      <c r="D18" s="415">
        <f t="shared" si="0"/>
        <v>8900</v>
      </c>
      <c r="E18" s="395">
        <f t="shared" si="1"/>
        <v>0.10090702947845805</v>
      </c>
    </row>
    <row r="19" spans="1:5" ht="15.45" x14ac:dyDescent="0.4">
      <c r="A19" s="396" t="s">
        <v>491</v>
      </c>
      <c r="B19" s="416">
        <f>SUM('3% Overview'!J12)</f>
        <v>7200</v>
      </c>
      <c r="C19" s="417">
        <f>SUM('3% Overview'!K12)</f>
        <v>7200</v>
      </c>
      <c r="D19" s="419">
        <f t="shared" si="0"/>
        <v>0</v>
      </c>
      <c r="E19" s="398">
        <f t="shared" si="1"/>
        <v>0</v>
      </c>
    </row>
    <row r="20" spans="1:5" ht="15.45" x14ac:dyDescent="0.4">
      <c r="A20" s="394" t="s">
        <v>492</v>
      </c>
      <c r="B20" s="409">
        <f>SUM('3% Overview'!J13)</f>
        <v>80300</v>
      </c>
      <c r="C20" s="410">
        <f>SUM('3% Overview'!K13)</f>
        <v>87700</v>
      </c>
      <c r="D20" s="415">
        <f t="shared" si="0"/>
        <v>7400</v>
      </c>
      <c r="E20" s="395">
        <f t="shared" si="1"/>
        <v>9.2154420921544203E-2</v>
      </c>
    </row>
    <row r="21" spans="1:5" ht="15.45" x14ac:dyDescent="0.4">
      <c r="A21" s="396" t="s">
        <v>493</v>
      </c>
      <c r="B21" s="416">
        <f>SUM('3% Overview'!J14)</f>
        <v>13600</v>
      </c>
      <c r="C21" s="417">
        <f>SUM('3% Overview'!K14)</f>
        <v>13400</v>
      </c>
      <c r="D21" s="420">
        <f t="shared" si="0"/>
        <v>-200</v>
      </c>
      <c r="E21" s="399">
        <f t="shared" si="1"/>
        <v>-1.4705882352941176E-2</v>
      </c>
    </row>
    <row r="22" spans="1:5" ht="15.45" x14ac:dyDescent="0.4">
      <c r="A22" s="394" t="s">
        <v>494</v>
      </c>
      <c r="B22" s="409">
        <f>SUM('3% Overview'!J15)</f>
        <v>109200</v>
      </c>
      <c r="C22" s="410">
        <f>SUM('3% Overview'!K15)</f>
        <v>123400</v>
      </c>
      <c r="D22" s="415">
        <f t="shared" si="0"/>
        <v>14200</v>
      </c>
      <c r="E22" s="395">
        <f t="shared" si="1"/>
        <v>0.13003663003663005</v>
      </c>
    </row>
    <row r="23" spans="1:5" ht="15.45" x14ac:dyDescent="0.4">
      <c r="A23" s="396" t="s">
        <v>495</v>
      </c>
      <c r="B23" s="416">
        <f>SUM('3% Overview'!J16)</f>
        <v>41100</v>
      </c>
      <c r="C23" s="417">
        <f>SUM('3% Overview'!K16)</f>
        <v>41100</v>
      </c>
      <c r="D23" s="420">
        <f>SUM(C23-B23)</f>
        <v>0</v>
      </c>
      <c r="E23" s="399">
        <f>(C23-B23)/B23</f>
        <v>0</v>
      </c>
    </row>
    <row r="24" spans="1:5" ht="15.45" x14ac:dyDescent="0.4">
      <c r="A24" s="394" t="s">
        <v>496</v>
      </c>
      <c r="B24" s="409">
        <f>SUM('3% Overview'!J17)</f>
        <v>217400</v>
      </c>
      <c r="C24" s="410">
        <f>SUM('3% Overview'!K17)</f>
        <v>215900</v>
      </c>
      <c r="D24" s="421">
        <f t="shared" si="0"/>
        <v>-1500</v>
      </c>
      <c r="E24" s="400">
        <f t="shared" si="1"/>
        <v>-6.8997240110395585E-3</v>
      </c>
    </row>
    <row r="25" spans="1:5" ht="15.45" x14ac:dyDescent="0.4">
      <c r="A25" s="396" t="s">
        <v>497</v>
      </c>
      <c r="B25" s="416">
        <f>SUM('3% Overview'!J18)</f>
        <v>148400</v>
      </c>
      <c r="C25" s="417">
        <f>SUM('3% Overview'!K18)</f>
        <v>154200</v>
      </c>
      <c r="D25" s="418">
        <f>SUM(C25-B25)</f>
        <v>5800</v>
      </c>
      <c r="E25" s="397">
        <f>(C25-B25)/B25</f>
        <v>3.9083557951482481E-2</v>
      </c>
    </row>
    <row r="26" spans="1:5" ht="15.45" x14ac:dyDescent="0.4">
      <c r="A26" s="394" t="s">
        <v>498</v>
      </c>
      <c r="B26" s="409">
        <f>SUM('3% Overview'!J19)</f>
        <v>11900</v>
      </c>
      <c r="C26" s="410">
        <f>SUM('3% Overview'!K19)</f>
        <v>12000</v>
      </c>
      <c r="D26" s="422">
        <f t="shared" si="0"/>
        <v>100</v>
      </c>
      <c r="E26" s="401">
        <f t="shared" si="1"/>
        <v>8.4033613445378148E-3</v>
      </c>
    </row>
    <row r="27" spans="1:5" ht="15.45" x14ac:dyDescent="0.4">
      <c r="A27" s="396" t="s">
        <v>499</v>
      </c>
      <c r="B27" s="416">
        <f>SUM('3% Overview'!J20)</f>
        <v>6000</v>
      </c>
      <c r="C27" s="417">
        <f>SUM('3% Overview'!K20)</f>
        <v>6000</v>
      </c>
      <c r="D27" s="418">
        <f>SUM(C27-B27)</f>
        <v>0</v>
      </c>
      <c r="E27" s="397">
        <f>(C27-B27)/B27</f>
        <v>0</v>
      </c>
    </row>
    <row r="28" spans="1:5" ht="15.45" x14ac:dyDescent="0.4">
      <c r="A28" s="394" t="s">
        <v>500</v>
      </c>
      <c r="B28" s="409">
        <f>SUM('3% Overview'!J21)</f>
        <v>113300</v>
      </c>
      <c r="C28" s="410">
        <f>SUM('3% Overview'!K21)</f>
        <v>109500</v>
      </c>
      <c r="D28" s="415">
        <f t="shared" si="0"/>
        <v>-3800</v>
      </c>
      <c r="E28" s="395">
        <f t="shared" si="1"/>
        <v>-3.3539276257722857E-2</v>
      </c>
    </row>
    <row r="29" spans="1:5" ht="15.45" x14ac:dyDescent="0.4">
      <c r="A29" s="396" t="s">
        <v>501</v>
      </c>
      <c r="B29" s="416">
        <f>SUM('3% Overview'!J22)</f>
        <v>500</v>
      </c>
      <c r="C29" s="417">
        <f>SUM('3% Overview'!K22)</f>
        <v>500</v>
      </c>
      <c r="D29" s="419">
        <f t="shared" si="0"/>
        <v>0</v>
      </c>
      <c r="E29" s="398">
        <f t="shared" si="1"/>
        <v>0</v>
      </c>
    </row>
    <row r="30" spans="1:5" ht="15.45" x14ac:dyDescent="0.4">
      <c r="A30" s="394" t="s">
        <v>502</v>
      </c>
      <c r="B30" s="409">
        <f>SUM('3% Overview'!J23)</f>
        <v>899100</v>
      </c>
      <c r="C30" s="410">
        <f>SUM('3% Overview'!K23)</f>
        <v>924600</v>
      </c>
      <c r="D30" s="415">
        <f t="shared" si="0"/>
        <v>25500</v>
      </c>
      <c r="E30" s="395">
        <f t="shared" si="1"/>
        <v>2.8361695028361694E-2</v>
      </c>
    </row>
    <row r="31" spans="1:5" ht="15.45" x14ac:dyDescent="0.4">
      <c r="A31" s="396" t="s">
        <v>503</v>
      </c>
      <c r="B31" s="416">
        <f>SUM('3% Overview'!J24)</f>
        <v>0</v>
      </c>
      <c r="C31" s="417">
        <f>SUM('3% Overview'!K24)</f>
        <v>0</v>
      </c>
      <c r="D31" s="420">
        <f t="shared" si="0"/>
        <v>0</v>
      </c>
      <c r="E31" s="399">
        <v>0</v>
      </c>
    </row>
    <row r="32" spans="1:5" ht="15.45" x14ac:dyDescent="0.4">
      <c r="A32" s="394" t="s">
        <v>504</v>
      </c>
      <c r="B32" s="409">
        <f>SUM('3% Overview'!J25)</f>
        <v>285800</v>
      </c>
      <c r="C32" s="410">
        <f>SUM('3% Overview'!K25)</f>
        <v>394700</v>
      </c>
      <c r="D32" s="421">
        <f t="shared" si="0"/>
        <v>108900</v>
      </c>
      <c r="E32" s="400">
        <f t="shared" si="1"/>
        <v>0.38103568929321202</v>
      </c>
    </row>
    <row r="33" spans="1:5" ht="15.45" x14ac:dyDescent="0.4">
      <c r="A33" s="396" t="s">
        <v>505</v>
      </c>
      <c r="B33" s="416">
        <f>SUM('3% Overview'!J26)</f>
        <v>135300</v>
      </c>
      <c r="C33" s="417">
        <f>SUM('3% Overview'!K26)</f>
        <v>157800</v>
      </c>
      <c r="D33" s="418">
        <f>SUM(C33-B33)</f>
        <v>22500</v>
      </c>
      <c r="E33" s="397">
        <f>(C33-B33)/B33</f>
        <v>0.16629711751662971</v>
      </c>
    </row>
    <row r="34" spans="1:5" ht="15.45" x14ac:dyDescent="0.4">
      <c r="A34" s="394" t="s">
        <v>506</v>
      </c>
      <c r="B34" s="409">
        <f>SUM('3% Overview'!J27)</f>
        <v>17800</v>
      </c>
      <c r="C34" s="410">
        <f>SUM('3% Overview'!K27)</f>
        <v>19800</v>
      </c>
      <c r="D34" s="421">
        <f t="shared" si="0"/>
        <v>2000</v>
      </c>
      <c r="E34" s="400">
        <f t="shared" si="1"/>
        <v>0.11235955056179775</v>
      </c>
    </row>
    <row r="35" spans="1:5" ht="15.45" x14ac:dyDescent="0.4">
      <c r="A35" s="396" t="s">
        <v>507</v>
      </c>
      <c r="B35" s="416">
        <f>SUM('3% Overview'!J28)</f>
        <v>425600</v>
      </c>
      <c r="C35" s="417">
        <f>SUM('3% Overview'!K28)</f>
        <v>0</v>
      </c>
      <c r="D35" s="423">
        <f t="shared" si="0"/>
        <v>-425600</v>
      </c>
      <c r="E35" s="402">
        <f t="shared" si="1"/>
        <v>-1</v>
      </c>
    </row>
    <row r="36" spans="1:5" ht="15.45" x14ac:dyDescent="0.4">
      <c r="A36" s="394" t="s">
        <v>72</v>
      </c>
      <c r="B36" s="409">
        <f>SUM('3% Overview'!J29)</f>
        <v>65000</v>
      </c>
      <c r="C36" s="410">
        <f>SUM('3% Overview'!K29)</f>
        <v>65000</v>
      </c>
      <c r="D36" s="415">
        <f t="shared" si="0"/>
        <v>0</v>
      </c>
      <c r="E36" s="395">
        <f t="shared" si="1"/>
        <v>0</v>
      </c>
    </row>
    <row r="37" spans="1:5" ht="15.45" x14ac:dyDescent="0.4">
      <c r="A37" s="396" t="s">
        <v>508</v>
      </c>
      <c r="B37" s="416">
        <f>SUM('3% Overview'!J30)</f>
        <v>0</v>
      </c>
      <c r="C37" s="417">
        <f>SUM('3% Overview'!K30)</f>
        <v>0</v>
      </c>
      <c r="D37" s="419">
        <f t="shared" si="0"/>
        <v>0</v>
      </c>
      <c r="E37" s="402">
        <v>0</v>
      </c>
    </row>
    <row r="38" spans="1:5" ht="15.45" x14ac:dyDescent="0.4">
      <c r="A38" s="394" t="s">
        <v>509</v>
      </c>
      <c r="B38" s="424">
        <f>SUM('3% Overview'!J31)</f>
        <v>5000</v>
      </c>
      <c r="C38" s="425">
        <f>SUM('3% Overview'!K31)</f>
        <v>5000</v>
      </c>
      <c r="D38" s="426">
        <f t="shared" si="0"/>
        <v>0</v>
      </c>
      <c r="E38" s="403">
        <f t="shared" si="1"/>
        <v>0</v>
      </c>
    </row>
    <row r="39" spans="1:5" ht="15.45" x14ac:dyDescent="0.4">
      <c r="A39" s="404" t="s">
        <v>510</v>
      </c>
      <c r="B39" s="416">
        <f>SUM(B10:B38)</f>
        <v>9630800</v>
      </c>
      <c r="C39" s="417">
        <f>SUM(C10:C38)</f>
        <v>10015500</v>
      </c>
      <c r="D39" s="427">
        <f>SUM(D10:D38)</f>
        <v>384700</v>
      </c>
      <c r="E39" s="405">
        <f t="shared" si="1"/>
        <v>3.9944760559870417E-2</v>
      </c>
    </row>
    <row r="40" spans="1:5" ht="15.45" x14ac:dyDescent="0.4">
      <c r="A40" s="394" t="s">
        <v>73</v>
      </c>
      <c r="B40" s="409">
        <f>SUM('3% Overview'!J34)</f>
        <v>244500</v>
      </c>
      <c r="C40" s="410">
        <f>SUM('3% Overview'!K34)</f>
        <v>242400</v>
      </c>
      <c r="D40" s="415">
        <f>SUM(C40-B40)</f>
        <v>-2100</v>
      </c>
      <c r="E40" s="406">
        <f t="shared" si="1"/>
        <v>-8.5889570552147246E-3</v>
      </c>
    </row>
    <row r="41" spans="1:5" ht="15.9" thickBot="1" x14ac:dyDescent="0.45">
      <c r="A41" s="404" t="s">
        <v>511</v>
      </c>
      <c r="B41" s="428">
        <f>SUM(B39:B40)</f>
        <v>9875300</v>
      </c>
      <c r="C41" s="429">
        <f>SUM(C39:C40)</f>
        <v>10257900</v>
      </c>
      <c r="D41" s="427">
        <f>SUM(D39+D40)</f>
        <v>382600</v>
      </c>
      <c r="E41" s="433">
        <f>(C41-B41)/B41</f>
        <v>3.8743126791084825E-2</v>
      </c>
    </row>
    <row r="42" spans="1:5" ht="16.3" thickTop="1" thickBot="1" x14ac:dyDescent="0.45">
      <c r="A42" s="407" t="s">
        <v>512</v>
      </c>
      <c r="B42" s="411">
        <f>SUM('3% Overview'!J37)</f>
        <v>-399453</v>
      </c>
      <c r="C42" s="412">
        <f>SUM('3% Overview'!K37)</f>
        <v>-300000</v>
      </c>
      <c r="D42" s="430"/>
      <c r="E42" s="432"/>
    </row>
    <row r="43" spans="1:5" ht="15.9" thickBot="1" x14ac:dyDescent="0.45">
      <c r="A43" s="408" t="s">
        <v>513</v>
      </c>
      <c r="B43" s="413">
        <f>SUM(B41:B42)</f>
        <v>9475847</v>
      </c>
      <c r="C43" s="414">
        <f>SUM(C41:C42)</f>
        <v>9957900</v>
      </c>
      <c r="D43" s="431"/>
      <c r="E43" s="434">
        <f>(C43-B43)/B43</f>
        <v>5.0871758482381575E-2</v>
      </c>
    </row>
  </sheetData>
  <mergeCells count="3">
    <mergeCell ref="A5:E5"/>
    <mergeCell ref="A6:E6"/>
    <mergeCell ref="A7:E7"/>
  </mergeCells>
  <conditionalFormatting sqref="D10:D42 E43">
    <cfRule type="cellIs" dxfId="5" priority="6" operator="equal">
      <formula>0</formula>
    </cfRule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E10:E41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rintOptions horizontalCentered="1" verticalCentered="1"/>
  <pageMargins left="0.25" right="0.25" top="0.75" bottom="0.75" header="0.3" footer="0.3"/>
  <pageSetup scale="98" orientation="portrait" r:id="rId1"/>
  <ignoredErrors>
    <ignoredError sqref="B42:C42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66CC10-FEA8-425D-8FE7-1E442781B2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D42 E43</xm:sqref>
        </x14:conditionalFormatting>
        <x14:conditionalFormatting xmlns:xm="http://schemas.microsoft.com/office/excel/2006/main">
          <x14:cfRule type="iconSet" priority="5" id="{01CE2CD5-9D6D-4618-861B-C7AA7C6EE74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E10:E41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K162"/>
  <sheetViews>
    <sheetView workbookViewId="0">
      <pane xSplit="3" ySplit="1" topLeftCell="D103" activePane="bottomRight" state="frozenSplit"/>
      <selection pane="topRight" activeCell="D1" sqref="D1"/>
      <selection pane="bottomLeft" activeCell="A2" sqref="A2"/>
      <selection pane="bottomRight" activeCell="I131" sqref="I131"/>
    </sheetView>
  </sheetViews>
  <sheetFormatPr defaultColWidth="14.3828125" defaultRowHeight="15" customHeight="1" x14ac:dyDescent="0.4"/>
  <cols>
    <col min="1" max="2" width="3" customWidth="1"/>
    <col min="3" max="3" width="26.3046875" customWidth="1"/>
    <col min="4" max="4" width="2.3046875" customWidth="1"/>
    <col min="5" max="5" width="17.69140625" bestFit="1" customWidth="1"/>
    <col min="6" max="6" width="10.69140625" bestFit="1" customWidth="1"/>
    <col min="7" max="7" width="19.69140625" bestFit="1" customWidth="1"/>
    <col min="8" max="8" width="26.15234375" bestFit="1" customWidth="1"/>
    <col min="9" max="9" width="30.69140625" customWidth="1"/>
    <col min="10" max="10" width="28.382812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649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652</v>
      </c>
      <c r="F4" s="91">
        <v>44563</v>
      </c>
      <c r="G4" s="90" t="s">
        <v>655</v>
      </c>
      <c r="H4" s="90" t="s">
        <v>668</v>
      </c>
      <c r="I4" s="90" t="s">
        <v>680</v>
      </c>
      <c r="J4" s="90" t="s">
        <v>678</v>
      </c>
      <c r="K4" s="93">
        <v>-39.9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44564</v>
      </c>
      <c r="G5" s="90" t="s">
        <v>656</v>
      </c>
      <c r="H5" s="90" t="s">
        <v>668</v>
      </c>
      <c r="I5" s="90" t="s">
        <v>672</v>
      </c>
      <c r="J5" s="90" t="s">
        <v>678</v>
      </c>
      <c r="K5" s="93">
        <v>23.98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44573</v>
      </c>
      <c r="G6" s="90" t="s">
        <v>657</v>
      </c>
      <c r="H6" s="90" t="s">
        <v>668</v>
      </c>
      <c r="I6" s="90" t="s">
        <v>672</v>
      </c>
      <c r="J6" s="90" t="s">
        <v>678</v>
      </c>
      <c r="K6" s="93">
        <v>33.92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44582</v>
      </c>
      <c r="G7" s="90" t="s">
        <v>658</v>
      </c>
      <c r="H7" s="90" t="s">
        <v>1711</v>
      </c>
      <c r="I7" s="90" t="s">
        <v>673</v>
      </c>
      <c r="J7" s="90" t="s">
        <v>678</v>
      </c>
      <c r="K7" s="93">
        <v>369.9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44582</v>
      </c>
      <c r="G8" s="90" t="s">
        <v>658</v>
      </c>
      <c r="H8" s="90" t="s">
        <v>1711</v>
      </c>
      <c r="I8" s="90" t="s">
        <v>672</v>
      </c>
      <c r="J8" s="90" t="s">
        <v>678</v>
      </c>
      <c r="K8" s="93">
        <v>25.23</v>
      </c>
    </row>
    <row r="9" spans="1:11" ht="14.6" x14ac:dyDescent="0.4">
      <c r="A9" s="90"/>
      <c r="B9" s="90"/>
      <c r="C9" s="90"/>
      <c r="D9" s="90"/>
      <c r="E9" s="90" t="s">
        <v>654</v>
      </c>
      <c r="F9" s="91">
        <v>44587</v>
      </c>
      <c r="G9" s="90" t="s">
        <v>659</v>
      </c>
      <c r="H9" s="90" t="s">
        <v>669</v>
      </c>
      <c r="I9" s="90" t="s">
        <v>674</v>
      </c>
      <c r="J9" s="90" t="s">
        <v>679</v>
      </c>
      <c r="K9" s="93">
        <v>227.09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44589</v>
      </c>
      <c r="G10" s="90" t="s">
        <v>660</v>
      </c>
      <c r="H10" s="90" t="s">
        <v>1711</v>
      </c>
      <c r="I10" s="90" t="s">
        <v>672</v>
      </c>
      <c r="J10" s="90" t="s">
        <v>678</v>
      </c>
      <c r="K10" s="93">
        <v>5.29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44589</v>
      </c>
      <c r="G11" s="90" t="s">
        <v>661</v>
      </c>
      <c r="H11" s="90" t="s">
        <v>1711</v>
      </c>
      <c r="I11" s="90" t="s">
        <v>672</v>
      </c>
      <c r="J11" s="90" t="s">
        <v>678</v>
      </c>
      <c r="K11" s="93">
        <v>51.97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44593</v>
      </c>
      <c r="G12" s="90" t="s">
        <v>662</v>
      </c>
      <c r="H12" s="90" t="s">
        <v>1711</v>
      </c>
      <c r="I12" s="90" t="s">
        <v>672</v>
      </c>
      <c r="J12" s="90" t="s">
        <v>678</v>
      </c>
      <c r="K12" s="93">
        <v>25.99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44593</v>
      </c>
      <c r="G13" s="90" t="s">
        <v>663</v>
      </c>
      <c r="H13" s="90" t="s">
        <v>1711</v>
      </c>
      <c r="I13" s="90" t="s">
        <v>672</v>
      </c>
      <c r="J13" s="90" t="s">
        <v>678</v>
      </c>
      <c r="K13" s="93">
        <v>25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44595</v>
      </c>
      <c r="G14" s="90" t="s">
        <v>664</v>
      </c>
      <c r="H14" s="90" t="s">
        <v>670</v>
      </c>
      <c r="I14" s="90" t="s">
        <v>675</v>
      </c>
      <c r="J14" s="90" t="s">
        <v>678</v>
      </c>
      <c r="K14" s="93">
        <v>19.38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44601</v>
      </c>
      <c r="G15" s="90" t="s">
        <v>665</v>
      </c>
      <c r="H15" s="90" t="s">
        <v>671</v>
      </c>
      <c r="I15" s="90" t="s">
        <v>676</v>
      </c>
      <c r="J15" s="90" t="s">
        <v>678</v>
      </c>
      <c r="K15" s="93">
        <v>57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44602</v>
      </c>
      <c r="G16" s="90" t="s">
        <v>666</v>
      </c>
      <c r="H16" s="90" t="s">
        <v>1711</v>
      </c>
      <c r="I16" s="90" t="s">
        <v>672</v>
      </c>
      <c r="J16" s="90" t="s">
        <v>678</v>
      </c>
      <c r="K16" s="93">
        <v>50.31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44610</v>
      </c>
      <c r="G17" s="90" t="s">
        <v>667</v>
      </c>
      <c r="H17" s="90" t="s">
        <v>671</v>
      </c>
      <c r="I17" s="90" t="s">
        <v>677</v>
      </c>
      <c r="J17" s="90" t="s">
        <v>678</v>
      </c>
      <c r="K17" s="93">
        <v>45.17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44615</v>
      </c>
      <c r="G18" s="90" t="s">
        <v>1255</v>
      </c>
      <c r="H18" s="90" t="s">
        <v>668</v>
      </c>
      <c r="I18" s="90" t="s">
        <v>1282</v>
      </c>
      <c r="J18" s="90" t="s">
        <v>678</v>
      </c>
      <c r="K18" s="93">
        <v>0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44615</v>
      </c>
      <c r="G19" s="90" t="s">
        <v>1255</v>
      </c>
      <c r="H19" s="90" t="s">
        <v>668</v>
      </c>
      <c r="I19" s="90" t="s">
        <v>1283</v>
      </c>
      <c r="J19" s="90" t="s">
        <v>678</v>
      </c>
      <c r="K19" s="93">
        <v>47.96</v>
      </c>
    </row>
    <row r="20" spans="1:11" ht="14.6" x14ac:dyDescent="0.4">
      <c r="A20" s="90"/>
      <c r="B20" s="90"/>
      <c r="C20" s="90"/>
      <c r="D20" s="90"/>
      <c r="E20" s="90" t="s">
        <v>731</v>
      </c>
      <c r="F20" s="91">
        <v>44615</v>
      </c>
      <c r="G20" s="90" t="s">
        <v>1256</v>
      </c>
      <c r="H20" s="90" t="s">
        <v>1279</v>
      </c>
      <c r="I20" s="90" t="s">
        <v>1284</v>
      </c>
      <c r="J20" s="90" t="s">
        <v>735</v>
      </c>
      <c r="K20" s="93">
        <v>414.28</v>
      </c>
    </row>
    <row r="21" spans="1:11" ht="14.6" x14ac:dyDescent="0.4">
      <c r="A21" s="90"/>
      <c r="B21" s="90"/>
      <c r="C21" s="90"/>
      <c r="D21" s="90"/>
      <c r="E21" s="90" t="s">
        <v>731</v>
      </c>
      <c r="F21" s="91">
        <v>44615</v>
      </c>
      <c r="G21" s="90" t="s">
        <v>1256</v>
      </c>
      <c r="H21" s="90" t="s">
        <v>1279</v>
      </c>
      <c r="I21" s="90" t="s">
        <v>1285</v>
      </c>
      <c r="J21" s="90" t="s">
        <v>735</v>
      </c>
      <c r="K21" s="93">
        <v>13.2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44616</v>
      </c>
      <c r="G22" s="90" t="s">
        <v>1257</v>
      </c>
      <c r="H22" s="90" t="s">
        <v>668</v>
      </c>
      <c r="I22" s="90" t="s">
        <v>1286</v>
      </c>
      <c r="J22" s="90" t="s">
        <v>678</v>
      </c>
      <c r="K22" s="93">
        <v>0</v>
      </c>
    </row>
    <row r="23" spans="1:11" ht="14.6" x14ac:dyDescent="0.4">
      <c r="A23" s="90"/>
      <c r="B23" s="90"/>
      <c r="C23" s="90"/>
      <c r="D23" s="90"/>
      <c r="E23" s="90" t="s">
        <v>756</v>
      </c>
      <c r="F23" s="91">
        <v>44630</v>
      </c>
      <c r="G23" s="90"/>
      <c r="H23" s="90" t="s">
        <v>669</v>
      </c>
      <c r="I23" s="90" t="s">
        <v>1720</v>
      </c>
      <c r="J23" s="90" t="s">
        <v>679</v>
      </c>
      <c r="K23" s="93">
        <v>-227.09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44631</v>
      </c>
      <c r="G24" s="90" t="s">
        <v>1258</v>
      </c>
      <c r="H24" s="90" t="s">
        <v>1711</v>
      </c>
      <c r="I24" s="90" t="s">
        <v>672</v>
      </c>
      <c r="J24" s="90" t="s">
        <v>678</v>
      </c>
      <c r="K24" s="93">
        <v>27.96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44631</v>
      </c>
      <c r="G25" s="90" t="s">
        <v>1259</v>
      </c>
      <c r="H25" s="90" t="s">
        <v>1711</v>
      </c>
      <c r="I25" s="90" t="s">
        <v>672</v>
      </c>
      <c r="J25" s="90" t="s">
        <v>678</v>
      </c>
      <c r="K25" s="93">
        <v>77.08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44634</v>
      </c>
      <c r="G26" s="90" t="s">
        <v>1260</v>
      </c>
      <c r="H26" s="90" t="s">
        <v>744</v>
      </c>
      <c r="I26" s="90" t="s">
        <v>1287</v>
      </c>
      <c r="J26" s="90" t="s">
        <v>678</v>
      </c>
      <c r="K26" s="93">
        <v>47.8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44636</v>
      </c>
      <c r="G27" s="90" t="s">
        <v>1261</v>
      </c>
      <c r="H27" s="90" t="s">
        <v>671</v>
      </c>
      <c r="I27" s="90" t="s">
        <v>1288</v>
      </c>
      <c r="J27" s="90" t="s">
        <v>678</v>
      </c>
      <c r="K27" s="93">
        <v>45.17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44636</v>
      </c>
      <c r="G28" s="90" t="s">
        <v>1262</v>
      </c>
      <c r="H28" s="90" t="s">
        <v>671</v>
      </c>
      <c r="I28" s="90" t="s">
        <v>1289</v>
      </c>
      <c r="J28" s="90" t="s">
        <v>678</v>
      </c>
      <c r="K28" s="93">
        <v>45.17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44636</v>
      </c>
      <c r="G29" s="90" t="s">
        <v>1263</v>
      </c>
      <c r="H29" s="90" t="s">
        <v>671</v>
      </c>
      <c r="I29" s="90" t="s">
        <v>1290</v>
      </c>
      <c r="J29" s="90" t="s">
        <v>678</v>
      </c>
      <c r="K29" s="93">
        <v>45.17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44637</v>
      </c>
      <c r="G30" s="90" t="s">
        <v>1264</v>
      </c>
      <c r="H30" s="90" t="s">
        <v>1711</v>
      </c>
      <c r="I30" s="90" t="s">
        <v>672</v>
      </c>
      <c r="J30" s="90" t="s">
        <v>678</v>
      </c>
      <c r="K30" s="93">
        <v>3.54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44637</v>
      </c>
      <c r="G31" s="90" t="s">
        <v>1265</v>
      </c>
      <c r="H31" s="90" t="s">
        <v>1711</v>
      </c>
      <c r="I31" s="90" t="s">
        <v>672</v>
      </c>
      <c r="J31" s="90" t="s">
        <v>678</v>
      </c>
      <c r="K31" s="93">
        <v>264.36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44637</v>
      </c>
      <c r="G32" s="90" t="s">
        <v>1266</v>
      </c>
      <c r="H32" s="90" t="s">
        <v>1711</v>
      </c>
      <c r="I32" s="90" t="s">
        <v>672</v>
      </c>
      <c r="J32" s="90" t="s">
        <v>678</v>
      </c>
      <c r="K32" s="93">
        <v>27.59</v>
      </c>
    </row>
    <row r="33" spans="1:11" ht="14.6" x14ac:dyDescent="0.4">
      <c r="A33" s="90"/>
      <c r="B33" s="90"/>
      <c r="C33" s="90"/>
      <c r="D33" s="90"/>
      <c r="E33" s="90" t="s">
        <v>731</v>
      </c>
      <c r="F33" s="91">
        <v>44637</v>
      </c>
      <c r="G33" s="90" t="s">
        <v>1267</v>
      </c>
      <c r="H33" s="90" t="s">
        <v>1280</v>
      </c>
      <c r="I33" s="90" t="s">
        <v>1291</v>
      </c>
      <c r="J33" s="90" t="s">
        <v>735</v>
      </c>
      <c r="K33" s="93">
        <v>6.47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44641</v>
      </c>
      <c r="G34" s="90" t="s">
        <v>1268</v>
      </c>
      <c r="H34" s="90" t="s">
        <v>671</v>
      </c>
      <c r="I34" s="90" t="s">
        <v>1292</v>
      </c>
      <c r="J34" s="90" t="s">
        <v>678</v>
      </c>
      <c r="K34" s="93">
        <v>55</v>
      </c>
    </row>
    <row r="35" spans="1:11" ht="14.6" x14ac:dyDescent="0.4">
      <c r="A35" s="90"/>
      <c r="B35" s="90"/>
      <c r="C35" s="90"/>
      <c r="D35" s="90"/>
      <c r="E35" s="90" t="s">
        <v>653</v>
      </c>
      <c r="F35" s="91">
        <v>44641</v>
      </c>
      <c r="G35" s="90" t="s">
        <v>1268</v>
      </c>
      <c r="H35" s="90" t="s">
        <v>671</v>
      </c>
      <c r="I35" s="90" t="s">
        <v>1293</v>
      </c>
      <c r="J35" s="90" t="s">
        <v>678</v>
      </c>
      <c r="K35" s="93">
        <v>55</v>
      </c>
    </row>
    <row r="36" spans="1:11" ht="14.6" x14ac:dyDescent="0.4">
      <c r="A36" s="90"/>
      <c r="B36" s="90"/>
      <c r="C36" s="90"/>
      <c r="D36" s="90"/>
      <c r="E36" s="90" t="s">
        <v>653</v>
      </c>
      <c r="F36" s="91">
        <v>44641</v>
      </c>
      <c r="G36" s="90" t="s">
        <v>1268</v>
      </c>
      <c r="H36" s="90" t="s">
        <v>671</v>
      </c>
      <c r="I36" s="90" t="s">
        <v>1294</v>
      </c>
      <c r="J36" s="90" t="s">
        <v>678</v>
      </c>
      <c r="K36" s="93">
        <v>55</v>
      </c>
    </row>
    <row r="37" spans="1:11" ht="14.6" x14ac:dyDescent="0.4">
      <c r="A37" s="90"/>
      <c r="B37" s="90"/>
      <c r="C37" s="90"/>
      <c r="D37" s="90"/>
      <c r="E37" s="90" t="s">
        <v>653</v>
      </c>
      <c r="F37" s="91">
        <v>44641</v>
      </c>
      <c r="G37" s="90" t="s">
        <v>1269</v>
      </c>
      <c r="H37" s="90" t="s">
        <v>1281</v>
      </c>
      <c r="I37" s="90" t="s">
        <v>1295</v>
      </c>
      <c r="J37" s="90" t="s">
        <v>678</v>
      </c>
      <c r="K37" s="93">
        <v>434</v>
      </c>
    </row>
    <row r="38" spans="1:11" ht="14.6" x14ac:dyDescent="0.4">
      <c r="A38" s="90"/>
      <c r="B38" s="90"/>
      <c r="C38" s="90"/>
      <c r="D38" s="90"/>
      <c r="E38" s="90" t="s">
        <v>653</v>
      </c>
      <c r="F38" s="91">
        <v>44643</v>
      </c>
      <c r="G38" s="90" t="s">
        <v>1270</v>
      </c>
      <c r="H38" s="90" t="s">
        <v>744</v>
      </c>
      <c r="I38" s="965" t="s">
        <v>672</v>
      </c>
      <c r="J38" s="90" t="s">
        <v>678</v>
      </c>
      <c r="K38" s="93">
        <v>236.49</v>
      </c>
    </row>
    <row r="39" spans="1:11" ht="14.6" x14ac:dyDescent="0.4">
      <c r="A39" s="90"/>
      <c r="B39" s="90"/>
      <c r="C39" s="90"/>
      <c r="D39" s="90"/>
      <c r="E39" s="90" t="s">
        <v>653</v>
      </c>
      <c r="F39" s="91">
        <v>44645</v>
      </c>
      <c r="G39" s="90" t="s">
        <v>1272</v>
      </c>
      <c r="H39" s="90" t="s">
        <v>1711</v>
      </c>
      <c r="I39" s="90" t="s">
        <v>1721</v>
      </c>
      <c r="J39" s="90" t="s">
        <v>678</v>
      </c>
      <c r="K39" s="93">
        <v>73.98</v>
      </c>
    </row>
    <row r="40" spans="1:11" ht="14.6" x14ac:dyDescent="0.4">
      <c r="A40" s="90"/>
      <c r="B40" s="90"/>
      <c r="C40" s="90"/>
      <c r="D40" s="90"/>
      <c r="E40" s="90" t="s">
        <v>653</v>
      </c>
      <c r="F40" s="91">
        <v>44645</v>
      </c>
      <c r="G40" s="90" t="s">
        <v>1272</v>
      </c>
      <c r="H40" s="90" t="s">
        <v>1711</v>
      </c>
      <c r="I40" s="90" t="s">
        <v>1722</v>
      </c>
      <c r="J40" s="90" t="s">
        <v>678</v>
      </c>
      <c r="K40" s="93">
        <v>51.06</v>
      </c>
    </row>
    <row r="41" spans="1:11" ht="14.6" x14ac:dyDescent="0.4">
      <c r="A41" s="90"/>
      <c r="B41" s="90"/>
      <c r="C41" s="90"/>
      <c r="D41" s="90"/>
      <c r="E41" s="90" t="s">
        <v>653</v>
      </c>
      <c r="F41" s="91">
        <v>44649</v>
      </c>
      <c r="G41" s="90" t="s">
        <v>1273</v>
      </c>
      <c r="H41" s="90" t="s">
        <v>744</v>
      </c>
      <c r="I41" s="90" t="s">
        <v>672</v>
      </c>
      <c r="J41" s="90" t="s">
        <v>678</v>
      </c>
      <c r="K41" s="93">
        <v>93.26</v>
      </c>
    </row>
    <row r="42" spans="1:11" ht="14.6" x14ac:dyDescent="0.4">
      <c r="A42" s="90"/>
      <c r="B42" s="90"/>
      <c r="C42" s="90"/>
      <c r="D42" s="90"/>
      <c r="E42" s="90" t="s">
        <v>653</v>
      </c>
      <c r="F42" s="91">
        <v>44649</v>
      </c>
      <c r="G42" s="90" t="s">
        <v>1274</v>
      </c>
      <c r="H42" s="90" t="s">
        <v>1711</v>
      </c>
      <c r="I42" s="90" t="s">
        <v>672</v>
      </c>
      <c r="J42" s="90" t="s">
        <v>678</v>
      </c>
      <c r="K42" s="93">
        <v>13.8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44649</v>
      </c>
      <c r="G43" s="90" t="s">
        <v>1274</v>
      </c>
      <c r="H43" s="90" t="s">
        <v>1711</v>
      </c>
      <c r="I43" s="90" t="s">
        <v>673</v>
      </c>
      <c r="J43" s="90" t="s">
        <v>678</v>
      </c>
      <c r="K43" s="93">
        <v>73.98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44655</v>
      </c>
      <c r="G44" s="90" t="s">
        <v>1275</v>
      </c>
      <c r="H44" s="90" t="s">
        <v>744</v>
      </c>
      <c r="I44" s="90" t="s">
        <v>672</v>
      </c>
      <c r="J44" s="90" t="s">
        <v>678</v>
      </c>
      <c r="K44" s="93">
        <v>29.97</v>
      </c>
    </row>
    <row r="45" spans="1:11" ht="14.6" x14ac:dyDescent="0.4">
      <c r="A45" s="90"/>
      <c r="B45" s="90"/>
      <c r="C45" s="90"/>
      <c r="D45" s="90"/>
      <c r="E45" s="90" t="s">
        <v>653</v>
      </c>
      <c r="F45" s="91">
        <v>44656</v>
      </c>
      <c r="G45" s="90" t="s">
        <v>1276</v>
      </c>
      <c r="H45" s="90" t="s">
        <v>671</v>
      </c>
      <c r="I45" s="90" t="s">
        <v>1297</v>
      </c>
      <c r="J45" s="90" t="s">
        <v>678</v>
      </c>
      <c r="K45" s="93">
        <v>63</v>
      </c>
    </row>
    <row r="46" spans="1:11" ht="14.6" x14ac:dyDescent="0.4">
      <c r="A46" s="90"/>
      <c r="B46" s="90"/>
      <c r="C46" s="90"/>
      <c r="D46" s="90"/>
      <c r="E46" s="90" t="s">
        <v>653</v>
      </c>
      <c r="F46" s="91">
        <v>44656</v>
      </c>
      <c r="G46" s="90" t="s">
        <v>1613</v>
      </c>
      <c r="H46" s="90" t="s">
        <v>671</v>
      </c>
      <c r="I46" s="90" t="s">
        <v>1723</v>
      </c>
      <c r="J46" s="90" t="s">
        <v>678</v>
      </c>
      <c r="K46" s="93">
        <v>17</v>
      </c>
    </row>
    <row r="47" spans="1:11" ht="14.6" x14ac:dyDescent="0.4">
      <c r="A47" s="90"/>
      <c r="B47" s="90"/>
      <c r="C47" s="90"/>
      <c r="D47" s="90"/>
      <c r="E47" s="90" t="s">
        <v>653</v>
      </c>
      <c r="F47" s="91">
        <v>44656</v>
      </c>
      <c r="G47" s="90" t="s">
        <v>1614</v>
      </c>
      <c r="H47" s="90" t="s">
        <v>671</v>
      </c>
      <c r="I47" s="90" t="s">
        <v>1724</v>
      </c>
      <c r="J47" s="90" t="s">
        <v>678</v>
      </c>
      <c r="K47" s="93">
        <v>45.17</v>
      </c>
    </row>
    <row r="48" spans="1:11" ht="14.6" x14ac:dyDescent="0.4">
      <c r="A48" s="90"/>
      <c r="B48" s="90"/>
      <c r="C48" s="90"/>
      <c r="D48" s="90"/>
      <c r="E48" s="90" t="s">
        <v>653</v>
      </c>
      <c r="F48" s="91">
        <v>44657</v>
      </c>
      <c r="G48" s="90" t="s">
        <v>1615</v>
      </c>
      <c r="H48" s="90" t="s">
        <v>668</v>
      </c>
      <c r="I48" s="90" t="s">
        <v>672</v>
      </c>
      <c r="J48" s="90" t="s">
        <v>678</v>
      </c>
      <c r="K48" s="93">
        <v>23.9</v>
      </c>
    </row>
    <row r="49" spans="1:11" ht="14.6" x14ac:dyDescent="0.4">
      <c r="A49" s="90"/>
      <c r="B49" s="90"/>
      <c r="C49" s="90"/>
      <c r="D49" s="90"/>
      <c r="E49" s="90" t="s">
        <v>653</v>
      </c>
      <c r="F49" s="91">
        <v>44657</v>
      </c>
      <c r="G49" s="90" t="s">
        <v>1616</v>
      </c>
      <c r="H49" s="90" t="s">
        <v>668</v>
      </c>
      <c r="I49" s="90" t="s">
        <v>672</v>
      </c>
      <c r="J49" s="90" t="s">
        <v>678</v>
      </c>
      <c r="K49" s="93">
        <v>8.8699999999999992</v>
      </c>
    </row>
    <row r="50" spans="1:11" ht="14.6" x14ac:dyDescent="0.4">
      <c r="A50" s="90"/>
      <c r="B50" s="90"/>
      <c r="C50" s="90"/>
      <c r="D50" s="90"/>
      <c r="E50" s="90" t="s">
        <v>653</v>
      </c>
      <c r="F50" s="91">
        <v>44657</v>
      </c>
      <c r="G50" s="90" t="s">
        <v>1617</v>
      </c>
      <c r="H50" s="90" t="s">
        <v>668</v>
      </c>
      <c r="I50" s="90" t="s">
        <v>672</v>
      </c>
      <c r="J50" s="90" t="s">
        <v>678</v>
      </c>
      <c r="K50" s="93">
        <v>59.98</v>
      </c>
    </row>
    <row r="51" spans="1:11" ht="14.6" x14ac:dyDescent="0.4">
      <c r="A51" s="90"/>
      <c r="B51" s="90"/>
      <c r="C51" s="90"/>
      <c r="D51" s="90"/>
      <c r="E51" s="90" t="s">
        <v>653</v>
      </c>
      <c r="F51" s="91">
        <v>44657</v>
      </c>
      <c r="G51" s="90" t="s">
        <v>1618</v>
      </c>
      <c r="H51" s="90" t="s">
        <v>668</v>
      </c>
      <c r="I51" s="90" t="s">
        <v>672</v>
      </c>
      <c r="J51" s="90" t="s">
        <v>678</v>
      </c>
      <c r="K51" s="93">
        <v>7.99</v>
      </c>
    </row>
    <row r="52" spans="1:11" ht="14.6" x14ac:dyDescent="0.4">
      <c r="A52" s="90"/>
      <c r="B52" s="90"/>
      <c r="C52" s="90"/>
      <c r="D52" s="90"/>
      <c r="E52" s="90" t="s">
        <v>653</v>
      </c>
      <c r="F52" s="91">
        <v>44659</v>
      </c>
      <c r="G52" s="90" t="s">
        <v>1619</v>
      </c>
      <c r="H52" s="90" t="s">
        <v>1711</v>
      </c>
      <c r="I52" s="90" t="s">
        <v>672</v>
      </c>
      <c r="J52" s="90" t="s">
        <v>678</v>
      </c>
      <c r="K52" s="93">
        <v>41.43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44662</v>
      </c>
      <c r="G53" s="90" t="s">
        <v>1620</v>
      </c>
      <c r="H53" s="90" t="s">
        <v>1711</v>
      </c>
      <c r="I53" s="90" t="s">
        <v>672</v>
      </c>
      <c r="J53" s="90" t="s">
        <v>678</v>
      </c>
      <c r="K53" s="93">
        <v>30.99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44663</v>
      </c>
      <c r="G54" s="90" t="s">
        <v>1277</v>
      </c>
      <c r="H54" s="90" t="s">
        <v>671</v>
      </c>
      <c r="I54" s="90" t="s">
        <v>1282</v>
      </c>
      <c r="J54" s="90" t="s">
        <v>678</v>
      </c>
      <c r="K54" s="93">
        <v>0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44663</v>
      </c>
      <c r="G55" s="90" t="s">
        <v>1277</v>
      </c>
      <c r="H55" s="90" t="s">
        <v>671</v>
      </c>
      <c r="I55" s="90" t="s">
        <v>1298</v>
      </c>
      <c r="J55" s="90" t="s">
        <v>678</v>
      </c>
      <c r="K55" s="93">
        <v>51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44663</v>
      </c>
      <c r="G56" s="90" t="s">
        <v>1278</v>
      </c>
      <c r="H56" s="90" t="s">
        <v>671</v>
      </c>
      <c r="I56" s="90" t="s">
        <v>1299</v>
      </c>
      <c r="J56" s="90" t="s">
        <v>678</v>
      </c>
      <c r="K56" s="93">
        <v>0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44663</v>
      </c>
      <c r="G57" s="90" t="s">
        <v>1278</v>
      </c>
      <c r="H57" s="90" t="s">
        <v>671</v>
      </c>
      <c r="I57" s="90" t="s">
        <v>1300</v>
      </c>
      <c r="J57" s="90" t="s">
        <v>678</v>
      </c>
      <c r="K57" s="93">
        <v>54.94</v>
      </c>
    </row>
    <row r="58" spans="1:11" ht="15" customHeight="1" x14ac:dyDescent="0.4">
      <c r="A58" s="90"/>
      <c r="B58" s="90"/>
      <c r="C58" s="90"/>
      <c r="D58" s="90"/>
      <c r="E58" s="90" t="s">
        <v>653</v>
      </c>
      <c r="F58" s="91">
        <v>44663</v>
      </c>
      <c r="G58" s="90" t="s">
        <v>1621</v>
      </c>
      <c r="H58" s="90" t="s">
        <v>668</v>
      </c>
      <c r="I58" s="90" t="s">
        <v>672</v>
      </c>
      <c r="J58" s="90" t="s">
        <v>678</v>
      </c>
      <c r="K58" s="93">
        <v>8.86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44664</v>
      </c>
      <c r="G59" s="90" t="s">
        <v>1622</v>
      </c>
      <c r="H59" s="90" t="s">
        <v>1711</v>
      </c>
      <c r="I59" s="90" t="s">
        <v>672</v>
      </c>
      <c r="J59" s="90" t="s">
        <v>678</v>
      </c>
      <c r="K59" s="93">
        <v>34.51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44664</v>
      </c>
      <c r="G60" s="90" t="s">
        <v>1623</v>
      </c>
      <c r="H60" s="90" t="s">
        <v>1711</v>
      </c>
      <c r="I60" s="90" t="s">
        <v>672</v>
      </c>
      <c r="J60" s="90" t="s">
        <v>678</v>
      </c>
      <c r="K60" s="93">
        <v>29.38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44670</v>
      </c>
      <c r="G61" s="90" t="s">
        <v>1624</v>
      </c>
      <c r="H61" s="90" t="s">
        <v>671</v>
      </c>
      <c r="I61" s="90" t="s">
        <v>1725</v>
      </c>
      <c r="J61" s="90" t="s">
        <v>678</v>
      </c>
      <c r="K61" s="93">
        <v>51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44682</v>
      </c>
      <c r="G62" s="90" t="s">
        <v>1625</v>
      </c>
      <c r="H62" s="90" t="s">
        <v>1711</v>
      </c>
      <c r="I62" s="90" t="s">
        <v>1726</v>
      </c>
      <c r="J62" s="90" t="s">
        <v>678</v>
      </c>
      <c r="K62" s="93">
        <v>295.92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44684</v>
      </c>
      <c r="G63" s="90" t="s">
        <v>1420</v>
      </c>
      <c r="H63" s="90" t="s">
        <v>670</v>
      </c>
      <c r="I63" s="90" t="s">
        <v>1727</v>
      </c>
      <c r="J63" s="90" t="s">
        <v>678</v>
      </c>
      <c r="K63" s="93">
        <v>139.72999999999999</v>
      </c>
    </row>
    <row r="64" spans="1:11" ht="15" customHeight="1" x14ac:dyDescent="0.4">
      <c r="A64" s="90"/>
      <c r="B64" s="90"/>
      <c r="C64" s="90"/>
      <c r="D64" s="90"/>
      <c r="E64" s="90" t="s">
        <v>653</v>
      </c>
      <c r="F64" s="91">
        <v>44685</v>
      </c>
      <c r="G64" s="90" t="s">
        <v>1626</v>
      </c>
      <c r="H64" s="90" t="s">
        <v>668</v>
      </c>
      <c r="I64" s="90" t="s">
        <v>672</v>
      </c>
      <c r="J64" s="90" t="s">
        <v>678</v>
      </c>
      <c r="K64" s="93">
        <v>40.659999999999997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44685</v>
      </c>
      <c r="G65" s="90" t="s">
        <v>1627</v>
      </c>
      <c r="H65" s="90" t="s">
        <v>668</v>
      </c>
      <c r="I65" s="90" t="s">
        <v>672</v>
      </c>
      <c r="J65" s="90" t="s">
        <v>678</v>
      </c>
      <c r="K65" s="93">
        <v>42.89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44686</v>
      </c>
      <c r="G66" s="90" t="s">
        <v>1628</v>
      </c>
      <c r="H66" s="90" t="s">
        <v>671</v>
      </c>
      <c r="I66" s="90" t="s">
        <v>1725</v>
      </c>
      <c r="J66" s="90" t="s">
        <v>678</v>
      </c>
      <c r="K66" s="93">
        <v>34</v>
      </c>
    </row>
    <row r="67" spans="1:11" ht="15" customHeight="1" x14ac:dyDescent="0.4">
      <c r="A67" s="90"/>
      <c r="B67" s="90"/>
      <c r="C67" s="90"/>
      <c r="D67" s="90"/>
      <c r="E67" s="90" t="s">
        <v>653</v>
      </c>
      <c r="F67" s="91">
        <v>44693</v>
      </c>
      <c r="G67" s="90" t="s">
        <v>1629</v>
      </c>
      <c r="H67" s="90" t="s">
        <v>1711</v>
      </c>
      <c r="I67" s="90" t="s">
        <v>672</v>
      </c>
      <c r="J67" s="90" t="s">
        <v>678</v>
      </c>
      <c r="K67" s="93">
        <v>95.34</v>
      </c>
    </row>
    <row r="68" spans="1:11" ht="15" customHeight="1" x14ac:dyDescent="0.4">
      <c r="A68" s="90"/>
      <c r="B68" s="90"/>
      <c r="C68" s="90"/>
      <c r="D68" s="90"/>
      <c r="E68" s="90" t="s">
        <v>653</v>
      </c>
      <c r="F68" s="91">
        <v>44697</v>
      </c>
      <c r="G68" s="90" t="s">
        <v>1630</v>
      </c>
      <c r="H68" s="90" t="s">
        <v>671</v>
      </c>
      <c r="I68" s="90" t="s">
        <v>1728</v>
      </c>
      <c r="J68" s="90" t="s">
        <v>678</v>
      </c>
      <c r="K68" s="93">
        <v>45.17</v>
      </c>
    </row>
    <row r="69" spans="1:11" ht="15" customHeight="1" x14ac:dyDescent="0.4">
      <c r="A69" s="90"/>
      <c r="B69" s="90"/>
      <c r="C69" s="90"/>
      <c r="D69" s="90"/>
      <c r="E69" s="90" t="s">
        <v>653</v>
      </c>
      <c r="F69" s="91">
        <v>44699</v>
      </c>
      <c r="G69" s="90" t="s">
        <v>1631</v>
      </c>
      <c r="H69" s="90" t="s">
        <v>744</v>
      </c>
      <c r="I69" s="90" t="s">
        <v>672</v>
      </c>
      <c r="J69" s="90" t="s">
        <v>678</v>
      </c>
      <c r="K69" s="93">
        <v>78.760000000000005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44700</v>
      </c>
      <c r="G70" s="90" t="s">
        <v>1632</v>
      </c>
      <c r="H70" s="90" t="s">
        <v>668</v>
      </c>
      <c r="I70" s="90" t="s">
        <v>672</v>
      </c>
      <c r="J70" s="90" t="s">
        <v>678</v>
      </c>
      <c r="K70" s="93">
        <v>26</v>
      </c>
    </row>
    <row r="71" spans="1:11" ht="15" customHeight="1" x14ac:dyDescent="0.4">
      <c r="A71" s="90"/>
      <c r="B71" s="90"/>
      <c r="C71" s="90"/>
      <c r="D71" s="90"/>
      <c r="E71" s="90" t="s">
        <v>653</v>
      </c>
      <c r="F71" s="91">
        <v>44700</v>
      </c>
      <c r="G71" s="90" t="s">
        <v>1633</v>
      </c>
      <c r="H71" s="90" t="s">
        <v>668</v>
      </c>
      <c r="I71" s="90" t="s">
        <v>672</v>
      </c>
      <c r="J71" s="90" t="s">
        <v>678</v>
      </c>
      <c r="K71" s="93">
        <v>17.329999999999998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44700</v>
      </c>
      <c r="G72" s="90" t="s">
        <v>1634</v>
      </c>
      <c r="H72" s="90" t="s">
        <v>668</v>
      </c>
      <c r="I72" s="90" t="s">
        <v>672</v>
      </c>
      <c r="J72" s="90" t="s">
        <v>678</v>
      </c>
      <c r="K72" s="93">
        <v>45.98</v>
      </c>
    </row>
    <row r="73" spans="1:11" ht="15" customHeight="1" x14ac:dyDescent="0.4">
      <c r="A73" s="90"/>
      <c r="B73" s="90"/>
      <c r="C73" s="90"/>
      <c r="D73" s="90"/>
      <c r="E73" s="90" t="s">
        <v>653</v>
      </c>
      <c r="F73" s="91">
        <v>44701</v>
      </c>
      <c r="G73" s="90" t="s">
        <v>1635</v>
      </c>
      <c r="H73" s="90" t="s">
        <v>668</v>
      </c>
      <c r="I73" s="90" t="s">
        <v>1729</v>
      </c>
      <c r="J73" s="90" t="s">
        <v>678</v>
      </c>
      <c r="K73" s="93">
        <v>33.19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44701</v>
      </c>
      <c r="G74" s="90" t="s">
        <v>1636</v>
      </c>
      <c r="H74" s="90" t="s">
        <v>668</v>
      </c>
      <c r="I74" s="90" t="s">
        <v>672</v>
      </c>
      <c r="J74" s="90" t="s">
        <v>678</v>
      </c>
      <c r="K74" s="93">
        <v>25.29</v>
      </c>
    </row>
    <row r="75" spans="1:11" ht="15" customHeight="1" x14ac:dyDescent="0.4">
      <c r="A75" s="90"/>
      <c r="B75" s="90"/>
      <c r="C75" s="90"/>
      <c r="D75" s="90"/>
      <c r="E75" s="90" t="s">
        <v>653</v>
      </c>
      <c r="F75" s="91">
        <v>44707</v>
      </c>
      <c r="G75" s="90" t="s">
        <v>1637</v>
      </c>
      <c r="H75" s="90" t="s">
        <v>1711</v>
      </c>
      <c r="I75" s="90" t="s">
        <v>673</v>
      </c>
      <c r="J75" s="90" t="s">
        <v>678</v>
      </c>
      <c r="K75" s="93">
        <v>69.67</v>
      </c>
    </row>
    <row r="76" spans="1:11" ht="15" customHeight="1" x14ac:dyDescent="0.4">
      <c r="A76" s="90"/>
      <c r="B76" s="90"/>
      <c r="C76" s="90"/>
      <c r="D76" s="90"/>
      <c r="E76" s="90" t="s">
        <v>653</v>
      </c>
      <c r="F76" s="91">
        <v>44718</v>
      </c>
      <c r="G76" s="90" t="s">
        <v>1638</v>
      </c>
      <c r="H76" s="90" t="s">
        <v>1711</v>
      </c>
      <c r="I76" s="90" t="s">
        <v>673</v>
      </c>
      <c r="J76" s="90" t="s">
        <v>678</v>
      </c>
      <c r="K76" s="93">
        <v>389.9</v>
      </c>
    </row>
    <row r="77" spans="1:11" ht="15" customHeight="1" x14ac:dyDescent="0.4">
      <c r="A77" s="90"/>
      <c r="B77" s="90"/>
      <c r="C77" s="90"/>
      <c r="D77" s="90"/>
      <c r="E77" s="90" t="s">
        <v>653</v>
      </c>
      <c r="F77" s="91">
        <v>44721</v>
      </c>
      <c r="G77" s="90" t="s">
        <v>1639</v>
      </c>
      <c r="H77" s="90" t="s">
        <v>1711</v>
      </c>
      <c r="I77" s="90" t="s">
        <v>672</v>
      </c>
      <c r="J77" s="90" t="s">
        <v>678</v>
      </c>
      <c r="K77" s="93">
        <v>66.56</v>
      </c>
    </row>
    <row r="78" spans="1:11" ht="15" customHeight="1" x14ac:dyDescent="0.4">
      <c r="A78" s="90"/>
      <c r="B78" s="90"/>
      <c r="C78" s="90"/>
      <c r="D78" s="90"/>
      <c r="E78" s="90" t="s">
        <v>653</v>
      </c>
      <c r="F78" s="91">
        <v>44722</v>
      </c>
      <c r="G78" s="90" t="s">
        <v>1640</v>
      </c>
      <c r="H78" s="90" t="s">
        <v>1711</v>
      </c>
      <c r="I78" s="90" t="s">
        <v>672</v>
      </c>
      <c r="J78" s="90" t="s">
        <v>678</v>
      </c>
      <c r="K78" s="93">
        <v>61.86</v>
      </c>
    </row>
    <row r="79" spans="1:11" ht="15" customHeight="1" x14ac:dyDescent="0.4">
      <c r="A79" s="90"/>
      <c r="B79" s="90"/>
      <c r="C79" s="90"/>
      <c r="D79" s="90"/>
      <c r="E79" s="90" t="s">
        <v>653</v>
      </c>
      <c r="F79" s="91">
        <v>44725</v>
      </c>
      <c r="G79" s="90" t="s">
        <v>1641</v>
      </c>
      <c r="H79" s="90" t="s">
        <v>1711</v>
      </c>
      <c r="I79" s="90" t="s">
        <v>672</v>
      </c>
      <c r="J79" s="90" t="s">
        <v>678</v>
      </c>
      <c r="K79" s="93">
        <v>61.96</v>
      </c>
    </row>
    <row r="80" spans="1:11" ht="15" customHeight="1" x14ac:dyDescent="0.4">
      <c r="A80" s="90"/>
      <c r="B80" s="90"/>
      <c r="C80" s="90"/>
      <c r="D80" s="90"/>
      <c r="E80" s="90" t="s">
        <v>653</v>
      </c>
      <c r="F80" s="91">
        <v>44727</v>
      </c>
      <c r="G80" s="90" t="s">
        <v>1642</v>
      </c>
      <c r="H80" s="90" t="s">
        <v>1711</v>
      </c>
      <c r="I80" s="90" t="s">
        <v>672</v>
      </c>
      <c r="J80" s="90" t="s">
        <v>678</v>
      </c>
      <c r="K80" s="93">
        <v>30.58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44727</v>
      </c>
      <c r="G81" s="90" t="s">
        <v>1643</v>
      </c>
      <c r="H81" s="90" t="s">
        <v>1711</v>
      </c>
      <c r="I81" s="90" t="s">
        <v>673</v>
      </c>
      <c r="J81" s="90" t="s">
        <v>678</v>
      </c>
      <c r="K81" s="93">
        <v>389.9</v>
      </c>
    </row>
    <row r="82" spans="1:11" ht="15" customHeight="1" x14ac:dyDescent="0.4">
      <c r="A82" s="90"/>
      <c r="B82" s="90"/>
      <c r="C82" s="90"/>
      <c r="D82" s="90"/>
      <c r="E82" s="90" t="s">
        <v>653</v>
      </c>
      <c r="F82" s="91">
        <v>44727</v>
      </c>
      <c r="G82" s="90" t="s">
        <v>1644</v>
      </c>
      <c r="H82" s="90" t="s">
        <v>1711</v>
      </c>
      <c r="I82" s="90" t="s">
        <v>672</v>
      </c>
      <c r="J82" s="90" t="s">
        <v>678</v>
      </c>
      <c r="K82" s="93">
        <v>44.52</v>
      </c>
    </row>
    <row r="83" spans="1:11" ht="15" customHeight="1" x14ac:dyDescent="0.4">
      <c r="A83" s="90"/>
      <c r="B83" s="90"/>
      <c r="C83" s="90"/>
      <c r="D83" s="90"/>
      <c r="E83" s="90" t="s">
        <v>653</v>
      </c>
      <c r="F83" s="91">
        <v>44736</v>
      </c>
      <c r="G83" s="90" t="s">
        <v>1645</v>
      </c>
      <c r="H83" s="90" t="s">
        <v>668</v>
      </c>
      <c r="I83" s="90" t="s">
        <v>672</v>
      </c>
      <c r="J83" s="90" t="s">
        <v>678</v>
      </c>
      <c r="K83" s="93">
        <v>112.16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44736</v>
      </c>
      <c r="G84" s="90" t="s">
        <v>1646</v>
      </c>
      <c r="H84" s="90" t="s">
        <v>1711</v>
      </c>
      <c r="I84" s="90" t="s">
        <v>672</v>
      </c>
      <c r="J84" s="90" t="s">
        <v>678</v>
      </c>
      <c r="K84" s="93">
        <v>112.49</v>
      </c>
    </row>
    <row r="85" spans="1:11" ht="15" customHeight="1" x14ac:dyDescent="0.4">
      <c r="A85" s="90"/>
      <c r="B85" s="90"/>
      <c r="C85" s="90"/>
      <c r="D85" s="90"/>
      <c r="E85" s="90" t="s">
        <v>653</v>
      </c>
      <c r="F85" s="91">
        <v>44747</v>
      </c>
      <c r="G85" s="90" t="s">
        <v>1647</v>
      </c>
      <c r="H85" s="90" t="s">
        <v>1711</v>
      </c>
      <c r="I85" s="90" t="s">
        <v>672</v>
      </c>
      <c r="J85" s="90" t="s">
        <v>678</v>
      </c>
      <c r="K85" s="93">
        <v>128.72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44750</v>
      </c>
      <c r="G86" s="90" t="s">
        <v>1648</v>
      </c>
      <c r="H86" s="90" t="s">
        <v>1711</v>
      </c>
      <c r="I86" s="90" t="s">
        <v>673</v>
      </c>
      <c r="J86" s="90" t="s">
        <v>678</v>
      </c>
      <c r="K86" s="93">
        <v>62.94</v>
      </c>
    </row>
    <row r="87" spans="1:11" ht="15" customHeight="1" x14ac:dyDescent="0.4">
      <c r="A87" s="90"/>
      <c r="B87" s="90"/>
      <c r="C87" s="90"/>
      <c r="D87" s="90"/>
      <c r="E87" s="90" t="s">
        <v>653</v>
      </c>
      <c r="F87" s="91">
        <v>44750</v>
      </c>
      <c r="G87" s="90" t="s">
        <v>1648</v>
      </c>
      <c r="H87" s="90" t="s">
        <v>1711</v>
      </c>
      <c r="I87" s="90" t="s">
        <v>672</v>
      </c>
      <c r="J87" s="90" t="s">
        <v>678</v>
      </c>
      <c r="K87" s="93">
        <v>23.96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44753</v>
      </c>
      <c r="G88" s="90" t="s">
        <v>1649</v>
      </c>
      <c r="H88" s="90" t="s">
        <v>1711</v>
      </c>
      <c r="I88" s="90" t="s">
        <v>672</v>
      </c>
      <c r="J88" s="90" t="s">
        <v>678</v>
      </c>
      <c r="K88" s="93">
        <v>22.99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44754</v>
      </c>
      <c r="G89" s="90" t="s">
        <v>1650</v>
      </c>
      <c r="H89" s="90" t="s">
        <v>1711</v>
      </c>
      <c r="I89" s="90" t="s">
        <v>673</v>
      </c>
      <c r="J89" s="90" t="s">
        <v>678</v>
      </c>
      <c r="K89" s="93">
        <v>428.89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44754</v>
      </c>
      <c r="G90" s="90" t="s">
        <v>1650</v>
      </c>
      <c r="H90" s="90" t="s">
        <v>1711</v>
      </c>
      <c r="I90" s="90" t="s">
        <v>672</v>
      </c>
      <c r="J90" s="90" t="s">
        <v>678</v>
      </c>
      <c r="K90" s="93">
        <v>22.19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44757</v>
      </c>
      <c r="G91" s="90" t="s">
        <v>1651</v>
      </c>
      <c r="H91" s="90" t="s">
        <v>671</v>
      </c>
      <c r="I91" s="90" t="s">
        <v>1730</v>
      </c>
      <c r="J91" s="90" t="s">
        <v>678</v>
      </c>
      <c r="K91" s="93">
        <v>47.54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44757</v>
      </c>
      <c r="G92" s="90" t="s">
        <v>1652</v>
      </c>
      <c r="H92" s="90" t="s">
        <v>671</v>
      </c>
      <c r="I92" s="90" t="s">
        <v>1731</v>
      </c>
      <c r="J92" s="90" t="s">
        <v>678</v>
      </c>
      <c r="K92" s="93">
        <v>56.15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44776</v>
      </c>
      <c r="G93" s="90" t="s">
        <v>1653</v>
      </c>
      <c r="H93" s="90" t="s">
        <v>744</v>
      </c>
      <c r="I93" s="90" t="s">
        <v>1732</v>
      </c>
      <c r="J93" s="90" t="s">
        <v>678</v>
      </c>
      <c r="K93" s="93">
        <v>70.989999999999995</v>
      </c>
    </row>
    <row r="94" spans="1:11" ht="15" customHeight="1" x14ac:dyDescent="0.4">
      <c r="A94" s="90"/>
      <c r="B94" s="90"/>
      <c r="C94" s="90"/>
      <c r="D94" s="90"/>
      <c r="E94" s="90" t="s">
        <v>653</v>
      </c>
      <c r="F94" s="91">
        <v>44776</v>
      </c>
      <c r="G94" s="90" t="s">
        <v>1654</v>
      </c>
      <c r="H94" s="90" t="s">
        <v>1711</v>
      </c>
      <c r="I94" s="90" t="s">
        <v>672</v>
      </c>
      <c r="J94" s="90" t="s">
        <v>678</v>
      </c>
      <c r="K94" s="93">
        <v>23.09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44776</v>
      </c>
      <c r="G95" s="90" t="s">
        <v>1655</v>
      </c>
      <c r="H95" s="90" t="s">
        <v>1711</v>
      </c>
      <c r="I95" s="90" t="s">
        <v>672</v>
      </c>
      <c r="J95" s="90" t="s">
        <v>678</v>
      </c>
      <c r="K95" s="93">
        <v>135.46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44776</v>
      </c>
      <c r="G96" s="90" t="s">
        <v>1656</v>
      </c>
      <c r="H96" s="90" t="s">
        <v>670</v>
      </c>
      <c r="I96" s="90" t="s">
        <v>1733</v>
      </c>
      <c r="J96" s="90" t="s">
        <v>678</v>
      </c>
      <c r="K96" s="93">
        <v>154.85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44777</v>
      </c>
      <c r="G97" s="90" t="s">
        <v>1657</v>
      </c>
      <c r="H97" s="90" t="s">
        <v>744</v>
      </c>
      <c r="I97" s="90" t="s">
        <v>1732</v>
      </c>
      <c r="J97" s="90" t="s">
        <v>678</v>
      </c>
      <c r="K97" s="93">
        <v>122.75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44777</v>
      </c>
      <c r="G98" s="90" t="s">
        <v>1658</v>
      </c>
      <c r="H98" s="90" t="s">
        <v>671</v>
      </c>
      <c r="I98" s="90" t="s">
        <v>1723</v>
      </c>
      <c r="J98" s="90" t="s">
        <v>678</v>
      </c>
      <c r="K98" s="93">
        <v>17</v>
      </c>
    </row>
    <row r="99" spans="1:11" ht="15" customHeight="1" x14ac:dyDescent="0.4">
      <c r="A99" s="90"/>
      <c r="B99" s="90"/>
      <c r="C99" s="90"/>
      <c r="D99" s="90"/>
      <c r="E99" s="90" t="s">
        <v>653</v>
      </c>
      <c r="F99" s="91">
        <v>44777</v>
      </c>
      <c r="G99" s="90" t="s">
        <v>1659</v>
      </c>
      <c r="H99" s="90" t="s">
        <v>1711</v>
      </c>
      <c r="I99" s="90" t="s">
        <v>672</v>
      </c>
      <c r="J99" s="90" t="s">
        <v>678</v>
      </c>
      <c r="K99" s="93">
        <v>51.76</v>
      </c>
    </row>
    <row r="100" spans="1:11" ht="15" customHeight="1" x14ac:dyDescent="0.4">
      <c r="A100" s="90"/>
      <c r="B100" s="90"/>
      <c r="C100" s="90"/>
      <c r="D100" s="90"/>
      <c r="E100" s="90" t="s">
        <v>731</v>
      </c>
      <c r="F100" s="91">
        <v>44777</v>
      </c>
      <c r="G100" s="90" t="s">
        <v>1660</v>
      </c>
      <c r="H100" s="90" t="s">
        <v>1712</v>
      </c>
      <c r="I100" s="90" t="s">
        <v>1734</v>
      </c>
      <c r="J100" s="90" t="s">
        <v>735</v>
      </c>
      <c r="K100" s="93">
        <v>466.35</v>
      </c>
    </row>
    <row r="101" spans="1:11" ht="15" customHeight="1" x14ac:dyDescent="0.4">
      <c r="A101" s="90"/>
      <c r="B101" s="90"/>
      <c r="C101" s="90"/>
      <c r="D101" s="90"/>
      <c r="E101" s="90" t="s">
        <v>653</v>
      </c>
      <c r="F101" s="91">
        <v>44780</v>
      </c>
      <c r="G101" s="90" t="s">
        <v>1661</v>
      </c>
      <c r="H101" s="90" t="s">
        <v>744</v>
      </c>
      <c r="I101" s="90" t="s">
        <v>1732</v>
      </c>
      <c r="J101" s="90" t="s">
        <v>678</v>
      </c>
      <c r="K101" s="93">
        <v>44.12</v>
      </c>
    </row>
    <row r="102" spans="1:11" ht="15" customHeight="1" x14ac:dyDescent="0.4">
      <c r="A102" s="90"/>
      <c r="B102" s="90"/>
      <c r="C102" s="90"/>
      <c r="D102" s="90"/>
      <c r="E102" s="90" t="s">
        <v>653</v>
      </c>
      <c r="F102" s="91">
        <v>44782</v>
      </c>
      <c r="G102" s="90" t="s">
        <v>1662</v>
      </c>
      <c r="H102" s="90" t="s">
        <v>1713</v>
      </c>
      <c r="I102" s="90" t="s">
        <v>672</v>
      </c>
      <c r="J102" s="90" t="s">
        <v>678</v>
      </c>
      <c r="K102" s="93">
        <v>38.549999999999997</v>
      </c>
    </row>
    <row r="103" spans="1:11" ht="15" customHeight="1" x14ac:dyDescent="0.4">
      <c r="A103" s="90"/>
      <c r="B103" s="90"/>
      <c r="C103" s="90"/>
      <c r="D103" s="90"/>
      <c r="E103" s="90" t="s">
        <v>653</v>
      </c>
      <c r="F103" s="91">
        <v>44783</v>
      </c>
      <c r="G103" s="90" t="s">
        <v>1663</v>
      </c>
      <c r="H103" s="90" t="s">
        <v>744</v>
      </c>
      <c r="I103" s="90" t="s">
        <v>1735</v>
      </c>
      <c r="J103" s="90" t="s">
        <v>678</v>
      </c>
      <c r="K103" s="93">
        <v>20.88</v>
      </c>
    </row>
    <row r="104" spans="1:11" ht="15" customHeight="1" x14ac:dyDescent="0.4">
      <c r="A104" s="90"/>
      <c r="B104" s="90"/>
      <c r="C104" s="90"/>
      <c r="D104" s="90"/>
      <c r="E104" s="90" t="s">
        <v>653</v>
      </c>
      <c r="F104" s="91">
        <v>44783</v>
      </c>
      <c r="G104" s="90" t="s">
        <v>1663</v>
      </c>
      <c r="H104" s="90" t="s">
        <v>744</v>
      </c>
      <c r="I104" s="90" t="s">
        <v>1736</v>
      </c>
      <c r="J104" s="90" t="s">
        <v>678</v>
      </c>
      <c r="K104" s="93">
        <v>10.44</v>
      </c>
    </row>
    <row r="105" spans="1:11" ht="15" customHeight="1" x14ac:dyDescent="0.4">
      <c r="A105" s="90"/>
      <c r="B105" s="90"/>
      <c r="C105" s="90"/>
      <c r="D105" s="90"/>
      <c r="E105" s="90" t="s">
        <v>653</v>
      </c>
      <c r="F105" s="91">
        <v>44789</v>
      </c>
      <c r="G105" s="90" t="s">
        <v>1664</v>
      </c>
      <c r="H105" s="90" t="s">
        <v>744</v>
      </c>
      <c r="I105" s="90" t="s">
        <v>1732</v>
      </c>
      <c r="J105" s="90" t="s">
        <v>678</v>
      </c>
      <c r="K105" s="93">
        <v>6.12</v>
      </c>
    </row>
    <row r="106" spans="1:11" ht="15" customHeight="1" x14ac:dyDescent="0.4">
      <c r="A106" s="90"/>
      <c r="B106" s="90"/>
      <c r="C106" s="90"/>
      <c r="D106" s="90"/>
      <c r="E106" s="90" t="s">
        <v>653</v>
      </c>
      <c r="F106" s="91">
        <v>44789</v>
      </c>
      <c r="G106" s="90" t="s">
        <v>1665</v>
      </c>
      <c r="H106" s="90" t="s">
        <v>744</v>
      </c>
      <c r="I106" s="90" t="s">
        <v>1732</v>
      </c>
      <c r="J106" s="90" t="s">
        <v>678</v>
      </c>
      <c r="K106" s="93">
        <v>79.650000000000006</v>
      </c>
    </row>
    <row r="107" spans="1:11" ht="15" customHeight="1" x14ac:dyDescent="0.4">
      <c r="A107" s="90"/>
      <c r="B107" s="90"/>
      <c r="C107" s="90"/>
      <c r="D107" s="90"/>
      <c r="E107" s="90" t="s">
        <v>653</v>
      </c>
      <c r="F107" s="91">
        <v>44792</v>
      </c>
      <c r="G107" s="90" t="s">
        <v>1666</v>
      </c>
      <c r="H107" s="90" t="s">
        <v>1356</v>
      </c>
      <c r="I107" s="90" t="s">
        <v>1737</v>
      </c>
      <c r="J107" s="90" t="s">
        <v>678</v>
      </c>
      <c r="K107" s="93">
        <v>225</v>
      </c>
    </row>
    <row r="108" spans="1:11" ht="15" customHeight="1" x14ac:dyDescent="0.4">
      <c r="A108" s="90"/>
      <c r="B108" s="90"/>
      <c r="C108" s="90"/>
      <c r="D108" s="90"/>
      <c r="E108" s="90" t="s">
        <v>653</v>
      </c>
      <c r="F108" s="91">
        <v>44797</v>
      </c>
      <c r="G108" s="90" t="s">
        <v>1667</v>
      </c>
      <c r="H108" s="90" t="s">
        <v>1711</v>
      </c>
      <c r="I108" s="90" t="s">
        <v>672</v>
      </c>
      <c r="J108" s="90" t="s">
        <v>678</v>
      </c>
      <c r="K108" s="93">
        <v>65.03</v>
      </c>
    </row>
    <row r="109" spans="1:11" ht="15" customHeight="1" x14ac:dyDescent="0.4">
      <c r="A109" s="90"/>
      <c r="B109" s="90"/>
      <c r="C109" s="90"/>
      <c r="D109" s="90"/>
      <c r="E109" s="90" t="s">
        <v>653</v>
      </c>
      <c r="F109" s="91">
        <v>44802</v>
      </c>
      <c r="G109" s="90" t="s">
        <v>1668</v>
      </c>
      <c r="H109" s="90" t="s">
        <v>744</v>
      </c>
      <c r="I109" s="90" t="s">
        <v>1732</v>
      </c>
      <c r="J109" s="90" t="s">
        <v>678</v>
      </c>
      <c r="K109" s="93">
        <v>59.63</v>
      </c>
    </row>
    <row r="110" spans="1:11" ht="15" customHeight="1" x14ac:dyDescent="0.4">
      <c r="A110" s="90"/>
      <c r="B110" s="90"/>
      <c r="C110" s="90"/>
      <c r="D110" s="90"/>
      <c r="E110" s="90" t="s">
        <v>653</v>
      </c>
      <c r="F110" s="91">
        <v>44803</v>
      </c>
      <c r="G110" s="90"/>
      <c r="H110" s="90" t="s">
        <v>744</v>
      </c>
      <c r="I110" s="90"/>
      <c r="J110" s="90" t="s">
        <v>678</v>
      </c>
      <c r="K110" s="93">
        <v>0</v>
      </c>
    </row>
    <row r="111" spans="1:11" ht="15" customHeight="1" x14ac:dyDescent="0.4">
      <c r="A111" s="90"/>
      <c r="B111" s="90"/>
      <c r="C111" s="90"/>
      <c r="D111" s="90"/>
      <c r="E111" s="90" t="s">
        <v>653</v>
      </c>
      <c r="F111" s="91">
        <v>44812</v>
      </c>
      <c r="G111" s="90" t="s">
        <v>1669</v>
      </c>
      <c r="H111" s="90" t="s">
        <v>671</v>
      </c>
      <c r="I111" s="90" t="s">
        <v>676</v>
      </c>
      <c r="J111" s="90" t="s">
        <v>678</v>
      </c>
      <c r="K111" s="93">
        <v>61.33</v>
      </c>
    </row>
    <row r="112" spans="1:11" ht="15" customHeight="1" x14ac:dyDescent="0.4">
      <c r="A112" s="90"/>
      <c r="B112" s="90"/>
      <c r="C112" s="90"/>
      <c r="D112" s="90"/>
      <c r="E112" s="90" t="s">
        <v>731</v>
      </c>
      <c r="F112" s="91">
        <v>44815</v>
      </c>
      <c r="G112" s="90" t="s">
        <v>1670</v>
      </c>
      <c r="H112" s="90" t="s">
        <v>1714</v>
      </c>
      <c r="I112" s="90" t="s">
        <v>1738</v>
      </c>
      <c r="J112" s="90" t="s">
        <v>735</v>
      </c>
      <c r="K112" s="93">
        <v>29.81</v>
      </c>
    </row>
    <row r="113" spans="1:11" ht="15" customHeight="1" x14ac:dyDescent="0.4">
      <c r="A113" s="90"/>
      <c r="B113" s="90"/>
      <c r="C113" s="90"/>
      <c r="D113" s="90"/>
      <c r="E113" s="90" t="s">
        <v>653</v>
      </c>
      <c r="F113" s="91">
        <v>44816</v>
      </c>
      <c r="G113" s="90" t="s">
        <v>1671</v>
      </c>
      <c r="H113" s="90" t="s">
        <v>671</v>
      </c>
      <c r="I113" s="90" t="s">
        <v>1739</v>
      </c>
      <c r="J113" s="90" t="s">
        <v>678</v>
      </c>
      <c r="K113" s="93">
        <v>51</v>
      </c>
    </row>
    <row r="114" spans="1:11" ht="15" customHeight="1" x14ac:dyDescent="0.4">
      <c r="A114" s="90"/>
      <c r="B114" s="90"/>
      <c r="C114" s="90"/>
      <c r="D114" s="90"/>
      <c r="E114" s="90" t="s">
        <v>653</v>
      </c>
      <c r="F114" s="91">
        <v>44816</v>
      </c>
      <c r="G114" s="90" t="s">
        <v>1672</v>
      </c>
      <c r="H114" s="90" t="s">
        <v>671</v>
      </c>
      <c r="I114" s="90" t="s">
        <v>1740</v>
      </c>
      <c r="J114" s="90" t="s">
        <v>678</v>
      </c>
      <c r="K114" s="93">
        <v>10</v>
      </c>
    </row>
    <row r="115" spans="1:11" ht="15" customHeight="1" x14ac:dyDescent="0.4">
      <c r="A115" s="90"/>
      <c r="B115" s="90"/>
      <c r="C115" s="90"/>
      <c r="D115" s="90"/>
      <c r="E115" s="90" t="s">
        <v>653</v>
      </c>
      <c r="F115" s="91">
        <v>44819</v>
      </c>
      <c r="G115" s="90" t="s">
        <v>1673</v>
      </c>
      <c r="H115" s="90" t="s">
        <v>1711</v>
      </c>
      <c r="I115" s="90" t="s">
        <v>672</v>
      </c>
      <c r="J115" s="90" t="s">
        <v>678</v>
      </c>
      <c r="K115" s="93">
        <v>29.03</v>
      </c>
    </row>
    <row r="116" spans="1:11" ht="15" customHeight="1" x14ac:dyDescent="0.4">
      <c r="A116" s="90"/>
      <c r="B116" s="90"/>
      <c r="C116" s="90"/>
      <c r="D116" s="90"/>
      <c r="E116" s="90" t="s">
        <v>653</v>
      </c>
      <c r="F116" s="91">
        <v>44820</v>
      </c>
      <c r="G116" s="90" t="s">
        <v>1674</v>
      </c>
      <c r="H116" s="90" t="s">
        <v>1711</v>
      </c>
      <c r="I116" s="90" t="s">
        <v>672</v>
      </c>
      <c r="J116" s="90" t="s">
        <v>678</v>
      </c>
      <c r="K116" s="93">
        <v>26.49</v>
      </c>
    </row>
    <row r="117" spans="1:11" ht="15" customHeight="1" x14ac:dyDescent="0.4">
      <c r="A117" s="90"/>
      <c r="B117" s="90"/>
      <c r="C117" s="90"/>
      <c r="D117" s="90"/>
      <c r="E117" s="90" t="s">
        <v>731</v>
      </c>
      <c r="F117" s="91">
        <v>44820</v>
      </c>
      <c r="G117" s="90" t="s">
        <v>1675</v>
      </c>
      <c r="H117" s="90" t="s">
        <v>1715</v>
      </c>
      <c r="I117" s="90" t="s">
        <v>1741</v>
      </c>
      <c r="J117" s="90" t="s">
        <v>735</v>
      </c>
      <c r="K117" s="93">
        <v>449.97</v>
      </c>
    </row>
    <row r="118" spans="1:11" ht="15" customHeight="1" x14ac:dyDescent="0.4">
      <c r="A118" s="90"/>
      <c r="B118" s="90"/>
      <c r="C118" s="90"/>
      <c r="D118" s="90"/>
      <c r="E118" s="90" t="s">
        <v>653</v>
      </c>
      <c r="F118" s="91">
        <v>44823</v>
      </c>
      <c r="G118" s="90" t="s">
        <v>1676</v>
      </c>
      <c r="H118" s="90" t="s">
        <v>744</v>
      </c>
      <c r="I118" s="90" t="s">
        <v>672</v>
      </c>
      <c r="J118" s="90" t="s">
        <v>678</v>
      </c>
      <c r="K118" s="93">
        <v>43.55</v>
      </c>
    </row>
    <row r="119" spans="1:11" ht="15" customHeight="1" x14ac:dyDescent="0.4">
      <c r="A119" s="90"/>
      <c r="B119" s="90"/>
      <c r="C119" s="90"/>
      <c r="D119" s="90"/>
      <c r="E119" s="90" t="s">
        <v>653</v>
      </c>
      <c r="F119" s="91">
        <v>44823</v>
      </c>
      <c r="G119" s="90" t="s">
        <v>1677</v>
      </c>
      <c r="H119" s="90" t="s">
        <v>744</v>
      </c>
      <c r="I119" s="90" t="s">
        <v>672</v>
      </c>
      <c r="J119" s="90" t="s">
        <v>678</v>
      </c>
      <c r="K119" s="93">
        <v>136.93</v>
      </c>
    </row>
    <row r="120" spans="1:11" ht="15" customHeight="1" x14ac:dyDescent="0.4">
      <c r="A120" s="90"/>
      <c r="B120" s="90"/>
      <c r="C120" s="90"/>
      <c r="D120" s="90"/>
      <c r="E120" s="90" t="s">
        <v>653</v>
      </c>
      <c r="F120" s="91">
        <v>44827</v>
      </c>
      <c r="G120" s="90" t="s">
        <v>1678</v>
      </c>
      <c r="H120" s="90" t="s">
        <v>744</v>
      </c>
      <c r="I120" s="90" t="s">
        <v>672</v>
      </c>
      <c r="J120" s="90" t="s">
        <v>678</v>
      </c>
      <c r="K120" s="93">
        <v>76.19</v>
      </c>
    </row>
    <row r="121" spans="1:11" ht="15" customHeight="1" x14ac:dyDescent="0.4">
      <c r="A121" s="90"/>
      <c r="B121" s="90"/>
      <c r="C121" s="90"/>
      <c r="D121" s="90"/>
      <c r="E121" s="90" t="s">
        <v>653</v>
      </c>
      <c r="F121" s="91">
        <v>44831</v>
      </c>
      <c r="G121" s="90" t="s">
        <v>1679</v>
      </c>
      <c r="H121" s="90" t="s">
        <v>744</v>
      </c>
      <c r="I121" s="90" t="s">
        <v>672</v>
      </c>
      <c r="J121" s="90" t="s">
        <v>678</v>
      </c>
      <c r="K121" s="93">
        <v>9.76</v>
      </c>
    </row>
    <row r="122" spans="1:11" ht="15" customHeight="1" x14ac:dyDescent="0.4">
      <c r="A122" s="90"/>
      <c r="B122" s="90"/>
      <c r="C122" s="90"/>
      <c r="D122" s="90"/>
      <c r="E122" s="90" t="s">
        <v>653</v>
      </c>
      <c r="F122" s="91">
        <v>44832</v>
      </c>
      <c r="G122" s="90" t="s">
        <v>1680</v>
      </c>
      <c r="H122" s="90" t="s">
        <v>1711</v>
      </c>
      <c r="I122" s="90" t="s">
        <v>672</v>
      </c>
      <c r="J122" s="90" t="s">
        <v>678</v>
      </c>
      <c r="K122" s="93">
        <v>80.19</v>
      </c>
    </row>
    <row r="123" spans="1:11" ht="15" customHeight="1" x14ac:dyDescent="0.4">
      <c r="A123" s="90"/>
      <c r="B123" s="90"/>
      <c r="C123" s="90"/>
      <c r="D123" s="90"/>
      <c r="E123" s="90" t="s">
        <v>653</v>
      </c>
      <c r="F123" s="91">
        <v>44832</v>
      </c>
      <c r="G123" s="90" t="s">
        <v>1681</v>
      </c>
      <c r="H123" s="90" t="s">
        <v>1711</v>
      </c>
      <c r="I123" s="90" t="s">
        <v>672</v>
      </c>
      <c r="J123" s="90" t="s">
        <v>678</v>
      </c>
      <c r="K123" s="93">
        <v>9.64</v>
      </c>
    </row>
    <row r="124" spans="1:11" ht="15" customHeight="1" x14ac:dyDescent="0.4">
      <c r="A124" s="90"/>
      <c r="B124" s="90"/>
      <c r="C124" s="90"/>
      <c r="D124" s="90"/>
      <c r="E124" s="90" t="s">
        <v>731</v>
      </c>
      <c r="F124" s="91">
        <v>44839</v>
      </c>
      <c r="G124" s="90" t="s">
        <v>1682</v>
      </c>
      <c r="H124" s="90" t="s">
        <v>1716</v>
      </c>
      <c r="I124" s="90" t="s">
        <v>672</v>
      </c>
      <c r="J124" s="90" t="s">
        <v>888</v>
      </c>
      <c r="K124" s="93">
        <v>12.93</v>
      </c>
    </row>
    <row r="125" spans="1:11" ht="15" customHeight="1" x14ac:dyDescent="0.4">
      <c r="A125" s="90"/>
      <c r="B125" s="90"/>
      <c r="C125" s="90"/>
      <c r="D125" s="90"/>
      <c r="E125" s="90" t="s">
        <v>653</v>
      </c>
      <c r="F125" s="91">
        <v>44846</v>
      </c>
      <c r="G125" s="90" t="s">
        <v>1683</v>
      </c>
      <c r="H125" s="90" t="s">
        <v>1711</v>
      </c>
      <c r="I125" s="90" t="s">
        <v>672</v>
      </c>
      <c r="J125" s="90" t="s">
        <v>678</v>
      </c>
      <c r="K125" s="93">
        <v>43.79</v>
      </c>
    </row>
    <row r="126" spans="1:11" ht="15" customHeight="1" x14ac:dyDescent="0.4">
      <c r="A126" s="90"/>
      <c r="B126" s="90"/>
      <c r="C126" s="90"/>
      <c r="D126" s="90"/>
      <c r="E126" s="90" t="s">
        <v>731</v>
      </c>
      <c r="F126" s="91">
        <v>44846</v>
      </c>
      <c r="G126" s="90" t="s">
        <v>1684</v>
      </c>
      <c r="H126" s="90" t="s">
        <v>1712</v>
      </c>
      <c r="I126" s="965" t="s">
        <v>3303</v>
      </c>
      <c r="J126" s="90" t="s">
        <v>735</v>
      </c>
      <c r="K126" s="93">
        <v>39.33</v>
      </c>
    </row>
    <row r="127" spans="1:11" ht="15" customHeight="1" x14ac:dyDescent="0.4">
      <c r="A127" s="90"/>
      <c r="B127" s="90"/>
      <c r="C127" s="90"/>
      <c r="D127" s="90"/>
      <c r="E127" s="90" t="s">
        <v>731</v>
      </c>
      <c r="F127" s="91">
        <v>44846</v>
      </c>
      <c r="G127" s="90" t="s">
        <v>1684</v>
      </c>
      <c r="H127" s="90" t="s">
        <v>1712</v>
      </c>
      <c r="I127" s="965" t="s">
        <v>3302</v>
      </c>
      <c r="J127" s="90" t="s">
        <v>735</v>
      </c>
      <c r="K127" s="93">
        <v>299.7</v>
      </c>
    </row>
    <row r="128" spans="1:11" ht="15" customHeight="1" x14ac:dyDescent="0.4">
      <c r="A128" s="90"/>
      <c r="B128" s="90"/>
      <c r="C128" s="90"/>
      <c r="D128" s="90"/>
      <c r="E128" s="90" t="s">
        <v>653</v>
      </c>
      <c r="F128" s="91">
        <v>44854</v>
      </c>
      <c r="G128" s="90" t="s">
        <v>1685</v>
      </c>
      <c r="H128" s="90" t="s">
        <v>1711</v>
      </c>
      <c r="I128" s="90" t="s">
        <v>672</v>
      </c>
      <c r="J128" s="90" t="s">
        <v>678</v>
      </c>
      <c r="K128" s="93">
        <v>149.6</v>
      </c>
    </row>
    <row r="129" spans="1:11" ht="15" customHeight="1" x14ac:dyDescent="0.4">
      <c r="A129" s="90"/>
      <c r="B129" s="90"/>
      <c r="C129" s="90"/>
      <c r="D129" s="90"/>
      <c r="E129" s="90" t="s">
        <v>653</v>
      </c>
      <c r="F129" s="91">
        <v>44855</v>
      </c>
      <c r="G129" s="90" t="s">
        <v>1686</v>
      </c>
      <c r="H129" s="90" t="s">
        <v>1711</v>
      </c>
      <c r="I129" s="90" t="s">
        <v>672</v>
      </c>
      <c r="J129" s="90" t="s">
        <v>678</v>
      </c>
      <c r="K129" s="93">
        <v>537.17999999999995</v>
      </c>
    </row>
    <row r="130" spans="1:11" ht="15" customHeight="1" x14ac:dyDescent="0.4">
      <c r="A130" s="90"/>
      <c r="B130" s="90"/>
      <c r="C130" s="90"/>
      <c r="D130" s="90"/>
      <c r="E130" s="90" t="s">
        <v>653</v>
      </c>
      <c r="F130" s="91">
        <v>44859</v>
      </c>
      <c r="G130" s="90" t="s">
        <v>1584</v>
      </c>
      <c r="H130" s="90" t="s">
        <v>744</v>
      </c>
      <c r="I130" s="90" t="s">
        <v>1742</v>
      </c>
      <c r="J130" s="90" t="s">
        <v>678</v>
      </c>
      <c r="K130" s="93">
        <v>19.989999999999998</v>
      </c>
    </row>
    <row r="131" spans="1:11" ht="15" customHeight="1" x14ac:dyDescent="0.4">
      <c r="A131" s="90"/>
      <c r="B131" s="90"/>
      <c r="C131" s="90"/>
      <c r="D131" s="90"/>
      <c r="E131" s="90" t="s">
        <v>653</v>
      </c>
      <c r="F131" s="91">
        <v>44859</v>
      </c>
      <c r="G131" s="90" t="s">
        <v>1584</v>
      </c>
      <c r="H131" s="90" t="s">
        <v>744</v>
      </c>
      <c r="I131" s="90" t="s">
        <v>1743</v>
      </c>
      <c r="J131" s="90" t="s">
        <v>678</v>
      </c>
      <c r="K131" s="93">
        <v>543.51</v>
      </c>
    </row>
    <row r="132" spans="1:11" ht="15" customHeight="1" x14ac:dyDescent="0.4">
      <c r="A132" s="90"/>
      <c r="B132" s="90"/>
      <c r="C132" s="90"/>
      <c r="D132" s="90"/>
      <c r="E132" s="90" t="s">
        <v>652</v>
      </c>
      <c r="F132" s="91">
        <v>44865</v>
      </c>
      <c r="G132" s="90" t="s">
        <v>1687</v>
      </c>
      <c r="H132" s="90" t="s">
        <v>1711</v>
      </c>
      <c r="I132" s="90" t="s">
        <v>1744</v>
      </c>
      <c r="J132" s="90" t="s">
        <v>678</v>
      </c>
      <c r="K132" s="93">
        <v>-0.03</v>
      </c>
    </row>
    <row r="133" spans="1:11" ht="15" customHeight="1" x14ac:dyDescent="0.4">
      <c r="A133" s="90"/>
      <c r="B133" s="90"/>
      <c r="C133" s="90"/>
      <c r="D133" s="90"/>
      <c r="E133" s="90" t="s">
        <v>653</v>
      </c>
      <c r="F133" s="91">
        <v>44866</v>
      </c>
      <c r="G133" s="90" t="s">
        <v>1688</v>
      </c>
      <c r="H133" s="90" t="s">
        <v>744</v>
      </c>
      <c r="I133" s="90" t="s">
        <v>672</v>
      </c>
      <c r="J133" s="90" t="s">
        <v>678</v>
      </c>
      <c r="K133" s="93">
        <v>115.22</v>
      </c>
    </row>
    <row r="134" spans="1:11" ht="15" customHeight="1" x14ac:dyDescent="0.4">
      <c r="A134" s="90"/>
      <c r="B134" s="90"/>
      <c r="C134" s="90"/>
      <c r="D134" s="90"/>
      <c r="E134" s="90" t="s">
        <v>653</v>
      </c>
      <c r="F134" s="91">
        <v>44868</v>
      </c>
      <c r="G134" s="90" t="s">
        <v>1689</v>
      </c>
      <c r="H134" s="90" t="s">
        <v>744</v>
      </c>
      <c r="I134" s="90" t="s">
        <v>672</v>
      </c>
      <c r="J134" s="90" t="s">
        <v>678</v>
      </c>
      <c r="K134" s="93">
        <v>25.98</v>
      </c>
    </row>
    <row r="135" spans="1:11" ht="15" customHeight="1" x14ac:dyDescent="0.4">
      <c r="A135" s="90"/>
      <c r="B135" s="90"/>
      <c r="C135" s="90"/>
      <c r="D135" s="90"/>
      <c r="E135" s="90" t="s">
        <v>653</v>
      </c>
      <c r="F135" s="91">
        <v>44868</v>
      </c>
      <c r="G135" s="90" t="s">
        <v>1690</v>
      </c>
      <c r="H135" s="90" t="s">
        <v>671</v>
      </c>
      <c r="I135" s="90" t="s">
        <v>1745</v>
      </c>
      <c r="J135" s="90" t="s">
        <v>678</v>
      </c>
      <c r="K135" s="93">
        <v>61.33</v>
      </c>
    </row>
    <row r="136" spans="1:11" ht="15" customHeight="1" x14ac:dyDescent="0.4">
      <c r="A136" s="90"/>
      <c r="B136" s="90"/>
      <c r="C136" s="90"/>
      <c r="D136" s="90"/>
      <c r="E136" s="90" t="s">
        <v>731</v>
      </c>
      <c r="F136" s="91">
        <v>44868</v>
      </c>
      <c r="G136" s="90" t="s">
        <v>1691</v>
      </c>
      <c r="H136" s="90" t="s">
        <v>1712</v>
      </c>
      <c r="I136" s="90" t="s">
        <v>1746</v>
      </c>
      <c r="J136" s="90" t="s">
        <v>735</v>
      </c>
      <c r="K136" s="93">
        <v>338.1</v>
      </c>
    </row>
    <row r="137" spans="1:11" ht="15" customHeight="1" x14ac:dyDescent="0.4">
      <c r="A137" s="90"/>
      <c r="B137" s="90"/>
      <c r="C137" s="90"/>
      <c r="D137" s="90"/>
      <c r="E137" s="90" t="s">
        <v>731</v>
      </c>
      <c r="F137" s="91">
        <v>44868</v>
      </c>
      <c r="G137" s="90" t="s">
        <v>1692</v>
      </c>
      <c r="H137" s="90" t="s">
        <v>1717</v>
      </c>
      <c r="I137" s="90" t="s">
        <v>1747</v>
      </c>
      <c r="J137" s="90" t="s">
        <v>735</v>
      </c>
      <c r="K137" s="93">
        <v>567</v>
      </c>
    </row>
    <row r="138" spans="1:11" ht="15" customHeight="1" x14ac:dyDescent="0.4">
      <c r="A138" s="90"/>
      <c r="B138" s="90"/>
      <c r="C138" s="90"/>
      <c r="D138" s="90"/>
      <c r="E138" s="90" t="s">
        <v>653</v>
      </c>
      <c r="F138" s="91">
        <v>44873</v>
      </c>
      <c r="G138" s="90" t="s">
        <v>1588</v>
      </c>
      <c r="H138" s="90" t="s">
        <v>744</v>
      </c>
      <c r="I138" s="90" t="s">
        <v>1748</v>
      </c>
      <c r="J138" s="90" t="s">
        <v>678</v>
      </c>
      <c r="K138" s="93">
        <v>0</v>
      </c>
    </row>
    <row r="139" spans="1:11" ht="15" customHeight="1" x14ac:dyDescent="0.4">
      <c r="A139" s="90"/>
      <c r="B139" s="90"/>
      <c r="C139" s="90"/>
      <c r="D139" s="90"/>
      <c r="E139" s="90" t="s">
        <v>653</v>
      </c>
      <c r="F139" s="91">
        <v>44874</v>
      </c>
      <c r="G139" s="90" t="s">
        <v>1693</v>
      </c>
      <c r="H139" s="90" t="s">
        <v>671</v>
      </c>
      <c r="I139" s="90" t="s">
        <v>1749</v>
      </c>
      <c r="J139" s="90" t="s">
        <v>678</v>
      </c>
      <c r="K139" s="93">
        <v>47.54</v>
      </c>
    </row>
    <row r="140" spans="1:11" ht="15" customHeight="1" x14ac:dyDescent="0.4">
      <c r="A140" s="90"/>
      <c r="B140" s="90"/>
      <c r="C140" s="90"/>
      <c r="D140" s="90"/>
      <c r="E140" s="90" t="s">
        <v>653</v>
      </c>
      <c r="F140" s="91">
        <v>44874</v>
      </c>
      <c r="G140" s="90" t="s">
        <v>1694</v>
      </c>
      <c r="H140" s="90" t="s">
        <v>744</v>
      </c>
      <c r="I140" s="90" t="s">
        <v>672</v>
      </c>
      <c r="J140" s="90" t="s">
        <v>678</v>
      </c>
      <c r="K140" s="93">
        <v>144.88</v>
      </c>
    </row>
    <row r="141" spans="1:11" ht="15" customHeight="1" x14ac:dyDescent="0.4">
      <c r="A141" s="90"/>
      <c r="B141" s="90"/>
      <c r="C141" s="90"/>
      <c r="D141" s="90"/>
      <c r="E141" s="90" t="s">
        <v>653</v>
      </c>
      <c r="F141" s="91">
        <v>44880</v>
      </c>
      <c r="G141" s="90" t="s">
        <v>1695</v>
      </c>
      <c r="H141" s="90" t="s">
        <v>744</v>
      </c>
      <c r="I141" s="90" t="s">
        <v>672</v>
      </c>
      <c r="J141" s="90" t="s">
        <v>678</v>
      </c>
      <c r="K141" s="93">
        <v>27.98</v>
      </c>
    </row>
    <row r="142" spans="1:11" ht="15" customHeight="1" x14ac:dyDescent="0.4">
      <c r="A142" s="90"/>
      <c r="B142" s="90"/>
      <c r="C142" s="90"/>
      <c r="D142" s="90"/>
      <c r="E142" s="90" t="s">
        <v>653</v>
      </c>
      <c r="F142" s="91">
        <v>44882</v>
      </c>
      <c r="G142" s="90" t="s">
        <v>1696</v>
      </c>
      <c r="H142" s="90" t="s">
        <v>1711</v>
      </c>
      <c r="I142" s="90" t="s">
        <v>672</v>
      </c>
      <c r="J142" s="90" t="s">
        <v>678</v>
      </c>
      <c r="K142" s="93">
        <v>159.03</v>
      </c>
    </row>
    <row r="143" spans="1:11" ht="15" customHeight="1" x14ac:dyDescent="0.4">
      <c r="A143" s="90"/>
      <c r="B143" s="90"/>
      <c r="C143" s="90"/>
      <c r="D143" s="90"/>
      <c r="E143" s="90" t="s">
        <v>653</v>
      </c>
      <c r="F143" s="91">
        <v>44882</v>
      </c>
      <c r="G143" s="90" t="s">
        <v>1697</v>
      </c>
      <c r="H143" s="90" t="s">
        <v>1711</v>
      </c>
      <c r="I143" s="90" t="s">
        <v>672</v>
      </c>
      <c r="J143" s="90" t="s">
        <v>678</v>
      </c>
      <c r="K143" s="93">
        <v>4.6399999999999997</v>
      </c>
    </row>
    <row r="144" spans="1:11" ht="15" customHeight="1" x14ac:dyDescent="0.4">
      <c r="A144" s="90"/>
      <c r="B144" s="90"/>
      <c r="C144" s="90"/>
      <c r="D144" s="90"/>
      <c r="E144" s="90" t="s">
        <v>653</v>
      </c>
      <c r="F144" s="91">
        <v>44882</v>
      </c>
      <c r="G144" s="90" t="s">
        <v>1698</v>
      </c>
      <c r="H144" s="90" t="s">
        <v>1711</v>
      </c>
      <c r="I144" s="90" t="s">
        <v>672</v>
      </c>
      <c r="J144" s="90" t="s">
        <v>678</v>
      </c>
      <c r="K144" s="93">
        <v>7.19</v>
      </c>
    </row>
    <row r="145" spans="1:11" ht="15" customHeight="1" x14ac:dyDescent="0.4">
      <c r="A145" s="90"/>
      <c r="B145" s="90"/>
      <c r="C145" s="90"/>
      <c r="D145" s="90"/>
      <c r="E145" s="90" t="s">
        <v>653</v>
      </c>
      <c r="F145" s="91">
        <v>44888</v>
      </c>
      <c r="G145" s="90" t="s">
        <v>1699</v>
      </c>
      <c r="H145" s="90" t="s">
        <v>671</v>
      </c>
      <c r="I145" s="90" t="s">
        <v>1750</v>
      </c>
      <c r="J145" s="90" t="s">
        <v>678</v>
      </c>
      <c r="K145" s="93">
        <v>47.63</v>
      </c>
    </row>
    <row r="146" spans="1:11" ht="15" customHeight="1" x14ac:dyDescent="0.4">
      <c r="A146" s="90"/>
      <c r="B146" s="90"/>
      <c r="C146" s="90"/>
      <c r="D146" s="90"/>
      <c r="E146" s="90" t="s">
        <v>653</v>
      </c>
      <c r="F146" s="91">
        <v>44900</v>
      </c>
      <c r="G146" s="90" t="s">
        <v>1700</v>
      </c>
      <c r="H146" s="90" t="s">
        <v>744</v>
      </c>
      <c r="I146" s="90" t="s">
        <v>672</v>
      </c>
      <c r="J146" s="90" t="s">
        <v>678</v>
      </c>
      <c r="K146" s="93">
        <v>59.45</v>
      </c>
    </row>
    <row r="147" spans="1:11" ht="15" customHeight="1" x14ac:dyDescent="0.4">
      <c r="A147" s="90"/>
      <c r="B147" s="90"/>
      <c r="C147" s="90"/>
      <c r="D147" s="90"/>
      <c r="E147" s="90" t="s">
        <v>731</v>
      </c>
      <c r="F147" s="91">
        <v>44901</v>
      </c>
      <c r="G147" s="90" t="s">
        <v>1701</v>
      </c>
      <c r="H147" s="90" t="s">
        <v>1718</v>
      </c>
      <c r="I147" s="90" t="s">
        <v>1751</v>
      </c>
      <c r="J147" s="90" t="s">
        <v>735</v>
      </c>
      <c r="K147" s="93">
        <v>12.56</v>
      </c>
    </row>
    <row r="148" spans="1:11" ht="15" customHeight="1" x14ac:dyDescent="0.4">
      <c r="A148" s="90"/>
      <c r="B148" s="90"/>
      <c r="C148" s="90"/>
      <c r="D148" s="90"/>
      <c r="E148" s="90" t="s">
        <v>653</v>
      </c>
      <c r="F148" s="91">
        <v>44902</v>
      </c>
      <c r="G148" s="90" t="s">
        <v>1702</v>
      </c>
      <c r="H148" s="90" t="s">
        <v>744</v>
      </c>
      <c r="I148" s="90" t="s">
        <v>672</v>
      </c>
      <c r="J148" s="90" t="s">
        <v>678</v>
      </c>
      <c r="K148" s="93">
        <v>125.64</v>
      </c>
    </row>
    <row r="149" spans="1:11" ht="15" customHeight="1" x14ac:dyDescent="0.4">
      <c r="A149" s="90"/>
      <c r="B149" s="90"/>
      <c r="C149" s="90"/>
      <c r="D149" s="90"/>
      <c r="E149" s="90" t="s">
        <v>653</v>
      </c>
      <c r="F149" s="91">
        <v>44904</v>
      </c>
      <c r="G149" s="90" t="s">
        <v>1703</v>
      </c>
      <c r="H149" s="90" t="s">
        <v>1711</v>
      </c>
      <c r="I149" s="90" t="s">
        <v>672</v>
      </c>
      <c r="J149" s="90" t="s">
        <v>678</v>
      </c>
      <c r="K149" s="93">
        <v>64.53</v>
      </c>
    </row>
    <row r="150" spans="1:11" ht="15" customHeight="1" x14ac:dyDescent="0.4">
      <c r="A150" s="90"/>
      <c r="B150" s="90"/>
      <c r="C150" s="90"/>
      <c r="D150" s="90"/>
      <c r="E150" s="90" t="s">
        <v>653</v>
      </c>
      <c r="F150" s="91">
        <v>44915</v>
      </c>
      <c r="G150" s="90" t="s">
        <v>1704</v>
      </c>
      <c r="H150" s="90" t="s">
        <v>744</v>
      </c>
      <c r="I150" s="90" t="s">
        <v>672</v>
      </c>
      <c r="J150" s="90" t="s">
        <v>678</v>
      </c>
      <c r="K150" s="93">
        <v>52.9</v>
      </c>
    </row>
    <row r="151" spans="1:11" ht="15" customHeight="1" x14ac:dyDescent="0.4">
      <c r="A151" s="90"/>
      <c r="B151" s="90"/>
      <c r="C151" s="90"/>
      <c r="D151" s="90"/>
      <c r="E151" s="90" t="s">
        <v>653</v>
      </c>
      <c r="F151" s="91">
        <v>44916</v>
      </c>
      <c r="G151" s="90" t="s">
        <v>1705</v>
      </c>
      <c r="H151" s="90" t="s">
        <v>1711</v>
      </c>
      <c r="I151" s="90" t="s">
        <v>672</v>
      </c>
      <c r="J151" s="90" t="s">
        <v>678</v>
      </c>
      <c r="K151" s="93">
        <v>71.180000000000007</v>
      </c>
    </row>
    <row r="152" spans="1:11" ht="15" customHeight="1" x14ac:dyDescent="0.4">
      <c r="A152" s="90"/>
      <c r="B152" s="90"/>
      <c r="C152" s="90"/>
      <c r="D152" s="90"/>
      <c r="E152" s="90" t="s">
        <v>653</v>
      </c>
      <c r="F152" s="91">
        <v>44917</v>
      </c>
      <c r="G152" s="90" t="s">
        <v>1706</v>
      </c>
      <c r="H152" s="90" t="s">
        <v>671</v>
      </c>
      <c r="I152" s="90" t="s">
        <v>1752</v>
      </c>
      <c r="J152" s="90" t="s">
        <v>678</v>
      </c>
      <c r="K152" s="93">
        <v>51</v>
      </c>
    </row>
    <row r="153" spans="1:11" ht="15" customHeight="1" x14ac:dyDescent="0.4">
      <c r="A153" s="90"/>
      <c r="B153" s="90"/>
      <c r="C153" s="90"/>
      <c r="D153" s="90"/>
      <c r="E153" s="90" t="s">
        <v>653</v>
      </c>
      <c r="F153" s="91">
        <v>44917</v>
      </c>
      <c r="G153" s="90" t="s">
        <v>1707</v>
      </c>
      <c r="H153" s="90" t="s">
        <v>671</v>
      </c>
      <c r="I153" s="90" t="s">
        <v>1753</v>
      </c>
      <c r="J153" s="90" t="s">
        <v>678</v>
      </c>
      <c r="K153" s="93">
        <v>48.67</v>
      </c>
    </row>
    <row r="154" spans="1:11" ht="15" customHeight="1" x14ac:dyDescent="0.4">
      <c r="A154" s="90"/>
      <c r="B154" s="90"/>
      <c r="C154" s="90"/>
      <c r="D154" s="90"/>
      <c r="E154" s="90" t="s">
        <v>653</v>
      </c>
      <c r="F154" s="91">
        <v>44917</v>
      </c>
      <c r="G154" s="90" t="s">
        <v>1707</v>
      </c>
      <c r="H154" s="90" t="s">
        <v>671</v>
      </c>
      <c r="I154" s="90" t="s">
        <v>1754</v>
      </c>
      <c r="J154" s="90" t="s">
        <v>678</v>
      </c>
      <c r="K154" s="93">
        <v>48.67</v>
      </c>
    </row>
    <row r="155" spans="1:11" ht="15" customHeight="1" x14ac:dyDescent="0.4">
      <c r="A155" s="90"/>
      <c r="B155" s="90"/>
      <c r="C155" s="90"/>
      <c r="D155" s="90"/>
      <c r="E155" s="90" t="s">
        <v>653</v>
      </c>
      <c r="F155" s="91">
        <v>44917</v>
      </c>
      <c r="G155" s="90" t="s">
        <v>1707</v>
      </c>
      <c r="H155" s="90" t="s">
        <v>671</v>
      </c>
      <c r="I155" s="90" t="s">
        <v>1755</v>
      </c>
      <c r="J155" s="90" t="s">
        <v>678</v>
      </c>
      <c r="K155" s="93">
        <v>48.67</v>
      </c>
    </row>
    <row r="156" spans="1:11" ht="15" customHeight="1" x14ac:dyDescent="0.4">
      <c r="A156" s="90"/>
      <c r="B156" s="90"/>
      <c r="C156" s="90"/>
      <c r="D156" s="90"/>
      <c r="E156" s="90" t="s">
        <v>731</v>
      </c>
      <c r="F156" s="91">
        <v>44918</v>
      </c>
      <c r="G156" s="90" t="s">
        <v>1708</v>
      </c>
      <c r="H156" s="90" t="s">
        <v>811</v>
      </c>
      <c r="I156" s="90" t="s">
        <v>1756</v>
      </c>
      <c r="J156" s="90" t="s">
        <v>735</v>
      </c>
      <c r="K156" s="93">
        <v>6.49</v>
      </c>
    </row>
    <row r="157" spans="1:11" ht="15" customHeight="1" x14ac:dyDescent="0.4">
      <c r="A157" s="90"/>
      <c r="B157" s="90"/>
      <c r="C157" s="90"/>
      <c r="D157" s="90"/>
      <c r="E157" s="90" t="s">
        <v>653</v>
      </c>
      <c r="F157" s="91">
        <v>44921</v>
      </c>
      <c r="G157" s="90" t="s">
        <v>1709</v>
      </c>
      <c r="H157" s="90" t="s">
        <v>744</v>
      </c>
      <c r="I157" s="90" t="s">
        <v>672</v>
      </c>
      <c r="J157" s="90" t="s">
        <v>678</v>
      </c>
      <c r="K157" s="93">
        <v>89.99</v>
      </c>
    </row>
    <row r="158" spans="1:11" ht="15" customHeight="1" thickBot="1" x14ac:dyDescent="0.45">
      <c r="A158" s="90"/>
      <c r="B158" s="90"/>
      <c r="C158" s="90"/>
      <c r="D158" s="90"/>
      <c r="E158" s="90" t="s">
        <v>653</v>
      </c>
      <c r="F158" s="91">
        <v>44926</v>
      </c>
      <c r="G158" s="90" t="s">
        <v>1710</v>
      </c>
      <c r="H158" s="90" t="s">
        <v>1719</v>
      </c>
      <c r="I158" s="90" t="s">
        <v>1757</v>
      </c>
      <c r="J158" s="90" t="s">
        <v>678</v>
      </c>
      <c r="K158" s="445">
        <v>130</v>
      </c>
    </row>
    <row r="159" spans="1:11" ht="15" customHeight="1" thickBot="1" x14ac:dyDescent="0.45">
      <c r="A159" s="90"/>
      <c r="B159" s="90"/>
      <c r="C159" s="90" t="s">
        <v>650</v>
      </c>
      <c r="D159" s="90"/>
      <c r="E159" s="90"/>
      <c r="F159" s="91"/>
      <c r="G159" s="90"/>
      <c r="H159" s="90"/>
      <c r="I159" s="90"/>
      <c r="J159" s="90"/>
      <c r="K159" s="446">
        <f>ROUND(SUM(K3:K158),5)</f>
        <v>13119.62</v>
      </c>
    </row>
    <row r="160" spans="1:11" ht="15" customHeight="1" thickBot="1" x14ac:dyDescent="0.45">
      <c r="A160" s="90"/>
      <c r="B160" s="90" t="s">
        <v>651</v>
      </c>
      <c r="C160" s="90"/>
      <c r="D160" s="90"/>
      <c r="E160" s="90"/>
      <c r="F160" s="91"/>
      <c r="G160" s="90"/>
      <c r="H160" s="90"/>
      <c r="I160" s="90"/>
      <c r="J160" s="90"/>
      <c r="K160" s="446">
        <f>K159</f>
        <v>13119.62</v>
      </c>
    </row>
    <row r="161" spans="1:11" ht="15" customHeight="1" thickBot="1" x14ac:dyDescent="0.45">
      <c r="A161" s="90" t="s">
        <v>158</v>
      </c>
      <c r="B161" s="90"/>
      <c r="C161" s="90"/>
      <c r="D161" s="90"/>
      <c r="E161" s="90"/>
      <c r="F161" s="91"/>
      <c r="G161" s="90"/>
      <c r="H161" s="90"/>
      <c r="I161" s="90"/>
      <c r="J161" s="90"/>
      <c r="K161" s="447">
        <f>K160</f>
        <v>13119.62</v>
      </c>
    </row>
    <row r="162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3:13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397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3974" r:id="rId4" name="HEADER"/>
      </mc:Fallback>
    </mc:AlternateContent>
    <mc:AlternateContent xmlns:mc="http://schemas.openxmlformats.org/markup-compatibility/2006">
      <mc:Choice Requires="x14">
        <control shapeId="8397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3973" r:id="rId6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K4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6.3046875" customWidth="1"/>
    <col min="4" max="4" width="2.3046875" customWidth="1"/>
    <col min="5" max="5" width="17.69140625" bestFit="1" customWidth="1"/>
    <col min="6" max="6" width="10.69140625" bestFit="1" customWidth="1"/>
    <col min="7" max="7" width="13.3828125" bestFit="1" customWidth="1"/>
    <col min="8" max="8" width="26.15234375" bestFit="1" customWidth="1"/>
    <col min="9" max="9" width="30.69140625" customWidth="1"/>
    <col min="10" max="10" width="27.382812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681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44564</v>
      </c>
      <c r="G4" s="90" t="s">
        <v>683</v>
      </c>
      <c r="H4" s="90" t="s">
        <v>691</v>
      </c>
      <c r="I4" s="90" t="s">
        <v>696</v>
      </c>
      <c r="J4" s="90" t="s">
        <v>678</v>
      </c>
      <c r="K4" s="93">
        <v>6767.36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44568</v>
      </c>
      <c r="G5" s="90" t="s">
        <v>684</v>
      </c>
      <c r="H5" s="90" t="s">
        <v>692</v>
      </c>
      <c r="I5" s="90" t="s">
        <v>697</v>
      </c>
      <c r="J5" s="90" t="s">
        <v>678</v>
      </c>
      <c r="K5" s="93">
        <v>265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44568</v>
      </c>
      <c r="G6" s="90" t="s">
        <v>685</v>
      </c>
      <c r="H6" s="90" t="s">
        <v>692</v>
      </c>
      <c r="I6" s="90" t="s">
        <v>698</v>
      </c>
      <c r="J6" s="90" t="s">
        <v>678</v>
      </c>
      <c r="K6" s="93">
        <v>800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44588</v>
      </c>
      <c r="G7" s="90" t="s">
        <v>686</v>
      </c>
      <c r="H7" s="90" t="s">
        <v>693</v>
      </c>
      <c r="I7" s="90" t="s">
        <v>699</v>
      </c>
      <c r="J7" s="90" t="s">
        <v>678</v>
      </c>
      <c r="K7" s="93">
        <v>21.83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44592</v>
      </c>
      <c r="G8" s="90" t="s">
        <v>687</v>
      </c>
      <c r="H8" s="90" t="s">
        <v>694</v>
      </c>
      <c r="I8" s="90" t="s">
        <v>700</v>
      </c>
      <c r="J8" s="90" t="s">
        <v>678</v>
      </c>
      <c r="K8" s="93">
        <v>426.13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44595</v>
      </c>
      <c r="G9" s="90" t="s">
        <v>664</v>
      </c>
      <c r="H9" s="90" t="s">
        <v>670</v>
      </c>
      <c r="I9" s="90" t="s">
        <v>701</v>
      </c>
      <c r="J9" s="90" t="s">
        <v>678</v>
      </c>
      <c r="K9" s="93">
        <v>3000</v>
      </c>
    </row>
    <row r="10" spans="1:11" ht="14.6" x14ac:dyDescent="0.4">
      <c r="A10" s="90"/>
      <c r="B10" s="90"/>
      <c r="C10" s="90"/>
      <c r="D10" s="90"/>
      <c r="E10" s="90" t="s">
        <v>731</v>
      </c>
      <c r="F10" s="91">
        <v>44606</v>
      </c>
      <c r="G10" s="90" t="s">
        <v>1301</v>
      </c>
      <c r="H10" s="90" t="s">
        <v>1304</v>
      </c>
      <c r="I10" s="90" t="s">
        <v>1306</v>
      </c>
      <c r="J10" s="90" t="s">
        <v>735</v>
      </c>
      <c r="K10" s="93">
        <v>20.51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44608</v>
      </c>
      <c r="G11" s="90" t="s">
        <v>688</v>
      </c>
      <c r="H11" s="90" t="s">
        <v>695</v>
      </c>
      <c r="I11" s="90" t="s">
        <v>702</v>
      </c>
      <c r="J11" s="90" t="s">
        <v>678</v>
      </c>
      <c r="K11" s="93">
        <v>101270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44609</v>
      </c>
      <c r="G12" s="90" t="s">
        <v>689</v>
      </c>
      <c r="H12" s="90" t="s">
        <v>693</v>
      </c>
      <c r="I12" s="90" t="s">
        <v>703</v>
      </c>
      <c r="J12" s="90" t="s">
        <v>678</v>
      </c>
      <c r="K12" s="93">
        <v>69.75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44610</v>
      </c>
      <c r="G13" s="90" t="s">
        <v>690</v>
      </c>
      <c r="H13" s="90" t="s">
        <v>691</v>
      </c>
      <c r="I13" s="90" t="s">
        <v>704</v>
      </c>
      <c r="J13" s="90" t="s">
        <v>678</v>
      </c>
      <c r="K13" s="93">
        <v>326.85000000000002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44629</v>
      </c>
      <c r="G14" s="90" t="s">
        <v>1302</v>
      </c>
      <c r="H14" s="90" t="s">
        <v>691</v>
      </c>
      <c r="I14" s="90" t="s">
        <v>1307</v>
      </c>
      <c r="J14" s="90" t="s">
        <v>678</v>
      </c>
      <c r="K14" s="93">
        <v>121.52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44641</v>
      </c>
      <c r="G15" s="90" t="s">
        <v>1303</v>
      </c>
      <c r="H15" s="90" t="s">
        <v>1305</v>
      </c>
      <c r="I15" s="90" t="s">
        <v>1308</v>
      </c>
      <c r="J15" s="90" t="s">
        <v>678</v>
      </c>
      <c r="K15" s="93">
        <v>250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44641</v>
      </c>
      <c r="G16" s="90" t="s">
        <v>1303</v>
      </c>
      <c r="H16" s="90" t="s">
        <v>1305</v>
      </c>
      <c r="I16" s="90" t="s">
        <v>1309</v>
      </c>
      <c r="J16" s="90" t="s">
        <v>678</v>
      </c>
      <c r="K16" s="93">
        <v>250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44662</v>
      </c>
      <c r="G17" s="90" t="s">
        <v>1758</v>
      </c>
      <c r="H17" s="90" t="s">
        <v>691</v>
      </c>
      <c r="I17" s="90" t="s">
        <v>1786</v>
      </c>
      <c r="J17" s="90" t="s">
        <v>678</v>
      </c>
      <c r="K17" s="93">
        <v>1773.56</v>
      </c>
    </row>
    <row r="18" spans="1:11" ht="14.6" x14ac:dyDescent="0.4">
      <c r="A18" s="90"/>
      <c r="B18" s="90"/>
      <c r="C18" s="90"/>
      <c r="D18" s="90"/>
      <c r="E18" s="90" t="s">
        <v>731</v>
      </c>
      <c r="F18" s="91">
        <v>44677</v>
      </c>
      <c r="G18" s="90" t="s">
        <v>1759</v>
      </c>
      <c r="H18" s="90" t="s">
        <v>1304</v>
      </c>
      <c r="I18" s="90" t="s">
        <v>1306</v>
      </c>
      <c r="J18" s="90" t="s">
        <v>735</v>
      </c>
      <c r="K18" s="93">
        <v>20.51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44679</v>
      </c>
      <c r="G19" s="90" t="s">
        <v>1760</v>
      </c>
      <c r="H19" s="90" t="s">
        <v>693</v>
      </c>
      <c r="I19" s="90" t="s">
        <v>1787</v>
      </c>
      <c r="J19" s="90" t="s">
        <v>678</v>
      </c>
      <c r="K19" s="93">
        <v>20.84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44684</v>
      </c>
      <c r="G20" s="90" t="s">
        <v>1761</v>
      </c>
      <c r="H20" s="90" t="s">
        <v>695</v>
      </c>
      <c r="I20" s="90" t="s">
        <v>1788</v>
      </c>
      <c r="J20" s="90" t="s">
        <v>678</v>
      </c>
      <c r="K20" s="93">
        <v>820</v>
      </c>
    </row>
    <row r="21" spans="1:11" ht="15" customHeight="1" x14ac:dyDescent="0.4">
      <c r="A21" s="90"/>
      <c r="B21" s="90"/>
      <c r="C21" s="90"/>
      <c r="D21" s="90"/>
      <c r="E21" s="90" t="s">
        <v>653</v>
      </c>
      <c r="F21" s="91">
        <v>44685</v>
      </c>
      <c r="G21" s="90" t="s">
        <v>1762</v>
      </c>
      <c r="H21" s="90" t="s">
        <v>691</v>
      </c>
      <c r="I21" s="90" t="s">
        <v>1789</v>
      </c>
      <c r="J21" s="90" t="s">
        <v>678</v>
      </c>
      <c r="K21" s="93">
        <v>150.93</v>
      </c>
    </row>
    <row r="22" spans="1:11" ht="15" customHeight="1" x14ac:dyDescent="0.4">
      <c r="A22" s="90"/>
      <c r="B22" s="90"/>
      <c r="C22" s="90"/>
      <c r="D22" s="90"/>
      <c r="E22" s="90" t="s">
        <v>653</v>
      </c>
      <c r="F22" s="91">
        <v>44694</v>
      </c>
      <c r="G22" s="90" t="s">
        <v>1763</v>
      </c>
      <c r="H22" s="90" t="s">
        <v>691</v>
      </c>
      <c r="I22" s="90" t="s">
        <v>1789</v>
      </c>
      <c r="J22" s="90" t="s">
        <v>678</v>
      </c>
      <c r="K22" s="93">
        <v>54.45</v>
      </c>
    </row>
    <row r="23" spans="1:11" ht="15" customHeight="1" x14ac:dyDescent="0.4">
      <c r="A23" s="90"/>
      <c r="B23" s="90"/>
      <c r="C23" s="90"/>
      <c r="D23" s="90"/>
      <c r="E23" s="90" t="s">
        <v>653</v>
      </c>
      <c r="F23" s="91">
        <v>44694</v>
      </c>
      <c r="G23" s="90" t="s">
        <v>1764</v>
      </c>
      <c r="H23" s="90" t="s">
        <v>691</v>
      </c>
      <c r="I23" s="90" t="s">
        <v>1789</v>
      </c>
      <c r="J23" s="90" t="s">
        <v>678</v>
      </c>
      <c r="K23" s="93">
        <v>4025.61</v>
      </c>
    </row>
    <row r="24" spans="1:11" ht="15" customHeight="1" x14ac:dyDescent="0.4">
      <c r="A24" s="90"/>
      <c r="B24" s="90"/>
      <c r="C24" s="90"/>
      <c r="D24" s="90"/>
      <c r="E24" s="90" t="s">
        <v>653</v>
      </c>
      <c r="F24" s="91">
        <v>44699</v>
      </c>
      <c r="G24" s="90" t="s">
        <v>1765</v>
      </c>
      <c r="H24" s="90" t="s">
        <v>691</v>
      </c>
      <c r="I24" s="90" t="s">
        <v>1789</v>
      </c>
      <c r="J24" s="90" t="s">
        <v>678</v>
      </c>
      <c r="K24" s="93">
        <v>81.3</v>
      </c>
    </row>
    <row r="25" spans="1:11" ht="15" customHeight="1" x14ac:dyDescent="0.4">
      <c r="A25" s="90"/>
      <c r="B25" s="90"/>
      <c r="C25" s="90"/>
      <c r="D25" s="90"/>
      <c r="E25" s="90" t="s">
        <v>653</v>
      </c>
      <c r="F25" s="91">
        <v>44707</v>
      </c>
      <c r="G25" s="90" t="s">
        <v>1766</v>
      </c>
      <c r="H25" s="90" t="s">
        <v>693</v>
      </c>
      <c r="I25" s="90" t="s">
        <v>1790</v>
      </c>
      <c r="J25" s="90" t="s">
        <v>678</v>
      </c>
      <c r="K25" s="93">
        <v>16.010000000000002</v>
      </c>
    </row>
    <row r="26" spans="1:11" ht="15" customHeight="1" x14ac:dyDescent="0.4">
      <c r="A26" s="90"/>
      <c r="B26" s="90"/>
      <c r="C26" s="90"/>
      <c r="D26" s="90"/>
      <c r="E26" s="90" t="s">
        <v>653</v>
      </c>
      <c r="F26" s="91">
        <v>44708</v>
      </c>
      <c r="G26" s="90" t="s">
        <v>1767</v>
      </c>
      <c r="H26" s="90" t="s">
        <v>691</v>
      </c>
      <c r="I26" s="90" t="s">
        <v>1791</v>
      </c>
      <c r="J26" s="90" t="s">
        <v>678</v>
      </c>
      <c r="K26" s="93">
        <v>6961.87</v>
      </c>
    </row>
    <row r="27" spans="1:11" ht="15" customHeight="1" x14ac:dyDescent="0.4">
      <c r="A27" s="90"/>
      <c r="B27" s="90"/>
      <c r="C27" s="90"/>
      <c r="D27" s="90"/>
      <c r="E27" s="90" t="s">
        <v>653</v>
      </c>
      <c r="F27" s="91">
        <v>44722</v>
      </c>
      <c r="G27" s="90" t="s">
        <v>1768</v>
      </c>
      <c r="H27" s="90" t="s">
        <v>691</v>
      </c>
      <c r="I27" s="90" t="s">
        <v>1789</v>
      </c>
      <c r="J27" s="90" t="s">
        <v>678</v>
      </c>
      <c r="K27" s="93">
        <v>1420.43</v>
      </c>
    </row>
    <row r="28" spans="1:11" ht="15" customHeight="1" x14ac:dyDescent="0.4">
      <c r="A28" s="90"/>
      <c r="B28" s="90"/>
      <c r="C28" s="90"/>
      <c r="D28" s="90"/>
      <c r="E28" s="90" t="s">
        <v>653</v>
      </c>
      <c r="F28" s="91">
        <v>44722</v>
      </c>
      <c r="G28" s="90" t="s">
        <v>1769</v>
      </c>
      <c r="H28" s="90" t="s">
        <v>691</v>
      </c>
      <c r="I28" s="90" t="s">
        <v>1789</v>
      </c>
      <c r="J28" s="90" t="s">
        <v>678</v>
      </c>
      <c r="K28" s="93">
        <v>25.69</v>
      </c>
    </row>
    <row r="29" spans="1:11" ht="15" customHeight="1" x14ac:dyDescent="0.4">
      <c r="A29" s="90"/>
      <c r="B29" s="90"/>
      <c r="C29" s="90"/>
      <c r="D29" s="90"/>
      <c r="E29" s="90" t="s">
        <v>653</v>
      </c>
      <c r="F29" s="91">
        <v>44749</v>
      </c>
      <c r="G29" s="90" t="s">
        <v>1770</v>
      </c>
      <c r="H29" s="90" t="s">
        <v>693</v>
      </c>
      <c r="I29" s="90" t="s">
        <v>1790</v>
      </c>
      <c r="J29" s="90" t="s">
        <v>678</v>
      </c>
      <c r="K29" s="93">
        <v>16.11</v>
      </c>
    </row>
    <row r="30" spans="1:11" ht="15" customHeight="1" x14ac:dyDescent="0.4">
      <c r="A30" s="90"/>
      <c r="B30" s="90"/>
      <c r="C30" s="90"/>
      <c r="D30" s="90"/>
      <c r="E30" s="90" t="s">
        <v>653</v>
      </c>
      <c r="F30" s="91">
        <v>44771</v>
      </c>
      <c r="G30" s="90" t="s">
        <v>1771</v>
      </c>
      <c r="H30" s="90" t="s">
        <v>691</v>
      </c>
      <c r="I30" s="90" t="s">
        <v>1789</v>
      </c>
      <c r="J30" s="90" t="s">
        <v>678</v>
      </c>
      <c r="K30" s="93">
        <v>489.36</v>
      </c>
    </row>
    <row r="31" spans="1:11" ht="15" customHeight="1" x14ac:dyDescent="0.4">
      <c r="A31" s="90"/>
      <c r="B31" s="90"/>
      <c r="C31" s="90"/>
      <c r="D31" s="90"/>
      <c r="E31" s="90" t="s">
        <v>653</v>
      </c>
      <c r="F31" s="91">
        <v>44771</v>
      </c>
      <c r="G31" s="90" t="s">
        <v>1772</v>
      </c>
      <c r="H31" s="90" t="s">
        <v>691</v>
      </c>
      <c r="I31" s="90" t="s">
        <v>1789</v>
      </c>
      <c r="J31" s="90" t="s">
        <v>678</v>
      </c>
      <c r="K31" s="93">
        <v>52.52</v>
      </c>
    </row>
    <row r="32" spans="1:11" ht="15" customHeight="1" x14ac:dyDescent="0.4">
      <c r="A32" s="90"/>
      <c r="B32" s="90"/>
      <c r="C32" s="90"/>
      <c r="D32" s="90"/>
      <c r="E32" s="90" t="s">
        <v>653</v>
      </c>
      <c r="F32" s="91">
        <v>44774</v>
      </c>
      <c r="G32" s="90" t="s">
        <v>1773</v>
      </c>
      <c r="H32" s="90" t="s">
        <v>693</v>
      </c>
      <c r="I32" s="90" t="s">
        <v>1790</v>
      </c>
      <c r="J32" s="90" t="s">
        <v>678</v>
      </c>
      <c r="K32" s="93">
        <v>93.23</v>
      </c>
    </row>
    <row r="33" spans="1:11" ht="15" customHeight="1" x14ac:dyDescent="0.4">
      <c r="A33" s="90"/>
      <c r="B33" s="90"/>
      <c r="C33" s="90"/>
      <c r="D33" s="90"/>
      <c r="E33" s="90" t="s">
        <v>653</v>
      </c>
      <c r="F33" s="91">
        <v>44774</v>
      </c>
      <c r="G33" s="90" t="s">
        <v>1774</v>
      </c>
      <c r="H33" s="90" t="s">
        <v>695</v>
      </c>
      <c r="I33" s="90" t="s">
        <v>1792</v>
      </c>
      <c r="J33" s="90" t="s">
        <v>678</v>
      </c>
      <c r="K33" s="93">
        <v>54694.5</v>
      </c>
    </row>
    <row r="34" spans="1:11" ht="15" customHeight="1" x14ac:dyDescent="0.4">
      <c r="A34" s="90"/>
      <c r="B34" s="90"/>
      <c r="C34" s="90"/>
      <c r="D34" s="90"/>
      <c r="E34" s="90" t="s">
        <v>653</v>
      </c>
      <c r="F34" s="91">
        <v>44799</v>
      </c>
      <c r="G34" s="90" t="s">
        <v>1775</v>
      </c>
      <c r="H34" s="90" t="s">
        <v>691</v>
      </c>
      <c r="I34" s="90" t="s">
        <v>1789</v>
      </c>
      <c r="J34" s="90" t="s">
        <v>678</v>
      </c>
      <c r="K34" s="93">
        <v>1.05</v>
      </c>
    </row>
    <row r="35" spans="1:11" ht="15" customHeight="1" x14ac:dyDescent="0.4">
      <c r="A35" s="90"/>
      <c r="B35" s="90"/>
      <c r="C35" s="90"/>
      <c r="D35" s="90"/>
      <c r="E35" s="90" t="s">
        <v>653</v>
      </c>
      <c r="F35" s="91">
        <v>44799</v>
      </c>
      <c r="G35" s="90" t="s">
        <v>1776</v>
      </c>
      <c r="H35" s="90" t="s">
        <v>691</v>
      </c>
      <c r="I35" s="90" t="s">
        <v>1789</v>
      </c>
      <c r="J35" s="90" t="s">
        <v>678</v>
      </c>
      <c r="K35" s="93">
        <v>9.39</v>
      </c>
    </row>
    <row r="36" spans="1:11" ht="15" customHeight="1" x14ac:dyDescent="0.4">
      <c r="A36" s="90"/>
      <c r="B36" s="90"/>
      <c r="C36" s="90"/>
      <c r="D36" s="90"/>
      <c r="E36" s="90" t="s">
        <v>653</v>
      </c>
      <c r="F36" s="91">
        <v>44811</v>
      </c>
      <c r="G36" s="90" t="s">
        <v>1777</v>
      </c>
      <c r="H36" s="90" t="s">
        <v>694</v>
      </c>
      <c r="I36" s="90" t="s">
        <v>700</v>
      </c>
      <c r="J36" s="90" t="s">
        <v>678</v>
      </c>
      <c r="K36" s="93">
        <v>1504.08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44816</v>
      </c>
      <c r="G37" s="90" t="s">
        <v>1778</v>
      </c>
      <c r="H37" s="90" t="s">
        <v>1305</v>
      </c>
      <c r="I37" s="90" t="s">
        <v>1793</v>
      </c>
      <c r="J37" s="90" t="s">
        <v>678</v>
      </c>
      <c r="K37" s="93">
        <v>350</v>
      </c>
    </row>
    <row r="38" spans="1:11" ht="15" customHeight="1" x14ac:dyDescent="0.4">
      <c r="A38" s="90"/>
      <c r="B38" s="90"/>
      <c r="C38" s="90"/>
      <c r="D38" s="90"/>
      <c r="E38" s="90" t="s">
        <v>653</v>
      </c>
      <c r="F38" s="91">
        <v>44816</v>
      </c>
      <c r="G38" s="90" t="s">
        <v>1778</v>
      </c>
      <c r="H38" s="90" t="s">
        <v>1305</v>
      </c>
      <c r="I38" s="90" t="s">
        <v>1794</v>
      </c>
      <c r="J38" s="90" t="s">
        <v>678</v>
      </c>
      <c r="K38" s="93">
        <v>300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44841</v>
      </c>
      <c r="G39" s="90" t="s">
        <v>1779</v>
      </c>
      <c r="H39" s="90" t="s">
        <v>691</v>
      </c>
      <c r="I39" s="90" t="s">
        <v>1789</v>
      </c>
      <c r="J39" s="90" t="s">
        <v>678</v>
      </c>
      <c r="K39" s="93">
        <v>15.59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44861</v>
      </c>
      <c r="G40" s="90" t="s">
        <v>1780</v>
      </c>
      <c r="H40" s="90" t="s">
        <v>694</v>
      </c>
      <c r="I40" s="90" t="s">
        <v>700</v>
      </c>
      <c r="J40" s="90" t="s">
        <v>678</v>
      </c>
      <c r="K40" s="93">
        <v>343.3</v>
      </c>
    </row>
    <row r="41" spans="1:11" ht="15" customHeight="1" x14ac:dyDescent="0.4">
      <c r="A41" s="90"/>
      <c r="B41" s="90"/>
      <c r="C41" s="90"/>
      <c r="D41" s="90"/>
      <c r="E41" s="90" t="s">
        <v>653</v>
      </c>
      <c r="F41" s="91">
        <v>44868</v>
      </c>
      <c r="G41" s="90" t="s">
        <v>1781</v>
      </c>
      <c r="H41" s="90" t="s">
        <v>670</v>
      </c>
      <c r="I41" s="90" t="s">
        <v>1795</v>
      </c>
      <c r="J41" s="90" t="s">
        <v>678</v>
      </c>
      <c r="K41" s="93">
        <v>3500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44879</v>
      </c>
      <c r="G42" s="90" t="s">
        <v>1782</v>
      </c>
      <c r="H42" s="90" t="s">
        <v>695</v>
      </c>
      <c r="I42" s="90" t="s">
        <v>1796</v>
      </c>
      <c r="J42" s="90" t="s">
        <v>678</v>
      </c>
      <c r="K42" s="93">
        <v>2520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44899</v>
      </c>
      <c r="G43" s="90" t="s">
        <v>1783</v>
      </c>
      <c r="H43" s="90" t="s">
        <v>670</v>
      </c>
      <c r="I43" s="90" t="s">
        <v>1795</v>
      </c>
      <c r="J43" s="90" t="s">
        <v>678</v>
      </c>
      <c r="K43" s="93">
        <v>7129.55</v>
      </c>
    </row>
    <row r="44" spans="1:11" ht="15" customHeight="1" x14ac:dyDescent="0.4">
      <c r="A44" s="90"/>
      <c r="B44" s="90"/>
      <c r="C44" s="90"/>
      <c r="D44" s="90"/>
      <c r="E44" s="90" t="s">
        <v>653</v>
      </c>
      <c r="F44" s="91">
        <v>44910</v>
      </c>
      <c r="G44" s="90" t="s">
        <v>1784</v>
      </c>
      <c r="H44" s="90" t="s">
        <v>693</v>
      </c>
      <c r="I44" s="90" t="s">
        <v>1790</v>
      </c>
      <c r="J44" s="90" t="s">
        <v>678</v>
      </c>
      <c r="K44" s="93">
        <v>14.06</v>
      </c>
    </row>
    <row r="45" spans="1:11" ht="15" customHeight="1" thickBot="1" x14ac:dyDescent="0.45">
      <c r="A45" s="90"/>
      <c r="B45" s="90"/>
      <c r="C45" s="90"/>
      <c r="D45" s="90"/>
      <c r="E45" s="90" t="s">
        <v>653</v>
      </c>
      <c r="F45" s="91">
        <v>44916</v>
      </c>
      <c r="G45" s="90" t="s">
        <v>1785</v>
      </c>
      <c r="H45" s="90" t="s">
        <v>694</v>
      </c>
      <c r="I45" s="90" t="s">
        <v>700</v>
      </c>
      <c r="J45" s="90" t="s">
        <v>678</v>
      </c>
      <c r="K45" s="445">
        <v>888.8</v>
      </c>
    </row>
    <row r="46" spans="1:11" ht="15" customHeight="1" thickBot="1" x14ac:dyDescent="0.45">
      <c r="A46" s="90"/>
      <c r="B46" s="90"/>
      <c r="C46" s="90" t="s">
        <v>682</v>
      </c>
      <c r="D46" s="90"/>
      <c r="E46" s="90"/>
      <c r="F46" s="91"/>
      <c r="G46" s="90"/>
      <c r="H46" s="90"/>
      <c r="I46" s="90"/>
      <c r="J46" s="90"/>
      <c r="K46" s="446">
        <f>ROUND(SUM(K3:K45),5)</f>
        <v>200881.69</v>
      </c>
    </row>
    <row r="47" spans="1:11" ht="15" customHeight="1" thickBot="1" x14ac:dyDescent="0.45">
      <c r="A47" s="90"/>
      <c r="B47" s="90" t="s">
        <v>651</v>
      </c>
      <c r="C47" s="90"/>
      <c r="D47" s="90"/>
      <c r="E47" s="90"/>
      <c r="F47" s="91"/>
      <c r="G47" s="90"/>
      <c r="H47" s="90"/>
      <c r="I47" s="90"/>
      <c r="J47" s="90"/>
      <c r="K47" s="446">
        <f>K46</f>
        <v>200881.69</v>
      </c>
    </row>
    <row r="48" spans="1:11" ht="15" customHeight="1" thickBot="1" x14ac:dyDescent="0.45">
      <c r="A48" s="90" t="s">
        <v>158</v>
      </c>
      <c r="B48" s="90"/>
      <c r="C48" s="90"/>
      <c r="D48" s="90"/>
      <c r="E48" s="90"/>
      <c r="F48" s="91"/>
      <c r="G48" s="90"/>
      <c r="H48" s="90"/>
      <c r="I48" s="90"/>
      <c r="J48" s="90"/>
      <c r="K48" s="447">
        <f>K47</f>
        <v>200881.69</v>
      </c>
    </row>
    <row r="49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3:16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49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4998" r:id="rId4" name="HEADER"/>
      </mc:Fallback>
    </mc:AlternateContent>
    <mc:AlternateContent xmlns:mc="http://schemas.openxmlformats.org/markup-compatibility/2006">
      <mc:Choice Requires="x14">
        <control shapeId="849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4997" r:id="rId6" name="FILTER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A1:K202"/>
  <sheetViews>
    <sheetView workbookViewId="0">
      <pane xSplit="3" ySplit="1" topLeftCell="D10" activePane="bottomRight" state="frozenSplit"/>
      <selection pane="topRight" activeCell="D1" sqref="D1"/>
      <selection pane="bottomLeft" activeCell="A2" sqref="A2"/>
      <selection pane="bottomRight" activeCell="I28" sqref="I28"/>
    </sheetView>
  </sheetViews>
  <sheetFormatPr defaultColWidth="14.3828125" defaultRowHeight="15" customHeight="1" x14ac:dyDescent="0.4"/>
  <cols>
    <col min="1" max="2" width="3" customWidth="1"/>
    <col min="3" max="3" width="40" customWidth="1"/>
    <col min="4" max="4" width="2.3046875" customWidth="1"/>
    <col min="5" max="5" width="5.3046875" bestFit="1" customWidth="1"/>
    <col min="6" max="6" width="10.69140625" bestFit="1" customWidth="1"/>
    <col min="7" max="7" width="7" bestFit="1" customWidth="1"/>
    <col min="8" max="8" width="22.15234375" bestFit="1" customWidth="1"/>
    <col min="9" max="9" width="30.69140625" customWidth="1"/>
    <col min="10" max="10" width="22.304687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705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44564</v>
      </c>
      <c r="G4" s="90" t="s">
        <v>683</v>
      </c>
      <c r="H4" s="90" t="s">
        <v>691</v>
      </c>
      <c r="I4" s="90" t="s">
        <v>709</v>
      </c>
      <c r="J4" s="90" t="s">
        <v>678</v>
      </c>
      <c r="K4" s="93">
        <v>1479.6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44564</v>
      </c>
      <c r="G5" s="90" t="s">
        <v>683</v>
      </c>
      <c r="H5" s="90" t="s">
        <v>691</v>
      </c>
      <c r="I5" s="90" t="s">
        <v>710</v>
      </c>
      <c r="J5" s="90" t="s">
        <v>678</v>
      </c>
      <c r="K5" s="93">
        <v>471.91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44564</v>
      </c>
      <c r="G6" s="90" t="s">
        <v>683</v>
      </c>
      <c r="H6" s="90" t="s">
        <v>691</v>
      </c>
      <c r="I6" s="90" t="s">
        <v>711</v>
      </c>
      <c r="J6" s="90" t="s">
        <v>678</v>
      </c>
      <c r="K6" s="93">
        <v>660.26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44564</v>
      </c>
      <c r="G7" s="90" t="s">
        <v>683</v>
      </c>
      <c r="H7" s="90" t="s">
        <v>691</v>
      </c>
      <c r="I7" s="90" t="s">
        <v>712</v>
      </c>
      <c r="J7" s="90" t="s">
        <v>678</v>
      </c>
      <c r="K7" s="93">
        <v>337.08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44564</v>
      </c>
      <c r="G8" s="90" t="s">
        <v>683</v>
      </c>
      <c r="H8" s="90" t="s">
        <v>691</v>
      </c>
      <c r="I8" s="90" t="s">
        <v>713</v>
      </c>
      <c r="J8" s="90" t="s">
        <v>678</v>
      </c>
      <c r="K8" s="93">
        <v>135.97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44564</v>
      </c>
      <c r="G9" s="90" t="s">
        <v>683</v>
      </c>
      <c r="H9" s="90" t="s">
        <v>691</v>
      </c>
      <c r="I9" s="90" t="s">
        <v>714</v>
      </c>
      <c r="J9" s="90" t="s">
        <v>678</v>
      </c>
      <c r="K9" s="93">
        <v>9.35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44564</v>
      </c>
      <c r="G10" s="90" t="s">
        <v>683</v>
      </c>
      <c r="H10" s="90" t="s">
        <v>691</v>
      </c>
      <c r="I10" s="90" t="s">
        <v>715</v>
      </c>
      <c r="J10" s="90" t="s">
        <v>678</v>
      </c>
      <c r="K10" s="93">
        <v>27.75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44564</v>
      </c>
      <c r="G11" s="90" t="s">
        <v>683</v>
      </c>
      <c r="H11" s="90" t="s">
        <v>691</v>
      </c>
      <c r="I11" s="90" t="s">
        <v>716</v>
      </c>
      <c r="J11" s="90" t="s">
        <v>678</v>
      </c>
      <c r="K11" s="93">
        <v>350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44592</v>
      </c>
      <c r="G12" s="90" t="s">
        <v>707</v>
      </c>
      <c r="H12" s="90" t="s">
        <v>708</v>
      </c>
      <c r="I12" s="90" t="s">
        <v>717</v>
      </c>
      <c r="J12" s="90" t="s">
        <v>678</v>
      </c>
      <c r="K12" s="93">
        <v>74.47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44608</v>
      </c>
      <c r="G13" s="90" t="s">
        <v>688</v>
      </c>
      <c r="H13" s="90" t="s">
        <v>695</v>
      </c>
      <c r="I13" s="90" t="s">
        <v>718</v>
      </c>
      <c r="J13" s="90" t="s">
        <v>678</v>
      </c>
      <c r="K13" s="93">
        <v>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44610</v>
      </c>
      <c r="G14" s="90" t="s">
        <v>690</v>
      </c>
      <c r="H14" s="90" t="s">
        <v>691</v>
      </c>
      <c r="I14" s="90" t="s">
        <v>719</v>
      </c>
      <c r="J14" s="90" t="s">
        <v>678</v>
      </c>
      <c r="K14" s="93">
        <v>84.96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44610</v>
      </c>
      <c r="G15" s="90" t="s">
        <v>690</v>
      </c>
      <c r="H15" s="90" t="s">
        <v>691</v>
      </c>
      <c r="I15" s="90" t="s">
        <v>720</v>
      </c>
      <c r="J15" s="90" t="s">
        <v>678</v>
      </c>
      <c r="K15" s="93">
        <v>24.54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44610</v>
      </c>
      <c r="G16" s="90" t="s">
        <v>690</v>
      </c>
      <c r="H16" s="90" t="s">
        <v>691</v>
      </c>
      <c r="I16" s="90" t="s">
        <v>721</v>
      </c>
      <c r="J16" s="90" t="s">
        <v>678</v>
      </c>
      <c r="K16" s="93">
        <v>28.28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44610</v>
      </c>
      <c r="G17" s="90" t="s">
        <v>690</v>
      </c>
      <c r="H17" s="90" t="s">
        <v>691</v>
      </c>
      <c r="I17" s="90" t="s">
        <v>722</v>
      </c>
      <c r="J17" s="90" t="s">
        <v>678</v>
      </c>
      <c r="K17" s="93">
        <v>17.5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44610</v>
      </c>
      <c r="G18" s="90" t="s">
        <v>690</v>
      </c>
      <c r="H18" s="90" t="s">
        <v>691</v>
      </c>
      <c r="I18" s="90" t="s">
        <v>723</v>
      </c>
      <c r="J18" s="90" t="s">
        <v>678</v>
      </c>
      <c r="K18" s="93">
        <v>7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44610</v>
      </c>
      <c r="G19" s="90" t="s">
        <v>690</v>
      </c>
      <c r="H19" s="90" t="s">
        <v>691</v>
      </c>
      <c r="I19" s="90" t="s">
        <v>724</v>
      </c>
      <c r="J19" s="90" t="s">
        <v>678</v>
      </c>
      <c r="K19" s="93">
        <v>17.5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44629</v>
      </c>
      <c r="G20" s="90" t="s">
        <v>1302</v>
      </c>
      <c r="H20" s="90" t="s">
        <v>691</v>
      </c>
      <c r="I20" s="90" t="s">
        <v>1312</v>
      </c>
      <c r="J20" s="90" t="s">
        <v>678</v>
      </c>
      <c r="K20" s="93">
        <v>29.64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44629</v>
      </c>
      <c r="G21" s="90" t="s">
        <v>1302</v>
      </c>
      <c r="H21" s="90" t="s">
        <v>691</v>
      </c>
      <c r="I21" s="90" t="s">
        <v>1313</v>
      </c>
      <c r="J21" s="90" t="s">
        <v>678</v>
      </c>
      <c r="K21" s="93">
        <v>8.61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44629</v>
      </c>
      <c r="G22" s="90" t="s">
        <v>1302</v>
      </c>
      <c r="H22" s="90" t="s">
        <v>691</v>
      </c>
      <c r="I22" s="90" t="s">
        <v>1314</v>
      </c>
      <c r="J22" s="90" t="s">
        <v>678</v>
      </c>
      <c r="K22" s="93">
        <v>20.75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44629</v>
      </c>
      <c r="G23" s="90" t="s">
        <v>1302</v>
      </c>
      <c r="H23" s="90" t="s">
        <v>691</v>
      </c>
      <c r="I23" s="90" t="s">
        <v>1315</v>
      </c>
      <c r="J23" s="90" t="s">
        <v>678</v>
      </c>
      <c r="K23" s="93">
        <v>7.38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44629</v>
      </c>
      <c r="G24" s="90" t="s">
        <v>1302</v>
      </c>
      <c r="H24" s="90" t="s">
        <v>691</v>
      </c>
      <c r="I24" s="90" t="s">
        <v>1316</v>
      </c>
      <c r="J24" s="90" t="s">
        <v>678</v>
      </c>
      <c r="K24" s="93">
        <v>2.46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44629</v>
      </c>
      <c r="G25" s="90" t="s">
        <v>1302</v>
      </c>
      <c r="H25" s="90" t="s">
        <v>691</v>
      </c>
      <c r="I25" s="90" t="s">
        <v>1317</v>
      </c>
      <c r="J25" s="90" t="s">
        <v>678</v>
      </c>
      <c r="K25" s="93">
        <v>6.15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44644</v>
      </c>
      <c r="G26" s="90" t="s">
        <v>1310</v>
      </c>
      <c r="H26" s="90" t="s">
        <v>1311</v>
      </c>
      <c r="I26" s="90" t="s">
        <v>1318</v>
      </c>
      <c r="J26" s="90" t="s">
        <v>678</v>
      </c>
      <c r="K26" s="93">
        <v>743.64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44644</v>
      </c>
      <c r="G27" s="90" t="s">
        <v>1310</v>
      </c>
      <c r="H27" s="90" t="s">
        <v>1311</v>
      </c>
      <c r="I27" s="90" t="s">
        <v>1319</v>
      </c>
      <c r="J27" s="90" t="s">
        <v>678</v>
      </c>
      <c r="K27" s="93">
        <v>7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44651</v>
      </c>
      <c r="G28" s="90" t="s">
        <v>1797</v>
      </c>
      <c r="H28" s="90" t="s">
        <v>695</v>
      </c>
      <c r="I28" s="90" t="s">
        <v>1812</v>
      </c>
      <c r="J28" s="90" t="s">
        <v>678</v>
      </c>
      <c r="K28" s="93">
        <v>18500.25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44651</v>
      </c>
      <c r="G29" s="90" t="s">
        <v>1797</v>
      </c>
      <c r="H29" s="90" t="s">
        <v>695</v>
      </c>
      <c r="I29" s="90" t="s">
        <v>1813</v>
      </c>
      <c r="J29" s="90" t="s">
        <v>678</v>
      </c>
      <c r="K29" s="93">
        <v>7427.9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44651</v>
      </c>
      <c r="G30" s="90" t="s">
        <v>1797</v>
      </c>
      <c r="H30" s="90" t="s">
        <v>695</v>
      </c>
      <c r="I30" s="90" t="s">
        <v>1814</v>
      </c>
      <c r="J30" s="90" t="s">
        <v>678</v>
      </c>
      <c r="K30" s="93">
        <v>1268.08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44651</v>
      </c>
      <c r="G31" s="90" t="s">
        <v>1797</v>
      </c>
      <c r="H31" s="90" t="s">
        <v>695</v>
      </c>
      <c r="I31" s="90" t="s">
        <v>1815</v>
      </c>
      <c r="J31" s="90" t="s">
        <v>678</v>
      </c>
      <c r="K31" s="93">
        <v>5475</v>
      </c>
    </row>
    <row r="32" spans="1:11" ht="15" customHeight="1" x14ac:dyDescent="0.4">
      <c r="A32" s="90"/>
      <c r="B32" s="90"/>
      <c r="C32" s="90"/>
      <c r="D32" s="90"/>
      <c r="E32" s="90" t="s">
        <v>653</v>
      </c>
      <c r="F32" s="91">
        <v>44651</v>
      </c>
      <c r="G32" s="90" t="s">
        <v>1797</v>
      </c>
      <c r="H32" s="90" t="s">
        <v>695</v>
      </c>
      <c r="I32" s="90" t="s">
        <v>1816</v>
      </c>
      <c r="J32" s="90" t="s">
        <v>678</v>
      </c>
      <c r="K32" s="93">
        <v>3045</v>
      </c>
    </row>
    <row r="33" spans="1:11" ht="15" customHeight="1" x14ac:dyDescent="0.4">
      <c r="A33" s="90"/>
      <c r="B33" s="90"/>
      <c r="C33" s="90"/>
      <c r="D33" s="90"/>
      <c r="E33" s="90" t="s">
        <v>653</v>
      </c>
      <c r="F33" s="91">
        <v>44651</v>
      </c>
      <c r="G33" s="90" t="s">
        <v>1797</v>
      </c>
      <c r="H33" s="90" t="s">
        <v>695</v>
      </c>
      <c r="I33" s="90" t="s">
        <v>1817</v>
      </c>
      <c r="J33" s="90" t="s">
        <v>678</v>
      </c>
      <c r="K33" s="93">
        <v>5140.28</v>
      </c>
    </row>
    <row r="34" spans="1:11" ht="15" customHeight="1" x14ac:dyDescent="0.4">
      <c r="A34" s="90"/>
      <c r="B34" s="90"/>
      <c r="C34" s="90"/>
      <c r="D34" s="90"/>
      <c r="E34" s="90" t="s">
        <v>653</v>
      </c>
      <c r="F34" s="91">
        <v>44651</v>
      </c>
      <c r="G34" s="90" t="s">
        <v>1797</v>
      </c>
      <c r="H34" s="90" t="s">
        <v>695</v>
      </c>
      <c r="I34" s="90" t="s">
        <v>1818</v>
      </c>
      <c r="J34" s="90" t="s">
        <v>678</v>
      </c>
      <c r="K34" s="93">
        <v>217.6</v>
      </c>
    </row>
    <row r="35" spans="1:11" ht="15" customHeight="1" x14ac:dyDescent="0.4">
      <c r="A35" s="90"/>
      <c r="B35" s="90"/>
      <c r="C35" s="90"/>
      <c r="D35" s="90"/>
      <c r="E35" s="90" t="s">
        <v>653</v>
      </c>
      <c r="F35" s="91">
        <v>44651</v>
      </c>
      <c r="G35" s="90" t="s">
        <v>1797</v>
      </c>
      <c r="H35" s="90" t="s">
        <v>695</v>
      </c>
      <c r="I35" s="90" t="s">
        <v>1819</v>
      </c>
      <c r="J35" s="90" t="s">
        <v>678</v>
      </c>
      <c r="K35" s="93">
        <v>96.92</v>
      </c>
    </row>
    <row r="36" spans="1:11" ht="15" customHeight="1" x14ac:dyDescent="0.4">
      <c r="A36" s="90"/>
      <c r="B36" s="90"/>
      <c r="C36" s="90"/>
      <c r="D36" s="90"/>
      <c r="E36" s="90" t="s">
        <v>653</v>
      </c>
      <c r="F36" s="91">
        <v>44651</v>
      </c>
      <c r="G36" s="90" t="s">
        <v>1797</v>
      </c>
      <c r="H36" s="90" t="s">
        <v>695</v>
      </c>
      <c r="I36" s="90" t="s">
        <v>1820</v>
      </c>
      <c r="J36" s="90" t="s">
        <v>678</v>
      </c>
      <c r="K36" s="93">
        <v>3700.05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44662</v>
      </c>
      <c r="G37" s="90" t="s">
        <v>1758</v>
      </c>
      <c r="H37" s="90" t="s">
        <v>691</v>
      </c>
      <c r="I37" s="90" t="s">
        <v>1821</v>
      </c>
      <c r="J37" s="90" t="s">
        <v>678</v>
      </c>
      <c r="K37" s="93">
        <v>40</v>
      </c>
    </row>
    <row r="38" spans="1:11" ht="15" customHeight="1" x14ac:dyDescent="0.4">
      <c r="A38" s="90"/>
      <c r="B38" s="90"/>
      <c r="C38" s="90"/>
      <c r="D38" s="90"/>
      <c r="E38" s="90" t="s">
        <v>653</v>
      </c>
      <c r="F38" s="91">
        <v>44662</v>
      </c>
      <c r="G38" s="90" t="s">
        <v>1758</v>
      </c>
      <c r="H38" s="90" t="s">
        <v>691</v>
      </c>
      <c r="I38" s="90" t="s">
        <v>1822</v>
      </c>
      <c r="J38" s="90" t="s">
        <v>678</v>
      </c>
      <c r="K38" s="93">
        <v>123.76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44662</v>
      </c>
      <c r="G39" s="90" t="s">
        <v>1758</v>
      </c>
      <c r="H39" s="90" t="s">
        <v>691</v>
      </c>
      <c r="I39" s="90" t="s">
        <v>1823</v>
      </c>
      <c r="J39" s="90" t="s">
        <v>678</v>
      </c>
      <c r="K39" s="93">
        <v>332.3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44662</v>
      </c>
      <c r="G40" s="90" t="s">
        <v>1758</v>
      </c>
      <c r="H40" s="90" t="s">
        <v>691</v>
      </c>
      <c r="I40" s="90" t="s">
        <v>1824</v>
      </c>
      <c r="J40" s="90" t="s">
        <v>678</v>
      </c>
      <c r="K40" s="93">
        <v>309.39999999999998</v>
      </c>
    </row>
    <row r="41" spans="1:11" ht="15" customHeight="1" x14ac:dyDescent="0.4">
      <c r="A41" s="90"/>
      <c r="B41" s="90"/>
      <c r="C41" s="90"/>
      <c r="D41" s="90"/>
      <c r="E41" s="90" t="s">
        <v>653</v>
      </c>
      <c r="F41" s="91">
        <v>44680</v>
      </c>
      <c r="G41" s="90" t="s">
        <v>1798</v>
      </c>
      <c r="H41" s="90" t="s">
        <v>695</v>
      </c>
      <c r="I41" s="90" t="s">
        <v>1825</v>
      </c>
      <c r="J41" s="90" t="s">
        <v>678</v>
      </c>
      <c r="K41" s="93">
        <v>1042.2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44680</v>
      </c>
      <c r="G42" s="90" t="s">
        <v>1798</v>
      </c>
      <c r="H42" s="90" t="s">
        <v>695</v>
      </c>
      <c r="I42" s="90" t="s">
        <v>1826</v>
      </c>
      <c r="J42" s="90" t="s">
        <v>678</v>
      </c>
      <c r="K42" s="93">
        <v>171.28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44680</v>
      </c>
      <c r="G43" s="90" t="s">
        <v>1798</v>
      </c>
      <c r="H43" s="90" t="s">
        <v>695</v>
      </c>
      <c r="I43" s="90" t="s">
        <v>1827</v>
      </c>
      <c r="J43" s="90" t="s">
        <v>678</v>
      </c>
      <c r="K43" s="93">
        <v>143.43</v>
      </c>
    </row>
    <row r="44" spans="1:11" ht="15" customHeight="1" x14ac:dyDescent="0.4">
      <c r="A44" s="90"/>
      <c r="B44" s="90"/>
      <c r="C44" s="90"/>
      <c r="D44" s="90"/>
      <c r="E44" s="90" t="s">
        <v>653</v>
      </c>
      <c r="F44" s="91">
        <v>44680</v>
      </c>
      <c r="G44" s="90" t="s">
        <v>1798</v>
      </c>
      <c r="H44" s="90" t="s">
        <v>695</v>
      </c>
      <c r="I44" s="90" t="s">
        <v>1816</v>
      </c>
      <c r="J44" s="90" t="s">
        <v>678</v>
      </c>
      <c r="K44" s="93">
        <v>0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44680</v>
      </c>
      <c r="G45" s="90" t="s">
        <v>1798</v>
      </c>
      <c r="H45" s="90" t="s">
        <v>695</v>
      </c>
      <c r="I45" s="90" t="s">
        <v>1828</v>
      </c>
      <c r="J45" s="90" t="s">
        <v>678</v>
      </c>
      <c r="K45" s="93">
        <v>136.36000000000001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44680</v>
      </c>
      <c r="G46" s="90" t="s">
        <v>1798</v>
      </c>
      <c r="H46" s="90" t="s">
        <v>695</v>
      </c>
      <c r="I46" s="90" t="s">
        <v>1829</v>
      </c>
      <c r="J46" s="90" t="s">
        <v>678</v>
      </c>
      <c r="K46" s="93">
        <v>2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44680</v>
      </c>
      <c r="G47" s="90" t="s">
        <v>1798</v>
      </c>
      <c r="H47" s="90" t="s">
        <v>695</v>
      </c>
      <c r="I47" s="90" t="s">
        <v>1820</v>
      </c>
      <c r="J47" s="90" t="s">
        <v>678</v>
      </c>
      <c r="K47" s="93">
        <v>77.39</v>
      </c>
    </row>
    <row r="48" spans="1:11" ht="15" customHeight="1" x14ac:dyDescent="0.4">
      <c r="A48" s="90"/>
      <c r="B48" s="90"/>
      <c r="C48" s="90"/>
      <c r="D48" s="90"/>
      <c r="E48" s="90" t="s">
        <v>653</v>
      </c>
      <c r="F48" s="91">
        <v>44684</v>
      </c>
      <c r="G48" s="90" t="s">
        <v>1761</v>
      </c>
      <c r="H48" s="90" t="s">
        <v>695</v>
      </c>
      <c r="I48" s="90" t="s">
        <v>718</v>
      </c>
      <c r="J48" s="90" t="s">
        <v>678</v>
      </c>
      <c r="K48" s="93">
        <v>0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44685</v>
      </c>
      <c r="G49" s="90" t="s">
        <v>1762</v>
      </c>
      <c r="H49" s="90" t="s">
        <v>691</v>
      </c>
      <c r="I49" s="90" t="s">
        <v>1830</v>
      </c>
      <c r="J49" s="90" t="s">
        <v>678</v>
      </c>
      <c r="K49" s="93">
        <v>1.19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44685</v>
      </c>
      <c r="G50" s="90" t="s">
        <v>1762</v>
      </c>
      <c r="H50" s="90" t="s">
        <v>691</v>
      </c>
      <c r="I50" s="90" t="s">
        <v>1831</v>
      </c>
      <c r="J50" s="90" t="s">
        <v>678</v>
      </c>
      <c r="K50" s="93">
        <v>1.1599999999999999</v>
      </c>
    </row>
    <row r="51" spans="1:11" ht="15" customHeight="1" x14ac:dyDescent="0.4">
      <c r="A51" s="90"/>
      <c r="B51" s="90"/>
      <c r="C51" s="90"/>
      <c r="D51" s="90"/>
      <c r="E51" s="90" t="s">
        <v>653</v>
      </c>
      <c r="F51" s="91">
        <v>44685</v>
      </c>
      <c r="G51" s="90" t="s">
        <v>1762</v>
      </c>
      <c r="H51" s="90" t="s">
        <v>691</v>
      </c>
      <c r="I51" s="90" t="s">
        <v>1832</v>
      </c>
      <c r="J51" s="90" t="s">
        <v>678</v>
      </c>
      <c r="K51" s="93">
        <v>23.8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44685</v>
      </c>
      <c r="G52" s="90" t="s">
        <v>1762</v>
      </c>
      <c r="H52" s="90" t="s">
        <v>691</v>
      </c>
      <c r="I52" s="90" t="s">
        <v>1833</v>
      </c>
      <c r="J52" s="90" t="s">
        <v>678</v>
      </c>
      <c r="K52" s="93">
        <v>4.25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44685</v>
      </c>
      <c r="G53" s="90" t="s">
        <v>1762</v>
      </c>
      <c r="H53" s="90" t="s">
        <v>691</v>
      </c>
      <c r="I53" s="90" t="s">
        <v>1834</v>
      </c>
      <c r="J53" s="90" t="s">
        <v>678</v>
      </c>
      <c r="K53" s="93">
        <v>50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44685</v>
      </c>
      <c r="G54" s="90" t="s">
        <v>1762</v>
      </c>
      <c r="H54" s="90" t="s">
        <v>691</v>
      </c>
      <c r="I54" s="90" t="s">
        <v>1835</v>
      </c>
      <c r="J54" s="90" t="s">
        <v>678</v>
      </c>
      <c r="K54" s="93">
        <v>1.36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44694</v>
      </c>
      <c r="G55" s="90" t="s">
        <v>1763</v>
      </c>
      <c r="H55" s="90" t="s">
        <v>691</v>
      </c>
      <c r="I55" s="90" t="s">
        <v>1836</v>
      </c>
      <c r="J55" s="90" t="s">
        <v>678</v>
      </c>
      <c r="K55" s="93">
        <v>33.18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44694</v>
      </c>
      <c r="G56" s="90" t="s">
        <v>1763</v>
      </c>
      <c r="H56" s="90" t="s">
        <v>691</v>
      </c>
      <c r="I56" s="90" t="s">
        <v>1837</v>
      </c>
      <c r="J56" s="90" t="s">
        <v>678</v>
      </c>
      <c r="K56" s="93">
        <v>1.23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44694</v>
      </c>
      <c r="G57" s="90" t="s">
        <v>1763</v>
      </c>
      <c r="H57" s="90" t="s">
        <v>691</v>
      </c>
      <c r="I57" s="90" t="s">
        <v>1838</v>
      </c>
      <c r="J57" s="90" t="s">
        <v>678</v>
      </c>
      <c r="K57" s="93">
        <v>9.94</v>
      </c>
    </row>
    <row r="58" spans="1:11" ht="15" customHeight="1" x14ac:dyDescent="0.4">
      <c r="A58" s="90"/>
      <c r="B58" s="90"/>
      <c r="C58" s="90"/>
      <c r="D58" s="90"/>
      <c r="E58" s="90" t="s">
        <v>653</v>
      </c>
      <c r="F58" s="91">
        <v>44694</v>
      </c>
      <c r="G58" s="90" t="s">
        <v>1763</v>
      </c>
      <c r="H58" s="90" t="s">
        <v>691</v>
      </c>
      <c r="I58" s="90" t="s">
        <v>1839</v>
      </c>
      <c r="J58" s="90" t="s">
        <v>678</v>
      </c>
      <c r="K58" s="93">
        <v>1.1200000000000001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44694</v>
      </c>
      <c r="G59" s="90" t="s">
        <v>1763</v>
      </c>
      <c r="H59" s="90" t="s">
        <v>691</v>
      </c>
      <c r="I59" s="90" t="s">
        <v>1840</v>
      </c>
      <c r="J59" s="90" t="s">
        <v>678</v>
      </c>
      <c r="K59" s="93">
        <v>0.49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44694</v>
      </c>
      <c r="G60" s="90" t="s">
        <v>1763</v>
      </c>
      <c r="H60" s="90" t="s">
        <v>691</v>
      </c>
      <c r="I60" s="90" t="s">
        <v>1841</v>
      </c>
      <c r="J60" s="90" t="s">
        <v>678</v>
      </c>
      <c r="K60" s="93">
        <v>0.49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44694</v>
      </c>
      <c r="G61" s="90" t="s">
        <v>1763</v>
      </c>
      <c r="H61" s="90" t="s">
        <v>691</v>
      </c>
      <c r="I61" s="90" t="s">
        <v>1842</v>
      </c>
      <c r="J61" s="90" t="s">
        <v>678</v>
      </c>
      <c r="K61" s="93">
        <v>0.49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44694</v>
      </c>
      <c r="G62" s="90" t="s">
        <v>1763</v>
      </c>
      <c r="H62" s="90" t="s">
        <v>691</v>
      </c>
      <c r="I62" s="90" t="s">
        <v>1843</v>
      </c>
      <c r="J62" s="90" t="s">
        <v>678</v>
      </c>
      <c r="K62" s="93">
        <v>1.7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44694</v>
      </c>
      <c r="G63" s="90" t="s">
        <v>1763</v>
      </c>
      <c r="H63" s="90" t="s">
        <v>691</v>
      </c>
      <c r="I63" s="90" t="s">
        <v>1844</v>
      </c>
      <c r="J63" s="90" t="s">
        <v>678</v>
      </c>
      <c r="K63" s="93">
        <v>3</v>
      </c>
    </row>
    <row r="64" spans="1:11" ht="15" customHeight="1" x14ac:dyDescent="0.4">
      <c r="A64" s="90"/>
      <c r="B64" s="90"/>
      <c r="C64" s="90"/>
      <c r="D64" s="90"/>
      <c r="E64" s="90" t="s">
        <v>653</v>
      </c>
      <c r="F64" s="91">
        <v>44694</v>
      </c>
      <c r="G64" s="90" t="s">
        <v>1763</v>
      </c>
      <c r="H64" s="90" t="s">
        <v>691</v>
      </c>
      <c r="I64" s="90" t="s">
        <v>1845</v>
      </c>
      <c r="J64" s="90" t="s">
        <v>678</v>
      </c>
      <c r="K64" s="93">
        <v>1.23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44694</v>
      </c>
      <c r="G65" s="90" t="s">
        <v>1763</v>
      </c>
      <c r="H65" s="90" t="s">
        <v>691</v>
      </c>
      <c r="I65" s="90" t="s">
        <v>1846</v>
      </c>
      <c r="J65" s="90" t="s">
        <v>678</v>
      </c>
      <c r="K65" s="93">
        <v>1.23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44694</v>
      </c>
      <c r="G66" s="90" t="s">
        <v>1763</v>
      </c>
      <c r="H66" s="90" t="s">
        <v>691</v>
      </c>
      <c r="I66" s="90" t="s">
        <v>1847</v>
      </c>
      <c r="J66" s="90" t="s">
        <v>678</v>
      </c>
      <c r="K66" s="93">
        <v>1.23</v>
      </c>
    </row>
    <row r="67" spans="1:11" ht="15" customHeight="1" x14ac:dyDescent="0.4">
      <c r="A67" s="90"/>
      <c r="B67" s="90"/>
      <c r="C67" s="90"/>
      <c r="D67" s="90"/>
      <c r="E67" s="90" t="s">
        <v>653</v>
      </c>
      <c r="F67" s="91">
        <v>44694</v>
      </c>
      <c r="G67" s="90" t="s">
        <v>1763</v>
      </c>
      <c r="H67" s="90" t="s">
        <v>691</v>
      </c>
      <c r="I67" s="90" t="s">
        <v>1848</v>
      </c>
      <c r="J67" s="90" t="s">
        <v>678</v>
      </c>
      <c r="K67" s="93">
        <v>50</v>
      </c>
    </row>
    <row r="68" spans="1:11" ht="15" customHeight="1" x14ac:dyDescent="0.4">
      <c r="A68" s="90"/>
      <c r="B68" s="90"/>
      <c r="C68" s="90"/>
      <c r="D68" s="90"/>
      <c r="E68" s="90" t="s">
        <v>653</v>
      </c>
      <c r="F68" s="91">
        <v>44694</v>
      </c>
      <c r="G68" s="90" t="s">
        <v>1763</v>
      </c>
      <c r="H68" s="90" t="s">
        <v>691</v>
      </c>
      <c r="I68" s="90" t="s">
        <v>1849</v>
      </c>
      <c r="J68" s="90" t="s">
        <v>678</v>
      </c>
      <c r="K68" s="93">
        <v>1.96</v>
      </c>
    </row>
    <row r="69" spans="1:11" ht="15" customHeight="1" x14ac:dyDescent="0.4">
      <c r="A69" s="90"/>
      <c r="B69" s="90"/>
      <c r="C69" s="90"/>
      <c r="D69" s="90"/>
      <c r="E69" s="90" t="s">
        <v>653</v>
      </c>
      <c r="F69" s="91">
        <v>44694</v>
      </c>
      <c r="G69" s="90" t="s">
        <v>1764</v>
      </c>
      <c r="H69" s="90" t="s">
        <v>691</v>
      </c>
      <c r="I69" s="90" t="s">
        <v>1850</v>
      </c>
      <c r="J69" s="90" t="s">
        <v>678</v>
      </c>
      <c r="K69" s="93">
        <v>1357.74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44694</v>
      </c>
      <c r="G70" s="90" t="s">
        <v>1764</v>
      </c>
      <c r="H70" s="90" t="s">
        <v>691</v>
      </c>
      <c r="I70" s="90" t="s">
        <v>1851</v>
      </c>
      <c r="J70" s="90" t="s">
        <v>678</v>
      </c>
      <c r="K70" s="93">
        <v>283.77999999999997</v>
      </c>
    </row>
    <row r="71" spans="1:11" ht="15" customHeight="1" x14ac:dyDescent="0.4">
      <c r="A71" s="90"/>
      <c r="B71" s="90"/>
      <c r="C71" s="90"/>
      <c r="D71" s="90"/>
      <c r="E71" s="90" t="s">
        <v>653</v>
      </c>
      <c r="F71" s="91">
        <v>44694</v>
      </c>
      <c r="G71" s="90" t="s">
        <v>1764</v>
      </c>
      <c r="H71" s="90" t="s">
        <v>691</v>
      </c>
      <c r="I71" s="90" t="s">
        <v>1852</v>
      </c>
      <c r="J71" s="90" t="s">
        <v>678</v>
      </c>
      <c r="K71" s="93">
        <v>410.54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44694</v>
      </c>
      <c r="G72" s="90" t="s">
        <v>1764</v>
      </c>
      <c r="H72" s="90" t="s">
        <v>691</v>
      </c>
      <c r="I72" s="90" t="s">
        <v>1853</v>
      </c>
      <c r="J72" s="90" t="s">
        <v>678</v>
      </c>
      <c r="K72" s="93">
        <v>259.45999999999998</v>
      </c>
    </row>
    <row r="73" spans="1:11" ht="15" customHeight="1" x14ac:dyDescent="0.4">
      <c r="A73" s="90"/>
      <c r="B73" s="90"/>
      <c r="C73" s="90"/>
      <c r="D73" s="90"/>
      <c r="E73" s="90" t="s">
        <v>653</v>
      </c>
      <c r="F73" s="91">
        <v>44694</v>
      </c>
      <c r="G73" s="90" t="s">
        <v>1764</v>
      </c>
      <c r="H73" s="90" t="s">
        <v>691</v>
      </c>
      <c r="I73" s="90" t="s">
        <v>1854</v>
      </c>
      <c r="J73" s="90" t="s">
        <v>678</v>
      </c>
      <c r="K73" s="93">
        <v>82.85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44694</v>
      </c>
      <c r="G74" s="90" t="s">
        <v>1764</v>
      </c>
      <c r="H74" s="90" t="s">
        <v>691</v>
      </c>
      <c r="I74" s="90" t="s">
        <v>1855</v>
      </c>
      <c r="J74" s="90" t="s">
        <v>678</v>
      </c>
      <c r="K74" s="93">
        <v>82.85</v>
      </c>
    </row>
    <row r="75" spans="1:11" ht="15" customHeight="1" x14ac:dyDescent="0.4">
      <c r="A75" s="90"/>
      <c r="B75" s="90"/>
      <c r="C75" s="90"/>
      <c r="D75" s="90"/>
      <c r="E75" s="90" t="s">
        <v>653</v>
      </c>
      <c r="F75" s="91">
        <v>44694</v>
      </c>
      <c r="G75" s="90" t="s">
        <v>1764</v>
      </c>
      <c r="H75" s="90" t="s">
        <v>691</v>
      </c>
      <c r="I75" s="90" t="s">
        <v>1856</v>
      </c>
      <c r="J75" s="90" t="s">
        <v>678</v>
      </c>
      <c r="K75" s="93">
        <v>82.85</v>
      </c>
    </row>
    <row r="76" spans="1:11" ht="15" customHeight="1" x14ac:dyDescent="0.4">
      <c r="A76" s="90"/>
      <c r="B76" s="90"/>
      <c r="C76" s="90"/>
      <c r="D76" s="90"/>
      <c r="E76" s="90" t="s">
        <v>653</v>
      </c>
      <c r="F76" s="91">
        <v>44694</v>
      </c>
      <c r="G76" s="90" t="s">
        <v>1764</v>
      </c>
      <c r="H76" s="90" t="s">
        <v>691</v>
      </c>
      <c r="I76" s="90" t="s">
        <v>1857</v>
      </c>
      <c r="J76" s="90" t="s">
        <v>678</v>
      </c>
      <c r="K76" s="93">
        <v>21.25</v>
      </c>
    </row>
    <row r="77" spans="1:11" ht="15" customHeight="1" x14ac:dyDescent="0.4">
      <c r="A77" s="90"/>
      <c r="B77" s="90"/>
      <c r="C77" s="90"/>
      <c r="D77" s="90"/>
      <c r="E77" s="90" t="s">
        <v>653</v>
      </c>
      <c r="F77" s="91">
        <v>44694</v>
      </c>
      <c r="G77" s="90" t="s">
        <v>1764</v>
      </c>
      <c r="H77" s="90" t="s">
        <v>691</v>
      </c>
      <c r="I77" s="90" t="s">
        <v>1858</v>
      </c>
      <c r="J77" s="90" t="s">
        <v>678</v>
      </c>
      <c r="K77" s="93">
        <v>39</v>
      </c>
    </row>
    <row r="78" spans="1:11" ht="15" customHeight="1" x14ac:dyDescent="0.4">
      <c r="A78" s="90"/>
      <c r="B78" s="90"/>
      <c r="C78" s="90"/>
      <c r="D78" s="90"/>
      <c r="E78" s="90" t="s">
        <v>653</v>
      </c>
      <c r="F78" s="91">
        <v>44694</v>
      </c>
      <c r="G78" s="90" t="s">
        <v>1764</v>
      </c>
      <c r="H78" s="90" t="s">
        <v>691</v>
      </c>
      <c r="I78" s="90" t="s">
        <v>1859</v>
      </c>
      <c r="J78" s="90" t="s">
        <v>678</v>
      </c>
      <c r="K78" s="93">
        <v>207.13</v>
      </c>
    </row>
    <row r="79" spans="1:11" ht="15" customHeight="1" x14ac:dyDescent="0.4">
      <c r="A79" s="90"/>
      <c r="B79" s="90"/>
      <c r="C79" s="90"/>
      <c r="D79" s="90"/>
      <c r="E79" s="90" t="s">
        <v>653</v>
      </c>
      <c r="F79" s="91">
        <v>44694</v>
      </c>
      <c r="G79" s="90" t="s">
        <v>1764</v>
      </c>
      <c r="H79" s="90" t="s">
        <v>691</v>
      </c>
      <c r="I79" s="90" t="s">
        <v>1860</v>
      </c>
      <c r="J79" s="90" t="s">
        <v>678</v>
      </c>
      <c r="K79" s="93">
        <v>207.13</v>
      </c>
    </row>
    <row r="80" spans="1:11" ht="15" customHeight="1" x14ac:dyDescent="0.4">
      <c r="A80" s="90"/>
      <c r="B80" s="90"/>
      <c r="C80" s="90"/>
      <c r="D80" s="90"/>
      <c r="E80" s="90" t="s">
        <v>653</v>
      </c>
      <c r="F80" s="91">
        <v>44694</v>
      </c>
      <c r="G80" s="90" t="s">
        <v>1764</v>
      </c>
      <c r="H80" s="90" t="s">
        <v>691</v>
      </c>
      <c r="I80" s="90" t="s">
        <v>1861</v>
      </c>
      <c r="J80" s="90" t="s">
        <v>678</v>
      </c>
      <c r="K80" s="93">
        <v>207.13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44699</v>
      </c>
      <c r="G81" s="90" t="s">
        <v>1765</v>
      </c>
      <c r="H81" s="90" t="s">
        <v>691</v>
      </c>
      <c r="I81" s="90" t="s">
        <v>1862</v>
      </c>
      <c r="J81" s="90" t="s">
        <v>678</v>
      </c>
      <c r="K81" s="93">
        <v>2.17</v>
      </c>
    </row>
    <row r="82" spans="1:11" ht="15" customHeight="1" x14ac:dyDescent="0.4">
      <c r="A82" s="90"/>
      <c r="B82" s="90"/>
      <c r="C82" s="90"/>
      <c r="D82" s="90"/>
      <c r="E82" s="90" t="s">
        <v>653</v>
      </c>
      <c r="F82" s="91">
        <v>44699</v>
      </c>
      <c r="G82" s="90" t="s">
        <v>1765</v>
      </c>
      <c r="H82" s="90" t="s">
        <v>691</v>
      </c>
      <c r="I82" s="90" t="s">
        <v>1863</v>
      </c>
      <c r="J82" s="90" t="s">
        <v>678</v>
      </c>
      <c r="K82" s="93">
        <v>2.11</v>
      </c>
    </row>
    <row r="83" spans="1:11" ht="15" customHeight="1" x14ac:dyDescent="0.4">
      <c r="A83" s="90"/>
      <c r="B83" s="90"/>
      <c r="C83" s="90"/>
      <c r="D83" s="90"/>
      <c r="E83" s="90" t="s">
        <v>653</v>
      </c>
      <c r="F83" s="91">
        <v>44699</v>
      </c>
      <c r="G83" s="90" t="s">
        <v>1765</v>
      </c>
      <c r="H83" s="90" t="s">
        <v>691</v>
      </c>
      <c r="I83" s="90" t="s">
        <v>1864</v>
      </c>
      <c r="J83" s="90" t="s">
        <v>678</v>
      </c>
      <c r="K83" s="93">
        <v>6.8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44699</v>
      </c>
      <c r="G84" s="90" t="s">
        <v>1765</v>
      </c>
      <c r="H84" s="90" t="s">
        <v>691</v>
      </c>
      <c r="I84" s="90" t="s">
        <v>1865</v>
      </c>
      <c r="J84" s="90" t="s">
        <v>678</v>
      </c>
      <c r="K84" s="93">
        <v>2.25</v>
      </c>
    </row>
    <row r="85" spans="1:11" ht="15" customHeight="1" x14ac:dyDescent="0.4">
      <c r="A85" s="90"/>
      <c r="B85" s="90"/>
      <c r="C85" s="90"/>
      <c r="D85" s="90"/>
      <c r="E85" s="90" t="s">
        <v>653</v>
      </c>
      <c r="F85" s="91">
        <v>44699</v>
      </c>
      <c r="G85" s="90" t="s">
        <v>1765</v>
      </c>
      <c r="H85" s="90" t="s">
        <v>691</v>
      </c>
      <c r="I85" s="90" t="s">
        <v>1834</v>
      </c>
      <c r="J85" s="90" t="s">
        <v>678</v>
      </c>
      <c r="K85" s="93">
        <v>50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44699</v>
      </c>
      <c r="G86" s="90" t="s">
        <v>1765</v>
      </c>
      <c r="H86" s="90" t="s">
        <v>691</v>
      </c>
      <c r="I86" s="90" t="s">
        <v>1866</v>
      </c>
      <c r="J86" s="90" t="s">
        <v>678</v>
      </c>
      <c r="K86" s="93">
        <v>2.48</v>
      </c>
    </row>
    <row r="87" spans="1:11" ht="15" customHeight="1" x14ac:dyDescent="0.4">
      <c r="A87" s="90"/>
      <c r="B87" s="90"/>
      <c r="C87" s="90"/>
      <c r="D87" s="90"/>
      <c r="E87" s="90" t="s">
        <v>653</v>
      </c>
      <c r="F87" s="91">
        <v>44700</v>
      </c>
      <c r="G87" s="90" t="s">
        <v>1799</v>
      </c>
      <c r="H87" s="90" t="s">
        <v>671</v>
      </c>
      <c r="I87" s="90" t="s">
        <v>1867</v>
      </c>
      <c r="J87" s="90" t="s">
        <v>678</v>
      </c>
      <c r="K87" s="93">
        <v>260.10000000000002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44705</v>
      </c>
      <c r="G88" s="90" t="s">
        <v>1800</v>
      </c>
      <c r="H88" s="90" t="s">
        <v>695</v>
      </c>
      <c r="I88" s="90" t="s">
        <v>1868</v>
      </c>
      <c r="J88" s="90" t="s">
        <v>678</v>
      </c>
      <c r="K88" s="93">
        <v>360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44705</v>
      </c>
      <c r="G89" s="90" t="s">
        <v>1800</v>
      </c>
      <c r="H89" s="90" t="s">
        <v>695</v>
      </c>
      <c r="I89" s="90" t="s">
        <v>1869</v>
      </c>
      <c r="J89" s="90" t="s">
        <v>678</v>
      </c>
      <c r="K89" s="93">
        <v>193.51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44705</v>
      </c>
      <c r="G90" s="90" t="s">
        <v>1800</v>
      </c>
      <c r="H90" s="90" t="s">
        <v>695</v>
      </c>
      <c r="I90" s="90" t="s">
        <v>1870</v>
      </c>
      <c r="J90" s="90" t="s">
        <v>678</v>
      </c>
      <c r="K90" s="93">
        <v>36.36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44705</v>
      </c>
      <c r="G91" s="90" t="s">
        <v>1800</v>
      </c>
      <c r="H91" s="90" t="s">
        <v>695</v>
      </c>
      <c r="I91" s="90" t="s">
        <v>1820</v>
      </c>
      <c r="J91" s="90" t="s">
        <v>678</v>
      </c>
      <c r="K91" s="93">
        <v>17.37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44708</v>
      </c>
      <c r="G92" s="90" t="s">
        <v>1767</v>
      </c>
      <c r="H92" s="90" t="s">
        <v>691</v>
      </c>
      <c r="I92" s="90" t="s">
        <v>1871</v>
      </c>
      <c r="J92" s="90" t="s">
        <v>678</v>
      </c>
      <c r="K92" s="93">
        <v>492.87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44708</v>
      </c>
      <c r="G93" s="90" t="s">
        <v>1767</v>
      </c>
      <c r="H93" s="90" t="s">
        <v>691</v>
      </c>
      <c r="I93" s="90" t="s">
        <v>1872</v>
      </c>
      <c r="J93" s="90" t="s">
        <v>678</v>
      </c>
      <c r="K93" s="93">
        <v>574.74</v>
      </c>
    </row>
    <row r="94" spans="1:11" ht="15" customHeight="1" x14ac:dyDescent="0.4">
      <c r="A94" s="90"/>
      <c r="B94" s="90"/>
      <c r="C94" s="90"/>
      <c r="D94" s="90"/>
      <c r="E94" s="90" t="s">
        <v>653</v>
      </c>
      <c r="F94" s="91">
        <v>44708</v>
      </c>
      <c r="G94" s="90" t="s">
        <v>1767</v>
      </c>
      <c r="H94" s="90" t="s">
        <v>691</v>
      </c>
      <c r="I94" s="90" t="s">
        <v>1873</v>
      </c>
      <c r="J94" s="90" t="s">
        <v>678</v>
      </c>
      <c r="K94" s="93">
        <v>295.72000000000003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44708</v>
      </c>
      <c r="G95" s="90" t="s">
        <v>1767</v>
      </c>
      <c r="H95" s="90" t="s">
        <v>691</v>
      </c>
      <c r="I95" s="90" t="s">
        <v>1874</v>
      </c>
      <c r="J95" s="90" t="s">
        <v>678</v>
      </c>
      <c r="K95" s="93">
        <v>525.47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44722</v>
      </c>
      <c r="G96" s="90" t="s">
        <v>1768</v>
      </c>
      <c r="H96" s="90" t="s">
        <v>691</v>
      </c>
      <c r="I96" s="90" t="s">
        <v>1875</v>
      </c>
      <c r="J96" s="90" t="s">
        <v>678</v>
      </c>
      <c r="K96" s="93">
        <v>574.62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44722</v>
      </c>
      <c r="G97" s="90" t="s">
        <v>1768</v>
      </c>
      <c r="H97" s="90" t="s">
        <v>691</v>
      </c>
      <c r="I97" s="90" t="s">
        <v>1876</v>
      </c>
      <c r="J97" s="90" t="s">
        <v>678</v>
      </c>
      <c r="K97" s="93">
        <v>72.45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44722</v>
      </c>
      <c r="G98" s="90" t="s">
        <v>1768</v>
      </c>
      <c r="H98" s="90" t="s">
        <v>691</v>
      </c>
      <c r="I98" s="90" t="s">
        <v>1877</v>
      </c>
      <c r="J98" s="90" t="s">
        <v>678</v>
      </c>
      <c r="K98" s="93">
        <v>176.24</v>
      </c>
    </row>
    <row r="99" spans="1:11" ht="15" customHeight="1" x14ac:dyDescent="0.4">
      <c r="A99" s="90"/>
      <c r="B99" s="90"/>
      <c r="C99" s="90"/>
      <c r="D99" s="90"/>
      <c r="E99" s="90" t="s">
        <v>653</v>
      </c>
      <c r="F99" s="91">
        <v>44722</v>
      </c>
      <c r="G99" s="90" t="s">
        <v>1768</v>
      </c>
      <c r="H99" s="90" t="s">
        <v>691</v>
      </c>
      <c r="I99" s="90" t="s">
        <v>1878</v>
      </c>
      <c r="J99" s="90" t="s">
        <v>678</v>
      </c>
      <c r="K99" s="93">
        <v>66.239999999999995</v>
      </c>
    </row>
    <row r="100" spans="1:11" ht="15" customHeight="1" x14ac:dyDescent="0.4">
      <c r="A100" s="90"/>
      <c r="B100" s="90"/>
      <c r="C100" s="90"/>
      <c r="D100" s="90"/>
      <c r="E100" s="90" t="s">
        <v>653</v>
      </c>
      <c r="F100" s="91">
        <v>44722</v>
      </c>
      <c r="G100" s="90" t="s">
        <v>1768</v>
      </c>
      <c r="H100" s="90" t="s">
        <v>691</v>
      </c>
      <c r="I100" s="90" t="s">
        <v>1879</v>
      </c>
      <c r="J100" s="90" t="s">
        <v>678</v>
      </c>
      <c r="K100" s="93">
        <v>22.82</v>
      </c>
    </row>
    <row r="101" spans="1:11" ht="15" customHeight="1" x14ac:dyDescent="0.4">
      <c r="A101" s="90"/>
      <c r="B101" s="90"/>
      <c r="C101" s="90"/>
      <c r="D101" s="90"/>
      <c r="E101" s="90" t="s">
        <v>653</v>
      </c>
      <c r="F101" s="91">
        <v>44722</v>
      </c>
      <c r="G101" s="90" t="s">
        <v>1768</v>
      </c>
      <c r="H101" s="90" t="s">
        <v>691</v>
      </c>
      <c r="I101" s="90" t="s">
        <v>1880</v>
      </c>
      <c r="J101" s="90" t="s">
        <v>678</v>
      </c>
      <c r="K101" s="93">
        <v>22.82</v>
      </c>
    </row>
    <row r="102" spans="1:11" ht="15" customHeight="1" x14ac:dyDescent="0.4">
      <c r="A102" s="90"/>
      <c r="B102" s="90"/>
      <c r="C102" s="90"/>
      <c r="D102" s="90"/>
      <c r="E102" s="90" t="s">
        <v>653</v>
      </c>
      <c r="F102" s="91">
        <v>44722</v>
      </c>
      <c r="G102" s="90" t="s">
        <v>1768</v>
      </c>
      <c r="H102" s="90" t="s">
        <v>691</v>
      </c>
      <c r="I102" s="90" t="s">
        <v>1881</v>
      </c>
      <c r="J102" s="90" t="s">
        <v>678</v>
      </c>
      <c r="K102" s="93">
        <v>22.82</v>
      </c>
    </row>
    <row r="103" spans="1:11" ht="15" customHeight="1" x14ac:dyDescent="0.4">
      <c r="A103" s="90"/>
      <c r="B103" s="90"/>
      <c r="C103" s="90"/>
      <c r="D103" s="90"/>
      <c r="E103" s="90" t="s">
        <v>653</v>
      </c>
      <c r="F103" s="91">
        <v>44722</v>
      </c>
      <c r="G103" s="90" t="s">
        <v>1768</v>
      </c>
      <c r="H103" s="90" t="s">
        <v>691</v>
      </c>
      <c r="I103" s="90" t="s">
        <v>1882</v>
      </c>
      <c r="J103" s="90" t="s">
        <v>678</v>
      </c>
      <c r="K103" s="93">
        <v>17.850000000000001</v>
      </c>
    </row>
    <row r="104" spans="1:11" ht="15" customHeight="1" x14ac:dyDescent="0.4">
      <c r="A104" s="90"/>
      <c r="B104" s="90"/>
      <c r="C104" s="90"/>
      <c r="D104" s="90"/>
      <c r="E104" s="90" t="s">
        <v>653</v>
      </c>
      <c r="F104" s="91">
        <v>44722</v>
      </c>
      <c r="G104" s="90" t="s">
        <v>1768</v>
      </c>
      <c r="H104" s="90" t="s">
        <v>691</v>
      </c>
      <c r="I104" s="90" t="s">
        <v>1883</v>
      </c>
      <c r="J104" s="90" t="s">
        <v>678</v>
      </c>
      <c r="K104" s="93">
        <v>48</v>
      </c>
    </row>
    <row r="105" spans="1:11" ht="15" customHeight="1" x14ac:dyDescent="0.4">
      <c r="A105" s="90"/>
      <c r="B105" s="90"/>
      <c r="C105" s="90"/>
      <c r="D105" s="90"/>
      <c r="E105" s="90" t="s">
        <v>653</v>
      </c>
      <c r="F105" s="91">
        <v>44722</v>
      </c>
      <c r="G105" s="90" t="s">
        <v>1768</v>
      </c>
      <c r="H105" s="90" t="s">
        <v>691</v>
      </c>
      <c r="I105" s="90" t="s">
        <v>1884</v>
      </c>
      <c r="J105" s="90" t="s">
        <v>678</v>
      </c>
      <c r="K105" s="93">
        <v>57.05</v>
      </c>
    </row>
    <row r="106" spans="1:11" ht="15" customHeight="1" x14ac:dyDescent="0.4">
      <c r="A106" s="90"/>
      <c r="B106" s="90"/>
      <c r="C106" s="90"/>
      <c r="D106" s="90"/>
      <c r="E106" s="90" t="s">
        <v>653</v>
      </c>
      <c r="F106" s="91">
        <v>44722</v>
      </c>
      <c r="G106" s="90" t="s">
        <v>1768</v>
      </c>
      <c r="H106" s="90" t="s">
        <v>691</v>
      </c>
      <c r="I106" s="90" t="s">
        <v>1885</v>
      </c>
      <c r="J106" s="90" t="s">
        <v>678</v>
      </c>
      <c r="K106" s="93">
        <v>57.05</v>
      </c>
    </row>
    <row r="107" spans="1:11" ht="15" customHeight="1" x14ac:dyDescent="0.4">
      <c r="A107" s="90"/>
      <c r="B107" s="90"/>
      <c r="C107" s="90"/>
      <c r="D107" s="90"/>
      <c r="E107" s="90" t="s">
        <v>653</v>
      </c>
      <c r="F107" s="91">
        <v>44722</v>
      </c>
      <c r="G107" s="90" t="s">
        <v>1768</v>
      </c>
      <c r="H107" s="90" t="s">
        <v>691</v>
      </c>
      <c r="I107" s="90" t="s">
        <v>1886</v>
      </c>
      <c r="J107" s="90" t="s">
        <v>678</v>
      </c>
      <c r="K107" s="93">
        <v>57.05</v>
      </c>
    </row>
    <row r="108" spans="1:11" ht="15" customHeight="1" x14ac:dyDescent="0.4">
      <c r="A108" s="90"/>
      <c r="B108" s="90"/>
      <c r="C108" s="90"/>
      <c r="D108" s="90"/>
      <c r="E108" s="90" t="s">
        <v>653</v>
      </c>
      <c r="F108" s="91">
        <v>44722</v>
      </c>
      <c r="G108" s="90" t="s">
        <v>1769</v>
      </c>
      <c r="H108" s="90" t="s">
        <v>691</v>
      </c>
      <c r="I108" s="90" t="s">
        <v>1887</v>
      </c>
      <c r="J108" s="90" t="s">
        <v>678</v>
      </c>
      <c r="K108" s="93">
        <v>7.02</v>
      </c>
    </row>
    <row r="109" spans="1:11" ht="15" customHeight="1" x14ac:dyDescent="0.4">
      <c r="A109" s="90"/>
      <c r="B109" s="90"/>
      <c r="C109" s="90"/>
      <c r="D109" s="90"/>
      <c r="E109" s="90" t="s">
        <v>653</v>
      </c>
      <c r="F109" s="91">
        <v>44722</v>
      </c>
      <c r="G109" s="90" t="s">
        <v>1769</v>
      </c>
      <c r="H109" s="90" t="s">
        <v>691</v>
      </c>
      <c r="I109" s="90" t="s">
        <v>1888</v>
      </c>
      <c r="J109" s="90" t="s">
        <v>678</v>
      </c>
      <c r="K109" s="93">
        <v>1.82</v>
      </c>
    </row>
    <row r="110" spans="1:11" ht="15" customHeight="1" x14ac:dyDescent="0.4">
      <c r="A110" s="90"/>
      <c r="B110" s="90"/>
      <c r="C110" s="90"/>
      <c r="D110" s="90"/>
      <c r="E110" s="90" t="s">
        <v>653</v>
      </c>
      <c r="F110" s="91">
        <v>44722</v>
      </c>
      <c r="G110" s="90" t="s">
        <v>1769</v>
      </c>
      <c r="H110" s="90" t="s">
        <v>691</v>
      </c>
      <c r="I110" s="90" t="s">
        <v>1889</v>
      </c>
      <c r="J110" s="90" t="s">
        <v>678</v>
      </c>
      <c r="K110" s="93">
        <v>2.09</v>
      </c>
    </row>
    <row r="111" spans="1:11" ht="15" customHeight="1" x14ac:dyDescent="0.4">
      <c r="A111" s="90"/>
      <c r="B111" s="90"/>
      <c r="C111" s="90"/>
      <c r="D111" s="90"/>
      <c r="E111" s="90" t="s">
        <v>653</v>
      </c>
      <c r="F111" s="91">
        <v>44722</v>
      </c>
      <c r="G111" s="90" t="s">
        <v>1769</v>
      </c>
      <c r="H111" s="90" t="s">
        <v>691</v>
      </c>
      <c r="I111" s="90" t="s">
        <v>1890</v>
      </c>
      <c r="J111" s="90" t="s">
        <v>678</v>
      </c>
      <c r="K111" s="93">
        <v>1.66</v>
      </c>
    </row>
    <row r="112" spans="1:11" ht="15" customHeight="1" x14ac:dyDescent="0.4">
      <c r="A112" s="90"/>
      <c r="B112" s="90"/>
      <c r="C112" s="90"/>
      <c r="D112" s="90"/>
      <c r="E112" s="90" t="s">
        <v>653</v>
      </c>
      <c r="F112" s="91">
        <v>44722</v>
      </c>
      <c r="G112" s="90" t="s">
        <v>1769</v>
      </c>
      <c r="H112" s="90" t="s">
        <v>691</v>
      </c>
      <c r="I112" s="90" t="s">
        <v>1891</v>
      </c>
      <c r="J112" s="90" t="s">
        <v>678</v>
      </c>
      <c r="K112" s="93">
        <v>0.52</v>
      </c>
    </row>
    <row r="113" spans="1:11" ht="15" customHeight="1" x14ac:dyDescent="0.4">
      <c r="A113" s="90"/>
      <c r="B113" s="90"/>
      <c r="C113" s="90"/>
      <c r="D113" s="90"/>
      <c r="E113" s="90" t="s">
        <v>653</v>
      </c>
      <c r="F113" s="91">
        <v>44722</v>
      </c>
      <c r="G113" s="90" t="s">
        <v>1769</v>
      </c>
      <c r="H113" s="90" t="s">
        <v>691</v>
      </c>
      <c r="I113" s="90" t="s">
        <v>1892</v>
      </c>
      <c r="J113" s="90" t="s">
        <v>678</v>
      </c>
      <c r="K113" s="93">
        <v>0.52</v>
      </c>
    </row>
    <row r="114" spans="1:11" ht="15" customHeight="1" x14ac:dyDescent="0.4">
      <c r="A114" s="90"/>
      <c r="B114" s="90"/>
      <c r="C114" s="90"/>
      <c r="D114" s="90"/>
      <c r="E114" s="90" t="s">
        <v>653</v>
      </c>
      <c r="F114" s="91">
        <v>44722</v>
      </c>
      <c r="G114" s="90" t="s">
        <v>1769</v>
      </c>
      <c r="H114" s="90" t="s">
        <v>691</v>
      </c>
      <c r="I114" s="90" t="s">
        <v>1893</v>
      </c>
      <c r="J114" s="90" t="s">
        <v>678</v>
      </c>
      <c r="K114" s="93">
        <v>0.52</v>
      </c>
    </row>
    <row r="115" spans="1:11" ht="15" customHeight="1" x14ac:dyDescent="0.4">
      <c r="A115" s="90"/>
      <c r="B115" s="90"/>
      <c r="C115" s="90"/>
      <c r="D115" s="90"/>
      <c r="E115" s="90" t="s">
        <v>653</v>
      </c>
      <c r="F115" s="91">
        <v>44722</v>
      </c>
      <c r="G115" s="90" t="s">
        <v>1769</v>
      </c>
      <c r="H115" s="90" t="s">
        <v>691</v>
      </c>
      <c r="I115" s="90" t="s">
        <v>1894</v>
      </c>
      <c r="J115" s="90" t="s">
        <v>678</v>
      </c>
      <c r="K115" s="93">
        <v>50</v>
      </c>
    </row>
    <row r="116" spans="1:11" ht="15" customHeight="1" x14ac:dyDescent="0.4">
      <c r="A116" s="90"/>
      <c r="B116" s="90"/>
      <c r="C116" s="90"/>
      <c r="D116" s="90"/>
      <c r="E116" s="90" t="s">
        <v>653</v>
      </c>
      <c r="F116" s="91">
        <v>44722</v>
      </c>
      <c r="G116" s="90" t="s">
        <v>1769</v>
      </c>
      <c r="H116" s="90" t="s">
        <v>691</v>
      </c>
      <c r="I116" s="90" t="s">
        <v>1895</v>
      </c>
      <c r="J116" s="90" t="s">
        <v>678</v>
      </c>
      <c r="K116" s="93">
        <v>2.08</v>
      </c>
    </row>
    <row r="117" spans="1:11" ht="15" customHeight="1" x14ac:dyDescent="0.4">
      <c r="A117" s="90"/>
      <c r="B117" s="90"/>
      <c r="C117" s="90"/>
      <c r="D117" s="90"/>
      <c r="E117" s="90" t="s">
        <v>653</v>
      </c>
      <c r="F117" s="91">
        <v>44722</v>
      </c>
      <c r="G117" s="90" t="s">
        <v>1769</v>
      </c>
      <c r="H117" s="90" t="s">
        <v>691</v>
      </c>
      <c r="I117" s="90" t="s">
        <v>1896</v>
      </c>
      <c r="J117" s="90" t="s">
        <v>678</v>
      </c>
      <c r="K117" s="93">
        <v>1.3</v>
      </c>
    </row>
    <row r="118" spans="1:11" ht="15" customHeight="1" x14ac:dyDescent="0.4">
      <c r="A118" s="90"/>
      <c r="B118" s="90"/>
      <c r="C118" s="90"/>
      <c r="D118" s="90"/>
      <c r="E118" s="90" t="s">
        <v>653</v>
      </c>
      <c r="F118" s="91">
        <v>44722</v>
      </c>
      <c r="G118" s="90" t="s">
        <v>1769</v>
      </c>
      <c r="H118" s="90" t="s">
        <v>691</v>
      </c>
      <c r="I118" s="90" t="s">
        <v>1897</v>
      </c>
      <c r="J118" s="90" t="s">
        <v>678</v>
      </c>
      <c r="K118" s="93">
        <v>1.3</v>
      </c>
    </row>
    <row r="119" spans="1:11" ht="15" customHeight="1" x14ac:dyDescent="0.4">
      <c r="A119" s="90"/>
      <c r="B119" s="90"/>
      <c r="C119" s="90"/>
      <c r="D119" s="90"/>
      <c r="E119" s="90" t="s">
        <v>653</v>
      </c>
      <c r="F119" s="91">
        <v>44722</v>
      </c>
      <c r="G119" s="90" t="s">
        <v>1769</v>
      </c>
      <c r="H119" s="90" t="s">
        <v>691</v>
      </c>
      <c r="I119" s="90" t="s">
        <v>1898</v>
      </c>
      <c r="J119" s="90" t="s">
        <v>678</v>
      </c>
      <c r="K119" s="93">
        <v>1.3</v>
      </c>
    </row>
    <row r="120" spans="1:11" ht="15" customHeight="1" x14ac:dyDescent="0.4">
      <c r="A120" s="90"/>
      <c r="B120" s="90"/>
      <c r="C120" s="90"/>
      <c r="D120" s="90"/>
      <c r="E120" s="90" t="s">
        <v>653</v>
      </c>
      <c r="F120" s="91">
        <v>44742</v>
      </c>
      <c r="G120" s="90" t="s">
        <v>1801</v>
      </c>
      <c r="H120" s="90" t="s">
        <v>695</v>
      </c>
      <c r="I120" s="90" t="s">
        <v>1899</v>
      </c>
      <c r="J120" s="90" t="s">
        <v>678</v>
      </c>
      <c r="K120" s="93">
        <v>250</v>
      </c>
    </row>
    <row r="121" spans="1:11" ht="15" customHeight="1" x14ac:dyDescent="0.4">
      <c r="A121" s="90"/>
      <c r="B121" s="90"/>
      <c r="C121" s="90"/>
      <c r="D121" s="90"/>
      <c r="E121" s="90" t="s">
        <v>653</v>
      </c>
      <c r="F121" s="91">
        <v>44742</v>
      </c>
      <c r="G121" s="90" t="s">
        <v>1801</v>
      </c>
      <c r="H121" s="90" t="s">
        <v>695</v>
      </c>
      <c r="I121" s="90" t="s">
        <v>1869</v>
      </c>
      <c r="J121" s="90" t="s">
        <v>678</v>
      </c>
      <c r="K121" s="93">
        <v>4.42</v>
      </c>
    </row>
    <row r="122" spans="1:11" ht="15" customHeight="1" x14ac:dyDescent="0.4">
      <c r="A122" s="90"/>
      <c r="B122" s="90"/>
      <c r="C122" s="90"/>
      <c r="D122" s="90"/>
      <c r="E122" s="90" t="s">
        <v>653</v>
      </c>
      <c r="F122" s="91">
        <v>44742</v>
      </c>
      <c r="G122" s="90" t="s">
        <v>1801</v>
      </c>
      <c r="H122" s="90" t="s">
        <v>695</v>
      </c>
      <c r="I122" s="90" t="s">
        <v>1900</v>
      </c>
      <c r="J122" s="90" t="s">
        <v>678</v>
      </c>
      <c r="K122" s="93">
        <v>4.4800000000000004</v>
      </c>
    </row>
    <row r="123" spans="1:11" ht="15" customHeight="1" x14ac:dyDescent="0.4">
      <c r="A123" s="90"/>
      <c r="B123" s="90"/>
      <c r="C123" s="90"/>
      <c r="D123" s="90"/>
      <c r="E123" s="90" t="s">
        <v>653</v>
      </c>
      <c r="F123" s="91">
        <v>44742</v>
      </c>
      <c r="G123" s="90" t="s">
        <v>1801</v>
      </c>
      <c r="H123" s="90" t="s">
        <v>695</v>
      </c>
      <c r="I123" s="90" t="s">
        <v>1901</v>
      </c>
      <c r="J123" s="90" t="s">
        <v>678</v>
      </c>
      <c r="K123" s="93">
        <v>4.16</v>
      </c>
    </row>
    <row r="124" spans="1:11" ht="15" customHeight="1" x14ac:dyDescent="0.4">
      <c r="A124" s="90"/>
      <c r="B124" s="90"/>
      <c r="C124" s="90"/>
      <c r="D124" s="90"/>
      <c r="E124" s="90" t="s">
        <v>653</v>
      </c>
      <c r="F124" s="91">
        <v>44742</v>
      </c>
      <c r="G124" s="90" t="s">
        <v>1801</v>
      </c>
      <c r="H124" s="90" t="s">
        <v>695</v>
      </c>
      <c r="I124" s="90" t="s">
        <v>1902</v>
      </c>
      <c r="J124" s="90" t="s">
        <v>678</v>
      </c>
      <c r="K124" s="93">
        <v>3.25</v>
      </c>
    </row>
    <row r="125" spans="1:11" ht="15" customHeight="1" x14ac:dyDescent="0.4">
      <c r="A125" s="90"/>
      <c r="B125" s="90"/>
      <c r="C125" s="90"/>
      <c r="D125" s="90"/>
      <c r="E125" s="90" t="s">
        <v>653</v>
      </c>
      <c r="F125" s="91">
        <v>44742</v>
      </c>
      <c r="G125" s="90" t="s">
        <v>1801</v>
      </c>
      <c r="H125" s="90" t="s">
        <v>695</v>
      </c>
      <c r="I125" s="90" t="s">
        <v>1903</v>
      </c>
      <c r="J125" s="90" t="s">
        <v>678</v>
      </c>
      <c r="K125" s="93">
        <v>17.78</v>
      </c>
    </row>
    <row r="126" spans="1:11" ht="15" customHeight="1" x14ac:dyDescent="0.4">
      <c r="A126" s="90"/>
      <c r="B126" s="90"/>
      <c r="C126" s="90"/>
      <c r="D126" s="90"/>
      <c r="E126" s="90" t="s">
        <v>653</v>
      </c>
      <c r="F126" s="91">
        <v>44762</v>
      </c>
      <c r="G126" s="90" t="s">
        <v>1802</v>
      </c>
      <c r="H126" s="90" t="s">
        <v>695</v>
      </c>
      <c r="I126" s="90" t="s">
        <v>1904</v>
      </c>
      <c r="J126" s="90" t="s">
        <v>678</v>
      </c>
      <c r="K126" s="93">
        <v>250</v>
      </c>
    </row>
    <row r="127" spans="1:11" ht="15" customHeight="1" x14ac:dyDescent="0.4">
      <c r="A127" s="90"/>
      <c r="B127" s="90"/>
      <c r="C127" s="90"/>
      <c r="D127" s="90"/>
      <c r="E127" s="90" t="s">
        <v>653</v>
      </c>
      <c r="F127" s="91">
        <v>44762</v>
      </c>
      <c r="G127" s="90" t="s">
        <v>1802</v>
      </c>
      <c r="H127" s="90" t="s">
        <v>695</v>
      </c>
      <c r="I127" s="90" t="s">
        <v>1869</v>
      </c>
      <c r="J127" s="90" t="s">
        <v>678</v>
      </c>
      <c r="K127" s="93">
        <v>75.680000000000007</v>
      </c>
    </row>
    <row r="128" spans="1:11" ht="15" customHeight="1" x14ac:dyDescent="0.4">
      <c r="A128" s="90"/>
      <c r="B128" s="90"/>
      <c r="C128" s="90"/>
      <c r="D128" s="90"/>
      <c r="E128" s="90" t="s">
        <v>653</v>
      </c>
      <c r="F128" s="91">
        <v>44762</v>
      </c>
      <c r="G128" s="90" t="s">
        <v>1802</v>
      </c>
      <c r="H128" s="90" t="s">
        <v>695</v>
      </c>
      <c r="I128" s="90" t="s">
        <v>1900</v>
      </c>
      <c r="J128" s="90" t="s">
        <v>678</v>
      </c>
      <c r="K128" s="93">
        <v>5.74</v>
      </c>
    </row>
    <row r="129" spans="1:11" ht="15" customHeight="1" x14ac:dyDescent="0.4">
      <c r="A129" s="90"/>
      <c r="B129" s="90"/>
      <c r="C129" s="90"/>
      <c r="D129" s="90"/>
      <c r="E129" s="90" t="s">
        <v>653</v>
      </c>
      <c r="F129" s="91">
        <v>44770</v>
      </c>
      <c r="G129" s="90" t="s">
        <v>1803</v>
      </c>
      <c r="H129" s="90" t="s">
        <v>671</v>
      </c>
      <c r="I129" s="90" t="s">
        <v>1905</v>
      </c>
      <c r="J129" s="90" t="s">
        <v>678</v>
      </c>
      <c r="K129" s="93">
        <v>128.58000000000001</v>
      </c>
    </row>
    <row r="130" spans="1:11" ht="15" customHeight="1" x14ac:dyDescent="0.4">
      <c r="A130" s="90"/>
      <c r="B130" s="90"/>
      <c r="C130" s="90"/>
      <c r="D130" s="90"/>
      <c r="E130" s="90" t="s">
        <v>653</v>
      </c>
      <c r="F130" s="91">
        <v>44771</v>
      </c>
      <c r="G130" s="90" t="s">
        <v>1771</v>
      </c>
      <c r="H130" s="90" t="s">
        <v>691</v>
      </c>
      <c r="I130" s="90" t="s">
        <v>1906</v>
      </c>
      <c r="J130" s="90" t="s">
        <v>678</v>
      </c>
      <c r="K130" s="93">
        <v>222.54</v>
      </c>
    </row>
    <row r="131" spans="1:11" ht="15" customHeight="1" x14ac:dyDescent="0.4">
      <c r="A131" s="90"/>
      <c r="B131" s="90"/>
      <c r="C131" s="90"/>
      <c r="D131" s="90"/>
      <c r="E131" s="90" t="s">
        <v>653</v>
      </c>
      <c r="F131" s="91">
        <v>44771</v>
      </c>
      <c r="G131" s="90" t="s">
        <v>1771</v>
      </c>
      <c r="H131" s="90" t="s">
        <v>691</v>
      </c>
      <c r="I131" s="90" t="s">
        <v>1907</v>
      </c>
      <c r="J131" s="90" t="s">
        <v>678</v>
      </c>
      <c r="K131" s="93">
        <v>18.2</v>
      </c>
    </row>
    <row r="132" spans="1:11" ht="15" customHeight="1" x14ac:dyDescent="0.4">
      <c r="A132" s="90"/>
      <c r="B132" s="90"/>
      <c r="C132" s="90"/>
      <c r="D132" s="90"/>
      <c r="E132" s="90" t="s">
        <v>653</v>
      </c>
      <c r="F132" s="91">
        <v>44771</v>
      </c>
      <c r="G132" s="90" t="s">
        <v>1771</v>
      </c>
      <c r="H132" s="90" t="s">
        <v>691</v>
      </c>
      <c r="I132" s="90" t="s">
        <v>1908</v>
      </c>
      <c r="J132" s="90" t="s">
        <v>678</v>
      </c>
      <c r="K132" s="93">
        <v>68.94</v>
      </c>
    </row>
    <row r="133" spans="1:11" ht="15" customHeight="1" x14ac:dyDescent="0.4">
      <c r="A133" s="90"/>
      <c r="B133" s="90"/>
      <c r="C133" s="90"/>
      <c r="D133" s="90"/>
      <c r="E133" s="90" t="s">
        <v>653</v>
      </c>
      <c r="F133" s="91">
        <v>44771</v>
      </c>
      <c r="G133" s="90" t="s">
        <v>1771</v>
      </c>
      <c r="H133" s="90" t="s">
        <v>691</v>
      </c>
      <c r="I133" s="90" t="s">
        <v>1909</v>
      </c>
      <c r="J133" s="90" t="s">
        <v>678</v>
      </c>
      <c r="K133" s="93">
        <v>16.64</v>
      </c>
    </row>
    <row r="134" spans="1:11" ht="15" customHeight="1" x14ac:dyDescent="0.4">
      <c r="A134" s="90"/>
      <c r="B134" s="90"/>
      <c r="C134" s="90"/>
      <c r="D134" s="90"/>
      <c r="E134" s="90" t="s">
        <v>653</v>
      </c>
      <c r="F134" s="91">
        <v>44771</v>
      </c>
      <c r="G134" s="90" t="s">
        <v>1771</v>
      </c>
      <c r="H134" s="90" t="s">
        <v>691</v>
      </c>
      <c r="I134" s="90" t="s">
        <v>1910</v>
      </c>
      <c r="J134" s="90" t="s">
        <v>678</v>
      </c>
      <c r="K134" s="93">
        <v>6.42</v>
      </c>
    </row>
    <row r="135" spans="1:11" ht="15" customHeight="1" x14ac:dyDescent="0.4">
      <c r="A135" s="90"/>
      <c r="B135" s="90"/>
      <c r="C135" s="90"/>
      <c r="D135" s="90"/>
      <c r="E135" s="90" t="s">
        <v>653</v>
      </c>
      <c r="F135" s="91">
        <v>44771</v>
      </c>
      <c r="G135" s="90" t="s">
        <v>1771</v>
      </c>
      <c r="H135" s="90" t="s">
        <v>691</v>
      </c>
      <c r="I135" s="90" t="s">
        <v>1911</v>
      </c>
      <c r="J135" s="90" t="s">
        <v>678</v>
      </c>
      <c r="K135" s="93">
        <v>6.42</v>
      </c>
    </row>
    <row r="136" spans="1:11" ht="15" customHeight="1" x14ac:dyDescent="0.4">
      <c r="A136" s="90"/>
      <c r="B136" s="90"/>
      <c r="C136" s="90"/>
      <c r="D136" s="90"/>
      <c r="E136" s="90" t="s">
        <v>653</v>
      </c>
      <c r="F136" s="91">
        <v>44771</v>
      </c>
      <c r="G136" s="90" t="s">
        <v>1771</v>
      </c>
      <c r="H136" s="90" t="s">
        <v>691</v>
      </c>
      <c r="I136" s="90" t="s">
        <v>1912</v>
      </c>
      <c r="J136" s="90" t="s">
        <v>678</v>
      </c>
      <c r="K136" s="93">
        <v>6.42</v>
      </c>
    </row>
    <row r="137" spans="1:11" ht="15" customHeight="1" x14ac:dyDescent="0.4">
      <c r="A137" s="90"/>
      <c r="B137" s="90"/>
      <c r="C137" s="90"/>
      <c r="D137" s="90"/>
      <c r="E137" s="90" t="s">
        <v>653</v>
      </c>
      <c r="F137" s="91">
        <v>44771</v>
      </c>
      <c r="G137" s="90" t="s">
        <v>1771</v>
      </c>
      <c r="H137" s="90" t="s">
        <v>691</v>
      </c>
      <c r="I137" s="90" t="s">
        <v>1913</v>
      </c>
      <c r="J137" s="90" t="s">
        <v>678</v>
      </c>
      <c r="K137" s="93">
        <v>4.25</v>
      </c>
    </row>
    <row r="138" spans="1:11" ht="15" customHeight="1" x14ac:dyDescent="0.4">
      <c r="A138" s="90"/>
      <c r="B138" s="90"/>
      <c r="C138" s="90"/>
      <c r="D138" s="90"/>
      <c r="E138" s="90" t="s">
        <v>653</v>
      </c>
      <c r="F138" s="91">
        <v>44771</v>
      </c>
      <c r="G138" s="90" t="s">
        <v>1771</v>
      </c>
      <c r="H138" s="90" t="s">
        <v>691</v>
      </c>
      <c r="I138" s="90" t="s">
        <v>1914</v>
      </c>
      <c r="J138" s="90" t="s">
        <v>678</v>
      </c>
      <c r="K138" s="93">
        <v>29.25</v>
      </c>
    </row>
    <row r="139" spans="1:11" ht="15" customHeight="1" x14ac:dyDescent="0.4">
      <c r="A139" s="90"/>
      <c r="B139" s="90"/>
      <c r="C139" s="90"/>
      <c r="D139" s="90"/>
      <c r="E139" s="90" t="s">
        <v>653</v>
      </c>
      <c r="F139" s="91">
        <v>44771</v>
      </c>
      <c r="G139" s="90" t="s">
        <v>1771</v>
      </c>
      <c r="H139" s="90" t="s">
        <v>691</v>
      </c>
      <c r="I139" s="90" t="s">
        <v>1915</v>
      </c>
      <c r="J139" s="90" t="s">
        <v>678</v>
      </c>
      <c r="K139" s="93">
        <v>16.05</v>
      </c>
    </row>
    <row r="140" spans="1:11" ht="15" customHeight="1" x14ac:dyDescent="0.4">
      <c r="A140" s="90"/>
      <c r="B140" s="90"/>
      <c r="C140" s="90"/>
      <c r="D140" s="90"/>
      <c r="E140" s="90" t="s">
        <v>653</v>
      </c>
      <c r="F140" s="91">
        <v>44771</v>
      </c>
      <c r="G140" s="90" t="s">
        <v>1771</v>
      </c>
      <c r="H140" s="90" t="s">
        <v>691</v>
      </c>
      <c r="I140" s="90" t="s">
        <v>1916</v>
      </c>
      <c r="J140" s="90" t="s">
        <v>678</v>
      </c>
      <c r="K140" s="93">
        <v>16.05</v>
      </c>
    </row>
    <row r="141" spans="1:11" ht="15" customHeight="1" x14ac:dyDescent="0.4">
      <c r="A141" s="90"/>
      <c r="B141" s="90"/>
      <c r="C141" s="90"/>
      <c r="D141" s="90"/>
      <c r="E141" s="90" t="s">
        <v>653</v>
      </c>
      <c r="F141" s="91">
        <v>44771</v>
      </c>
      <c r="G141" s="90" t="s">
        <v>1771</v>
      </c>
      <c r="H141" s="90" t="s">
        <v>691</v>
      </c>
      <c r="I141" s="90" t="s">
        <v>1917</v>
      </c>
      <c r="J141" s="90" t="s">
        <v>678</v>
      </c>
      <c r="K141" s="93">
        <v>16.05</v>
      </c>
    </row>
    <row r="142" spans="1:11" ht="15" customHeight="1" x14ac:dyDescent="0.4">
      <c r="A142" s="90"/>
      <c r="B142" s="90"/>
      <c r="C142" s="90"/>
      <c r="D142" s="90"/>
      <c r="E142" s="90" t="s">
        <v>653</v>
      </c>
      <c r="F142" s="91">
        <v>44771</v>
      </c>
      <c r="G142" s="90" t="s">
        <v>1772</v>
      </c>
      <c r="H142" s="90" t="s">
        <v>691</v>
      </c>
      <c r="I142" s="90" t="s">
        <v>1918</v>
      </c>
      <c r="J142" s="90" t="s">
        <v>678</v>
      </c>
      <c r="K142" s="93">
        <v>13.38</v>
      </c>
    </row>
    <row r="143" spans="1:11" ht="15" customHeight="1" x14ac:dyDescent="0.4">
      <c r="A143" s="90"/>
      <c r="B143" s="90"/>
      <c r="C143" s="90"/>
      <c r="D143" s="90"/>
      <c r="E143" s="90" t="s">
        <v>653</v>
      </c>
      <c r="F143" s="91">
        <v>44771</v>
      </c>
      <c r="G143" s="90" t="s">
        <v>1772</v>
      </c>
      <c r="H143" s="90" t="s">
        <v>691</v>
      </c>
      <c r="I143" s="90" t="s">
        <v>1919</v>
      </c>
      <c r="J143" s="90" t="s">
        <v>678</v>
      </c>
      <c r="K143" s="93">
        <v>3.26</v>
      </c>
    </row>
    <row r="144" spans="1:11" ht="15" customHeight="1" x14ac:dyDescent="0.4">
      <c r="A144" s="90"/>
      <c r="B144" s="90"/>
      <c r="C144" s="90"/>
      <c r="D144" s="90"/>
      <c r="E144" s="90" t="s">
        <v>653</v>
      </c>
      <c r="F144" s="91">
        <v>44771</v>
      </c>
      <c r="G144" s="90" t="s">
        <v>1772</v>
      </c>
      <c r="H144" s="90" t="s">
        <v>691</v>
      </c>
      <c r="I144" s="90" t="s">
        <v>1920</v>
      </c>
      <c r="J144" s="90" t="s">
        <v>678</v>
      </c>
      <c r="K144" s="93">
        <v>4.0999999999999996</v>
      </c>
    </row>
    <row r="145" spans="1:11" ht="15" customHeight="1" x14ac:dyDescent="0.4">
      <c r="A145" s="90"/>
      <c r="B145" s="90"/>
      <c r="C145" s="90"/>
      <c r="D145" s="90"/>
      <c r="E145" s="90" t="s">
        <v>653</v>
      </c>
      <c r="F145" s="91">
        <v>44771</v>
      </c>
      <c r="G145" s="90" t="s">
        <v>1772</v>
      </c>
      <c r="H145" s="90" t="s">
        <v>691</v>
      </c>
      <c r="I145" s="90" t="s">
        <v>1921</v>
      </c>
      <c r="J145" s="90" t="s">
        <v>678</v>
      </c>
      <c r="K145" s="93">
        <v>3.07</v>
      </c>
    </row>
    <row r="146" spans="1:11" ht="15" customHeight="1" x14ac:dyDescent="0.4">
      <c r="A146" s="90"/>
      <c r="B146" s="90"/>
      <c r="C146" s="90"/>
      <c r="D146" s="90"/>
      <c r="E146" s="90" t="s">
        <v>653</v>
      </c>
      <c r="F146" s="91">
        <v>44771</v>
      </c>
      <c r="G146" s="90" t="s">
        <v>1772</v>
      </c>
      <c r="H146" s="90" t="s">
        <v>691</v>
      </c>
      <c r="I146" s="90" t="s">
        <v>1922</v>
      </c>
      <c r="J146" s="90" t="s">
        <v>678</v>
      </c>
      <c r="K146" s="93">
        <v>0.96</v>
      </c>
    </row>
    <row r="147" spans="1:11" ht="15" customHeight="1" x14ac:dyDescent="0.4">
      <c r="A147" s="90"/>
      <c r="B147" s="90"/>
      <c r="C147" s="90"/>
      <c r="D147" s="90"/>
      <c r="E147" s="90" t="s">
        <v>653</v>
      </c>
      <c r="F147" s="91">
        <v>44771</v>
      </c>
      <c r="G147" s="90" t="s">
        <v>1772</v>
      </c>
      <c r="H147" s="90" t="s">
        <v>691</v>
      </c>
      <c r="I147" s="90" t="s">
        <v>1923</v>
      </c>
      <c r="J147" s="90" t="s">
        <v>678</v>
      </c>
      <c r="K147" s="93">
        <v>0.96</v>
      </c>
    </row>
    <row r="148" spans="1:11" ht="15" customHeight="1" x14ac:dyDescent="0.4">
      <c r="A148" s="90"/>
      <c r="B148" s="90"/>
      <c r="C148" s="90"/>
      <c r="D148" s="90"/>
      <c r="E148" s="90" t="s">
        <v>653</v>
      </c>
      <c r="F148" s="91">
        <v>44771</v>
      </c>
      <c r="G148" s="90" t="s">
        <v>1772</v>
      </c>
      <c r="H148" s="90" t="s">
        <v>691</v>
      </c>
      <c r="I148" s="90" t="s">
        <v>1924</v>
      </c>
      <c r="J148" s="90" t="s">
        <v>678</v>
      </c>
      <c r="K148" s="93">
        <v>0.96</v>
      </c>
    </row>
    <row r="149" spans="1:11" ht="15" customHeight="1" x14ac:dyDescent="0.4">
      <c r="A149" s="90"/>
      <c r="B149" s="90"/>
      <c r="C149" s="90"/>
      <c r="D149" s="90"/>
      <c r="E149" s="90" t="s">
        <v>653</v>
      </c>
      <c r="F149" s="91">
        <v>44771</v>
      </c>
      <c r="G149" s="90" t="s">
        <v>1772</v>
      </c>
      <c r="H149" s="90" t="s">
        <v>691</v>
      </c>
      <c r="I149" s="90" t="s">
        <v>1925</v>
      </c>
      <c r="J149" s="90" t="s">
        <v>678</v>
      </c>
      <c r="K149" s="93">
        <v>2.4</v>
      </c>
    </row>
    <row r="150" spans="1:11" ht="15" customHeight="1" x14ac:dyDescent="0.4">
      <c r="A150" s="90"/>
      <c r="B150" s="90"/>
      <c r="C150" s="90"/>
      <c r="D150" s="90"/>
      <c r="E150" s="90" t="s">
        <v>653</v>
      </c>
      <c r="F150" s="91">
        <v>44771</v>
      </c>
      <c r="G150" s="90" t="s">
        <v>1772</v>
      </c>
      <c r="H150" s="90" t="s">
        <v>691</v>
      </c>
      <c r="I150" s="90" t="s">
        <v>1926</v>
      </c>
      <c r="J150" s="90" t="s">
        <v>678</v>
      </c>
      <c r="K150" s="93">
        <v>2.4</v>
      </c>
    </row>
    <row r="151" spans="1:11" ht="15" customHeight="1" x14ac:dyDescent="0.4">
      <c r="A151" s="90"/>
      <c r="B151" s="90"/>
      <c r="C151" s="90"/>
      <c r="D151" s="90"/>
      <c r="E151" s="90" t="s">
        <v>653</v>
      </c>
      <c r="F151" s="91">
        <v>44771</v>
      </c>
      <c r="G151" s="90" t="s">
        <v>1772</v>
      </c>
      <c r="H151" s="90" t="s">
        <v>691</v>
      </c>
      <c r="I151" s="90" t="s">
        <v>1927</v>
      </c>
      <c r="J151" s="90" t="s">
        <v>678</v>
      </c>
      <c r="K151" s="93">
        <v>2.4</v>
      </c>
    </row>
    <row r="152" spans="1:11" ht="15" customHeight="1" x14ac:dyDescent="0.4">
      <c r="A152" s="90"/>
      <c r="B152" s="90"/>
      <c r="C152" s="90"/>
      <c r="D152" s="90"/>
      <c r="E152" s="90" t="s">
        <v>653</v>
      </c>
      <c r="F152" s="91">
        <v>44771</v>
      </c>
      <c r="G152" s="90" t="s">
        <v>1772</v>
      </c>
      <c r="H152" s="90" t="s">
        <v>691</v>
      </c>
      <c r="I152" s="90" t="s">
        <v>1848</v>
      </c>
      <c r="J152" s="90" t="s">
        <v>678</v>
      </c>
      <c r="K152" s="93">
        <v>50</v>
      </c>
    </row>
    <row r="153" spans="1:11" ht="15" customHeight="1" x14ac:dyDescent="0.4">
      <c r="A153" s="90"/>
      <c r="B153" s="90"/>
      <c r="C153" s="90"/>
      <c r="D153" s="90"/>
      <c r="E153" s="90" t="s">
        <v>653</v>
      </c>
      <c r="F153" s="91">
        <v>44771</v>
      </c>
      <c r="G153" s="90" t="s">
        <v>1772</v>
      </c>
      <c r="H153" s="90" t="s">
        <v>691</v>
      </c>
      <c r="I153" s="90" t="s">
        <v>1928</v>
      </c>
      <c r="J153" s="90" t="s">
        <v>678</v>
      </c>
      <c r="K153" s="93">
        <v>3.84</v>
      </c>
    </row>
    <row r="154" spans="1:11" ht="15" customHeight="1" x14ac:dyDescent="0.4">
      <c r="A154" s="90"/>
      <c r="B154" s="90"/>
      <c r="C154" s="90"/>
      <c r="D154" s="90"/>
      <c r="E154" s="90" t="s">
        <v>653</v>
      </c>
      <c r="F154" s="91">
        <v>44774</v>
      </c>
      <c r="G154" s="90" t="s">
        <v>1774</v>
      </c>
      <c r="H154" s="90" t="s">
        <v>695</v>
      </c>
      <c r="I154" s="90" t="s">
        <v>1929</v>
      </c>
      <c r="J154" s="90" t="s">
        <v>678</v>
      </c>
      <c r="K154" s="93">
        <v>0</v>
      </c>
    </row>
    <row r="155" spans="1:11" ht="15" customHeight="1" x14ac:dyDescent="0.4">
      <c r="A155" s="90"/>
      <c r="B155" s="90"/>
      <c r="C155" s="90"/>
      <c r="D155" s="90"/>
      <c r="E155" s="90" t="s">
        <v>653</v>
      </c>
      <c r="F155" s="91">
        <v>44783</v>
      </c>
      <c r="G155" s="90" t="s">
        <v>1804</v>
      </c>
      <c r="H155" s="90" t="s">
        <v>695</v>
      </c>
      <c r="I155" s="90" t="s">
        <v>1930</v>
      </c>
      <c r="J155" s="90" t="s">
        <v>678</v>
      </c>
      <c r="K155" s="93">
        <v>12153.62</v>
      </c>
    </row>
    <row r="156" spans="1:11" ht="15" customHeight="1" x14ac:dyDescent="0.4">
      <c r="A156" s="90"/>
      <c r="B156" s="90"/>
      <c r="C156" s="90"/>
      <c r="D156" s="90"/>
      <c r="E156" s="90" t="s">
        <v>653</v>
      </c>
      <c r="F156" s="91">
        <v>44785</v>
      </c>
      <c r="G156" s="90" t="s">
        <v>1805</v>
      </c>
      <c r="H156" s="90" t="s">
        <v>1311</v>
      </c>
      <c r="I156" s="90" t="s">
        <v>1931</v>
      </c>
      <c r="J156" s="90" t="s">
        <v>678</v>
      </c>
      <c r="K156" s="93">
        <v>381.55</v>
      </c>
    </row>
    <row r="157" spans="1:11" ht="15" customHeight="1" x14ac:dyDescent="0.4">
      <c r="A157" s="90"/>
      <c r="B157" s="90"/>
      <c r="C157" s="90"/>
      <c r="D157" s="90"/>
      <c r="E157" s="90" t="s">
        <v>653</v>
      </c>
      <c r="F157" s="91">
        <v>44799</v>
      </c>
      <c r="G157" s="90" t="s">
        <v>1775</v>
      </c>
      <c r="H157" s="90" t="s">
        <v>691</v>
      </c>
      <c r="I157" s="90" t="s">
        <v>1932</v>
      </c>
      <c r="J157" s="90" t="s">
        <v>678</v>
      </c>
      <c r="K157" s="93">
        <v>0.54</v>
      </c>
    </row>
    <row r="158" spans="1:11" ht="15" customHeight="1" x14ac:dyDescent="0.4">
      <c r="A158" s="90"/>
      <c r="B158" s="90"/>
      <c r="C158" s="90"/>
      <c r="D158" s="90"/>
      <c r="E158" s="90" t="s">
        <v>653</v>
      </c>
      <c r="F158" s="91">
        <v>44799</v>
      </c>
      <c r="G158" s="90" t="s">
        <v>1775</v>
      </c>
      <c r="H158" s="90" t="s">
        <v>691</v>
      </c>
      <c r="I158" s="90" t="s">
        <v>1933</v>
      </c>
      <c r="J158" s="90" t="s">
        <v>678</v>
      </c>
      <c r="K158" s="93">
        <v>7.0000000000000007E-2</v>
      </c>
    </row>
    <row r="159" spans="1:11" ht="15" customHeight="1" x14ac:dyDescent="0.4">
      <c r="A159" s="90"/>
      <c r="B159" s="90"/>
      <c r="C159" s="90"/>
      <c r="D159" s="90"/>
      <c r="E159" s="90" t="s">
        <v>653</v>
      </c>
      <c r="F159" s="91">
        <v>44799</v>
      </c>
      <c r="G159" s="90" t="s">
        <v>1775</v>
      </c>
      <c r="H159" s="90" t="s">
        <v>691</v>
      </c>
      <c r="I159" s="90" t="s">
        <v>1934</v>
      </c>
      <c r="J159" s="90" t="s">
        <v>678</v>
      </c>
      <c r="K159" s="93">
        <v>0.14000000000000001</v>
      </c>
    </row>
    <row r="160" spans="1:11" ht="15" customHeight="1" x14ac:dyDescent="0.4">
      <c r="A160" s="90"/>
      <c r="B160" s="90"/>
      <c r="C160" s="90"/>
      <c r="D160" s="90"/>
      <c r="E160" s="90" t="s">
        <v>653</v>
      </c>
      <c r="F160" s="91">
        <v>44799</v>
      </c>
      <c r="G160" s="90" t="s">
        <v>1775</v>
      </c>
      <c r="H160" s="90" t="s">
        <v>691</v>
      </c>
      <c r="I160" s="90" t="s">
        <v>1935</v>
      </c>
      <c r="J160" s="90" t="s">
        <v>678</v>
      </c>
      <c r="K160" s="93">
        <v>0.06</v>
      </c>
    </row>
    <row r="161" spans="1:11" ht="15" customHeight="1" x14ac:dyDescent="0.4">
      <c r="A161" s="90"/>
      <c r="B161" s="90"/>
      <c r="C161" s="90"/>
      <c r="D161" s="90"/>
      <c r="E161" s="90" t="s">
        <v>653</v>
      </c>
      <c r="F161" s="91">
        <v>44799</v>
      </c>
      <c r="G161" s="90" t="s">
        <v>1775</v>
      </c>
      <c r="H161" s="90" t="s">
        <v>691</v>
      </c>
      <c r="I161" s="90" t="s">
        <v>1936</v>
      </c>
      <c r="J161" s="90" t="s">
        <v>678</v>
      </c>
      <c r="K161" s="93">
        <v>0.02</v>
      </c>
    </row>
    <row r="162" spans="1:11" ht="15" customHeight="1" x14ac:dyDescent="0.4">
      <c r="A162" s="90"/>
      <c r="B162" s="90"/>
      <c r="C162" s="90"/>
      <c r="D162" s="90"/>
      <c r="E162" s="90" t="s">
        <v>653</v>
      </c>
      <c r="F162" s="91">
        <v>44799</v>
      </c>
      <c r="G162" s="90" t="s">
        <v>1775</v>
      </c>
      <c r="H162" s="90" t="s">
        <v>691</v>
      </c>
      <c r="I162" s="90" t="s">
        <v>1937</v>
      </c>
      <c r="J162" s="90" t="s">
        <v>678</v>
      </c>
      <c r="K162" s="93">
        <v>0.02</v>
      </c>
    </row>
    <row r="163" spans="1:11" ht="15" customHeight="1" x14ac:dyDescent="0.4">
      <c r="A163" s="90"/>
      <c r="B163" s="90"/>
      <c r="C163" s="90"/>
      <c r="D163" s="90"/>
      <c r="E163" s="90" t="s">
        <v>653</v>
      </c>
      <c r="F163" s="91">
        <v>44799</v>
      </c>
      <c r="G163" s="90" t="s">
        <v>1775</v>
      </c>
      <c r="H163" s="90" t="s">
        <v>691</v>
      </c>
      <c r="I163" s="90" t="s">
        <v>1938</v>
      </c>
      <c r="J163" s="90" t="s">
        <v>678</v>
      </c>
      <c r="K163" s="93">
        <v>0.02</v>
      </c>
    </row>
    <row r="164" spans="1:11" ht="15" customHeight="1" x14ac:dyDescent="0.4">
      <c r="A164" s="90"/>
      <c r="B164" s="90"/>
      <c r="C164" s="90"/>
      <c r="D164" s="90"/>
      <c r="E164" s="90" t="s">
        <v>653</v>
      </c>
      <c r="F164" s="91">
        <v>44799</v>
      </c>
      <c r="G164" s="90" t="s">
        <v>1775</v>
      </c>
      <c r="H164" s="90" t="s">
        <v>691</v>
      </c>
      <c r="I164" s="90" t="s">
        <v>1939</v>
      </c>
      <c r="J164" s="90" t="s">
        <v>678</v>
      </c>
      <c r="K164" s="93">
        <v>50</v>
      </c>
    </row>
    <row r="165" spans="1:11" ht="15" customHeight="1" x14ac:dyDescent="0.4">
      <c r="A165" s="90"/>
      <c r="B165" s="90"/>
      <c r="C165" s="90"/>
      <c r="D165" s="90"/>
      <c r="E165" s="90" t="s">
        <v>653</v>
      </c>
      <c r="F165" s="91">
        <v>44799</v>
      </c>
      <c r="G165" s="90" t="s">
        <v>1775</v>
      </c>
      <c r="H165" s="90" t="s">
        <v>691</v>
      </c>
      <c r="I165" s="90" t="s">
        <v>1940</v>
      </c>
      <c r="J165" s="90" t="s">
        <v>678</v>
      </c>
      <c r="K165" s="93">
        <v>0.08</v>
      </c>
    </row>
    <row r="166" spans="1:11" ht="15" customHeight="1" x14ac:dyDescent="0.4">
      <c r="A166" s="90"/>
      <c r="B166" s="90"/>
      <c r="C166" s="90"/>
      <c r="D166" s="90"/>
      <c r="E166" s="90" t="s">
        <v>653</v>
      </c>
      <c r="F166" s="91">
        <v>44799</v>
      </c>
      <c r="G166" s="90" t="s">
        <v>1775</v>
      </c>
      <c r="H166" s="90" t="s">
        <v>691</v>
      </c>
      <c r="I166" s="90" t="s">
        <v>1941</v>
      </c>
      <c r="J166" s="90" t="s">
        <v>678</v>
      </c>
      <c r="K166" s="93">
        <v>0.05</v>
      </c>
    </row>
    <row r="167" spans="1:11" ht="15" customHeight="1" x14ac:dyDescent="0.4">
      <c r="A167" s="90"/>
      <c r="B167" s="90"/>
      <c r="C167" s="90"/>
      <c r="D167" s="90"/>
      <c r="E167" s="90" t="s">
        <v>653</v>
      </c>
      <c r="F167" s="91">
        <v>44799</v>
      </c>
      <c r="G167" s="90" t="s">
        <v>1775</v>
      </c>
      <c r="H167" s="90" t="s">
        <v>691</v>
      </c>
      <c r="I167" s="90" t="s">
        <v>1942</v>
      </c>
      <c r="J167" s="90" t="s">
        <v>678</v>
      </c>
      <c r="K167" s="93">
        <v>0.05</v>
      </c>
    </row>
    <row r="168" spans="1:11" ht="15" customHeight="1" x14ac:dyDescent="0.4">
      <c r="A168" s="90"/>
      <c r="B168" s="90"/>
      <c r="C168" s="90"/>
      <c r="D168" s="90"/>
      <c r="E168" s="90" t="s">
        <v>653</v>
      </c>
      <c r="F168" s="91">
        <v>44799</v>
      </c>
      <c r="G168" s="90" t="s">
        <v>1775</v>
      </c>
      <c r="H168" s="90" t="s">
        <v>691</v>
      </c>
      <c r="I168" s="90" t="s">
        <v>1943</v>
      </c>
      <c r="J168" s="90" t="s">
        <v>678</v>
      </c>
      <c r="K168" s="93">
        <v>0.05</v>
      </c>
    </row>
    <row r="169" spans="1:11" ht="15" customHeight="1" x14ac:dyDescent="0.4">
      <c r="A169" s="90"/>
      <c r="B169" s="90"/>
      <c r="C169" s="90"/>
      <c r="D169" s="90"/>
      <c r="E169" s="90" t="s">
        <v>653</v>
      </c>
      <c r="F169" s="91">
        <v>44799</v>
      </c>
      <c r="G169" s="90" t="s">
        <v>1776</v>
      </c>
      <c r="H169" s="90" t="s">
        <v>691</v>
      </c>
      <c r="I169" s="90" t="s">
        <v>1944</v>
      </c>
      <c r="J169" s="90" t="s">
        <v>678</v>
      </c>
      <c r="K169" s="93">
        <v>3.78</v>
      </c>
    </row>
    <row r="170" spans="1:11" ht="15" customHeight="1" x14ac:dyDescent="0.4">
      <c r="A170" s="90"/>
      <c r="B170" s="90"/>
      <c r="C170" s="90"/>
      <c r="D170" s="90"/>
      <c r="E170" s="90" t="s">
        <v>653</v>
      </c>
      <c r="F170" s="91">
        <v>44799</v>
      </c>
      <c r="G170" s="90" t="s">
        <v>1776</v>
      </c>
      <c r="H170" s="90" t="s">
        <v>691</v>
      </c>
      <c r="I170" s="90" t="s">
        <v>1945</v>
      </c>
      <c r="J170" s="90" t="s">
        <v>678</v>
      </c>
      <c r="K170" s="93">
        <v>0.39</v>
      </c>
    </row>
    <row r="171" spans="1:11" ht="15" customHeight="1" x14ac:dyDescent="0.4">
      <c r="A171" s="90"/>
      <c r="B171" s="90"/>
      <c r="C171" s="90"/>
      <c r="D171" s="90"/>
      <c r="E171" s="90" t="s">
        <v>653</v>
      </c>
      <c r="F171" s="91">
        <v>44799</v>
      </c>
      <c r="G171" s="90" t="s">
        <v>1776</v>
      </c>
      <c r="H171" s="90" t="s">
        <v>691</v>
      </c>
      <c r="I171" s="90" t="s">
        <v>1946</v>
      </c>
      <c r="J171" s="90" t="s">
        <v>678</v>
      </c>
      <c r="K171" s="93">
        <v>1.22</v>
      </c>
    </row>
    <row r="172" spans="1:11" ht="15" customHeight="1" x14ac:dyDescent="0.4">
      <c r="A172" s="90"/>
      <c r="B172" s="90"/>
      <c r="C172" s="90"/>
      <c r="D172" s="90"/>
      <c r="E172" s="90" t="s">
        <v>653</v>
      </c>
      <c r="F172" s="91">
        <v>44799</v>
      </c>
      <c r="G172" s="90" t="s">
        <v>1776</v>
      </c>
      <c r="H172" s="90" t="s">
        <v>691</v>
      </c>
      <c r="I172" s="90" t="s">
        <v>1947</v>
      </c>
      <c r="J172" s="90" t="s">
        <v>678</v>
      </c>
      <c r="K172" s="93">
        <v>0.45</v>
      </c>
    </row>
    <row r="173" spans="1:11" ht="15" customHeight="1" x14ac:dyDescent="0.4">
      <c r="A173" s="90"/>
      <c r="B173" s="90"/>
      <c r="C173" s="90"/>
      <c r="D173" s="90"/>
      <c r="E173" s="90" t="s">
        <v>653</v>
      </c>
      <c r="F173" s="91">
        <v>44799</v>
      </c>
      <c r="G173" s="90" t="s">
        <v>1776</v>
      </c>
      <c r="H173" s="90" t="s">
        <v>691</v>
      </c>
      <c r="I173" s="90" t="s">
        <v>1948</v>
      </c>
      <c r="J173" s="90" t="s">
        <v>678</v>
      </c>
      <c r="K173" s="93">
        <v>0.14000000000000001</v>
      </c>
    </row>
    <row r="174" spans="1:11" ht="15" customHeight="1" x14ac:dyDescent="0.4">
      <c r="A174" s="90"/>
      <c r="B174" s="90"/>
      <c r="C174" s="90"/>
      <c r="D174" s="90"/>
      <c r="E174" s="90" t="s">
        <v>653</v>
      </c>
      <c r="F174" s="91">
        <v>44799</v>
      </c>
      <c r="G174" s="90" t="s">
        <v>1776</v>
      </c>
      <c r="H174" s="90" t="s">
        <v>691</v>
      </c>
      <c r="I174" s="90" t="s">
        <v>1949</v>
      </c>
      <c r="J174" s="90" t="s">
        <v>678</v>
      </c>
      <c r="K174" s="93">
        <v>0.14000000000000001</v>
      </c>
    </row>
    <row r="175" spans="1:11" ht="15" customHeight="1" x14ac:dyDescent="0.4">
      <c r="A175" s="90"/>
      <c r="B175" s="90"/>
      <c r="C175" s="90"/>
      <c r="D175" s="90"/>
      <c r="E175" s="90" t="s">
        <v>653</v>
      </c>
      <c r="F175" s="91">
        <v>44799</v>
      </c>
      <c r="G175" s="90" t="s">
        <v>1776</v>
      </c>
      <c r="H175" s="90" t="s">
        <v>691</v>
      </c>
      <c r="I175" s="90" t="s">
        <v>1950</v>
      </c>
      <c r="J175" s="90" t="s">
        <v>678</v>
      </c>
      <c r="K175" s="93">
        <v>0.14000000000000001</v>
      </c>
    </row>
    <row r="176" spans="1:11" ht="15" customHeight="1" x14ac:dyDescent="0.4">
      <c r="A176" s="90"/>
      <c r="B176" s="90"/>
      <c r="C176" s="90"/>
      <c r="D176" s="90"/>
      <c r="E176" s="90" t="s">
        <v>653</v>
      </c>
      <c r="F176" s="91">
        <v>44799</v>
      </c>
      <c r="G176" s="90" t="s">
        <v>1776</v>
      </c>
      <c r="H176" s="90" t="s">
        <v>691</v>
      </c>
      <c r="I176" s="90" t="s">
        <v>1939</v>
      </c>
      <c r="J176" s="90" t="s">
        <v>678</v>
      </c>
      <c r="K176" s="93">
        <v>50</v>
      </c>
    </row>
    <row r="177" spans="1:11" ht="15" customHeight="1" x14ac:dyDescent="0.4">
      <c r="A177" s="90"/>
      <c r="B177" s="90"/>
      <c r="C177" s="90"/>
      <c r="D177" s="90"/>
      <c r="E177" s="90" t="s">
        <v>653</v>
      </c>
      <c r="F177" s="91">
        <v>44799</v>
      </c>
      <c r="G177" s="90" t="s">
        <v>1776</v>
      </c>
      <c r="H177" s="90" t="s">
        <v>691</v>
      </c>
      <c r="I177" s="90" t="s">
        <v>1951</v>
      </c>
      <c r="J177" s="90" t="s">
        <v>678</v>
      </c>
      <c r="K177" s="93">
        <v>0.75</v>
      </c>
    </row>
    <row r="178" spans="1:11" ht="15" customHeight="1" x14ac:dyDescent="0.4">
      <c r="A178" s="90"/>
      <c r="B178" s="90"/>
      <c r="C178" s="90"/>
      <c r="D178" s="90"/>
      <c r="E178" s="90" t="s">
        <v>653</v>
      </c>
      <c r="F178" s="91">
        <v>44799</v>
      </c>
      <c r="G178" s="90" t="s">
        <v>1776</v>
      </c>
      <c r="H178" s="90" t="s">
        <v>691</v>
      </c>
      <c r="I178" s="90" t="s">
        <v>1952</v>
      </c>
      <c r="J178" s="90" t="s">
        <v>678</v>
      </c>
      <c r="K178" s="93">
        <v>0.35</v>
      </c>
    </row>
    <row r="179" spans="1:11" ht="15" customHeight="1" x14ac:dyDescent="0.4">
      <c r="A179" s="90"/>
      <c r="B179" s="90"/>
      <c r="C179" s="90"/>
      <c r="D179" s="90"/>
      <c r="E179" s="90" t="s">
        <v>653</v>
      </c>
      <c r="F179" s="91">
        <v>44799</v>
      </c>
      <c r="G179" s="90" t="s">
        <v>1776</v>
      </c>
      <c r="H179" s="90" t="s">
        <v>691</v>
      </c>
      <c r="I179" s="90" t="s">
        <v>1953</v>
      </c>
      <c r="J179" s="90" t="s">
        <v>678</v>
      </c>
      <c r="K179" s="93">
        <v>0.35</v>
      </c>
    </row>
    <row r="180" spans="1:11" ht="15" customHeight="1" x14ac:dyDescent="0.4">
      <c r="A180" s="90"/>
      <c r="B180" s="90"/>
      <c r="C180" s="90"/>
      <c r="D180" s="90"/>
      <c r="E180" s="90" t="s">
        <v>653</v>
      </c>
      <c r="F180" s="91">
        <v>44799</v>
      </c>
      <c r="G180" s="90" t="s">
        <v>1776</v>
      </c>
      <c r="H180" s="90" t="s">
        <v>691</v>
      </c>
      <c r="I180" s="90" t="s">
        <v>1954</v>
      </c>
      <c r="J180" s="90" t="s">
        <v>678</v>
      </c>
      <c r="K180" s="93">
        <v>0.35</v>
      </c>
    </row>
    <row r="181" spans="1:11" ht="15" customHeight="1" x14ac:dyDescent="0.4">
      <c r="A181" s="90"/>
      <c r="B181" s="90"/>
      <c r="C181" s="90"/>
      <c r="D181" s="90"/>
      <c r="E181" s="90" t="s">
        <v>653</v>
      </c>
      <c r="F181" s="91">
        <v>44802</v>
      </c>
      <c r="G181" s="90" t="s">
        <v>1806</v>
      </c>
      <c r="H181" s="90" t="s">
        <v>695</v>
      </c>
      <c r="I181" s="90" t="s">
        <v>1955</v>
      </c>
      <c r="J181" s="90" t="s">
        <v>678</v>
      </c>
      <c r="K181" s="93">
        <v>217.11</v>
      </c>
    </row>
    <row r="182" spans="1:11" ht="15" customHeight="1" x14ac:dyDescent="0.4">
      <c r="A182" s="90"/>
      <c r="B182" s="90"/>
      <c r="C182" s="90"/>
      <c r="D182" s="90"/>
      <c r="E182" s="90" t="s">
        <v>653</v>
      </c>
      <c r="F182" s="91">
        <v>44810</v>
      </c>
      <c r="G182" s="90" t="s">
        <v>1807</v>
      </c>
      <c r="H182" s="90" t="s">
        <v>671</v>
      </c>
      <c r="I182" s="90" t="s">
        <v>1956</v>
      </c>
      <c r="J182" s="90" t="s">
        <v>678</v>
      </c>
      <c r="K182" s="93">
        <v>304.31</v>
      </c>
    </row>
    <row r="183" spans="1:11" ht="15" customHeight="1" x14ac:dyDescent="0.4">
      <c r="A183" s="90"/>
      <c r="B183" s="90"/>
      <c r="C183" s="90"/>
      <c r="D183" s="90"/>
      <c r="E183" s="90" t="s">
        <v>653</v>
      </c>
      <c r="F183" s="91">
        <v>44811</v>
      </c>
      <c r="G183" s="90" t="s">
        <v>1808</v>
      </c>
      <c r="H183" s="90" t="s">
        <v>708</v>
      </c>
      <c r="I183" s="90" t="s">
        <v>1957</v>
      </c>
      <c r="J183" s="90" t="s">
        <v>678</v>
      </c>
      <c r="K183" s="93">
        <v>293.22000000000003</v>
      </c>
    </row>
    <row r="184" spans="1:11" ht="15" customHeight="1" x14ac:dyDescent="0.4">
      <c r="A184" s="90"/>
      <c r="B184" s="90"/>
      <c r="C184" s="90"/>
      <c r="D184" s="90"/>
      <c r="E184" s="90" t="s">
        <v>653</v>
      </c>
      <c r="F184" s="91">
        <v>44841</v>
      </c>
      <c r="G184" s="90" t="s">
        <v>1779</v>
      </c>
      <c r="H184" s="90" t="s">
        <v>691</v>
      </c>
      <c r="I184" s="90" t="s">
        <v>1958</v>
      </c>
      <c r="J184" s="90" t="s">
        <v>678</v>
      </c>
      <c r="K184" s="93">
        <v>5.94</v>
      </c>
    </row>
    <row r="185" spans="1:11" ht="15" customHeight="1" x14ac:dyDescent="0.4">
      <c r="A185" s="90"/>
      <c r="B185" s="90"/>
      <c r="C185" s="90"/>
      <c r="D185" s="90"/>
      <c r="E185" s="90" t="s">
        <v>653</v>
      </c>
      <c r="F185" s="91">
        <v>44841</v>
      </c>
      <c r="G185" s="90" t="s">
        <v>1779</v>
      </c>
      <c r="H185" s="90" t="s">
        <v>691</v>
      </c>
      <c r="I185" s="90" t="s">
        <v>1959</v>
      </c>
      <c r="J185" s="90" t="s">
        <v>678</v>
      </c>
      <c r="K185" s="93">
        <v>0.14000000000000001</v>
      </c>
    </row>
    <row r="186" spans="1:11" ht="15" customHeight="1" x14ac:dyDescent="0.4">
      <c r="A186" s="90"/>
      <c r="B186" s="90"/>
      <c r="C186" s="90"/>
      <c r="D186" s="90"/>
      <c r="E186" s="90" t="s">
        <v>653</v>
      </c>
      <c r="F186" s="91">
        <v>44841</v>
      </c>
      <c r="G186" s="90" t="s">
        <v>1779</v>
      </c>
      <c r="H186" s="90" t="s">
        <v>691</v>
      </c>
      <c r="I186" s="90" t="s">
        <v>1960</v>
      </c>
      <c r="J186" s="90" t="s">
        <v>678</v>
      </c>
      <c r="K186" s="93">
        <v>2.02</v>
      </c>
    </row>
    <row r="187" spans="1:11" ht="15" customHeight="1" x14ac:dyDescent="0.4">
      <c r="A187" s="90"/>
      <c r="B187" s="90"/>
      <c r="C187" s="90"/>
      <c r="D187" s="90"/>
      <c r="E187" s="90" t="s">
        <v>653</v>
      </c>
      <c r="F187" s="91">
        <v>44841</v>
      </c>
      <c r="G187" s="90" t="s">
        <v>1779</v>
      </c>
      <c r="H187" s="90" t="s">
        <v>691</v>
      </c>
      <c r="I187" s="90" t="s">
        <v>1961</v>
      </c>
      <c r="J187" s="90" t="s">
        <v>678</v>
      </c>
      <c r="K187" s="93">
        <v>0.35</v>
      </c>
    </row>
    <row r="188" spans="1:11" ht="15" customHeight="1" x14ac:dyDescent="0.4">
      <c r="A188" s="90"/>
      <c r="B188" s="90"/>
      <c r="C188" s="90"/>
      <c r="D188" s="90"/>
      <c r="E188" s="90" t="s">
        <v>653</v>
      </c>
      <c r="F188" s="91">
        <v>44841</v>
      </c>
      <c r="G188" s="90" t="s">
        <v>1779</v>
      </c>
      <c r="H188" s="90" t="s">
        <v>691</v>
      </c>
      <c r="I188" s="90" t="s">
        <v>1962</v>
      </c>
      <c r="J188" s="90" t="s">
        <v>678</v>
      </c>
      <c r="K188" s="93">
        <v>0.11</v>
      </c>
    </row>
    <row r="189" spans="1:11" ht="15" customHeight="1" x14ac:dyDescent="0.4">
      <c r="A189" s="90"/>
      <c r="B189" s="90"/>
      <c r="C189" s="90"/>
      <c r="D189" s="90"/>
      <c r="E189" s="90" t="s">
        <v>653</v>
      </c>
      <c r="F189" s="91">
        <v>44841</v>
      </c>
      <c r="G189" s="90" t="s">
        <v>1779</v>
      </c>
      <c r="H189" s="90" t="s">
        <v>691</v>
      </c>
      <c r="I189" s="90" t="s">
        <v>1963</v>
      </c>
      <c r="J189" s="90" t="s">
        <v>678</v>
      </c>
      <c r="K189" s="93">
        <v>0.11</v>
      </c>
    </row>
    <row r="190" spans="1:11" ht="15" customHeight="1" x14ac:dyDescent="0.4">
      <c r="A190" s="90"/>
      <c r="B190" s="90"/>
      <c r="C190" s="90"/>
      <c r="D190" s="90"/>
      <c r="E190" s="90" t="s">
        <v>653</v>
      </c>
      <c r="F190" s="91">
        <v>44841</v>
      </c>
      <c r="G190" s="90" t="s">
        <v>1779</v>
      </c>
      <c r="H190" s="90" t="s">
        <v>691</v>
      </c>
      <c r="I190" s="90" t="s">
        <v>1964</v>
      </c>
      <c r="J190" s="90" t="s">
        <v>678</v>
      </c>
      <c r="K190" s="93">
        <v>0.11</v>
      </c>
    </row>
    <row r="191" spans="1:11" ht="15" customHeight="1" x14ac:dyDescent="0.4">
      <c r="A191" s="90"/>
      <c r="B191" s="90"/>
      <c r="C191" s="90"/>
      <c r="D191" s="90"/>
      <c r="E191" s="90" t="s">
        <v>653</v>
      </c>
      <c r="F191" s="91">
        <v>44841</v>
      </c>
      <c r="G191" s="90" t="s">
        <v>1779</v>
      </c>
      <c r="H191" s="90" t="s">
        <v>691</v>
      </c>
      <c r="I191" s="90" t="s">
        <v>1939</v>
      </c>
      <c r="J191" s="90" t="s">
        <v>678</v>
      </c>
      <c r="K191" s="93">
        <v>50</v>
      </c>
    </row>
    <row r="192" spans="1:11" ht="15" customHeight="1" x14ac:dyDescent="0.4">
      <c r="A192" s="90"/>
      <c r="B192" s="90"/>
      <c r="C192" s="90"/>
      <c r="D192" s="90"/>
      <c r="E192" s="90" t="s">
        <v>653</v>
      </c>
      <c r="F192" s="91">
        <v>44841</v>
      </c>
      <c r="G192" s="90" t="s">
        <v>1779</v>
      </c>
      <c r="H192" s="90" t="s">
        <v>691</v>
      </c>
      <c r="I192" s="90" t="s">
        <v>1965</v>
      </c>
      <c r="J192" s="90" t="s">
        <v>678</v>
      </c>
      <c r="K192" s="93">
        <v>1.75</v>
      </c>
    </row>
    <row r="193" spans="1:11" ht="15" customHeight="1" x14ac:dyDescent="0.4">
      <c r="A193" s="90"/>
      <c r="B193" s="90"/>
      <c r="C193" s="90"/>
      <c r="D193" s="90"/>
      <c r="E193" s="90" t="s">
        <v>653</v>
      </c>
      <c r="F193" s="91">
        <v>44841</v>
      </c>
      <c r="G193" s="90" t="s">
        <v>1779</v>
      </c>
      <c r="H193" s="90" t="s">
        <v>691</v>
      </c>
      <c r="I193" s="90" t="s">
        <v>1966</v>
      </c>
      <c r="J193" s="90" t="s">
        <v>678</v>
      </c>
      <c r="K193" s="93">
        <v>0.28000000000000003</v>
      </c>
    </row>
    <row r="194" spans="1:11" ht="15" customHeight="1" x14ac:dyDescent="0.4">
      <c r="A194" s="90"/>
      <c r="B194" s="90"/>
      <c r="C194" s="90"/>
      <c r="D194" s="90"/>
      <c r="E194" s="90" t="s">
        <v>653</v>
      </c>
      <c r="F194" s="91">
        <v>44841</v>
      </c>
      <c r="G194" s="90" t="s">
        <v>1779</v>
      </c>
      <c r="H194" s="90" t="s">
        <v>691</v>
      </c>
      <c r="I194" s="90" t="s">
        <v>1967</v>
      </c>
      <c r="J194" s="90" t="s">
        <v>678</v>
      </c>
      <c r="K194" s="93">
        <v>0.28000000000000003</v>
      </c>
    </row>
    <row r="195" spans="1:11" ht="15" customHeight="1" x14ac:dyDescent="0.4">
      <c r="A195" s="90"/>
      <c r="B195" s="90"/>
      <c r="C195" s="90"/>
      <c r="D195" s="90"/>
      <c r="E195" s="90" t="s">
        <v>653</v>
      </c>
      <c r="F195" s="91">
        <v>44841</v>
      </c>
      <c r="G195" s="90" t="s">
        <v>1779</v>
      </c>
      <c r="H195" s="90" t="s">
        <v>691</v>
      </c>
      <c r="I195" s="90" t="s">
        <v>1968</v>
      </c>
      <c r="J195" s="90" t="s">
        <v>678</v>
      </c>
      <c r="K195" s="93">
        <v>0.28000000000000003</v>
      </c>
    </row>
    <row r="196" spans="1:11" ht="15" customHeight="1" x14ac:dyDescent="0.4">
      <c r="A196" s="90"/>
      <c r="B196" s="90"/>
      <c r="C196" s="90"/>
      <c r="D196" s="90"/>
      <c r="E196" s="90" t="s">
        <v>653</v>
      </c>
      <c r="F196" s="91">
        <v>44861</v>
      </c>
      <c r="G196" s="90" t="s">
        <v>1809</v>
      </c>
      <c r="H196" s="90" t="s">
        <v>708</v>
      </c>
      <c r="I196" s="90" t="s">
        <v>1969</v>
      </c>
      <c r="J196" s="90" t="s">
        <v>678</v>
      </c>
      <c r="K196" s="93">
        <v>64.16</v>
      </c>
    </row>
    <row r="197" spans="1:11" ht="15" customHeight="1" x14ac:dyDescent="0.4">
      <c r="A197" s="90"/>
      <c r="B197" s="90"/>
      <c r="C197" s="90"/>
      <c r="D197" s="90"/>
      <c r="E197" s="90" t="s">
        <v>653</v>
      </c>
      <c r="F197" s="91">
        <v>44916</v>
      </c>
      <c r="G197" s="90" t="s">
        <v>1810</v>
      </c>
      <c r="H197" s="90" t="s">
        <v>708</v>
      </c>
      <c r="I197" s="90" t="s">
        <v>1970</v>
      </c>
      <c r="J197" s="90" t="s">
        <v>678</v>
      </c>
      <c r="K197" s="93">
        <v>169.85</v>
      </c>
    </row>
    <row r="198" spans="1:11" ht="15" customHeight="1" thickBot="1" x14ac:dyDescent="0.45">
      <c r="A198" s="90"/>
      <c r="B198" s="90"/>
      <c r="C198" s="90"/>
      <c r="D198" s="90"/>
      <c r="E198" s="90" t="s">
        <v>653</v>
      </c>
      <c r="F198" s="91">
        <v>44923</v>
      </c>
      <c r="G198" s="90" t="s">
        <v>1811</v>
      </c>
      <c r="H198" s="90" t="s">
        <v>695</v>
      </c>
      <c r="I198" s="90" t="s">
        <v>1971</v>
      </c>
      <c r="J198" s="90" t="s">
        <v>678</v>
      </c>
      <c r="K198" s="445">
        <v>1388.42</v>
      </c>
    </row>
    <row r="199" spans="1:11" ht="15" customHeight="1" thickBot="1" x14ac:dyDescent="0.45">
      <c r="A199" s="90"/>
      <c r="B199" s="90"/>
      <c r="C199" s="90" t="s">
        <v>706</v>
      </c>
      <c r="D199" s="90"/>
      <c r="E199" s="90"/>
      <c r="F199" s="91"/>
      <c r="G199" s="90"/>
      <c r="H199" s="90"/>
      <c r="I199" s="90"/>
      <c r="J199" s="90"/>
      <c r="K199" s="446">
        <f>ROUND(SUM(K3:K198),5)</f>
        <v>75720.67</v>
      </c>
    </row>
    <row r="200" spans="1:11" ht="15" customHeight="1" thickBot="1" x14ac:dyDescent="0.45">
      <c r="A200" s="90"/>
      <c r="B200" s="90" t="s">
        <v>651</v>
      </c>
      <c r="C200" s="90"/>
      <c r="D200" s="90"/>
      <c r="E200" s="90"/>
      <c r="F200" s="91"/>
      <c r="G200" s="90"/>
      <c r="H200" s="90"/>
      <c r="I200" s="90"/>
      <c r="J200" s="90"/>
      <c r="K200" s="446">
        <f>K199</f>
        <v>75720.67</v>
      </c>
    </row>
    <row r="201" spans="1:11" ht="15" customHeight="1" thickBot="1" x14ac:dyDescent="0.45">
      <c r="A201" s="90" t="s">
        <v>158</v>
      </c>
      <c r="B201" s="90"/>
      <c r="C201" s="90"/>
      <c r="D201" s="90"/>
      <c r="E201" s="90"/>
      <c r="F201" s="91"/>
      <c r="G201" s="90"/>
      <c r="H201" s="90"/>
      <c r="I201" s="90"/>
      <c r="J201" s="90"/>
      <c r="K201" s="447">
        <f>K200</f>
        <v>75720.67</v>
      </c>
    </row>
    <row r="202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3:19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60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6022" r:id="rId4" name="HEADER"/>
      </mc:Fallback>
    </mc:AlternateContent>
    <mc:AlternateContent xmlns:mc="http://schemas.openxmlformats.org/markup-compatibility/2006">
      <mc:Choice Requires="x14">
        <control shapeId="860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6021" r:id="rId6" name="FILTER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/>
  <dimension ref="A1:K1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8" customWidth="1"/>
    <col min="4" max="4" width="2.3046875" customWidth="1"/>
    <col min="5" max="5" width="5.3046875" bestFit="1" customWidth="1"/>
    <col min="6" max="6" width="10.69140625" bestFit="1" customWidth="1"/>
    <col min="7" max="7" width="6" bestFit="1" customWidth="1"/>
    <col min="8" max="8" width="30.69140625" customWidth="1"/>
    <col min="9" max="9" width="24.53515625" bestFit="1" customWidth="1"/>
    <col min="10" max="10" width="22.3046875" bestFit="1" customWidth="1"/>
    <col min="11" max="11" width="8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725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727</v>
      </c>
      <c r="H4" s="90" t="s">
        <v>729</v>
      </c>
      <c r="I4" s="90" t="s">
        <v>730</v>
      </c>
      <c r="J4" s="90" t="s">
        <v>678</v>
      </c>
      <c r="K4" s="93">
        <v>499.84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44593</v>
      </c>
      <c r="G5" s="90" t="s">
        <v>728</v>
      </c>
      <c r="H5" s="90" t="s">
        <v>729</v>
      </c>
      <c r="I5" s="90" t="s">
        <v>730</v>
      </c>
      <c r="J5" s="90" t="s">
        <v>678</v>
      </c>
      <c r="K5" s="93">
        <v>261.10000000000002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44652</v>
      </c>
      <c r="G6" s="90" t="s">
        <v>1972</v>
      </c>
      <c r="H6" s="90" t="s">
        <v>729</v>
      </c>
      <c r="I6" s="90" t="s">
        <v>730</v>
      </c>
      <c r="J6" s="90" t="s">
        <v>678</v>
      </c>
      <c r="K6" s="93">
        <v>984.48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44682</v>
      </c>
      <c r="G7" s="90" t="s">
        <v>1973</v>
      </c>
      <c r="H7" s="90" t="s">
        <v>729</v>
      </c>
      <c r="I7" s="90" t="s">
        <v>730</v>
      </c>
      <c r="J7" s="90" t="s">
        <v>678</v>
      </c>
      <c r="K7" s="93">
        <v>598.98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44713</v>
      </c>
      <c r="G8" s="90" t="s">
        <v>1974</v>
      </c>
      <c r="H8" s="90" t="s">
        <v>729</v>
      </c>
      <c r="I8" s="90" t="s">
        <v>730</v>
      </c>
      <c r="J8" s="90" t="s">
        <v>678</v>
      </c>
      <c r="K8" s="93">
        <v>574.38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44774</v>
      </c>
      <c r="G9" s="90" t="s">
        <v>1975</v>
      </c>
      <c r="H9" s="90" t="s">
        <v>729</v>
      </c>
      <c r="I9" s="90" t="s">
        <v>730</v>
      </c>
      <c r="J9" s="90" t="s">
        <v>678</v>
      </c>
      <c r="K9" s="93">
        <v>667.8</v>
      </c>
    </row>
    <row r="10" spans="1:11" ht="15" customHeight="1" x14ac:dyDescent="0.4">
      <c r="A10" s="90"/>
      <c r="B10" s="90"/>
      <c r="C10" s="90"/>
      <c r="D10" s="90"/>
      <c r="E10" s="90" t="s">
        <v>653</v>
      </c>
      <c r="F10" s="91">
        <v>44805</v>
      </c>
      <c r="G10" s="90" t="s">
        <v>1976</v>
      </c>
      <c r="H10" s="90" t="s">
        <v>729</v>
      </c>
      <c r="I10" s="90" t="s">
        <v>730</v>
      </c>
      <c r="J10" s="90" t="s">
        <v>678</v>
      </c>
      <c r="K10" s="93">
        <v>831.2</v>
      </c>
    </row>
    <row r="11" spans="1:11" ht="15" customHeight="1" x14ac:dyDescent="0.4">
      <c r="A11" s="90"/>
      <c r="B11" s="90"/>
      <c r="C11" s="90"/>
      <c r="D11" s="90"/>
      <c r="E11" s="90" t="s">
        <v>653</v>
      </c>
      <c r="F11" s="91">
        <v>44835</v>
      </c>
      <c r="G11" s="90" t="s">
        <v>1977</v>
      </c>
      <c r="H11" s="90" t="s">
        <v>729</v>
      </c>
      <c r="I11" s="90" t="s">
        <v>730</v>
      </c>
      <c r="J11" s="90" t="s">
        <v>678</v>
      </c>
      <c r="K11" s="93">
        <v>160.56</v>
      </c>
    </row>
    <row r="12" spans="1:11" ht="15" customHeight="1" x14ac:dyDescent="0.4">
      <c r="A12" s="90"/>
      <c r="B12" s="90"/>
      <c r="C12" s="90"/>
      <c r="D12" s="90"/>
      <c r="E12" s="90" t="s">
        <v>653</v>
      </c>
      <c r="F12" s="91">
        <v>44865</v>
      </c>
      <c r="G12" s="90" t="s">
        <v>1978</v>
      </c>
      <c r="H12" s="90" t="s">
        <v>729</v>
      </c>
      <c r="I12" s="90" t="s">
        <v>730</v>
      </c>
      <c r="J12" s="90" t="s">
        <v>678</v>
      </c>
      <c r="K12" s="93">
        <v>813.81</v>
      </c>
    </row>
    <row r="13" spans="1:11" ht="15" customHeight="1" x14ac:dyDescent="0.4">
      <c r="A13" s="90"/>
      <c r="B13" s="90"/>
      <c r="C13" s="90"/>
      <c r="D13" s="90"/>
      <c r="E13" s="90" t="s">
        <v>653</v>
      </c>
      <c r="F13" s="91">
        <v>44895</v>
      </c>
      <c r="G13" s="90" t="s">
        <v>1979</v>
      </c>
      <c r="H13" s="90" t="s">
        <v>729</v>
      </c>
      <c r="I13" s="90" t="s">
        <v>730</v>
      </c>
      <c r="J13" s="90" t="s">
        <v>678</v>
      </c>
      <c r="K13" s="93">
        <v>547.29</v>
      </c>
    </row>
    <row r="14" spans="1:11" ht="15" customHeight="1" thickBot="1" x14ac:dyDescent="0.45">
      <c r="A14" s="90"/>
      <c r="B14" s="90"/>
      <c r="C14" s="90"/>
      <c r="D14" s="90"/>
      <c r="E14" s="90" t="s">
        <v>653</v>
      </c>
      <c r="F14" s="91">
        <v>44925</v>
      </c>
      <c r="G14" s="90" t="s">
        <v>1980</v>
      </c>
      <c r="H14" s="90" t="s">
        <v>729</v>
      </c>
      <c r="I14" s="90" t="s">
        <v>730</v>
      </c>
      <c r="J14" s="90" t="s">
        <v>678</v>
      </c>
      <c r="K14" s="445">
        <v>865.25</v>
      </c>
    </row>
    <row r="15" spans="1:11" ht="15" customHeight="1" thickBot="1" x14ac:dyDescent="0.45">
      <c r="A15" s="90"/>
      <c r="B15" s="90"/>
      <c r="C15" s="90" t="s">
        <v>726</v>
      </c>
      <c r="D15" s="90"/>
      <c r="E15" s="90"/>
      <c r="F15" s="91"/>
      <c r="G15" s="90"/>
      <c r="H15" s="90"/>
      <c r="I15" s="90"/>
      <c r="J15" s="90"/>
      <c r="K15" s="446">
        <f>ROUND(SUM(K3:K14),5)</f>
        <v>6804.69</v>
      </c>
    </row>
    <row r="16" spans="1:11" ht="15" customHeight="1" thickBot="1" x14ac:dyDescent="0.45">
      <c r="A16" s="90"/>
      <c r="B16" s="90" t="s">
        <v>651</v>
      </c>
      <c r="C16" s="90"/>
      <c r="D16" s="90"/>
      <c r="E16" s="90"/>
      <c r="F16" s="91"/>
      <c r="G16" s="90"/>
      <c r="H16" s="90"/>
      <c r="I16" s="90"/>
      <c r="J16" s="90"/>
      <c r="K16" s="446">
        <f>K15</f>
        <v>6804.69</v>
      </c>
    </row>
    <row r="17" spans="1:11" ht="15" customHeight="1" thickBot="1" x14ac:dyDescent="0.45">
      <c r="A17" s="90" t="s">
        <v>158</v>
      </c>
      <c r="B17" s="90"/>
      <c r="C17" s="90"/>
      <c r="D17" s="90"/>
      <c r="E17" s="90"/>
      <c r="F17" s="91"/>
      <c r="G17" s="90"/>
      <c r="H17" s="90"/>
      <c r="I17" s="90"/>
      <c r="J17" s="90"/>
      <c r="K17" s="447">
        <f>K16</f>
        <v>6804.69</v>
      </c>
    </row>
    <row r="18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3:21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035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0356" r:id="rId4" name="HEADER"/>
      </mc:Fallback>
    </mc:AlternateContent>
    <mc:AlternateContent xmlns:mc="http://schemas.openxmlformats.org/markup-compatibility/2006">
      <mc:Choice Requires="x14">
        <control shapeId="10035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0355" r:id="rId6" name="FILTER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1:K59"/>
  <sheetViews>
    <sheetView workbookViewId="0">
      <pane xSplit="3" ySplit="1" topLeftCell="D28" activePane="bottomRight" state="frozenSplit"/>
      <selection pane="topRight" activeCell="D1" sqref="D1"/>
      <selection pane="bottomLeft" activeCell="A2" sqref="A2"/>
      <selection pane="bottomRight" activeCell="J17" sqref="J17"/>
    </sheetView>
  </sheetViews>
  <sheetFormatPr defaultColWidth="14.3828125" defaultRowHeight="15" customHeight="1" x14ac:dyDescent="0.4"/>
  <cols>
    <col min="1" max="2" width="3" customWidth="1"/>
    <col min="3" max="3" width="37.53515625" customWidth="1"/>
    <col min="4" max="4" width="2.3046875" customWidth="1"/>
    <col min="5" max="5" width="17.69140625" bestFit="1" customWidth="1"/>
    <col min="6" max="6" width="10.69140625" bestFit="1" customWidth="1"/>
    <col min="7" max="7" width="17.69140625" bestFit="1" customWidth="1"/>
    <col min="8" max="8" width="26.15234375" bestFit="1" customWidth="1"/>
    <col min="9" max="9" width="30.69140625" customWidth="1"/>
    <col min="10" max="10" width="27.382812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1320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44616</v>
      </c>
      <c r="G4" s="90" t="s">
        <v>1322</v>
      </c>
      <c r="H4" s="90" t="s">
        <v>744</v>
      </c>
      <c r="I4" s="90" t="s">
        <v>1326</v>
      </c>
      <c r="J4" s="90" t="s">
        <v>678</v>
      </c>
      <c r="K4" s="93">
        <v>239.98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44644</v>
      </c>
      <c r="G5" s="90" t="s">
        <v>1271</v>
      </c>
      <c r="H5" s="90" t="s">
        <v>744</v>
      </c>
      <c r="I5" s="90" t="s">
        <v>1296</v>
      </c>
      <c r="J5" s="90" t="s">
        <v>678</v>
      </c>
      <c r="K5" s="93">
        <v>92.1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44644</v>
      </c>
      <c r="G6" s="90" t="s">
        <v>3140</v>
      </c>
      <c r="H6" s="90" t="s">
        <v>744</v>
      </c>
      <c r="I6" s="90" t="s">
        <v>3174</v>
      </c>
      <c r="J6" s="90" t="s">
        <v>678</v>
      </c>
      <c r="K6" s="93">
        <v>255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44644</v>
      </c>
      <c r="G7" s="90" t="s">
        <v>3140</v>
      </c>
      <c r="H7" s="90" t="s">
        <v>744</v>
      </c>
      <c r="I7" s="90" t="s">
        <v>3175</v>
      </c>
      <c r="J7" s="90" t="s">
        <v>678</v>
      </c>
      <c r="K7" s="93">
        <v>59.99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44650</v>
      </c>
      <c r="G8" s="90" t="s">
        <v>1323</v>
      </c>
      <c r="H8" s="90" t="s">
        <v>742</v>
      </c>
      <c r="I8" s="90" t="s">
        <v>1327</v>
      </c>
      <c r="J8" s="90" t="s">
        <v>678</v>
      </c>
      <c r="K8" s="93">
        <v>15385.5</v>
      </c>
    </row>
    <row r="9" spans="1:11" ht="14.6" x14ac:dyDescent="0.4">
      <c r="A9" s="90"/>
      <c r="B9" s="90"/>
      <c r="C9" s="90"/>
      <c r="D9" s="90"/>
      <c r="E9" s="90" t="s">
        <v>731</v>
      </c>
      <c r="F9" s="91">
        <v>44663</v>
      </c>
      <c r="G9" s="90" t="s">
        <v>1324</v>
      </c>
      <c r="H9" s="90" t="s">
        <v>733</v>
      </c>
      <c r="I9" s="90" t="s">
        <v>1328</v>
      </c>
      <c r="J9" s="90" t="s">
        <v>735</v>
      </c>
      <c r="K9" s="93">
        <v>194.98</v>
      </c>
    </row>
    <row r="10" spans="1:11" ht="14.6" x14ac:dyDescent="0.4">
      <c r="A10" s="90"/>
      <c r="B10" s="90"/>
      <c r="C10" s="90"/>
      <c r="D10" s="90"/>
      <c r="E10" s="90" t="s">
        <v>755</v>
      </c>
      <c r="F10" s="91">
        <v>44664</v>
      </c>
      <c r="G10" s="90" t="s">
        <v>1325</v>
      </c>
      <c r="H10" s="90" t="s">
        <v>733</v>
      </c>
      <c r="I10" s="90" t="s">
        <v>1329</v>
      </c>
      <c r="J10" s="90" t="s">
        <v>735</v>
      </c>
      <c r="K10" s="93">
        <v>-194.98</v>
      </c>
    </row>
    <row r="11" spans="1:11" ht="14.6" x14ac:dyDescent="0.4">
      <c r="A11" s="90"/>
      <c r="B11" s="90"/>
      <c r="C11" s="90"/>
      <c r="D11" s="90"/>
      <c r="E11" s="90" t="s">
        <v>731</v>
      </c>
      <c r="F11" s="91">
        <v>44699</v>
      </c>
      <c r="G11" s="90" t="s">
        <v>1563</v>
      </c>
      <c r="H11" s="90" t="s">
        <v>1566</v>
      </c>
      <c r="I11" s="90" t="s">
        <v>1568</v>
      </c>
      <c r="J11" s="90" t="s">
        <v>735</v>
      </c>
      <c r="K11" s="93">
        <v>349.99</v>
      </c>
    </row>
    <row r="12" spans="1:11" ht="14.6" x14ac:dyDescent="0.4">
      <c r="A12" s="90"/>
      <c r="B12" s="90"/>
      <c r="C12" s="90"/>
      <c r="D12" s="90"/>
      <c r="E12" s="90" t="s">
        <v>731</v>
      </c>
      <c r="F12" s="91">
        <v>44700</v>
      </c>
      <c r="G12" s="90" t="s">
        <v>1564</v>
      </c>
      <c r="H12" s="90" t="s">
        <v>1567</v>
      </c>
      <c r="I12" s="90" t="s">
        <v>1569</v>
      </c>
      <c r="J12" s="90" t="s">
        <v>735</v>
      </c>
      <c r="K12" s="93">
        <v>1149.98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44722</v>
      </c>
      <c r="G13" s="90" t="s">
        <v>1571</v>
      </c>
      <c r="H13" s="90" t="s">
        <v>733</v>
      </c>
      <c r="I13" s="90" t="s">
        <v>1572</v>
      </c>
      <c r="J13" s="90" t="s">
        <v>678</v>
      </c>
      <c r="K13" s="93">
        <v>17757.72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44722</v>
      </c>
      <c r="G14" s="90" t="s">
        <v>1571</v>
      </c>
      <c r="H14" s="90" t="s">
        <v>733</v>
      </c>
      <c r="I14" s="90" t="s">
        <v>1573</v>
      </c>
      <c r="J14" s="90" t="s">
        <v>678</v>
      </c>
      <c r="K14" s="93">
        <v>1679.88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44722</v>
      </c>
      <c r="G15" s="90" t="s">
        <v>1571</v>
      </c>
      <c r="H15" s="90" t="s">
        <v>733</v>
      </c>
      <c r="I15" s="90" t="s">
        <v>1574</v>
      </c>
      <c r="J15" s="90" t="s">
        <v>678</v>
      </c>
      <c r="K15" s="93">
        <v>78.739999999999995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44774</v>
      </c>
      <c r="G16" s="90" t="s">
        <v>1565</v>
      </c>
      <c r="H16" s="90" t="s">
        <v>744</v>
      </c>
      <c r="I16" s="90" t="s">
        <v>1570</v>
      </c>
      <c r="J16" s="90" t="s">
        <v>678</v>
      </c>
      <c r="K16" s="93">
        <v>78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44803</v>
      </c>
      <c r="G17" s="90" t="s">
        <v>1575</v>
      </c>
      <c r="H17" s="90" t="s">
        <v>742</v>
      </c>
      <c r="I17" s="90" t="s">
        <v>1593</v>
      </c>
      <c r="J17" s="90" t="s">
        <v>678</v>
      </c>
      <c r="K17" s="93">
        <v>5380.71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44803</v>
      </c>
      <c r="G18" s="90" t="s">
        <v>1575</v>
      </c>
      <c r="H18" s="90" t="s">
        <v>742</v>
      </c>
      <c r="I18" s="90" t="s">
        <v>1594</v>
      </c>
      <c r="J18" s="90" t="s">
        <v>678</v>
      </c>
      <c r="K18" s="93">
        <v>265.64999999999998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44803</v>
      </c>
      <c r="G19" s="90"/>
      <c r="H19" s="90" t="s">
        <v>744</v>
      </c>
      <c r="I19" s="90" t="s">
        <v>1595</v>
      </c>
      <c r="J19" s="90" t="s">
        <v>678</v>
      </c>
      <c r="K19" s="93">
        <v>2500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44809</v>
      </c>
      <c r="G20" s="90" t="s">
        <v>1576</v>
      </c>
      <c r="H20" s="90" t="s">
        <v>744</v>
      </c>
      <c r="I20" s="90" t="s">
        <v>1596</v>
      </c>
      <c r="J20" s="90" t="s">
        <v>678</v>
      </c>
      <c r="K20" s="93">
        <v>329.99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44809</v>
      </c>
      <c r="G21" s="90" t="s">
        <v>1576</v>
      </c>
      <c r="H21" s="90" t="s">
        <v>744</v>
      </c>
      <c r="I21" s="90" t="s">
        <v>1597</v>
      </c>
      <c r="J21" s="90" t="s">
        <v>678</v>
      </c>
      <c r="K21" s="93">
        <v>54.86</v>
      </c>
    </row>
    <row r="22" spans="1:11" ht="14.6" x14ac:dyDescent="0.4">
      <c r="A22" s="90"/>
      <c r="B22" s="90"/>
      <c r="C22" s="90"/>
      <c r="D22" s="90"/>
      <c r="E22" s="90" t="s">
        <v>654</v>
      </c>
      <c r="F22" s="91">
        <v>44813</v>
      </c>
      <c r="G22" s="90" t="s">
        <v>1577</v>
      </c>
      <c r="H22" s="90" t="s">
        <v>1590</v>
      </c>
      <c r="I22" s="90" t="s">
        <v>2028</v>
      </c>
      <c r="J22" s="90" t="s">
        <v>1206</v>
      </c>
      <c r="K22" s="93">
        <v>-50</v>
      </c>
    </row>
    <row r="23" spans="1:11" ht="14.6" x14ac:dyDescent="0.4">
      <c r="A23" s="90"/>
      <c r="B23" s="90"/>
      <c r="C23" s="90"/>
      <c r="D23" s="90"/>
      <c r="E23" s="90" t="s">
        <v>654</v>
      </c>
      <c r="F23" s="91">
        <v>44827</v>
      </c>
      <c r="G23" s="90" t="s">
        <v>1578</v>
      </c>
      <c r="H23" s="90" t="s">
        <v>1590</v>
      </c>
      <c r="I23" s="90" t="s">
        <v>2028</v>
      </c>
      <c r="J23" s="90" t="s">
        <v>1206</v>
      </c>
      <c r="K23" s="93">
        <v>-50</v>
      </c>
    </row>
    <row r="24" spans="1:11" ht="14.6" x14ac:dyDescent="0.4">
      <c r="A24" s="90"/>
      <c r="B24" s="90"/>
      <c r="C24" s="90"/>
      <c r="D24" s="90"/>
      <c r="E24" s="90" t="s">
        <v>654</v>
      </c>
      <c r="F24" s="91">
        <v>44841</v>
      </c>
      <c r="G24" s="90" t="s">
        <v>1579</v>
      </c>
      <c r="H24" s="90" t="s">
        <v>1590</v>
      </c>
      <c r="I24" s="90" t="s">
        <v>2028</v>
      </c>
      <c r="J24" s="90" t="s">
        <v>1206</v>
      </c>
      <c r="K24" s="93">
        <v>-50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44844</v>
      </c>
      <c r="G25" s="90" t="s">
        <v>1580</v>
      </c>
      <c r="H25" s="90" t="s">
        <v>744</v>
      </c>
      <c r="I25" s="90" t="s">
        <v>1598</v>
      </c>
      <c r="J25" s="90" t="s">
        <v>678</v>
      </c>
      <c r="K25" s="93">
        <v>93.98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44847</v>
      </c>
      <c r="G26" s="90"/>
      <c r="H26" s="90" t="s">
        <v>733</v>
      </c>
      <c r="I26" s="90" t="s">
        <v>1572</v>
      </c>
      <c r="J26" s="90" t="s">
        <v>678</v>
      </c>
      <c r="K26" s="93">
        <v>3425.98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44847</v>
      </c>
      <c r="G27" s="90"/>
      <c r="H27" s="90" t="s">
        <v>733</v>
      </c>
      <c r="I27" s="90" t="s">
        <v>1599</v>
      </c>
      <c r="J27" s="90" t="s">
        <v>678</v>
      </c>
      <c r="K27" s="93">
        <v>239.98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44852</v>
      </c>
      <c r="G28" s="90" t="s">
        <v>1581</v>
      </c>
      <c r="H28" s="90" t="s">
        <v>744</v>
      </c>
      <c r="I28" s="90" t="s">
        <v>1600</v>
      </c>
      <c r="J28" s="90" t="s">
        <v>678</v>
      </c>
      <c r="K28" s="93">
        <v>73.98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44852</v>
      </c>
      <c r="G29" s="90" t="s">
        <v>1582</v>
      </c>
      <c r="H29" s="90" t="s">
        <v>744</v>
      </c>
      <c r="I29" s="90" t="s">
        <v>1601</v>
      </c>
      <c r="J29" s="90" t="s">
        <v>678</v>
      </c>
      <c r="K29" s="93">
        <v>111.99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44853</v>
      </c>
      <c r="G30" s="90" t="s">
        <v>1583</v>
      </c>
      <c r="H30" s="90" t="s">
        <v>742</v>
      </c>
      <c r="I30" s="90" t="s">
        <v>1602</v>
      </c>
      <c r="J30" s="90" t="s">
        <v>678</v>
      </c>
      <c r="K30" s="93">
        <v>8725.6</v>
      </c>
    </row>
    <row r="31" spans="1:11" ht="14.6" x14ac:dyDescent="0.4">
      <c r="A31" s="90"/>
      <c r="B31" s="90"/>
      <c r="C31" s="90"/>
      <c r="D31" s="90"/>
      <c r="E31" s="90" t="s">
        <v>654</v>
      </c>
      <c r="F31" s="91">
        <v>44855</v>
      </c>
      <c r="G31" s="90" t="s">
        <v>1981</v>
      </c>
      <c r="H31" s="90" t="s">
        <v>1590</v>
      </c>
      <c r="I31" s="90" t="s">
        <v>2028</v>
      </c>
      <c r="J31" s="90" t="s">
        <v>1206</v>
      </c>
      <c r="K31" s="93">
        <v>-50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44859</v>
      </c>
      <c r="G32" s="90" t="s">
        <v>1584</v>
      </c>
      <c r="H32" s="90" t="s">
        <v>744</v>
      </c>
      <c r="I32" s="90" t="s">
        <v>1603</v>
      </c>
      <c r="J32" s="90" t="s">
        <v>678</v>
      </c>
      <c r="K32" s="93">
        <v>138.59</v>
      </c>
    </row>
    <row r="33" spans="1:11" ht="14.6" x14ac:dyDescent="0.4">
      <c r="A33" s="90"/>
      <c r="B33" s="90"/>
      <c r="C33" s="90"/>
      <c r="D33" s="90"/>
      <c r="E33" s="90" t="s">
        <v>652</v>
      </c>
      <c r="F33" s="91">
        <v>44865</v>
      </c>
      <c r="G33" s="90" t="s">
        <v>1585</v>
      </c>
      <c r="H33" s="90" t="s">
        <v>744</v>
      </c>
      <c r="I33" s="90" t="s">
        <v>1604</v>
      </c>
      <c r="J33" s="90" t="s">
        <v>678</v>
      </c>
      <c r="K33" s="93">
        <v>-54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44866</v>
      </c>
      <c r="G34" s="90" t="s">
        <v>1982</v>
      </c>
      <c r="H34" s="90" t="s">
        <v>744</v>
      </c>
      <c r="I34" s="90" t="s">
        <v>1993</v>
      </c>
      <c r="J34" s="90" t="s">
        <v>678</v>
      </c>
      <c r="K34" s="93">
        <v>509.97</v>
      </c>
    </row>
    <row r="35" spans="1:11" ht="14.6" x14ac:dyDescent="0.4">
      <c r="A35" s="90"/>
      <c r="B35" s="90"/>
      <c r="C35" s="90"/>
      <c r="D35" s="90"/>
      <c r="E35" s="90" t="s">
        <v>653</v>
      </c>
      <c r="F35" s="91">
        <v>44868</v>
      </c>
      <c r="G35" s="90" t="s">
        <v>1586</v>
      </c>
      <c r="H35" s="90" t="s">
        <v>744</v>
      </c>
      <c r="I35" s="90" t="s">
        <v>1605</v>
      </c>
      <c r="J35" s="90" t="s">
        <v>678</v>
      </c>
      <c r="K35" s="93">
        <v>312.99</v>
      </c>
    </row>
    <row r="36" spans="1:11" ht="14.6" x14ac:dyDescent="0.4">
      <c r="A36" s="90"/>
      <c r="B36" s="90"/>
      <c r="C36" s="90"/>
      <c r="D36" s="90"/>
      <c r="E36" s="90" t="s">
        <v>654</v>
      </c>
      <c r="F36" s="91">
        <v>44869</v>
      </c>
      <c r="G36" s="90" t="s">
        <v>1983</v>
      </c>
      <c r="H36" s="90" t="s">
        <v>1590</v>
      </c>
      <c r="I36" s="90" t="s">
        <v>2028</v>
      </c>
      <c r="J36" s="90" t="s">
        <v>1206</v>
      </c>
      <c r="K36" s="93">
        <v>-50</v>
      </c>
    </row>
    <row r="37" spans="1:11" ht="14.6" x14ac:dyDescent="0.4">
      <c r="A37" s="90"/>
      <c r="B37" s="90"/>
      <c r="C37" s="90"/>
      <c r="D37" s="90"/>
      <c r="E37" s="90" t="s">
        <v>731</v>
      </c>
      <c r="F37" s="91">
        <v>44872</v>
      </c>
      <c r="G37" s="90" t="s">
        <v>1984</v>
      </c>
      <c r="H37" s="90" t="s">
        <v>1566</v>
      </c>
      <c r="I37" s="90" t="s">
        <v>1568</v>
      </c>
      <c r="J37" s="90" t="s">
        <v>735</v>
      </c>
      <c r="K37" s="93">
        <v>314.99</v>
      </c>
    </row>
    <row r="38" spans="1:11" ht="14.6" x14ac:dyDescent="0.4">
      <c r="A38" s="90"/>
      <c r="B38" s="90"/>
      <c r="C38" s="90"/>
      <c r="D38" s="90"/>
      <c r="E38" s="90" t="s">
        <v>653</v>
      </c>
      <c r="F38" s="91">
        <v>44873</v>
      </c>
      <c r="G38" s="90" t="s">
        <v>1587</v>
      </c>
      <c r="H38" s="90" t="s">
        <v>744</v>
      </c>
      <c r="I38" s="90" t="s">
        <v>1606</v>
      </c>
      <c r="J38" s="90" t="s">
        <v>678</v>
      </c>
      <c r="K38" s="93">
        <v>529</v>
      </c>
    </row>
    <row r="39" spans="1:11" ht="14.6" x14ac:dyDescent="0.4">
      <c r="A39" s="90"/>
      <c r="B39" s="90"/>
      <c r="C39" s="90"/>
      <c r="D39" s="90"/>
      <c r="E39" s="90" t="s">
        <v>653</v>
      </c>
      <c r="F39" s="91">
        <v>44873</v>
      </c>
      <c r="G39" s="90" t="s">
        <v>1588</v>
      </c>
      <c r="H39" s="90" t="s">
        <v>744</v>
      </c>
      <c r="I39" s="90" t="s">
        <v>1607</v>
      </c>
      <c r="J39" s="90" t="s">
        <v>678</v>
      </c>
      <c r="K39" s="93">
        <v>138.59</v>
      </c>
    </row>
    <row r="40" spans="1:11" ht="14.6" x14ac:dyDescent="0.4">
      <c r="A40" s="90"/>
      <c r="B40" s="90"/>
      <c r="C40" s="90"/>
      <c r="D40" s="90"/>
      <c r="E40" s="90" t="s">
        <v>653</v>
      </c>
      <c r="F40" s="91">
        <v>44875</v>
      </c>
      <c r="G40" s="90" t="s">
        <v>1589</v>
      </c>
      <c r="H40" s="90" t="s">
        <v>1591</v>
      </c>
      <c r="I40" s="90" t="s">
        <v>1608</v>
      </c>
      <c r="J40" s="90" t="s">
        <v>678</v>
      </c>
      <c r="K40" s="93">
        <v>1196</v>
      </c>
    </row>
    <row r="41" spans="1:11" ht="14.6" x14ac:dyDescent="0.4">
      <c r="A41" s="90"/>
      <c r="B41" s="90"/>
      <c r="C41" s="90"/>
      <c r="D41" s="90"/>
      <c r="E41" s="90" t="s">
        <v>653</v>
      </c>
      <c r="F41" s="91">
        <v>44875</v>
      </c>
      <c r="G41" s="90" t="s">
        <v>1589</v>
      </c>
      <c r="H41" s="90" t="s">
        <v>1591</v>
      </c>
      <c r="I41" s="90" t="s">
        <v>1609</v>
      </c>
      <c r="J41" s="90" t="s">
        <v>678</v>
      </c>
      <c r="K41" s="93">
        <v>1300</v>
      </c>
    </row>
    <row r="42" spans="1:11" ht="14.6" x14ac:dyDescent="0.4">
      <c r="A42" s="90"/>
      <c r="B42" s="90"/>
      <c r="C42" s="90"/>
      <c r="D42" s="90"/>
      <c r="E42" s="90" t="s">
        <v>653</v>
      </c>
      <c r="F42" s="91">
        <v>44875</v>
      </c>
      <c r="G42" s="90" t="s">
        <v>1589</v>
      </c>
      <c r="H42" s="90" t="s">
        <v>1591</v>
      </c>
      <c r="I42" s="90" t="s">
        <v>1610</v>
      </c>
      <c r="J42" s="90" t="s">
        <v>678</v>
      </c>
      <c r="K42" s="93">
        <v>289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44875</v>
      </c>
      <c r="G43" s="90" t="s">
        <v>1589</v>
      </c>
      <c r="H43" s="90" t="s">
        <v>1591</v>
      </c>
      <c r="I43" s="90" t="s">
        <v>1611</v>
      </c>
      <c r="J43" s="90" t="s">
        <v>678</v>
      </c>
      <c r="K43" s="93">
        <v>189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44875</v>
      </c>
      <c r="G44" s="90" t="s">
        <v>1589</v>
      </c>
      <c r="H44" s="90" t="s">
        <v>1592</v>
      </c>
      <c r="I44" s="90" t="s">
        <v>1612</v>
      </c>
      <c r="J44" s="90" t="s">
        <v>678</v>
      </c>
      <c r="K44" s="93">
        <v>225</v>
      </c>
    </row>
    <row r="45" spans="1:11" ht="15" customHeight="1" x14ac:dyDescent="0.4">
      <c r="A45" s="90"/>
      <c r="B45" s="90"/>
      <c r="C45" s="90"/>
      <c r="D45" s="90"/>
      <c r="E45" s="90" t="s">
        <v>654</v>
      </c>
      <c r="F45" s="91">
        <v>44883</v>
      </c>
      <c r="G45" s="90" t="s">
        <v>1985</v>
      </c>
      <c r="H45" s="90" t="s">
        <v>1590</v>
      </c>
      <c r="I45" s="90" t="s">
        <v>2028</v>
      </c>
      <c r="J45" s="90" t="s">
        <v>1206</v>
      </c>
      <c r="K45" s="93">
        <v>-50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44896</v>
      </c>
      <c r="G46" s="90" t="s">
        <v>1986</v>
      </c>
      <c r="H46" s="90" t="s">
        <v>1213</v>
      </c>
      <c r="I46" s="90" t="s">
        <v>1994</v>
      </c>
      <c r="J46" s="90" t="s">
        <v>678</v>
      </c>
      <c r="K46" s="93">
        <v>1908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44896</v>
      </c>
      <c r="G47" s="90" t="s">
        <v>1986</v>
      </c>
      <c r="H47" s="90" t="s">
        <v>1213</v>
      </c>
      <c r="I47" s="90" t="s">
        <v>1995</v>
      </c>
      <c r="J47" s="90" t="s">
        <v>678</v>
      </c>
      <c r="K47" s="93">
        <v>0</v>
      </c>
    </row>
    <row r="48" spans="1:11" ht="15" customHeight="1" x14ac:dyDescent="0.4">
      <c r="A48" s="90"/>
      <c r="B48" s="90"/>
      <c r="C48" s="90"/>
      <c r="D48" s="90"/>
      <c r="E48" s="90" t="s">
        <v>654</v>
      </c>
      <c r="F48" s="91">
        <v>44897</v>
      </c>
      <c r="G48" s="90" t="s">
        <v>1987</v>
      </c>
      <c r="H48" s="90" t="s">
        <v>1590</v>
      </c>
      <c r="I48" s="90" t="s">
        <v>2028</v>
      </c>
      <c r="J48" s="90" t="s">
        <v>1206</v>
      </c>
      <c r="K48" s="93">
        <v>-50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44908</v>
      </c>
      <c r="G49" s="90" t="s">
        <v>1988</v>
      </c>
      <c r="H49" s="90" t="s">
        <v>744</v>
      </c>
      <c r="I49" s="90" t="s">
        <v>1296</v>
      </c>
      <c r="J49" s="90" t="s">
        <v>678</v>
      </c>
      <c r="K49" s="93">
        <v>69.989999999999995</v>
      </c>
    </row>
    <row r="50" spans="1:11" ht="15" customHeight="1" x14ac:dyDescent="0.4">
      <c r="A50" s="90"/>
      <c r="B50" s="90"/>
      <c r="C50" s="90"/>
      <c r="D50" s="90"/>
      <c r="E50" s="90" t="s">
        <v>654</v>
      </c>
      <c r="F50" s="91">
        <v>44911</v>
      </c>
      <c r="G50" s="90" t="s">
        <v>1989</v>
      </c>
      <c r="H50" s="90" t="s">
        <v>1590</v>
      </c>
      <c r="I50" s="90" t="s">
        <v>2028</v>
      </c>
      <c r="J50" s="90" t="s">
        <v>1206</v>
      </c>
      <c r="K50" s="93">
        <v>-50</v>
      </c>
    </row>
    <row r="51" spans="1:11" ht="15" customHeight="1" x14ac:dyDescent="0.4">
      <c r="A51" s="90"/>
      <c r="B51" s="90"/>
      <c r="C51" s="90"/>
      <c r="D51" s="90"/>
      <c r="E51" s="90" t="s">
        <v>653</v>
      </c>
      <c r="F51" s="91">
        <v>44920</v>
      </c>
      <c r="G51" s="90" t="s">
        <v>1990</v>
      </c>
      <c r="H51" s="90" t="s">
        <v>1711</v>
      </c>
      <c r="I51" s="90" t="s">
        <v>1996</v>
      </c>
      <c r="J51" s="90" t="s">
        <v>678</v>
      </c>
      <c r="K51" s="93">
        <v>9959.6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44923</v>
      </c>
      <c r="G52" s="90" t="s">
        <v>1991</v>
      </c>
      <c r="H52" s="90" t="s">
        <v>1213</v>
      </c>
      <c r="I52" s="90" t="s">
        <v>1999</v>
      </c>
      <c r="J52" s="90" t="s">
        <v>678</v>
      </c>
      <c r="K52" s="93">
        <v>838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44923</v>
      </c>
      <c r="G53" s="90" t="s">
        <v>1991</v>
      </c>
      <c r="H53" s="90" t="s">
        <v>1213</v>
      </c>
      <c r="I53" s="90" t="s">
        <v>1998</v>
      </c>
      <c r="J53" s="90" t="s">
        <v>678</v>
      </c>
      <c r="K53" s="93">
        <v>149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44923</v>
      </c>
      <c r="G54" s="90" t="s">
        <v>1991</v>
      </c>
      <c r="H54" s="90" t="s">
        <v>1213</v>
      </c>
      <c r="I54" s="90" t="s">
        <v>1997</v>
      </c>
      <c r="J54" s="90" t="s">
        <v>678</v>
      </c>
      <c r="K54" s="93">
        <v>198</v>
      </c>
    </row>
    <row r="55" spans="1:11" ht="15" customHeight="1" thickBot="1" x14ac:dyDescent="0.45">
      <c r="A55" s="90"/>
      <c r="B55" s="90"/>
      <c r="C55" s="90"/>
      <c r="D55" s="90"/>
      <c r="E55" s="90" t="s">
        <v>654</v>
      </c>
      <c r="F55" s="91">
        <v>44925</v>
      </c>
      <c r="G55" s="90" t="s">
        <v>1992</v>
      </c>
      <c r="H55" s="90" t="s">
        <v>1590</v>
      </c>
      <c r="I55" s="90" t="s">
        <v>2028</v>
      </c>
      <c r="J55" s="90" t="s">
        <v>1206</v>
      </c>
      <c r="K55" s="445">
        <v>-50</v>
      </c>
    </row>
    <row r="56" spans="1:11" ht="15" customHeight="1" thickBot="1" x14ac:dyDescent="0.45">
      <c r="A56" s="90"/>
      <c r="B56" s="90"/>
      <c r="C56" s="90" t="s">
        <v>1321</v>
      </c>
      <c r="D56" s="90"/>
      <c r="E56" s="90"/>
      <c r="F56" s="91"/>
      <c r="G56" s="90"/>
      <c r="H56" s="90"/>
      <c r="I56" s="90"/>
      <c r="J56" s="90"/>
      <c r="K56" s="446">
        <f>ROUND(SUM(K3:K55),5)</f>
        <v>76091.320000000007</v>
      </c>
    </row>
    <row r="57" spans="1:11" ht="15" customHeight="1" thickBot="1" x14ac:dyDescent="0.45">
      <c r="A57" s="90"/>
      <c r="B57" s="90" t="s">
        <v>651</v>
      </c>
      <c r="C57" s="90"/>
      <c r="D57" s="90"/>
      <c r="E57" s="90"/>
      <c r="F57" s="91"/>
      <c r="G57" s="90"/>
      <c r="H57" s="90"/>
      <c r="I57" s="90"/>
      <c r="J57" s="90"/>
      <c r="K57" s="446">
        <f>K56</f>
        <v>76091.320000000007</v>
      </c>
    </row>
    <row r="58" spans="1:11" ht="15" customHeight="1" thickBot="1" x14ac:dyDescent="0.45">
      <c r="A58" s="90" t="s">
        <v>158</v>
      </c>
      <c r="B58" s="90"/>
      <c r="C58" s="90"/>
      <c r="D58" s="90"/>
      <c r="E58" s="90"/>
      <c r="F58" s="91"/>
      <c r="G58" s="90"/>
      <c r="H58" s="90"/>
      <c r="I58" s="90"/>
      <c r="J58" s="90"/>
      <c r="K58" s="447">
        <f>K57</f>
        <v>76091.320000000007</v>
      </c>
    </row>
    <row r="5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3:22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138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1388" r:id="rId4" name="HEADER"/>
      </mc:Fallback>
    </mc:AlternateContent>
    <mc:AlternateContent xmlns:mc="http://schemas.openxmlformats.org/markup-compatibility/2006">
      <mc:Choice Requires="x14">
        <control shapeId="10138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1387" r:id="rId6" name="FILTER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A1:K3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I21" sqref="I21"/>
    </sheetView>
  </sheetViews>
  <sheetFormatPr defaultColWidth="14.3828125" defaultRowHeight="15" customHeight="1" x14ac:dyDescent="0.4"/>
  <cols>
    <col min="1" max="2" width="3" customWidth="1"/>
    <col min="3" max="3" width="36.84375" customWidth="1"/>
    <col min="4" max="4" width="2.3046875" customWidth="1"/>
    <col min="5" max="5" width="17.69140625" bestFit="1" customWidth="1"/>
    <col min="6" max="6" width="10.69140625" bestFit="1" customWidth="1"/>
    <col min="7" max="7" width="17.53515625" bestFit="1" customWidth="1"/>
    <col min="8" max="8" width="16.3828125" bestFit="1" customWidth="1"/>
    <col min="9" max="9" width="30.69140625" customWidth="1"/>
    <col min="10" max="10" width="27.382812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648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736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44581</v>
      </c>
      <c r="G4" s="90" t="s">
        <v>738</v>
      </c>
      <c r="H4" s="90" t="s">
        <v>1333</v>
      </c>
      <c r="I4" s="90" t="s">
        <v>745</v>
      </c>
      <c r="J4" s="90" t="s">
        <v>678</v>
      </c>
      <c r="K4" s="93">
        <v>12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44587</v>
      </c>
      <c r="G5" s="90" t="s">
        <v>739</v>
      </c>
      <c r="H5" s="90" t="s">
        <v>742</v>
      </c>
      <c r="I5" s="90" t="s">
        <v>746</v>
      </c>
      <c r="J5" s="90" t="s">
        <v>678</v>
      </c>
      <c r="K5" s="93">
        <v>1497.69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44587</v>
      </c>
      <c r="G6" s="90" t="s">
        <v>739</v>
      </c>
      <c r="H6" s="90" t="s">
        <v>742</v>
      </c>
      <c r="I6" s="90" t="s">
        <v>747</v>
      </c>
      <c r="J6" s="90" t="s">
        <v>678</v>
      </c>
      <c r="K6" s="93">
        <v>968.95</v>
      </c>
    </row>
    <row r="7" spans="1:11" ht="14.6" x14ac:dyDescent="0.4">
      <c r="A7" s="90"/>
      <c r="B7" s="90"/>
      <c r="C7" s="90"/>
      <c r="D7" s="90"/>
      <c r="E7" s="90" t="s">
        <v>731</v>
      </c>
      <c r="F7" s="91">
        <v>44594</v>
      </c>
      <c r="G7" s="90" t="s">
        <v>732</v>
      </c>
      <c r="H7" s="90" t="s">
        <v>733</v>
      </c>
      <c r="I7" s="90" t="s">
        <v>734</v>
      </c>
      <c r="J7" s="90" t="s">
        <v>735</v>
      </c>
      <c r="K7" s="93">
        <v>365.22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44610</v>
      </c>
      <c r="G8" s="90" t="s">
        <v>740</v>
      </c>
      <c r="H8" s="90" t="s">
        <v>743</v>
      </c>
      <c r="I8" s="90" t="s">
        <v>748</v>
      </c>
      <c r="J8" s="90" t="s">
        <v>678</v>
      </c>
      <c r="K8" s="93">
        <v>425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44610</v>
      </c>
      <c r="G9" s="90" t="s">
        <v>740</v>
      </c>
      <c r="H9" s="90" t="s">
        <v>743</v>
      </c>
      <c r="I9" s="90" t="s">
        <v>749</v>
      </c>
      <c r="J9" s="90" t="s">
        <v>678</v>
      </c>
      <c r="K9" s="93">
        <v>30.25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44615</v>
      </c>
      <c r="G10" s="90"/>
      <c r="H10" s="90" t="s">
        <v>742</v>
      </c>
      <c r="I10" s="90" t="s">
        <v>1334</v>
      </c>
      <c r="J10" s="90" t="s">
        <v>678</v>
      </c>
      <c r="K10" s="93">
        <v>2043.15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44617</v>
      </c>
      <c r="G11" s="90" t="s">
        <v>741</v>
      </c>
      <c r="H11" s="90" t="s">
        <v>744</v>
      </c>
      <c r="I11" s="90" t="s">
        <v>750</v>
      </c>
      <c r="J11" s="90" t="s">
        <v>678</v>
      </c>
      <c r="K11" s="93">
        <v>97.97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44649</v>
      </c>
      <c r="G12" s="90" t="s">
        <v>1330</v>
      </c>
      <c r="H12" s="90" t="s">
        <v>744</v>
      </c>
      <c r="I12" s="90" t="s">
        <v>734</v>
      </c>
      <c r="J12" s="90" t="s">
        <v>678</v>
      </c>
      <c r="K12" s="93">
        <v>81.81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44656</v>
      </c>
      <c r="G13" s="90" t="s">
        <v>1331</v>
      </c>
      <c r="H13" s="90" t="s">
        <v>744</v>
      </c>
      <c r="I13" s="90" t="s">
        <v>1335</v>
      </c>
      <c r="J13" s="90" t="s">
        <v>678</v>
      </c>
      <c r="K13" s="93">
        <v>67.989999999999995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44656</v>
      </c>
      <c r="G14" s="90" t="s">
        <v>1332</v>
      </c>
      <c r="H14" s="90" t="s">
        <v>744</v>
      </c>
      <c r="I14" s="90" t="s">
        <v>734</v>
      </c>
      <c r="J14" s="90" t="s">
        <v>678</v>
      </c>
      <c r="K14" s="93">
        <v>38.22</v>
      </c>
    </row>
    <row r="15" spans="1:11" ht="14.6" x14ac:dyDescent="0.4">
      <c r="A15" s="90"/>
      <c r="B15" s="90"/>
      <c r="C15" s="90"/>
      <c r="D15" s="90"/>
      <c r="E15" s="90" t="s">
        <v>731</v>
      </c>
      <c r="F15" s="91">
        <v>44700</v>
      </c>
      <c r="G15" s="90" t="s">
        <v>1564</v>
      </c>
      <c r="H15" s="90" t="s">
        <v>1567</v>
      </c>
      <c r="I15" s="90" t="s">
        <v>2018</v>
      </c>
      <c r="J15" s="90" t="s">
        <v>735</v>
      </c>
      <c r="K15" s="93">
        <v>0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44711</v>
      </c>
      <c r="G16" s="90" t="s">
        <v>2000</v>
      </c>
      <c r="H16" s="90" t="s">
        <v>744</v>
      </c>
      <c r="I16" s="90" t="s">
        <v>734</v>
      </c>
      <c r="J16" s="90" t="s">
        <v>678</v>
      </c>
      <c r="K16" s="93">
        <v>347.43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44712</v>
      </c>
      <c r="G17" s="90" t="s">
        <v>2001</v>
      </c>
      <c r="H17" s="90" t="s">
        <v>1333</v>
      </c>
      <c r="I17" s="90" t="s">
        <v>2019</v>
      </c>
      <c r="J17" s="90" t="s">
        <v>678</v>
      </c>
      <c r="K17" s="93">
        <v>214.99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44726</v>
      </c>
      <c r="G18" s="90" t="s">
        <v>2002</v>
      </c>
      <c r="H18" s="90" t="s">
        <v>744</v>
      </c>
      <c r="I18" s="90" t="s">
        <v>2024</v>
      </c>
      <c r="J18" s="90" t="s">
        <v>678</v>
      </c>
      <c r="K18" s="93">
        <v>1649.9</v>
      </c>
    </row>
    <row r="19" spans="1:11" ht="15" customHeight="1" x14ac:dyDescent="0.4">
      <c r="A19" s="90"/>
      <c r="B19" s="90"/>
      <c r="C19" s="90"/>
      <c r="D19" s="90"/>
      <c r="E19" s="90" t="s">
        <v>653</v>
      </c>
      <c r="F19" s="91">
        <v>44732</v>
      </c>
      <c r="G19" s="90" t="s">
        <v>2003</v>
      </c>
      <c r="H19" s="90" t="s">
        <v>1333</v>
      </c>
      <c r="I19" s="90" t="s">
        <v>2019</v>
      </c>
      <c r="J19" s="90" t="s">
        <v>678</v>
      </c>
      <c r="K19" s="93">
        <v>115.99</v>
      </c>
    </row>
    <row r="20" spans="1:11" ht="15" customHeight="1" x14ac:dyDescent="0.4">
      <c r="A20" s="90"/>
      <c r="B20" s="90"/>
      <c r="C20" s="90"/>
      <c r="D20" s="90"/>
      <c r="E20" s="90" t="s">
        <v>653</v>
      </c>
      <c r="F20" s="91">
        <v>44735</v>
      </c>
      <c r="G20" s="90" t="s">
        <v>2004</v>
      </c>
      <c r="H20" s="90" t="s">
        <v>744</v>
      </c>
      <c r="I20" s="90" t="s">
        <v>2027</v>
      </c>
      <c r="J20" s="90" t="s">
        <v>678</v>
      </c>
      <c r="K20" s="93">
        <v>71.959999999999994</v>
      </c>
    </row>
    <row r="21" spans="1:11" ht="15" customHeight="1" x14ac:dyDescent="0.4">
      <c r="A21" s="90"/>
      <c r="B21" s="90"/>
      <c r="C21" s="90"/>
      <c r="D21" s="90"/>
      <c r="E21" s="90" t="s">
        <v>653</v>
      </c>
      <c r="F21" s="91">
        <v>44735</v>
      </c>
      <c r="G21" s="90" t="s">
        <v>2004</v>
      </c>
      <c r="H21" s="90" t="s">
        <v>744</v>
      </c>
      <c r="I21" s="90" t="s">
        <v>2020</v>
      </c>
      <c r="J21" s="90" t="s">
        <v>678</v>
      </c>
      <c r="K21" s="93">
        <v>443.88</v>
      </c>
    </row>
    <row r="22" spans="1:11" ht="15" customHeight="1" x14ac:dyDescent="0.4">
      <c r="A22" s="90"/>
      <c r="B22" s="90"/>
      <c r="C22" s="90"/>
      <c r="D22" s="90"/>
      <c r="E22" s="90" t="s">
        <v>653</v>
      </c>
      <c r="F22" s="91">
        <v>44740</v>
      </c>
      <c r="G22" s="90" t="s">
        <v>2005</v>
      </c>
      <c r="H22" s="90" t="s">
        <v>744</v>
      </c>
      <c r="I22" s="90" t="s">
        <v>2021</v>
      </c>
      <c r="J22" s="90" t="s">
        <v>678</v>
      </c>
      <c r="K22" s="93">
        <v>95.97</v>
      </c>
    </row>
    <row r="23" spans="1:11" ht="15" customHeight="1" x14ac:dyDescent="0.4">
      <c r="A23" s="90"/>
      <c r="B23" s="90"/>
      <c r="C23" s="90"/>
      <c r="D23" s="90"/>
      <c r="E23" s="90" t="s">
        <v>653</v>
      </c>
      <c r="F23" s="91">
        <v>44748</v>
      </c>
      <c r="G23" s="90" t="s">
        <v>2006</v>
      </c>
      <c r="H23" s="90" t="s">
        <v>744</v>
      </c>
      <c r="I23" s="90" t="s">
        <v>2022</v>
      </c>
      <c r="J23" s="90" t="s">
        <v>678</v>
      </c>
      <c r="K23" s="93">
        <v>319</v>
      </c>
    </row>
    <row r="24" spans="1:11" ht="15" customHeight="1" x14ac:dyDescent="0.4">
      <c r="A24" s="90"/>
      <c r="B24" s="90"/>
      <c r="C24" s="90"/>
      <c r="D24" s="90"/>
      <c r="E24" s="90" t="s">
        <v>653</v>
      </c>
      <c r="F24" s="91">
        <v>44776</v>
      </c>
      <c r="G24" s="90" t="s">
        <v>2007</v>
      </c>
      <c r="H24" s="90" t="s">
        <v>744</v>
      </c>
      <c r="I24" s="90" t="s">
        <v>1335</v>
      </c>
      <c r="J24" s="90" t="s">
        <v>678</v>
      </c>
      <c r="K24" s="93">
        <v>61.76</v>
      </c>
    </row>
    <row r="25" spans="1:11" ht="15" customHeight="1" x14ac:dyDescent="0.4">
      <c r="A25" s="90"/>
      <c r="B25" s="90"/>
      <c r="C25" s="90"/>
      <c r="D25" s="90"/>
      <c r="E25" s="90" t="s">
        <v>653</v>
      </c>
      <c r="F25" s="91">
        <v>44809</v>
      </c>
      <c r="G25" s="90" t="s">
        <v>2008</v>
      </c>
      <c r="H25" s="90" t="s">
        <v>744</v>
      </c>
      <c r="I25" s="90" t="s">
        <v>734</v>
      </c>
      <c r="J25" s="90" t="s">
        <v>678</v>
      </c>
      <c r="K25" s="93">
        <v>298.39</v>
      </c>
    </row>
    <row r="26" spans="1:11" ht="15" customHeight="1" x14ac:dyDescent="0.4">
      <c r="A26" s="90"/>
      <c r="B26" s="90"/>
      <c r="C26" s="90"/>
      <c r="D26" s="90"/>
      <c r="E26" s="90" t="s">
        <v>653</v>
      </c>
      <c r="F26" s="91">
        <v>44817</v>
      </c>
      <c r="G26" s="90" t="s">
        <v>2009</v>
      </c>
      <c r="H26" s="90" t="s">
        <v>744</v>
      </c>
      <c r="I26" s="90" t="s">
        <v>734</v>
      </c>
      <c r="J26" s="90" t="s">
        <v>678</v>
      </c>
      <c r="K26" s="93">
        <v>54.98</v>
      </c>
    </row>
    <row r="27" spans="1:11" ht="15" customHeight="1" x14ac:dyDescent="0.4">
      <c r="A27" s="90"/>
      <c r="B27" s="90"/>
      <c r="C27" s="90"/>
      <c r="D27" s="90"/>
      <c r="E27" s="90" t="s">
        <v>653</v>
      </c>
      <c r="F27" s="91">
        <v>44826</v>
      </c>
      <c r="G27" s="90" t="s">
        <v>2010</v>
      </c>
      <c r="H27" s="90" t="s">
        <v>1213</v>
      </c>
      <c r="I27" s="90" t="s">
        <v>2025</v>
      </c>
      <c r="J27" s="90" t="s">
        <v>678</v>
      </c>
      <c r="K27" s="93">
        <v>0</v>
      </c>
    </row>
    <row r="28" spans="1:11" ht="15" customHeight="1" x14ac:dyDescent="0.4">
      <c r="A28" s="90"/>
      <c r="B28" s="90"/>
      <c r="C28" s="90"/>
      <c r="D28" s="90"/>
      <c r="E28" s="90" t="s">
        <v>653</v>
      </c>
      <c r="F28" s="91">
        <v>44826</v>
      </c>
      <c r="G28" s="90" t="s">
        <v>2010</v>
      </c>
      <c r="H28" s="90" t="s">
        <v>1213</v>
      </c>
      <c r="I28" s="90" t="s">
        <v>2026</v>
      </c>
      <c r="J28" s="90" t="s">
        <v>678</v>
      </c>
      <c r="K28" s="93">
        <v>529.99</v>
      </c>
    </row>
    <row r="29" spans="1:11" ht="15" customHeight="1" x14ac:dyDescent="0.4">
      <c r="A29" s="90"/>
      <c r="B29" s="90"/>
      <c r="C29" s="90"/>
      <c r="D29" s="90"/>
      <c r="E29" s="90" t="s">
        <v>653</v>
      </c>
      <c r="F29" s="91">
        <v>44896</v>
      </c>
      <c r="G29" s="90" t="s">
        <v>2011</v>
      </c>
      <c r="H29" s="90" t="s">
        <v>744</v>
      </c>
      <c r="I29" s="90" t="s">
        <v>2023</v>
      </c>
      <c r="J29" s="90" t="s">
        <v>678</v>
      </c>
      <c r="K29" s="93">
        <v>113.38</v>
      </c>
    </row>
    <row r="30" spans="1:11" ht="15" customHeight="1" x14ac:dyDescent="0.4">
      <c r="A30" s="90"/>
      <c r="B30" s="90"/>
      <c r="C30" s="90"/>
      <c r="D30" s="90"/>
      <c r="E30" s="90" t="s">
        <v>653</v>
      </c>
      <c r="F30" s="91">
        <v>44896</v>
      </c>
      <c r="G30" s="90" t="s">
        <v>2012</v>
      </c>
      <c r="H30" s="90" t="s">
        <v>744</v>
      </c>
      <c r="I30" s="90" t="s">
        <v>2023</v>
      </c>
      <c r="J30" s="90" t="s">
        <v>678</v>
      </c>
      <c r="K30" s="93">
        <v>58.99</v>
      </c>
    </row>
    <row r="31" spans="1:11" ht="15" customHeight="1" x14ac:dyDescent="0.4">
      <c r="A31" s="90"/>
      <c r="B31" s="90"/>
      <c r="C31" s="90"/>
      <c r="D31" s="90"/>
      <c r="E31" s="90" t="s">
        <v>653</v>
      </c>
      <c r="F31" s="91">
        <v>44902</v>
      </c>
      <c r="G31" s="90" t="s">
        <v>2013</v>
      </c>
      <c r="H31" s="90" t="s">
        <v>744</v>
      </c>
      <c r="I31" s="90" t="s">
        <v>2023</v>
      </c>
      <c r="J31" s="90" t="s">
        <v>678</v>
      </c>
      <c r="K31" s="93">
        <v>199.51</v>
      </c>
    </row>
    <row r="32" spans="1:11" ht="15" customHeight="1" x14ac:dyDescent="0.4">
      <c r="A32" s="90"/>
      <c r="B32" s="90"/>
      <c r="C32" s="90"/>
      <c r="D32" s="90"/>
      <c r="E32" s="90" t="s">
        <v>731</v>
      </c>
      <c r="F32" s="91">
        <v>44902</v>
      </c>
      <c r="G32" s="90" t="s">
        <v>2014</v>
      </c>
      <c r="H32" s="90" t="s">
        <v>733</v>
      </c>
      <c r="I32" s="90" t="s">
        <v>734</v>
      </c>
      <c r="J32" s="90" t="s">
        <v>735</v>
      </c>
      <c r="K32" s="93">
        <v>40.49</v>
      </c>
    </row>
    <row r="33" spans="1:11" ht="15" customHeight="1" x14ac:dyDescent="0.4">
      <c r="A33" s="90"/>
      <c r="B33" s="90"/>
      <c r="C33" s="90"/>
      <c r="D33" s="90"/>
      <c r="E33" s="90" t="s">
        <v>731</v>
      </c>
      <c r="F33" s="91">
        <v>44902</v>
      </c>
      <c r="G33" s="90" t="s">
        <v>2015</v>
      </c>
      <c r="H33" s="90" t="s">
        <v>733</v>
      </c>
      <c r="I33" s="90" t="s">
        <v>734</v>
      </c>
      <c r="J33" s="90" t="s">
        <v>735</v>
      </c>
      <c r="K33" s="93">
        <v>51.99</v>
      </c>
    </row>
    <row r="34" spans="1:11" ht="15" customHeight="1" x14ac:dyDescent="0.4">
      <c r="A34" s="90"/>
      <c r="B34" s="90"/>
      <c r="C34" s="90"/>
      <c r="D34" s="90"/>
      <c r="E34" s="90" t="s">
        <v>652</v>
      </c>
      <c r="F34" s="91">
        <v>44904</v>
      </c>
      <c r="G34" s="90" t="s">
        <v>2016</v>
      </c>
      <c r="H34" s="90" t="s">
        <v>744</v>
      </c>
      <c r="I34" s="90" t="s">
        <v>734</v>
      </c>
      <c r="J34" s="90" t="s">
        <v>678</v>
      </c>
      <c r="K34" s="93">
        <v>-58.99</v>
      </c>
    </row>
    <row r="35" spans="1:11" ht="15" customHeight="1" thickBot="1" x14ac:dyDescent="0.45">
      <c r="A35" s="90"/>
      <c r="B35" s="90"/>
      <c r="C35" s="90"/>
      <c r="D35" s="90"/>
      <c r="E35" s="90" t="s">
        <v>653</v>
      </c>
      <c r="F35" s="91">
        <v>44904</v>
      </c>
      <c r="G35" s="90" t="s">
        <v>2017</v>
      </c>
      <c r="H35" s="90" t="s">
        <v>744</v>
      </c>
      <c r="I35" s="90" t="s">
        <v>2023</v>
      </c>
      <c r="J35" s="90" t="s">
        <v>678</v>
      </c>
      <c r="K35" s="445">
        <v>39.979999999999997</v>
      </c>
    </row>
    <row r="36" spans="1:11" ht="15" customHeight="1" thickBot="1" x14ac:dyDescent="0.45">
      <c r="A36" s="90"/>
      <c r="B36" s="90"/>
      <c r="C36" s="90" t="s">
        <v>737</v>
      </c>
      <c r="D36" s="90"/>
      <c r="E36" s="90"/>
      <c r="F36" s="91"/>
      <c r="G36" s="90"/>
      <c r="H36" s="90"/>
      <c r="I36" s="90"/>
      <c r="J36" s="90"/>
      <c r="K36" s="446">
        <f>ROUND(SUM(K3:K35),5)</f>
        <v>10277.84</v>
      </c>
    </row>
    <row r="37" spans="1:11" ht="15" customHeight="1" thickBot="1" x14ac:dyDescent="0.45">
      <c r="A37" s="90"/>
      <c r="B37" s="90" t="s">
        <v>651</v>
      </c>
      <c r="C37" s="90"/>
      <c r="D37" s="90"/>
      <c r="E37" s="90"/>
      <c r="F37" s="91"/>
      <c r="G37" s="90"/>
      <c r="H37" s="90"/>
      <c r="I37" s="90"/>
      <c r="J37" s="90"/>
      <c r="K37" s="446">
        <f>K36</f>
        <v>10277.84</v>
      </c>
    </row>
    <row r="38" spans="1:11" ht="15" customHeight="1" thickBot="1" x14ac:dyDescent="0.45">
      <c r="A38" s="90" t="s">
        <v>158</v>
      </c>
      <c r="B38" s="90"/>
      <c r="C38" s="90"/>
      <c r="D38" s="90"/>
      <c r="E38" s="90"/>
      <c r="F38" s="91"/>
      <c r="G38" s="90"/>
      <c r="H38" s="90"/>
      <c r="I38" s="90"/>
      <c r="J38" s="90"/>
      <c r="K38" s="447">
        <f>K37</f>
        <v>10277.84</v>
      </c>
    </row>
    <row r="3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3:31 PM
&amp;"Arial,Bold"&amp;8 02/10/23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40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2406" r:id="rId4" name="HEADER"/>
      </mc:Fallback>
    </mc:AlternateContent>
    <mc:AlternateContent xmlns:mc="http://schemas.openxmlformats.org/markup-compatibility/2006">
      <mc:Choice Requires="x14">
        <control shapeId="10240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2405" r:id="rId6" name="FILTER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/>
  <dimension ref="A1:K488"/>
  <sheetViews>
    <sheetView workbookViewId="0">
      <pane xSplit="3" ySplit="1" topLeftCell="D407" activePane="bottomRight" state="frozenSplit"/>
      <selection pane="topRight" activeCell="D1" sqref="D1"/>
      <selection pane="bottomLeft" activeCell="A2" sqref="A2"/>
      <selection pane="bottomRight" activeCell="I427" sqref="I427"/>
    </sheetView>
  </sheetViews>
  <sheetFormatPr defaultColWidth="14.3828125" defaultRowHeight="15" customHeight="1" x14ac:dyDescent="0.4"/>
  <cols>
    <col min="1" max="2" width="3" customWidth="1"/>
    <col min="3" max="3" width="39.15234375" customWidth="1"/>
    <col min="4" max="4" width="2.3046875" customWidth="1"/>
    <col min="5" max="5" width="17.69140625" bestFit="1" customWidth="1"/>
    <col min="6" max="6" width="10.69140625" bestFit="1" customWidth="1"/>
    <col min="7" max="7" width="21.15234375" bestFit="1" customWidth="1"/>
    <col min="8" max="9" width="30.69140625" customWidth="1"/>
    <col min="10" max="10" width="28.382812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752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757</v>
      </c>
      <c r="H4" s="90" t="s">
        <v>798</v>
      </c>
      <c r="I4" s="90" t="s">
        <v>821</v>
      </c>
      <c r="J4" s="90" t="s">
        <v>678</v>
      </c>
      <c r="K4" s="93">
        <v>500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44562</v>
      </c>
      <c r="G5" s="90" t="s">
        <v>758</v>
      </c>
      <c r="H5" s="90" t="s">
        <v>799</v>
      </c>
      <c r="I5" s="90" t="s">
        <v>822</v>
      </c>
      <c r="J5" s="90" t="s">
        <v>678</v>
      </c>
      <c r="K5" s="93">
        <v>2000</v>
      </c>
    </row>
    <row r="6" spans="1:11" ht="14.6" x14ac:dyDescent="0.4">
      <c r="A6" s="90"/>
      <c r="B6" s="90"/>
      <c r="C6" s="90"/>
      <c r="D6" s="90"/>
      <c r="E6" s="90" t="s">
        <v>731</v>
      </c>
      <c r="F6" s="91">
        <v>44565</v>
      </c>
      <c r="G6" s="90" t="s">
        <v>759</v>
      </c>
      <c r="H6" s="90" t="s">
        <v>799</v>
      </c>
      <c r="I6" s="90" t="s">
        <v>2643</v>
      </c>
      <c r="J6" s="90" t="s">
        <v>735</v>
      </c>
      <c r="K6" s="93">
        <v>10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44567</v>
      </c>
      <c r="G7" s="90" t="s">
        <v>760</v>
      </c>
      <c r="H7" s="90" t="s">
        <v>799</v>
      </c>
      <c r="I7" s="90" t="s">
        <v>823</v>
      </c>
      <c r="J7" s="90" t="s">
        <v>678</v>
      </c>
      <c r="K7" s="93">
        <v>290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44567</v>
      </c>
      <c r="G8" s="90" t="s">
        <v>760</v>
      </c>
      <c r="H8" s="90" t="s">
        <v>799</v>
      </c>
      <c r="I8" s="90" t="s">
        <v>824</v>
      </c>
      <c r="J8" s="90" t="s">
        <v>678</v>
      </c>
      <c r="K8" s="93">
        <v>290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44567</v>
      </c>
      <c r="G9" s="90" t="s">
        <v>760</v>
      </c>
      <c r="H9" s="90" t="s">
        <v>799</v>
      </c>
      <c r="I9" s="90" t="s">
        <v>825</v>
      </c>
      <c r="J9" s="90" t="s">
        <v>678</v>
      </c>
      <c r="K9" s="93">
        <v>365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44567</v>
      </c>
      <c r="G10" s="90" t="s">
        <v>761</v>
      </c>
      <c r="H10" s="90" t="s">
        <v>799</v>
      </c>
      <c r="I10" s="90" t="s">
        <v>826</v>
      </c>
      <c r="J10" s="90" t="s">
        <v>678</v>
      </c>
      <c r="K10" s="93">
        <v>450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44567</v>
      </c>
      <c r="G11" s="90" t="s">
        <v>761</v>
      </c>
      <c r="H11" s="90" t="s">
        <v>799</v>
      </c>
      <c r="I11" s="90" t="s">
        <v>827</v>
      </c>
      <c r="J11" s="90" t="s">
        <v>678</v>
      </c>
      <c r="K11" s="93">
        <v>450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44567</v>
      </c>
      <c r="G12" s="90" t="s">
        <v>761</v>
      </c>
      <c r="H12" s="90" t="s">
        <v>799</v>
      </c>
      <c r="I12" s="90" t="s">
        <v>828</v>
      </c>
      <c r="J12" s="90" t="s">
        <v>678</v>
      </c>
      <c r="K12" s="93">
        <v>450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44567</v>
      </c>
      <c r="G13" s="90" t="s">
        <v>761</v>
      </c>
      <c r="H13" s="90" t="s">
        <v>799</v>
      </c>
      <c r="I13" s="90" t="s">
        <v>829</v>
      </c>
      <c r="J13" s="90" t="s">
        <v>678</v>
      </c>
      <c r="K13" s="93">
        <v>450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44567</v>
      </c>
      <c r="G14" s="90" t="s">
        <v>761</v>
      </c>
      <c r="H14" s="90" t="s">
        <v>799</v>
      </c>
      <c r="I14" s="90" t="s">
        <v>830</v>
      </c>
      <c r="J14" s="90" t="s">
        <v>678</v>
      </c>
      <c r="K14" s="93">
        <v>450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44567</v>
      </c>
      <c r="G15" s="90" t="s">
        <v>761</v>
      </c>
      <c r="H15" s="90" t="s">
        <v>799</v>
      </c>
      <c r="I15" s="90" t="s">
        <v>831</v>
      </c>
      <c r="J15" s="90" t="s">
        <v>678</v>
      </c>
      <c r="K15" s="93">
        <v>450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44567</v>
      </c>
      <c r="G16" s="90" t="s">
        <v>761</v>
      </c>
      <c r="H16" s="90" t="s">
        <v>799</v>
      </c>
      <c r="I16" s="90" t="s">
        <v>832</v>
      </c>
      <c r="J16" s="90" t="s">
        <v>678</v>
      </c>
      <c r="K16" s="93">
        <v>450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44567</v>
      </c>
      <c r="G17" s="90" t="s">
        <v>761</v>
      </c>
      <c r="H17" s="90" t="s">
        <v>799</v>
      </c>
      <c r="I17" s="90" t="s">
        <v>833</v>
      </c>
      <c r="J17" s="90" t="s">
        <v>678</v>
      </c>
      <c r="K17" s="93">
        <v>450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44567</v>
      </c>
      <c r="G18" s="90" t="s">
        <v>761</v>
      </c>
      <c r="H18" s="90" t="s">
        <v>799</v>
      </c>
      <c r="I18" s="90" t="s">
        <v>834</v>
      </c>
      <c r="J18" s="90" t="s">
        <v>678</v>
      </c>
      <c r="K18" s="93">
        <v>450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44567</v>
      </c>
      <c r="G19" s="90" t="s">
        <v>761</v>
      </c>
      <c r="H19" s="90" t="s">
        <v>799</v>
      </c>
      <c r="I19" s="90" t="s">
        <v>835</v>
      </c>
      <c r="J19" s="90" t="s">
        <v>678</v>
      </c>
      <c r="K19" s="93">
        <v>450</v>
      </c>
    </row>
    <row r="20" spans="1:11" ht="14.6" x14ac:dyDescent="0.4">
      <c r="A20" s="90"/>
      <c r="B20" s="90"/>
      <c r="C20" s="90"/>
      <c r="D20" s="90"/>
      <c r="E20" s="90" t="s">
        <v>731</v>
      </c>
      <c r="F20" s="91">
        <v>44567</v>
      </c>
      <c r="G20" s="90" t="s">
        <v>762</v>
      </c>
      <c r="H20" s="90" t="s">
        <v>800</v>
      </c>
      <c r="I20" s="90" t="s">
        <v>2644</v>
      </c>
      <c r="J20" s="90" t="s">
        <v>735</v>
      </c>
      <c r="K20" s="93">
        <v>187.2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44568</v>
      </c>
      <c r="G21" s="90" t="s">
        <v>763</v>
      </c>
      <c r="H21" s="90" t="s">
        <v>801</v>
      </c>
      <c r="I21" s="90" t="s">
        <v>836</v>
      </c>
      <c r="J21" s="90" t="s">
        <v>678</v>
      </c>
      <c r="K21" s="93">
        <v>4396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44570</v>
      </c>
      <c r="G22" s="90" t="s">
        <v>761</v>
      </c>
      <c r="H22" s="90" t="s">
        <v>799</v>
      </c>
      <c r="I22" s="90" t="s">
        <v>837</v>
      </c>
      <c r="J22" s="90" t="s">
        <v>678</v>
      </c>
      <c r="K22" s="93">
        <v>450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44570</v>
      </c>
      <c r="G23" s="90" t="s">
        <v>764</v>
      </c>
      <c r="H23" s="90" t="s">
        <v>802</v>
      </c>
      <c r="I23" s="90" t="s">
        <v>838</v>
      </c>
      <c r="J23" s="90" t="s">
        <v>678</v>
      </c>
      <c r="K23" s="93">
        <v>200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44572</v>
      </c>
      <c r="G24" s="90" t="s">
        <v>765</v>
      </c>
      <c r="H24" s="90" t="s">
        <v>803</v>
      </c>
      <c r="I24" s="90" t="s">
        <v>839</v>
      </c>
      <c r="J24" s="90" t="s">
        <v>678</v>
      </c>
      <c r="K24" s="93">
        <v>20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44572</v>
      </c>
      <c r="G25" s="90" t="s">
        <v>765</v>
      </c>
      <c r="H25" s="90" t="s">
        <v>803</v>
      </c>
      <c r="I25" s="90" t="s">
        <v>840</v>
      </c>
      <c r="J25" s="90" t="s">
        <v>678</v>
      </c>
      <c r="K25" s="93">
        <v>20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44572</v>
      </c>
      <c r="G26" s="90" t="s">
        <v>765</v>
      </c>
      <c r="H26" s="90" t="s">
        <v>803</v>
      </c>
      <c r="I26" s="90" t="s">
        <v>841</v>
      </c>
      <c r="J26" s="90" t="s">
        <v>678</v>
      </c>
      <c r="K26" s="93">
        <v>20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44572</v>
      </c>
      <c r="G27" s="90" t="s">
        <v>765</v>
      </c>
      <c r="H27" s="90" t="s">
        <v>803</v>
      </c>
      <c r="I27" s="90" t="s">
        <v>842</v>
      </c>
      <c r="J27" s="90" t="s">
        <v>678</v>
      </c>
      <c r="K27" s="93">
        <v>20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44572</v>
      </c>
      <c r="G28" s="90" t="s">
        <v>765</v>
      </c>
      <c r="H28" s="90" t="s">
        <v>803</v>
      </c>
      <c r="I28" s="90" t="s">
        <v>843</v>
      </c>
      <c r="J28" s="90" t="s">
        <v>678</v>
      </c>
      <c r="K28" s="93">
        <v>20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44572</v>
      </c>
      <c r="G29" s="90" t="s">
        <v>765</v>
      </c>
      <c r="H29" s="90" t="s">
        <v>803</v>
      </c>
      <c r="I29" s="90" t="s">
        <v>844</v>
      </c>
      <c r="J29" s="90" t="s">
        <v>678</v>
      </c>
      <c r="K29" s="93">
        <v>20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44572</v>
      </c>
      <c r="G30" s="90" t="s">
        <v>765</v>
      </c>
      <c r="H30" s="90" t="s">
        <v>803</v>
      </c>
      <c r="I30" s="90" t="s">
        <v>845</v>
      </c>
      <c r="J30" s="90" t="s">
        <v>678</v>
      </c>
      <c r="K30" s="93">
        <v>20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44572</v>
      </c>
      <c r="G31" s="90" t="s">
        <v>765</v>
      </c>
      <c r="H31" s="90" t="s">
        <v>803</v>
      </c>
      <c r="I31" s="90" t="s">
        <v>846</v>
      </c>
      <c r="J31" s="90" t="s">
        <v>678</v>
      </c>
      <c r="K31" s="93">
        <v>20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44572</v>
      </c>
      <c r="G32" s="90" t="s">
        <v>765</v>
      </c>
      <c r="H32" s="90" t="s">
        <v>803</v>
      </c>
      <c r="I32" s="90" t="s">
        <v>847</v>
      </c>
      <c r="J32" s="90" t="s">
        <v>678</v>
      </c>
      <c r="K32" s="93">
        <v>20</v>
      </c>
    </row>
    <row r="33" spans="1:11" ht="14.6" x14ac:dyDescent="0.4">
      <c r="A33" s="90"/>
      <c r="B33" s="90"/>
      <c r="C33" s="90"/>
      <c r="D33" s="90"/>
      <c r="E33" s="90" t="s">
        <v>653</v>
      </c>
      <c r="F33" s="91">
        <v>44572</v>
      </c>
      <c r="G33" s="90" t="s">
        <v>765</v>
      </c>
      <c r="H33" s="90" t="s">
        <v>803</v>
      </c>
      <c r="I33" s="90" t="s">
        <v>848</v>
      </c>
      <c r="J33" s="90" t="s">
        <v>678</v>
      </c>
      <c r="K33" s="93">
        <v>20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44572</v>
      </c>
      <c r="G34" s="90" t="s">
        <v>765</v>
      </c>
      <c r="H34" s="90" t="s">
        <v>803</v>
      </c>
      <c r="I34" s="90" t="s">
        <v>849</v>
      </c>
      <c r="J34" s="90" t="s">
        <v>678</v>
      </c>
      <c r="K34" s="93">
        <v>20</v>
      </c>
    </row>
    <row r="35" spans="1:11" ht="14.6" x14ac:dyDescent="0.4">
      <c r="A35" s="90"/>
      <c r="B35" s="90"/>
      <c r="C35" s="90"/>
      <c r="D35" s="90"/>
      <c r="E35" s="90" t="s">
        <v>653</v>
      </c>
      <c r="F35" s="91">
        <v>44572</v>
      </c>
      <c r="G35" s="90" t="s">
        <v>765</v>
      </c>
      <c r="H35" s="90" t="s">
        <v>803</v>
      </c>
      <c r="I35" s="90" t="s">
        <v>850</v>
      </c>
      <c r="J35" s="90" t="s">
        <v>678</v>
      </c>
      <c r="K35" s="93">
        <v>20</v>
      </c>
    </row>
    <row r="36" spans="1:11" ht="14.6" x14ac:dyDescent="0.4">
      <c r="A36" s="90"/>
      <c r="B36" s="90"/>
      <c r="C36" s="90"/>
      <c r="D36" s="90"/>
      <c r="E36" s="90" t="s">
        <v>653</v>
      </c>
      <c r="F36" s="91">
        <v>44572</v>
      </c>
      <c r="G36" s="90" t="s">
        <v>765</v>
      </c>
      <c r="H36" s="90" t="s">
        <v>803</v>
      </c>
      <c r="I36" s="90" t="s">
        <v>851</v>
      </c>
      <c r="J36" s="90" t="s">
        <v>678</v>
      </c>
      <c r="K36" s="93">
        <v>20</v>
      </c>
    </row>
    <row r="37" spans="1:11" ht="14.6" x14ac:dyDescent="0.4">
      <c r="A37" s="90"/>
      <c r="B37" s="90"/>
      <c r="C37" s="90"/>
      <c r="D37" s="90"/>
      <c r="E37" s="90" t="s">
        <v>653</v>
      </c>
      <c r="F37" s="91">
        <v>44572</v>
      </c>
      <c r="G37" s="90" t="s">
        <v>765</v>
      </c>
      <c r="H37" s="90" t="s">
        <v>803</v>
      </c>
      <c r="I37" s="90" t="s">
        <v>852</v>
      </c>
      <c r="J37" s="90" t="s">
        <v>678</v>
      </c>
      <c r="K37" s="93">
        <v>20</v>
      </c>
    </row>
    <row r="38" spans="1:11" ht="14.6" x14ac:dyDescent="0.4">
      <c r="A38" s="90"/>
      <c r="B38" s="90"/>
      <c r="C38" s="90"/>
      <c r="D38" s="90"/>
      <c r="E38" s="90" t="s">
        <v>731</v>
      </c>
      <c r="F38" s="91">
        <v>44572</v>
      </c>
      <c r="G38" s="90" t="s">
        <v>766</v>
      </c>
      <c r="H38" s="90" t="s">
        <v>804</v>
      </c>
      <c r="I38" s="90" t="s">
        <v>853</v>
      </c>
      <c r="J38" s="90" t="s">
        <v>888</v>
      </c>
      <c r="K38" s="93">
        <v>236.96</v>
      </c>
    </row>
    <row r="39" spans="1:11" ht="14.6" x14ac:dyDescent="0.4">
      <c r="A39" s="90"/>
      <c r="B39" s="90"/>
      <c r="C39" s="90"/>
      <c r="D39" s="90"/>
      <c r="E39" s="90" t="s">
        <v>653</v>
      </c>
      <c r="F39" s="91">
        <v>44581</v>
      </c>
      <c r="G39" s="90" t="s">
        <v>767</v>
      </c>
      <c r="H39" s="90" t="s">
        <v>799</v>
      </c>
      <c r="I39" s="90" t="s">
        <v>854</v>
      </c>
      <c r="J39" s="90" t="s">
        <v>678</v>
      </c>
      <c r="K39" s="93">
        <v>375</v>
      </c>
    </row>
    <row r="40" spans="1:11" ht="14.6" x14ac:dyDescent="0.4">
      <c r="A40" s="90"/>
      <c r="B40" s="90"/>
      <c r="C40" s="90"/>
      <c r="D40" s="90"/>
      <c r="E40" s="90" t="s">
        <v>731</v>
      </c>
      <c r="F40" s="91">
        <v>44581</v>
      </c>
      <c r="G40" s="90" t="s">
        <v>768</v>
      </c>
      <c r="H40" s="90" t="s">
        <v>805</v>
      </c>
      <c r="I40" s="90" t="s">
        <v>855</v>
      </c>
      <c r="J40" s="90" t="s">
        <v>735</v>
      </c>
      <c r="K40" s="93">
        <v>100</v>
      </c>
    </row>
    <row r="41" spans="1:11" ht="14.6" x14ac:dyDescent="0.4">
      <c r="A41" s="90"/>
      <c r="B41" s="90"/>
      <c r="C41" s="90"/>
      <c r="D41" s="90"/>
      <c r="E41" s="90" t="s">
        <v>731</v>
      </c>
      <c r="F41" s="91">
        <v>44585</v>
      </c>
      <c r="G41" s="90" t="s">
        <v>769</v>
      </c>
      <c r="H41" s="90" t="s">
        <v>806</v>
      </c>
      <c r="I41" s="90" t="s">
        <v>856</v>
      </c>
      <c r="J41" s="90" t="s">
        <v>735</v>
      </c>
      <c r="K41" s="93">
        <v>650</v>
      </c>
    </row>
    <row r="42" spans="1:11" ht="14.6" x14ac:dyDescent="0.4">
      <c r="A42" s="90"/>
      <c r="B42" s="90"/>
      <c r="C42" s="90"/>
      <c r="D42" s="90"/>
      <c r="E42" s="90" t="s">
        <v>731</v>
      </c>
      <c r="F42" s="91">
        <v>44585</v>
      </c>
      <c r="G42" s="90" t="s">
        <v>770</v>
      </c>
      <c r="H42" s="90" t="s">
        <v>806</v>
      </c>
      <c r="I42" s="90" t="s">
        <v>857</v>
      </c>
      <c r="J42" s="90" t="s">
        <v>735</v>
      </c>
      <c r="K42" s="93">
        <v>650</v>
      </c>
    </row>
    <row r="43" spans="1:11" ht="14.6" x14ac:dyDescent="0.4">
      <c r="A43" s="90"/>
      <c r="B43" s="90"/>
      <c r="C43" s="90"/>
      <c r="D43" s="90"/>
      <c r="E43" s="90" t="s">
        <v>731</v>
      </c>
      <c r="F43" s="91">
        <v>44587</v>
      </c>
      <c r="G43" s="90" t="s">
        <v>771</v>
      </c>
      <c r="H43" s="90" t="s">
        <v>802</v>
      </c>
      <c r="I43" s="90" t="s">
        <v>858</v>
      </c>
      <c r="J43" s="90" t="s">
        <v>735</v>
      </c>
      <c r="K43" s="93">
        <v>45</v>
      </c>
    </row>
    <row r="44" spans="1:11" ht="14.6" x14ac:dyDescent="0.4">
      <c r="A44" s="90"/>
      <c r="B44" s="90"/>
      <c r="C44" s="90"/>
      <c r="D44" s="90"/>
      <c r="E44" s="90" t="s">
        <v>731</v>
      </c>
      <c r="F44" s="91">
        <v>44587</v>
      </c>
      <c r="G44" s="90" t="s">
        <v>772</v>
      </c>
      <c r="H44" s="90" t="s">
        <v>802</v>
      </c>
      <c r="I44" s="90" t="s">
        <v>859</v>
      </c>
      <c r="J44" s="90" t="s">
        <v>735</v>
      </c>
      <c r="K44" s="93">
        <v>45</v>
      </c>
    </row>
    <row r="45" spans="1:11" ht="14.6" x14ac:dyDescent="0.4">
      <c r="A45" s="90"/>
      <c r="B45" s="90"/>
      <c r="C45" s="90"/>
      <c r="D45" s="90"/>
      <c r="E45" s="90" t="s">
        <v>731</v>
      </c>
      <c r="F45" s="91">
        <v>44587</v>
      </c>
      <c r="G45" s="90" t="s">
        <v>773</v>
      </c>
      <c r="H45" s="90" t="s">
        <v>802</v>
      </c>
      <c r="I45" s="90" t="s">
        <v>860</v>
      </c>
      <c r="J45" s="90" t="s">
        <v>735</v>
      </c>
      <c r="K45" s="93">
        <v>45</v>
      </c>
    </row>
    <row r="46" spans="1:11" ht="14.6" x14ac:dyDescent="0.4">
      <c r="A46" s="90"/>
      <c r="B46" s="90"/>
      <c r="C46" s="90"/>
      <c r="D46" s="90"/>
      <c r="E46" s="90" t="s">
        <v>731</v>
      </c>
      <c r="F46" s="91">
        <v>44587</v>
      </c>
      <c r="G46" s="90" t="s">
        <v>774</v>
      </c>
      <c r="H46" s="90" t="s">
        <v>802</v>
      </c>
      <c r="I46" s="90" t="s">
        <v>861</v>
      </c>
      <c r="J46" s="90" t="s">
        <v>735</v>
      </c>
      <c r="K46" s="93">
        <v>45</v>
      </c>
    </row>
    <row r="47" spans="1:11" ht="14.6" x14ac:dyDescent="0.4">
      <c r="A47" s="90"/>
      <c r="B47" s="90"/>
      <c r="C47" s="90"/>
      <c r="D47" s="90"/>
      <c r="E47" s="90" t="s">
        <v>731</v>
      </c>
      <c r="F47" s="91">
        <v>44587</v>
      </c>
      <c r="G47" s="90" t="s">
        <v>775</v>
      </c>
      <c r="H47" s="90" t="s">
        <v>802</v>
      </c>
      <c r="I47" s="90" t="s">
        <v>862</v>
      </c>
      <c r="J47" s="90" t="s">
        <v>735</v>
      </c>
      <c r="K47" s="93">
        <v>45</v>
      </c>
    </row>
    <row r="48" spans="1:11" ht="14.6" x14ac:dyDescent="0.4">
      <c r="A48" s="90"/>
      <c r="B48" s="90"/>
      <c r="C48" s="90"/>
      <c r="D48" s="90"/>
      <c r="E48" s="90" t="s">
        <v>731</v>
      </c>
      <c r="F48" s="91">
        <v>44589</v>
      </c>
      <c r="G48" s="90" t="s">
        <v>776</v>
      </c>
      <c r="H48" s="90" t="s">
        <v>807</v>
      </c>
      <c r="I48" s="90" t="s">
        <v>863</v>
      </c>
      <c r="J48" s="90" t="s">
        <v>735</v>
      </c>
      <c r="K48" s="93">
        <v>15</v>
      </c>
    </row>
    <row r="49" spans="1:11" ht="14.6" x14ac:dyDescent="0.4">
      <c r="A49" s="90"/>
      <c r="B49" s="90"/>
      <c r="C49" s="90"/>
      <c r="D49" s="90"/>
      <c r="E49" s="90" t="s">
        <v>731</v>
      </c>
      <c r="F49" s="91">
        <v>44589</v>
      </c>
      <c r="G49" s="90" t="s">
        <v>777</v>
      </c>
      <c r="H49" s="90" t="s">
        <v>808</v>
      </c>
      <c r="I49" s="90" t="s">
        <v>864</v>
      </c>
      <c r="J49" s="90" t="s">
        <v>735</v>
      </c>
      <c r="K49" s="93">
        <v>400</v>
      </c>
    </row>
    <row r="50" spans="1:11" ht="14.6" x14ac:dyDescent="0.4">
      <c r="A50" s="90"/>
      <c r="B50" s="90"/>
      <c r="C50" s="90"/>
      <c r="D50" s="90"/>
      <c r="E50" s="90" t="s">
        <v>731</v>
      </c>
      <c r="F50" s="91">
        <v>44593</v>
      </c>
      <c r="G50" s="90" t="s">
        <v>778</v>
      </c>
      <c r="H50" s="90" t="s">
        <v>809</v>
      </c>
      <c r="I50" s="90" t="s">
        <v>865</v>
      </c>
      <c r="J50" s="90" t="s">
        <v>888</v>
      </c>
      <c r="K50" s="93">
        <v>57</v>
      </c>
    </row>
    <row r="51" spans="1:11" ht="14.6" x14ac:dyDescent="0.4">
      <c r="A51" s="90"/>
      <c r="B51" s="90"/>
      <c r="C51" s="90"/>
      <c r="D51" s="90"/>
      <c r="E51" s="90" t="s">
        <v>653</v>
      </c>
      <c r="F51" s="91">
        <v>44596</v>
      </c>
      <c r="G51" s="90" t="s">
        <v>779</v>
      </c>
      <c r="H51" s="90" t="s">
        <v>810</v>
      </c>
      <c r="I51" s="90" t="s">
        <v>866</v>
      </c>
      <c r="J51" s="90" t="s">
        <v>678</v>
      </c>
      <c r="K51" s="93">
        <v>100</v>
      </c>
    </row>
    <row r="52" spans="1:11" ht="14.6" x14ac:dyDescent="0.4">
      <c r="A52" s="90"/>
      <c r="B52" s="90"/>
      <c r="C52" s="90"/>
      <c r="D52" s="90"/>
      <c r="E52" s="90" t="s">
        <v>731</v>
      </c>
      <c r="F52" s="91">
        <v>44599</v>
      </c>
      <c r="G52" s="90" t="s">
        <v>780</v>
      </c>
      <c r="H52" s="90" t="s">
        <v>811</v>
      </c>
      <c r="I52" s="90" t="s">
        <v>2645</v>
      </c>
      <c r="J52" s="90" t="s">
        <v>735</v>
      </c>
      <c r="K52" s="93">
        <v>5.99</v>
      </c>
    </row>
    <row r="53" spans="1:11" ht="14.6" x14ac:dyDescent="0.4">
      <c r="A53" s="90"/>
      <c r="B53" s="90"/>
      <c r="C53" s="90"/>
      <c r="D53" s="90"/>
      <c r="E53" s="90" t="s">
        <v>731</v>
      </c>
      <c r="F53" s="91">
        <v>44601</v>
      </c>
      <c r="G53" s="90" t="s">
        <v>781</v>
      </c>
      <c r="H53" s="90" t="s">
        <v>812</v>
      </c>
      <c r="I53" s="90" t="s">
        <v>867</v>
      </c>
      <c r="J53" s="90" t="s">
        <v>888</v>
      </c>
      <c r="K53" s="93">
        <v>816.96</v>
      </c>
    </row>
    <row r="54" spans="1:11" ht="14.6" x14ac:dyDescent="0.4">
      <c r="A54" s="90"/>
      <c r="B54" s="90"/>
      <c r="C54" s="90"/>
      <c r="D54" s="90"/>
      <c r="E54" s="90" t="s">
        <v>731</v>
      </c>
      <c r="F54" s="91">
        <v>44601</v>
      </c>
      <c r="G54" s="90" t="s">
        <v>782</v>
      </c>
      <c r="H54" s="90" t="s">
        <v>812</v>
      </c>
      <c r="I54" s="90" t="s">
        <v>868</v>
      </c>
      <c r="J54" s="90" t="s">
        <v>888</v>
      </c>
      <c r="K54" s="93">
        <v>888.41</v>
      </c>
    </row>
    <row r="55" spans="1:11" ht="14.6" x14ac:dyDescent="0.4">
      <c r="A55" s="90"/>
      <c r="B55" s="90"/>
      <c r="C55" s="90"/>
      <c r="D55" s="90"/>
      <c r="E55" s="90" t="s">
        <v>731</v>
      </c>
      <c r="F55" s="91">
        <v>44601</v>
      </c>
      <c r="G55" s="90" t="s">
        <v>783</v>
      </c>
      <c r="H55" s="90" t="s">
        <v>812</v>
      </c>
      <c r="I55" s="90" t="s">
        <v>869</v>
      </c>
      <c r="J55" s="90" t="s">
        <v>888</v>
      </c>
      <c r="K55" s="93">
        <v>1414.44</v>
      </c>
    </row>
    <row r="56" spans="1:11" ht="14.6" x14ac:dyDescent="0.4">
      <c r="A56" s="90"/>
      <c r="B56" s="90"/>
      <c r="C56" s="90"/>
      <c r="D56" s="90"/>
      <c r="E56" s="90" t="s">
        <v>731</v>
      </c>
      <c r="F56" s="91">
        <v>44601</v>
      </c>
      <c r="G56" s="90" t="s">
        <v>784</v>
      </c>
      <c r="H56" s="90" t="s">
        <v>812</v>
      </c>
      <c r="I56" s="90" t="s">
        <v>870</v>
      </c>
      <c r="J56" s="90" t="s">
        <v>888</v>
      </c>
      <c r="K56" s="93">
        <v>816.96</v>
      </c>
    </row>
    <row r="57" spans="1:11" ht="14.6" x14ac:dyDescent="0.4">
      <c r="A57" s="90"/>
      <c r="B57" s="90"/>
      <c r="C57" s="90"/>
      <c r="D57" s="90"/>
      <c r="E57" s="90" t="s">
        <v>731</v>
      </c>
      <c r="F57" s="91">
        <v>44601</v>
      </c>
      <c r="G57" s="90" t="s">
        <v>785</v>
      </c>
      <c r="H57" s="90" t="s">
        <v>812</v>
      </c>
      <c r="I57" s="90" t="s">
        <v>871</v>
      </c>
      <c r="J57" s="90" t="s">
        <v>888</v>
      </c>
      <c r="K57" s="93">
        <v>816.96</v>
      </c>
    </row>
    <row r="58" spans="1:11" ht="14.6" x14ac:dyDescent="0.4">
      <c r="A58" s="90"/>
      <c r="B58" s="90"/>
      <c r="C58" s="90"/>
      <c r="D58" s="90"/>
      <c r="E58" s="90" t="s">
        <v>731</v>
      </c>
      <c r="F58" s="91">
        <v>44601</v>
      </c>
      <c r="G58" s="90" t="s">
        <v>786</v>
      </c>
      <c r="H58" s="90" t="s">
        <v>812</v>
      </c>
      <c r="I58" s="90" t="s">
        <v>872</v>
      </c>
      <c r="J58" s="90" t="s">
        <v>888</v>
      </c>
      <c r="K58" s="93">
        <v>888.42</v>
      </c>
    </row>
    <row r="59" spans="1:11" ht="14.6" x14ac:dyDescent="0.4">
      <c r="A59" s="90"/>
      <c r="B59" s="90"/>
      <c r="C59" s="90"/>
      <c r="D59" s="90"/>
      <c r="E59" s="90" t="s">
        <v>731</v>
      </c>
      <c r="F59" s="91">
        <v>44601</v>
      </c>
      <c r="G59" s="90" t="s">
        <v>787</v>
      </c>
      <c r="H59" s="90" t="s">
        <v>812</v>
      </c>
      <c r="I59" s="90" t="s">
        <v>873</v>
      </c>
      <c r="J59" s="90" t="s">
        <v>888</v>
      </c>
      <c r="K59" s="93">
        <v>893.48</v>
      </c>
    </row>
    <row r="60" spans="1:11" ht="14.6" x14ac:dyDescent="0.4">
      <c r="A60" s="90"/>
      <c r="B60" s="90"/>
      <c r="C60" s="90"/>
      <c r="D60" s="90"/>
      <c r="E60" s="90" t="s">
        <v>731</v>
      </c>
      <c r="F60" s="91">
        <v>44601</v>
      </c>
      <c r="G60" s="90" t="s">
        <v>788</v>
      </c>
      <c r="H60" s="90" t="s">
        <v>812</v>
      </c>
      <c r="I60" s="90" t="s">
        <v>874</v>
      </c>
      <c r="J60" s="90" t="s">
        <v>888</v>
      </c>
      <c r="K60" s="93">
        <v>71.45</v>
      </c>
    </row>
    <row r="61" spans="1:11" ht="14.6" x14ac:dyDescent="0.4">
      <c r="A61" s="90"/>
      <c r="B61" s="90"/>
      <c r="C61" s="90"/>
      <c r="D61" s="90"/>
      <c r="E61" s="90" t="s">
        <v>653</v>
      </c>
      <c r="F61" s="91">
        <v>44602</v>
      </c>
      <c r="G61" s="90" t="s">
        <v>664</v>
      </c>
      <c r="H61" s="90" t="s">
        <v>813</v>
      </c>
      <c r="I61" s="90" t="s">
        <v>875</v>
      </c>
      <c r="J61" s="90" t="s">
        <v>678</v>
      </c>
      <c r="K61" s="93">
        <v>219.96</v>
      </c>
    </row>
    <row r="62" spans="1:11" ht="14.6" x14ac:dyDescent="0.4">
      <c r="A62" s="90"/>
      <c r="B62" s="90"/>
      <c r="C62" s="90"/>
      <c r="D62" s="90"/>
      <c r="E62" s="90" t="s">
        <v>653</v>
      </c>
      <c r="F62" s="91">
        <v>44606</v>
      </c>
      <c r="G62" s="90" t="s">
        <v>664</v>
      </c>
      <c r="H62" s="90" t="s">
        <v>814</v>
      </c>
      <c r="I62" s="90" t="s">
        <v>876</v>
      </c>
      <c r="J62" s="90" t="s">
        <v>678</v>
      </c>
      <c r="K62" s="93">
        <v>223.09</v>
      </c>
    </row>
    <row r="63" spans="1:11" ht="14.6" x14ac:dyDescent="0.4">
      <c r="A63" s="90"/>
      <c r="B63" s="90"/>
      <c r="C63" s="90"/>
      <c r="D63" s="90"/>
      <c r="E63" s="90" t="s">
        <v>653</v>
      </c>
      <c r="F63" s="91">
        <v>44606</v>
      </c>
      <c r="G63" s="90" t="s">
        <v>664</v>
      </c>
      <c r="H63" s="90" t="s">
        <v>815</v>
      </c>
      <c r="I63" s="90" t="s">
        <v>875</v>
      </c>
      <c r="J63" s="90" t="s">
        <v>678</v>
      </c>
      <c r="K63" s="93">
        <v>225.23</v>
      </c>
    </row>
    <row r="64" spans="1:11" ht="14.6" x14ac:dyDescent="0.4">
      <c r="A64" s="90"/>
      <c r="B64" s="90"/>
      <c r="C64" s="90"/>
      <c r="D64" s="90"/>
      <c r="E64" s="90" t="s">
        <v>653</v>
      </c>
      <c r="F64" s="91">
        <v>44606</v>
      </c>
      <c r="G64" s="90" t="s">
        <v>664</v>
      </c>
      <c r="H64" s="90" t="s">
        <v>816</v>
      </c>
      <c r="I64" s="90" t="s">
        <v>875</v>
      </c>
      <c r="J64" s="90" t="s">
        <v>678</v>
      </c>
      <c r="K64" s="93">
        <v>219.96</v>
      </c>
    </row>
    <row r="65" spans="1:11" ht="14.6" x14ac:dyDescent="0.4">
      <c r="A65" s="90"/>
      <c r="B65" s="90"/>
      <c r="C65" s="90"/>
      <c r="D65" s="90"/>
      <c r="E65" s="90" t="s">
        <v>653</v>
      </c>
      <c r="F65" s="91">
        <v>44607</v>
      </c>
      <c r="G65" s="90" t="s">
        <v>789</v>
      </c>
      <c r="H65" s="90" t="s">
        <v>744</v>
      </c>
      <c r="I65" s="90" t="s">
        <v>877</v>
      </c>
      <c r="J65" s="90" t="s">
        <v>678</v>
      </c>
      <c r="K65" s="93">
        <v>499</v>
      </c>
    </row>
    <row r="66" spans="1:11" ht="14.6" x14ac:dyDescent="0.4">
      <c r="A66" s="90"/>
      <c r="B66" s="90"/>
      <c r="C66" s="90"/>
      <c r="D66" s="90"/>
      <c r="E66" s="90" t="s">
        <v>653</v>
      </c>
      <c r="F66" s="91">
        <v>44608</v>
      </c>
      <c r="G66" s="90" t="s">
        <v>664</v>
      </c>
      <c r="H66" s="90" t="s">
        <v>817</v>
      </c>
      <c r="I66" s="90" t="s">
        <v>875</v>
      </c>
      <c r="J66" s="90" t="s">
        <v>678</v>
      </c>
      <c r="K66" s="93">
        <v>232.83</v>
      </c>
    </row>
    <row r="67" spans="1:11" ht="14.6" x14ac:dyDescent="0.4">
      <c r="A67" s="90"/>
      <c r="B67" s="90"/>
      <c r="C67" s="90"/>
      <c r="D67" s="90"/>
      <c r="E67" s="90" t="s">
        <v>653</v>
      </c>
      <c r="F67" s="91">
        <v>44608</v>
      </c>
      <c r="G67" s="90" t="s">
        <v>790</v>
      </c>
      <c r="H67" s="90" t="s">
        <v>799</v>
      </c>
      <c r="I67" s="90" t="s">
        <v>878</v>
      </c>
      <c r="J67" s="90" t="s">
        <v>678</v>
      </c>
      <c r="K67" s="93">
        <v>290</v>
      </c>
    </row>
    <row r="68" spans="1:11" ht="14.6" x14ac:dyDescent="0.4">
      <c r="A68" s="90"/>
      <c r="B68" s="90"/>
      <c r="C68" s="90"/>
      <c r="D68" s="90"/>
      <c r="E68" s="90" t="s">
        <v>653</v>
      </c>
      <c r="F68" s="91">
        <v>44608</v>
      </c>
      <c r="G68" s="90" t="s">
        <v>790</v>
      </c>
      <c r="H68" s="90" t="s">
        <v>799</v>
      </c>
      <c r="I68" s="90" t="s">
        <v>879</v>
      </c>
      <c r="J68" s="90" t="s">
        <v>678</v>
      </c>
      <c r="K68" s="93">
        <v>290</v>
      </c>
    </row>
    <row r="69" spans="1:11" ht="14.6" x14ac:dyDescent="0.4">
      <c r="A69" s="90"/>
      <c r="B69" s="90"/>
      <c r="C69" s="90"/>
      <c r="D69" s="90"/>
      <c r="E69" s="90" t="s">
        <v>653</v>
      </c>
      <c r="F69" s="91">
        <v>44609</v>
      </c>
      <c r="G69" s="90" t="s">
        <v>791</v>
      </c>
      <c r="H69" s="90" t="s">
        <v>802</v>
      </c>
      <c r="I69" s="90" t="s">
        <v>880</v>
      </c>
      <c r="J69" s="90" t="s">
        <v>678</v>
      </c>
      <c r="K69" s="93">
        <v>100</v>
      </c>
    </row>
    <row r="70" spans="1:11" ht="14.6" x14ac:dyDescent="0.4">
      <c r="A70" s="90"/>
      <c r="B70" s="90"/>
      <c r="C70" s="90"/>
      <c r="D70" s="90"/>
      <c r="E70" s="90" t="s">
        <v>755</v>
      </c>
      <c r="F70" s="91">
        <v>44609</v>
      </c>
      <c r="G70" s="90" t="s">
        <v>2029</v>
      </c>
      <c r="H70" s="90" t="s">
        <v>812</v>
      </c>
      <c r="I70" s="90" t="s">
        <v>2346</v>
      </c>
      <c r="J70" s="90" t="s">
        <v>888</v>
      </c>
      <c r="K70" s="93">
        <v>-549.24</v>
      </c>
    </row>
    <row r="71" spans="1:11" ht="14.6" x14ac:dyDescent="0.4">
      <c r="A71" s="90"/>
      <c r="B71" s="90"/>
      <c r="C71" s="90"/>
      <c r="D71" s="90"/>
      <c r="E71" s="90" t="s">
        <v>731</v>
      </c>
      <c r="F71" s="91">
        <v>44614</v>
      </c>
      <c r="G71" s="90" t="s">
        <v>1370</v>
      </c>
      <c r="H71" s="90" t="s">
        <v>805</v>
      </c>
      <c r="I71" s="90" t="s">
        <v>1392</v>
      </c>
      <c r="J71" s="90" t="s">
        <v>735</v>
      </c>
      <c r="K71" s="93">
        <v>100</v>
      </c>
    </row>
    <row r="72" spans="1:11" ht="14.6" x14ac:dyDescent="0.4">
      <c r="A72" s="90"/>
      <c r="B72" s="90"/>
      <c r="C72" s="90"/>
      <c r="D72" s="90"/>
      <c r="E72" s="90" t="s">
        <v>653</v>
      </c>
      <c r="F72" s="91">
        <v>44615</v>
      </c>
      <c r="G72" s="90" t="s">
        <v>664</v>
      </c>
      <c r="H72" s="90" t="s">
        <v>818</v>
      </c>
      <c r="I72" s="90" t="s">
        <v>881</v>
      </c>
      <c r="J72" s="90" t="s">
        <v>678</v>
      </c>
      <c r="K72" s="93">
        <v>257.92</v>
      </c>
    </row>
    <row r="73" spans="1:11" ht="14.6" x14ac:dyDescent="0.4">
      <c r="A73" s="90"/>
      <c r="B73" s="90"/>
      <c r="C73" s="90"/>
      <c r="D73" s="90"/>
      <c r="E73" s="90" t="s">
        <v>731</v>
      </c>
      <c r="F73" s="91">
        <v>44617</v>
      </c>
      <c r="G73" s="90" t="s">
        <v>1371</v>
      </c>
      <c r="H73" s="90" t="s">
        <v>802</v>
      </c>
      <c r="I73" s="90" t="s">
        <v>1393</v>
      </c>
      <c r="J73" s="90" t="s">
        <v>735</v>
      </c>
      <c r="K73" s="93">
        <v>45</v>
      </c>
    </row>
    <row r="74" spans="1:11" ht="14.6" x14ac:dyDescent="0.4">
      <c r="A74" s="90"/>
      <c r="B74" s="90"/>
      <c r="C74" s="90"/>
      <c r="D74" s="90"/>
      <c r="E74" s="90" t="s">
        <v>731</v>
      </c>
      <c r="F74" s="91">
        <v>44617</v>
      </c>
      <c r="G74" s="90" t="s">
        <v>1372</v>
      </c>
      <c r="H74" s="90" t="s">
        <v>802</v>
      </c>
      <c r="I74" s="90" t="s">
        <v>1394</v>
      </c>
      <c r="J74" s="90" t="s">
        <v>735</v>
      </c>
      <c r="K74" s="93">
        <v>45</v>
      </c>
    </row>
    <row r="75" spans="1:11" ht="14.6" x14ac:dyDescent="0.4">
      <c r="A75" s="90"/>
      <c r="B75" s="90"/>
      <c r="C75" s="90"/>
      <c r="D75" s="90"/>
      <c r="E75" s="90" t="s">
        <v>731</v>
      </c>
      <c r="F75" s="91">
        <v>44617</v>
      </c>
      <c r="G75" s="90" t="s">
        <v>1373</v>
      </c>
      <c r="H75" s="90" t="s">
        <v>802</v>
      </c>
      <c r="I75" s="90" t="s">
        <v>1395</v>
      </c>
      <c r="J75" s="90" t="s">
        <v>735</v>
      </c>
      <c r="K75" s="93">
        <v>45</v>
      </c>
    </row>
    <row r="76" spans="1:11" ht="14.6" x14ac:dyDescent="0.4">
      <c r="A76" s="90"/>
      <c r="B76" s="90"/>
      <c r="C76" s="90"/>
      <c r="D76" s="90"/>
      <c r="E76" s="90" t="s">
        <v>731</v>
      </c>
      <c r="F76" s="91">
        <v>44620</v>
      </c>
      <c r="G76" s="90" t="s">
        <v>1374</v>
      </c>
      <c r="H76" s="90" t="s">
        <v>802</v>
      </c>
      <c r="I76" s="90" t="s">
        <v>1396</v>
      </c>
      <c r="J76" s="90" t="s">
        <v>735</v>
      </c>
      <c r="K76" s="93">
        <v>67.5</v>
      </c>
    </row>
    <row r="77" spans="1:11" ht="14.6" x14ac:dyDescent="0.4">
      <c r="A77" s="90"/>
      <c r="B77" s="90"/>
      <c r="C77" s="90"/>
      <c r="D77" s="90"/>
      <c r="E77" s="90" t="s">
        <v>653</v>
      </c>
      <c r="F77" s="91">
        <v>44621</v>
      </c>
      <c r="G77" s="90" t="s">
        <v>792</v>
      </c>
      <c r="H77" s="90" t="s">
        <v>819</v>
      </c>
      <c r="I77" s="90" t="s">
        <v>882</v>
      </c>
      <c r="J77" s="90" t="s">
        <v>678</v>
      </c>
      <c r="K77" s="93">
        <v>605.5</v>
      </c>
    </row>
    <row r="78" spans="1:11" ht="14.6" x14ac:dyDescent="0.4">
      <c r="A78" s="90"/>
      <c r="B78" s="90"/>
      <c r="C78" s="90"/>
      <c r="D78" s="90"/>
      <c r="E78" s="90" t="s">
        <v>653</v>
      </c>
      <c r="F78" s="91">
        <v>44623</v>
      </c>
      <c r="G78" s="90" t="s">
        <v>793</v>
      </c>
      <c r="H78" s="90" t="s">
        <v>820</v>
      </c>
      <c r="I78" s="90" t="s">
        <v>883</v>
      </c>
      <c r="J78" s="90" t="s">
        <v>678</v>
      </c>
      <c r="K78" s="93">
        <v>112</v>
      </c>
    </row>
    <row r="79" spans="1:11" ht="14.6" x14ac:dyDescent="0.4">
      <c r="A79" s="90"/>
      <c r="B79" s="90"/>
      <c r="C79" s="90"/>
      <c r="D79" s="90"/>
      <c r="E79" s="90" t="s">
        <v>731</v>
      </c>
      <c r="F79" s="91">
        <v>44623</v>
      </c>
      <c r="G79" s="90" t="s">
        <v>1375</v>
      </c>
      <c r="H79" s="90" t="s">
        <v>802</v>
      </c>
      <c r="I79" s="90" t="s">
        <v>1397</v>
      </c>
      <c r="J79" s="90" t="s">
        <v>735</v>
      </c>
      <c r="K79" s="93">
        <v>45</v>
      </c>
    </row>
    <row r="80" spans="1:11" ht="14.6" x14ac:dyDescent="0.4">
      <c r="A80" s="90"/>
      <c r="B80" s="90"/>
      <c r="C80" s="90"/>
      <c r="D80" s="90"/>
      <c r="E80" s="90" t="s">
        <v>756</v>
      </c>
      <c r="F80" s="91">
        <v>44628</v>
      </c>
      <c r="G80" s="90" t="s">
        <v>794</v>
      </c>
      <c r="H80" s="90" t="s">
        <v>816</v>
      </c>
      <c r="I80" s="90" t="s">
        <v>884</v>
      </c>
      <c r="J80" s="90" t="s">
        <v>679</v>
      </c>
      <c r="K80" s="93">
        <v>-465.97</v>
      </c>
    </row>
    <row r="81" spans="1:11" ht="14.6" x14ac:dyDescent="0.4">
      <c r="A81" s="90"/>
      <c r="B81" s="90"/>
      <c r="C81" s="90"/>
      <c r="D81" s="90"/>
      <c r="E81" s="90" t="s">
        <v>731</v>
      </c>
      <c r="F81" s="91">
        <v>44634</v>
      </c>
      <c r="G81" s="90" t="s">
        <v>2030</v>
      </c>
      <c r="H81" s="90" t="s">
        <v>799</v>
      </c>
      <c r="I81" s="90" t="s">
        <v>2347</v>
      </c>
      <c r="J81" s="90" t="s">
        <v>735</v>
      </c>
      <c r="K81" s="93">
        <v>50</v>
      </c>
    </row>
    <row r="82" spans="1:11" ht="14.6" x14ac:dyDescent="0.4">
      <c r="A82" s="90"/>
      <c r="B82" s="90"/>
      <c r="C82" s="90"/>
      <c r="D82" s="90"/>
      <c r="E82" s="90" t="s">
        <v>653</v>
      </c>
      <c r="F82" s="91">
        <v>44635</v>
      </c>
      <c r="G82" s="90" t="s">
        <v>795</v>
      </c>
      <c r="H82" s="90" t="s">
        <v>820</v>
      </c>
      <c r="I82" s="90" t="s">
        <v>885</v>
      </c>
      <c r="J82" s="90" t="s">
        <v>678</v>
      </c>
      <c r="K82" s="93">
        <v>112</v>
      </c>
    </row>
    <row r="83" spans="1:11" ht="14.6" x14ac:dyDescent="0.4">
      <c r="A83" s="90"/>
      <c r="B83" s="90"/>
      <c r="C83" s="90"/>
      <c r="D83" s="90"/>
      <c r="E83" s="90" t="s">
        <v>653</v>
      </c>
      <c r="F83" s="91">
        <v>44635</v>
      </c>
      <c r="G83" s="90" t="s">
        <v>796</v>
      </c>
      <c r="H83" s="90" t="s">
        <v>820</v>
      </c>
      <c r="I83" s="90" t="s">
        <v>886</v>
      </c>
      <c r="J83" s="90" t="s">
        <v>678</v>
      </c>
      <c r="K83" s="93">
        <v>112</v>
      </c>
    </row>
    <row r="84" spans="1:11" ht="14.6" x14ac:dyDescent="0.4">
      <c r="A84" s="90"/>
      <c r="B84" s="90"/>
      <c r="C84" s="90"/>
      <c r="D84" s="90"/>
      <c r="E84" s="90" t="s">
        <v>653</v>
      </c>
      <c r="F84" s="91">
        <v>44635</v>
      </c>
      <c r="G84" s="90" t="s">
        <v>797</v>
      </c>
      <c r="H84" s="90" t="s">
        <v>820</v>
      </c>
      <c r="I84" s="90" t="s">
        <v>887</v>
      </c>
      <c r="J84" s="90" t="s">
        <v>678</v>
      </c>
      <c r="K84" s="93">
        <v>112</v>
      </c>
    </row>
    <row r="85" spans="1:11" ht="14.6" x14ac:dyDescent="0.4">
      <c r="A85" s="90"/>
      <c r="B85" s="90"/>
      <c r="C85" s="90"/>
      <c r="D85" s="90"/>
      <c r="E85" s="90" t="s">
        <v>756</v>
      </c>
      <c r="F85" s="91">
        <v>44637</v>
      </c>
      <c r="G85" s="90" t="s">
        <v>1376</v>
      </c>
      <c r="H85" s="90" t="s">
        <v>816</v>
      </c>
      <c r="I85" s="90" t="s">
        <v>1407</v>
      </c>
      <c r="J85" s="90" t="s">
        <v>679</v>
      </c>
      <c r="K85" s="93">
        <v>-236.96</v>
      </c>
    </row>
    <row r="86" spans="1:11" ht="14.6" x14ac:dyDescent="0.4">
      <c r="A86" s="90"/>
      <c r="B86" s="90"/>
      <c r="C86" s="90"/>
      <c r="D86" s="90"/>
      <c r="E86" s="90" t="s">
        <v>653</v>
      </c>
      <c r="F86" s="91">
        <v>44638</v>
      </c>
      <c r="G86" s="90" t="s">
        <v>2031</v>
      </c>
      <c r="H86" s="90" t="s">
        <v>1428</v>
      </c>
      <c r="I86" s="90" t="s">
        <v>2348</v>
      </c>
      <c r="J86" s="90" t="s">
        <v>678</v>
      </c>
      <c r="K86" s="93">
        <v>15</v>
      </c>
    </row>
    <row r="87" spans="1:11" ht="14.6" x14ac:dyDescent="0.4">
      <c r="A87" s="90"/>
      <c r="B87" s="90"/>
      <c r="C87" s="90"/>
      <c r="D87" s="90"/>
      <c r="E87" s="90" t="s">
        <v>731</v>
      </c>
      <c r="F87" s="91">
        <v>44642</v>
      </c>
      <c r="G87" s="90" t="s">
        <v>1377</v>
      </c>
      <c r="H87" s="90" t="s">
        <v>805</v>
      </c>
      <c r="I87" s="90" t="s">
        <v>1392</v>
      </c>
      <c r="J87" s="90" t="s">
        <v>735</v>
      </c>
      <c r="K87" s="93">
        <v>100</v>
      </c>
    </row>
    <row r="88" spans="1:11" ht="14.6" x14ac:dyDescent="0.4">
      <c r="A88" s="90"/>
      <c r="B88" s="90"/>
      <c r="C88" s="90"/>
      <c r="D88" s="90"/>
      <c r="E88" s="90" t="s">
        <v>653</v>
      </c>
      <c r="F88" s="91">
        <v>44643</v>
      </c>
      <c r="G88" s="90" t="s">
        <v>1378</v>
      </c>
      <c r="H88" s="90" t="s">
        <v>1388</v>
      </c>
      <c r="I88" s="90" t="s">
        <v>843</v>
      </c>
      <c r="J88" s="90" t="s">
        <v>678</v>
      </c>
      <c r="K88" s="93">
        <v>10</v>
      </c>
    </row>
    <row r="89" spans="1:11" ht="14.6" x14ac:dyDescent="0.4">
      <c r="A89" s="90"/>
      <c r="B89" s="90"/>
      <c r="C89" s="90"/>
      <c r="D89" s="90"/>
      <c r="E89" s="90" t="s">
        <v>653</v>
      </c>
      <c r="F89" s="91">
        <v>44643</v>
      </c>
      <c r="G89" s="90" t="s">
        <v>1378</v>
      </c>
      <c r="H89" s="90" t="s">
        <v>1388</v>
      </c>
      <c r="I89" s="90" t="s">
        <v>840</v>
      </c>
      <c r="J89" s="90" t="s">
        <v>678</v>
      </c>
      <c r="K89" s="93">
        <v>10</v>
      </c>
    </row>
    <row r="90" spans="1:11" ht="14.6" x14ac:dyDescent="0.4">
      <c r="A90" s="90"/>
      <c r="B90" s="90"/>
      <c r="C90" s="90"/>
      <c r="D90" s="90"/>
      <c r="E90" s="90" t="s">
        <v>653</v>
      </c>
      <c r="F90" s="91">
        <v>44643</v>
      </c>
      <c r="G90" s="90" t="s">
        <v>1378</v>
      </c>
      <c r="H90" s="90" t="s">
        <v>1388</v>
      </c>
      <c r="I90" s="90" t="s">
        <v>850</v>
      </c>
      <c r="J90" s="90" t="s">
        <v>678</v>
      </c>
      <c r="K90" s="93">
        <v>10</v>
      </c>
    </row>
    <row r="91" spans="1:11" ht="14.6" x14ac:dyDescent="0.4">
      <c r="A91" s="90"/>
      <c r="B91" s="90"/>
      <c r="C91" s="90"/>
      <c r="D91" s="90"/>
      <c r="E91" s="90" t="s">
        <v>653</v>
      </c>
      <c r="F91" s="91">
        <v>44643</v>
      </c>
      <c r="G91" s="90" t="s">
        <v>1378</v>
      </c>
      <c r="H91" s="90" t="s">
        <v>1388</v>
      </c>
      <c r="I91" s="90" t="s">
        <v>841</v>
      </c>
      <c r="J91" s="90" t="s">
        <v>678</v>
      </c>
      <c r="K91" s="93">
        <v>10</v>
      </c>
    </row>
    <row r="92" spans="1:11" ht="14.6" x14ac:dyDescent="0.4">
      <c r="A92" s="90"/>
      <c r="B92" s="90"/>
      <c r="C92" s="90"/>
      <c r="D92" s="90"/>
      <c r="E92" s="90" t="s">
        <v>653</v>
      </c>
      <c r="F92" s="91">
        <v>44643</v>
      </c>
      <c r="G92" s="90" t="s">
        <v>1378</v>
      </c>
      <c r="H92" s="90" t="s">
        <v>1388</v>
      </c>
      <c r="I92" s="90" t="s">
        <v>846</v>
      </c>
      <c r="J92" s="90" t="s">
        <v>678</v>
      </c>
      <c r="K92" s="93">
        <v>10</v>
      </c>
    </row>
    <row r="93" spans="1:11" ht="14.6" x14ac:dyDescent="0.4">
      <c r="A93" s="90"/>
      <c r="B93" s="90"/>
      <c r="C93" s="90"/>
      <c r="D93" s="90"/>
      <c r="E93" s="90" t="s">
        <v>653</v>
      </c>
      <c r="F93" s="91">
        <v>44643</v>
      </c>
      <c r="G93" s="90" t="s">
        <v>1378</v>
      </c>
      <c r="H93" s="90" t="s">
        <v>1388</v>
      </c>
      <c r="I93" s="90" t="s">
        <v>852</v>
      </c>
      <c r="J93" s="90" t="s">
        <v>678</v>
      </c>
      <c r="K93" s="93">
        <v>10</v>
      </c>
    </row>
    <row r="94" spans="1:11" ht="14.6" x14ac:dyDescent="0.4">
      <c r="A94" s="90"/>
      <c r="B94" s="90"/>
      <c r="C94" s="90"/>
      <c r="D94" s="90"/>
      <c r="E94" s="90" t="s">
        <v>653</v>
      </c>
      <c r="F94" s="91">
        <v>44649</v>
      </c>
      <c r="G94" s="90" t="s">
        <v>1379</v>
      </c>
      <c r="H94" s="90" t="s">
        <v>820</v>
      </c>
      <c r="I94" s="90" t="s">
        <v>1398</v>
      </c>
      <c r="J94" s="90" t="s">
        <v>678</v>
      </c>
      <c r="K94" s="93">
        <v>112</v>
      </c>
    </row>
    <row r="95" spans="1:11" ht="14.6" x14ac:dyDescent="0.4">
      <c r="A95" s="90"/>
      <c r="B95" s="90"/>
      <c r="C95" s="90"/>
      <c r="D95" s="90"/>
      <c r="E95" s="90" t="s">
        <v>653</v>
      </c>
      <c r="F95" s="91">
        <v>44649</v>
      </c>
      <c r="G95" s="90" t="s">
        <v>1380</v>
      </c>
      <c r="H95" s="90" t="s">
        <v>802</v>
      </c>
      <c r="I95" s="90" t="s">
        <v>1399</v>
      </c>
      <c r="J95" s="90" t="s">
        <v>678</v>
      </c>
      <c r="K95" s="93">
        <v>100</v>
      </c>
    </row>
    <row r="96" spans="1:11" ht="14.6" x14ac:dyDescent="0.4">
      <c r="A96" s="90"/>
      <c r="B96" s="90"/>
      <c r="C96" s="90"/>
      <c r="D96" s="90"/>
      <c r="E96" s="90" t="s">
        <v>653</v>
      </c>
      <c r="F96" s="91">
        <v>44649</v>
      </c>
      <c r="G96" s="90" t="s">
        <v>1381</v>
      </c>
      <c r="H96" s="90" t="s">
        <v>1389</v>
      </c>
      <c r="I96" s="90" t="s">
        <v>1400</v>
      </c>
      <c r="J96" s="90" t="s">
        <v>678</v>
      </c>
      <c r="K96" s="93">
        <v>255</v>
      </c>
    </row>
    <row r="97" spans="1:11" ht="14.6" x14ac:dyDescent="0.4">
      <c r="A97" s="90"/>
      <c r="B97" s="90"/>
      <c r="C97" s="90"/>
      <c r="D97" s="90"/>
      <c r="E97" s="90" t="s">
        <v>731</v>
      </c>
      <c r="F97" s="91">
        <v>44649</v>
      </c>
      <c r="G97" s="90" t="s">
        <v>1382</v>
      </c>
      <c r="H97" s="90" t="s">
        <v>804</v>
      </c>
      <c r="I97" s="90" t="s">
        <v>1401</v>
      </c>
      <c r="J97" s="90" t="s">
        <v>888</v>
      </c>
      <c r="K97" s="93">
        <v>117.95</v>
      </c>
    </row>
    <row r="98" spans="1:11" ht="14.6" x14ac:dyDescent="0.4">
      <c r="A98" s="90"/>
      <c r="B98" s="90"/>
      <c r="C98" s="90"/>
      <c r="D98" s="90"/>
      <c r="E98" s="90" t="s">
        <v>731</v>
      </c>
      <c r="F98" s="91">
        <v>44651</v>
      </c>
      <c r="G98" s="90" t="s">
        <v>1383</v>
      </c>
      <c r="H98" s="90" t="s">
        <v>819</v>
      </c>
      <c r="I98" s="90" t="s">
        <v>882</v>
      </c>
      <c r="J98" s="90" t="s">
        <v>735</v>
      </c>
      <c r="K98" s="93">
        <v>312</v>
      </c>
    </row>
    <row r="99" spans="1:11" ht="14.6" x14ac:dyDescent="0.4">
      <c r="A99" s="90"/>
      <c r="B99" s="90"/>
      <c r="C99" s="90"/>
      <c r="D99" s="90"/>
      <c r="E99" s="90" t="s">
        <v>731</v>
      </c>
      <c r="F99" s="91">
        <v>44651</v>
      </c>
      <c r="G99" s="90" t="s">
        <v>1384</v>
      </c>
      <c r="H99" s="90" t="s">
        <v>802</v>
      </c>
      <c r="I99" s="90" t="s">
        <v>1402</v>
      </c>
      <c r="J99" s="90" t="s">
        <v>735</v>
      </c>
      <c r="K99" s="93">
        <v>45</v>
      </c>
    </row>
    <row r="100" spans="1:11" ht="14.6" x14ac:dyDescent="0.4">
      <c r="A100" s="90"/>
      <c r="B100" s="90"/>
      <c r="C100" s="90"/>
      <c r="D100" s="90"/>
      <c r="E100" s="90" t="s">
        <v>731</v>
      </c>
      <c r="F100" s="91">
        <v>44651</v>
      </c>
      <c r="G100" s="90" t="s">
        <v>1385</v>
      </c>
      <c r="H100" s="90" t="s">
        <v>802</v>
      </c>
      <c r="I100" s="90" t="s">
        <v>1403</v>
      </c>
      <c r="J100" s="90" t="s">
        <v>735</v>
      </c>
      <c r="K100" s="93">
        <v>45</v>
      </c>
    </row>
    <row r="101" spans="1:11" ht="14.6" x14ac:dyDescent="0.4">
      <c r="A101" s="90"/>
      <c r="B101" s="90"/>
      <c r="C101" s="90"/>
      <c r="D101" s="90"/>
      <c r="E101" s="90" t="s">
        <v>731</v>
      </c>
      <c r="F101" s="91">
        <v>44651</v>
      </c>
      <c r="G101" s="90" t="s">
        <v>1386</v>
      </c>
      <c r="H101" s="90" t="s">
        <v>802</v>
      </c>
      <c r="I101" s="90" t="s">
        <v>1404</v>
      </c>
      <c r="J101" s="90" t="s">
        <v>735</v>
      </c>
      <c r="K101" s="93">
        <v>45</v>
      </c>
    </row>
    <row r="102" spans="1:11" ht="14.6" x14ac:dyDescent="0.4">
      <c r="A102" s="90"/>
      <c r="B102" s="90"/>
      <c r="C102" s="90"/>
      <c r="D102" s="90"/>
      <c r="E102" s="90" t="s">
        <v>653</v>
      </c>
      <c r="F102" s="91">
        <v>44652</v>
      </c>
      <c r="G102" s="90" t="s">
        <v>985</v>
      </c>
      <c r="H102" s="90" t="s">
        <v>1390</v>
      </c>
      <c r="I102" s="90" t="s">
        <v>1405</v>
      </c>
      <c r="J102" s="90" t="s">
        <v>678</v>
      </c>
      <c r="K102" s="93">
        <v>26.64</v>
      </c>
    </row>
    <row r="103" spans="1:11" ht="14.6" x14ac:dyDescent="0.4">
      <c r="A103" s="90"/>
      <c r="B103" s="90"/>
      <c r="C103" s="90"/>
      <c r="D103" s="90"/>
      <c r="E103" s="90" t="s">
        <v>731</v>
      </c>
      <c r="F103" s="91">
        <v>44659</v>
      </c>
      <c r="G103" s="90" t="s">
        <v>1387</v>
      </c>
      <c r="H103" s="90" t="s">
        <v>1391</v>
      </c>
      <c r="I103" s="90" t="s">
        <v>1406</v>
      </c>
      <c r="J103" s="90" t="s">
        <v>888</v>
      </c>
      <c r="K103" s="93">
        <v>23.1</v>
      </c>
    </row>
    <row r="104" spans="1:11" ht="14.6" x14ac:dyDescent="0.4">
      <c r="A104" s="90"/>
      <c r="B104" s="90"/>
      <c r="C104" s="90"/>
      <c r="D104" s="90"/>
      <c r="E104" s="90" t="s">
        <v>653</v>
      </c>
      <c r="F104" s="91">
        <v>44664</v>
      </c>
      <c r="G104" s="90" t="s">
        <v>985</v>
      </c>
      <c r="H104" s="90" t="s">
        <v>2265</v>
      </c>
      <c r="I104" s="90" t="s">
        <v>2349</v>
      </c>
      <c r="J104" s="90" t="s">
        <v>678</v>
      </c>
      <c r="K104" s="93">
        <v>178.38</v>
      </c>
    </row>
    <row r="105" spans="1:11" ht="14.6" x14ac:dyDescent="0.4">
      <c r="A105" s="90"/>
      <c r="B105" s="90"/>
      <c r="C105" s="90"/>
      <c r="D105" s="90"/>
      <c r="E105" s="90" t="s">
        <v>731</v>
      </c>
      <c r="F105" s="91">
        <v>44664</v>
      </c>
      <c r="G105" s="90" t="s">
        <v>2032</v>
      </c>
      <c r="H105" s="90" t="s">
        <v>1002</v>
      </c>
      <c r="I105" s="90" t="s">
        <v>2350</v>
      </c>
      <c r="J105" s="90" t="s">
        <v>888</v>
      </c>
      <c r="K105" s="93">
        <v>994.2</v>
      </c>
    </row>
    <row r="106" spans="1:11" ht="14.6" x14ac:dyDescent="0.4">
      <c r="A106" s="90"/>
      <c r="B106" s="90"/>
      <c r="C106" s="90"/>
      <c r="D106" s="90"/>
      <c r="E106" s="90" t="s">
        <v>731</v>
      </c>
      <c r="F106" s="91">
        <v>44664</v>
      </c>
      <c r="G106" s="90" t="s">
        <v>2032</v>
      </c>
      <c r="H106" s="90" t="s">
        <v>1002</v>
      </c>
      <c r="I106" s="90" t="s">
        <v>2351</v>
      </c>
      <c r="J106" s="90" t="s">
        <v>888</v>
      </c>
      <c r="K106" s="93">
        <v>994.2</v>
      </c>
    </row>
    <row r="107" spans="1:11" ht="14.6" x14ac:dyDescent="0.4">
      <c r="A107" s="90"/>
      <c r="B107" s="90"/>
      <c r="C107" s="90"/>
      <c r="D107" s="90"/>
      <c r="E107" s="90" t="s">
        <v>731</v>
      </c>
      <c r="F107" s="91">
        <v>44664</v>
      </c>
      <c r="G107" s="90" t="s">
        <v>2032</v>
      </c>
      <c r="H107" s="90" t="s">
        <v>1002</v>
      </c>
      <c r="I107" s="90" t="s">
        <v>2352</v>
      </c>
      <c r="J107" s="90" t="s">
        <v>888</v>
      </c>
      <c r="K107" s="93">
        <v>994.2</v>
      </c>
    </row>
    <row r="108" spans="1:11" ht="14.6" x14ac:dyDescent="0.4">
      <c r="A108" s="90"/>
      <c r="B108" s="90"/>
      <c r="C108" s="90"/>
      <c r="D108" s="90"/>
      <c r="E108" s="90" t="s">
        <v>731</v>
      </c>
      <c r="F108" s="91">
        <v>44664</v>
      </c>
      <c r="G108" s="90" t="s">
        <v>2033</v>
      </c>
      <c r="H108" s="90" t="s">
        <v>2266</v>
      </c>
      <c r="I108" s="90" t="s">
        <v>2353</v>
      </c>
      <c r="J108" s="90" t="s">
        <v>888</v>
      </c>
      <c r="K108" s="93">
        <v>39.93</v>
      </c>
    </row>
    <row r="109" spans="1:11" ht="14.6" x14ac:dyDescent="0.4">
      <c r="A109" s="90"/>
      <c r="B109" s="90"/>
      <c r="C109" s="90"/>
      <c r="D109" s="90"/>
      <c r="E109" s="90" t="s">
        <v>731</v>
      </c>
      <c r="F109" s="91">
        <v>44664</v>
      </c>
      <c r="G109" s="90" t="s">
        <v>2034</v>
      </c>
      <c r="H109" s="90" t="s">
        <v>2267</v>
      </c>
      <c r="I109" s="90" t="s">
        <v>2354</v>
      </c>
      <c r="J109" s="90" t="s">
        <v>888</v>
      </c>
      <c r="K109" s="93">
        <v>27</v>
      </c>
    </row>
    <row r="110" spans="1:11" ht="14.6" x14ac:dyDescent="0.4">
      <c r="A110" s="90"/>
      <c r="B110" s="90"/>
      <c r="C110" s="90"/>
      <c r="D110" s="90"/>
      <c r="E110" s="90" t="s">
        <v>731</v>
      </c>
      <c r="F110" s="91">
        <v>44664</v>
      </c>
      <c r="G110" s="90" t="s">
        <v>2035</v>
      </c>
      <c r="H110" s="90" t="s">
        <v>2268</v>
      </c>
      <c r="I110" s="90" t="s">
        <v>2355</v>
      </c>
      <c r="J110" s="90" t="s">
        <v>888</v>
      </c>
      <c r="K110" s="93">
        <v>26.99</v>
      </c>
    </row>
    <row r="111" spans="1:11" ht="14.6" x14ac:dyDescent="0.4">
      <c r="A111" s="90"/>
      <c r="B111" s="90"/>
      <c r="C111" s="90"/>
      <c r="D111" s="90"/>
      <c r="E111" s="90" t="s">
        <v>653</v>
      </c>
      <c r="F111" s="91">
        <v>44665</v>
      </c>
      <c r="G111" s="90" t="s">
        <v>985</v>
      </c>
      <c r="H111" s="90" t="s">
        <v>814</v>
      </c>
      <c r="I111" s="90" t="s">
        <v>2356</v>
      </c>
      <c r="J111" s="90" t="s">
        <v>678</v>
      </c>
      <c r="K111" s="93">
        <v>937.37</v>
      </c>
    </row>
    <row r="112" spans="1:11" ht="14.6" x14ac:dyDescent="0.4">
      <c r="A112" s="90"/>
      <c r="B112" s="90"/>
      <c r="C112" s="90"/>
      <c r="D112" s="90"/>
      <c r="E112" s="90" t="s">
        <v>731</v>
      </c>
      <c r="F112" s="91">
        <v>44667</v>
      </c>
      <c r="G112" s="90" t="s">
        <v>2036</v>
      </c>
      <c r="H112" s="90" t="s">
        <v>2269</v>
      </c>
      <c r="I112" s="90" t="s">
        <v>2357</v>
      </c>
      <c r="J112" s="90" t="s">
        <v>735</v>
      </c>
      <c r="K112" s="93">
        <v>384</v>
      </c>
    </row>
    <row r="113" spans="1:11" ht="14.6" x14ac:dyDescent="0.4">
      <c r="A113" s="90"/>
      <c r="B113" s="90"/>
      <c r="C113" s="90"/>
      <c r="D113" s="90"/>
      <c r="E113" s="90" t="s">
        <v>731</v>
      </c>
      <c r="F113" s="91">
        <v>44672</v>
      </c>
      <c r="G113" s="90" t="s">
        <v>2037</v>
      </c>
      <c r="H113" s="90" t="s">
        <v>805</v>
      </c>
      <c r="I113" s="90" t="s">
        <v>1392</v>
      </c>
      <c r="J113" s="90" t="s">
        <v>735</v>
      </c>
      <c r="K113" s="93">
        <v>100</v>
      </c>
    </row>
    <row r="114" spans="1:11" ht="14.6" x14ac:dyDescent="0.4">
      <c r="A114" s="90"/>
      <c r="B114" s="90"/>
      <c r="C114" s="90"/>
      <c r="D114" s="90"/>
      <c r="E114" s="90" t="s">
        <v>731</v>
      </c>
      <c r="F114" s="91">
        <v>44673</v>
      </c>
      <c r="G114" s="90" t="s">
        <v>2038</v>
      </c>
      <c r="H114" s="90" t="s">
        <v>799</v>
      </c>
      <c r="I114" s="90" t="s">
        <v>2358</v>
      </c>
      <c r="J114" s="90" t="s">
        <v>735</v>
      </c>
      <c r="K114" s="93">
        <v>75</v>
      </c>
    </row>
    <row r="115" spans="1:11" ht="14.6" x14ac:dyDescent="0.4">
      <c r="A115" s="90"/>
      <c r="B115" s="90"/>
      <c r="C115" s="90"/>
      <c r="D115" s="90"/>
      <c r="E115" s="90" t="s">
        <v>731</v>
      </c>
      <c r="F115" s="91">
        <v>44685</v>
      </c>
      <c r="G115" s="90" t="s">
        <v>2039</v>
      </c>
      <c r="H115" s="90" t="s">
        <v>2270</v>
      </c>
      <c r="I115" s="90" t="s">
        <v>2359</v>
      </c>
      <c r="J115" s="90" t="s">
        <v>888</v>
      </c>
      <c r="K115" s="93">
        <v>25.56</v>
      </c>
    </row>
    <row r="116" spans="1:11" ht="14.6" x14ac:dyDescent="0.4">
      <c r="A116" s="90"/>
      <c r="B116" s="90"/>
      <c r="C116" s="90"/>
      <c r="D116" s="90"/>
      <c r="E116" s="90" t="s">
        <v>731</v>
      </c>
      <c r="F116" s="91">
        <v>44686</v>
      </c>
      <c r="G116" s="90" t="s">
        <v>2040</v>
      </c>
      <c r="H116" s="90" t="s">
        <v>2271</v>
      </c>
      <c r="I116" s="90" t="s">
        <v>2360</v>
      </c>
      <c r="J116" s="90" t="s">
        <v>888</v>
      </c>
      <c r="K116" s="93">
        <v>3</v>
      </c>
    </row>
    <row r="117" spans="1:11" ht="14.6" x14ac:dyDescent="0.4">
      <c r="A117" s="90"/>
      <c r="B117" s="90"/>
      <c r="C117" s="90"/>
      <c r="D117" s="90"/>
      <c r="E117" s="90" t="s">
        <v>731</v>
      </c>
      <c r="F117" s="91">
        <v>44686</v>
      </c>
      <c r="G117" s="90" t="s">
        <v>2041</v>
      </c>
      <c r="H117" s="90" t="s">
        <v>2272</v>
      </c>
      <c r="I117" s="90" t="s">
        <v>2361</v>
      </c>
      <c r="J117" s="90" t="s">
        <v>735</v>
      </c>
      <c r="K117" s="93">
        <v>478</v>
      </c>
    </row>
    <row r="118" spans="1:11" ht="14.6" x14ac:dyDescent="0.4">
      <c r="A118" s="90"/>
      <c r="B118" s="90"/>
      <c r="C118" s="90"/>
      <c r="D118" s="90"/>
      <c r="E118" s="90" t="s">
        <v>653</v>
      </c>
      <c r="F118" s="91">
        <v>44693</v>
      </c>
      <c r="G118" s="90" t="s">
        <v>2042</v>
      </c>
      <c r="H118" s="90" t="s">
        <v>2273</v>
      </c>
      <c r="I118" s="90" t="s">
        <v>2362</v>
      </c>
      <c r="J118" s="90" t="s">
        <v>678</v>
      </c>
      <c r="K118" s="93">
        <v>4489</v>
      </c>
    </row>
    <row r="119" spans="1:11" ht="14.6" x14ac:dyDescent="0.4">
      <c r="A119" s="90"/>
      <c r="B119" s="90"/>
      <c r="C119" s="90"/>
      <c r="D119" s="90"/>
      <c r="E119" s="90" t="s">
        <v>731</v>
      </c>
      <c r="F119" s="91">
        <v>44696</v>
      </c>
      <c r="G119" s="90" t="s">
        <v>2043</v>
      </c>
      <c r="H119" s="90" t="s">
        <v>2274</v>
      </c>
      <c r="I119" s="90" t="s">
        <v>2363</v>
      </c>
      <c r="J119" s="90" t="s">
        <v>888</v>
      </c>
      <c r="K119" s="93">
        <v>52</v>
      </c>
    </row>
    <row r="120" spans="1:11" ht="14.6" x14ac:dyDescent="0.4">
      <c r="A120" s="90"/>
      <c r="B120" s="90"/>
      <c r="C120" s="90"/>
      <c r="D120" s="90"/>
      <c r="E120" s="90" t="s">
        <v>731</v>
      </c>
      <c r="F120" s="91">
        <v>44696</v>
      </c>
      <c r="G120" s="90" t="s">
        <v>2044</v>
      </c>
      <c r="H120" s="90" t="s">
        <v>2275</v>
      </c>
      <c r="I120" s="90" t="s">
        <v>2364</v>
      </c>
      <c r="J120" s="90" t="s">
        <v>888</v>
      </c>
      <c r="K120" s="93">
        <v>26.34</v>
      </c>
    </row>
    <row r="121" spans="1:11" ht="14.6" x14ac:dyDescent="0.4">
      <c r="A121" s="90"/>
      <c r="B121" s="90"/>
      <c r="C121" s="90"/>
      <c r="D121" s="90"/>
      <c r="E121" s="90" t="s">
        <v>731</v>
      </c>
      <c r="F121" s="91">
        <v>44696</v>
      </c>
      <c r="G121" s="90" t="s">
        <v>2045</v>
      </c>
      <c r="H121" s="90" t="s">
        <v>2276</v>
      </c>
      <c r="I121" s="90" t="s">
        <v>2365</v>
      </c>
      <c r="J121" s="90" t="s">
        <v>888</v>
      </c>
      <c r="K121" s="93">
        <v>62.2</v>
      </c>
    </row>
    <row r="122" spans="1:11" ht="14.6" x14ac:dyDescent="0.4">
      <c r="A122" s="90"/>
      <c r="B122" s="90"/>
      <c r="C122" s="90"/>
      <c r="D122" s="90"/>
      <c r="E122" s="90" t="s">
        <v>731</v>
      </c>
      <c r="F122" s="91">
        <v>44697</v>
      </c>
      <c r="G122" s="90" t="s">
        <v>2046</v>
      </c>
      <c r="H122" s="90" t="s">
        <v>2277</v>
      </c>
      <c r="I122" s="90" t="s">
        <v>2366</v>
      </c>
      <c r="J122" s="90" t="s">
        <v>888</v>
      </c>
      <c r="K122" s="93">
        <v>7.63</v>
      </c>
    </row>
    <row r="123" spans="1:11" ht="14.6" x14ac:dyDescent="0.4">
      <c r="A123" s="90"/>
      <c r="B123" s="90"/>
      <c r="C123" s="90"/>
      <c r="D123" s="90"/>
      <c r="E123" s="90" t="s">
        <v>731</v>
      </c>
      <c r="F123" s="91">
        <v>44697</v>
      </c>
      <c r="G123" s="90" t="s">
        <v>2047</v>
      </c>
      <c r="H123" s="90" t="s">
        <v>2278</v>
      </c>
      <c r="I123" s="90" t="s">
        <v>2367</v>
      </c>
      <c r="J123" s="90" t="s">
        <v>888</v>
      </c>
      <c r="K123" s="93">
        <v>27.75</v>
      </c>
    </row>
    <row r="124" spans="1:11" ht="14.6" x14ac:dyDescent="0.4">
      <c r="A124" s="90"/>
      <c r="B124" s="90"/>
      <c r="C124" s="90"/>
      <c r="D124" s="90"/>
      <c r="E124" s="90" t="s">
        <v>731</v>
      </c>
      <c r="F124" s="91">
        <v>44698</v>
      </c>
      <c r="G124" s="90" t="s">
        <v>2048</v>
      </c>
      <c r="H124" s="90" t="s">
        <v>2279</v>
      </c>
      <c r="I124" s="90" t="s">
        <v>2368</v>
      </c>
      <c r="J124" s="90" t="s">
        <v>888</v>
      </c>
      <c r="K124" s="93">
        <v>515</v>
      </c>
    </row>
    <row r="125" spans="1:11" ht="14.6" x14ac:dyDescent="0.4">
      <c r="A125" s="90"/>
      <c r="B125" s="90"/>
      <c r="C125" s="90"/>
      <c r="D125" s="90"/>
      <c r="E125" s="90" t="s">
        <v>731</v>
      </c>
      <c r="F125" s="91">
        <v>44698</v>
      </c>
      <c r="G125" s="90" t="s">
        <v>2048</v>
      </c>
      <c r="H125" s="90" t="s">
        <v>2279</v>
      </c>
      <c r="I125" s="90" t="s">
        <v>2369</v>
      </c>
      <c r="J125" s="90" t="s">
        <v>888</v>
      </c>
      <c r="K125" s="93">
        <v>515</v>
      </c>
    </row>
    <row r="126" spans="1:11" ht="14.6" x14ac:dyDescent="0.4">
      <c r="A126" s="90"/>
      <c r="B126" s="90"/>
      <c r="C126" s="90"/>
      <c r="D126" s="90"/>
      <c r="E126" s="90" t="s">
        <v>731</v>
      </c>
      <c r="F126" s="91">
        <v>44698</v>
      </c>
      <c r="G126" s="90" t="s">
        <v>2048</v>
      </c>
      <c r="H126" s="90" t="s">
        <v>2279</v>
      </c>
      <c r="I126" s="90" t="s">
        <v>2370</v>
      </c>
      <c r="J126" s="90" t="s">
        <v>888</v>
      </c>
      <c r="K126" s="93">
        <v>515</v>
      </c>
    </row>
    <row r="127" spans="1:11" ht="14.6" x14ac:dyDescent="0.4">
      <c r="A127" s="90"/>
      <c r="B127" s="90"/>
      <c r="C127" s="90"/>
      <c r="D127" s="90"/>
      <c r="E127" s="90" t="s">
        <v>731</v>
      </c>
      <c r="F127" s="91">
        <v>44698</v>
      </c>
      <c r="G127" s="90" t="s">
        <v>2049</v>
      </c>
      <c r="H127" s="90" t="s">
        <v>2280</v>
      </c>
      <c r="I127" s="90" t="s">
        <v>2371</v>
      </c>
      <c r="J127" s="90" t="s">
        <v>888</v>
      </c>
      <c r="K127" s="93">
        <v>23.29</v>
      </c>
    </row>
    <row r="128" spans="1:11" ht="14.6" x14ac:dyDescent="0.4">
      <c r="A128" s="90"/>
      <c r="B128" s="90"/>
      <c r="C128" s="90"/>
      <c r="D128" s="90"/>
      <c r="E128" s="90" t="s">
        <v>731</v>
      </c>
      <c r="F128" s="91">
        <v>44699</v>
      </c>
      <c r="G128" s="90" t="s">
        <v>2050</v>
      </c>
      <c r="H128" s="90" t="s">
        <v>2268</v>
      </c>
      <c r="I128" s="90" t="s">
        <v>2372</v>
      </c>
      <c r="J128" s="90" t="s">
        <v>888</v>
      </c>
      <c r="K128" s="93">
        <v>41.19</v>
      </c>
    </row>
    <row r="129" spans="1:11" ht="14.6" x14ac:dyDescent="0.4">
      <c r="A129" s="90"/>
      <c r="B129" s="90"/>
      <c r="C129" s="90"/>
      <c r="D129" s="90"/>
      <c r="E129" s="90" t="s">
        <v>731</v>
      </c>
      <c r="F129" s="91">
        <v>44699</v>
      </c>
      <c r="G129" s="90" t="s">
        <v>2051</v>
      </c>
      <c r="H129" s="90" t="s">
        <v>2281</v>
      </c>
      <c r="I129" s="90" t="s">
        <v>2373</v>
      </c>
      <c r="J129" s="90" t="s">
        <v>888</v>
      </c>
      <c r="K129" s="93">
        <v>52</v>
      </c>
    </row>
    <row r="130" spans="1:11" ht="14.6" x14ac:dyDescent="0.4">
      <c r="A130" s="90"/>
      <c r="B130" s="90"/>
      <c r="C130" s="90"/>
      <c r="D130" s="90"/>
      <c r="E130" s="90" t="s">
        <v>731</v>
      </c>
      <c r="F130" s="91">
        <v>44699</v>
      </c>
      <c r="G130" s="90" t="s">
        <v>2052</v>
      </c>
      <c r="H130" s="90" t="s">
        <v>2277</v>
      </c>
      <c r="I130" s="90" t="s">
        <v>2374</v>
      </c>
      <c r="J130" s="90" t="s">
        <v>888</v>
      </c>
      <c r="K130" s="93">
        <v>824.85</v>
      </c>
    </row>
    <row r="131" spans="1:11" ht="14.6" x14ac:dyDescent="0.4">
      <c r="A131" s="90"/>
      <c r="B131" s="90"/>
      <c r="C131" s="90"/>
      <c r="D131" s="90"/>
      <c r="E131" s="90" t="s">
        <v>731</v>
      </c>
      <c r="F131" s="91">
        <v>44699</v>
      </c>
      <c r="G131" s="90" t="s">
        <v>2053</v>
      </c>
      <c r="H131" s="90" t="s">
        <v>2267</v>
      </c>
      <c r="I131" s="90" t="s">
        <v>2375</v>
      </c>
      <c r="J131" s="90" t="s">
        <v>888</v>
      </c>
      <c r="K131" s="93">
        <v>68</v>
      </c>
    </row>
    <row r="132" spans="1:11" ht="14.6" x14ac:dyDescent="0.4">
      <c r="A132" s="90"/>
      <c r="B132" s="90"/>
      <c r="C132" s="90"/>
      <c r="D132" s="90"/>
      <c r="E132" s="90" t="s">
        <v>731</v>
      </c>
      <c r="F132" s="91">
        <v>44699</v>
      </c>
      <c r="G132" s="90" t="s">
        <v>2054</v>
      </c>
      <c r="H132" s="90" t="s">
        <v>2277</v>
      </c>
      <c r="I132" s="90" t="s">
        <v>2376</v>
      </c>
      <c r="J132" s="90" t="s">
        <v>735</v>
      </c>
      <c r="K132" s="93">
        <v>824.85</v>
      </c>
    </row>
    <row r="133" spans="1:11" ht="14.6" x14ac:dyDescent="0.4">
      <c r="A133" s="90"/>
      <c r="B133" s="90"/>
      <c r="C133" s="90"/>
      <c r="D133" s="90"/>
      <c r="E133" s="90" t="s">
        <v>731</v>
      </c>
      <c r="F133" s="91">
        <v>44699</v>
      </c>
      <c r="G133" s="90" t="s">
        <v>2055</v>
      </c>
      <c r="H133" s="90" t="s">
        <v>2277</v>
      </c>
      <c r="I133" s="90" t="s">
        <v>2377</v>
      </c>
      <c r="J133" s="90" t="s">
        <v>735</v>
      </c>
      <c r="K133" s="93">
        <v>824.85</v>
      </c>
    </row>
    <row r="134" spans="1:11" ht="14.6" x14ac:dyDescent="0.4">
      <c r="A134" s="90"/>
      <c r="B134" s="90"/>
      <c r="C134" s="90"/>
      <c r="D134" s="90"/>
      <c r="E134" s="90" t="s">
        <v>731</v>
      </c>
      <c r="F134" s="91">
        <v>44701</v>
      </c>
      <c r="G134" s="90" t="s">
        <v>2056</v>
      </c>
      <c r="H134" s="90" t="s">
        <v>2282</v>
      </c>
      <c r="I134" s="90" t="s">
        <v>2378</v>
      </c>
      <c r="J134" s="90" t="s">
        <v>735</v>
      </c>
      <c r="K134" s="93">
        <v>100</v>
      </c>
    </row>
    <row r="135" spans="1:11" ht="14.6" x14ac:dyDescent="0.4">
      <c r="A135" s="90"/>
      <c r="B135" s="90"/>
      <c r="C135" s="90"/>
      <c r="D135" s="90"/>
      <c r="E135" s="90" t="s">
        <v>731</v>
      </c>
      <c r="F135" s="91">
        <v>44703</v>
      </c>
      <c r="G135" s="90" t="s">
        <v>2057</v>
      </c>
      <c r="H135" s="90" t="s">
        <v>805</v>
      </c>
      <c r="I135" s="90" t="s">
        <v>1392</v>
      </c>
      <c r="J135" s="90" t="s">
        <v>735</v>
      </c>
      <c r="K135" s="93">
        <v>100</v>
      </c>
    </row>
    <row r="136" spans="1:11" ht="14.6" x14ac:dyDescent="0.4">
      <c r="A136" s="90"/>
      <c r="B136" s="90"/>
      <c r="C136" s="90"/>
      <c r="D136" s="90"/>
      <c r="E136" s="90" t="s">
        <v>731</v>
      </c>
      <c r="F136" s="91">
        <v>44707</v>
      </c>
      <c r="G136" s="90" t="s">
        <v>2058</v>
      </c>
      <c r="H136" s="90" t="s">
        <v>2278</v>
      </c>
      <c r="I136" s="90" t="s">
        <v>2379</v>
      </c>
      <c r="J136" s="90" t="s">
        <v>888</v>
      </c>
      <c r="K136" s="93">
        <v>13.91</v>
      </c>
    </row>
    <row r="137" spans="1:11" ht="14.6" x14ac:dyDescent="0.4">
      <c r="A137" s="90"/>
      <c r="B137" s="90"/>
      <c r="C137" s="90"/>
      <c r="D137" s="90"/>
      <c r="E137" s="90" t="s">
        <v>731</v>
      </c>
      <c r="F137" s="91">
        <v>44712</v>
      </c>
      <c r="G137" s="90" t="s">
        <v>2059</v>
      </c>
      <c r="H137" s="90" t="s">
        <v>2283</v>
      </c>
      <c r="I137" s="90" t="s">
        <v>2380</v>
      </c>
      <c r="J137" s="90" t="s">
        <v>735</v>
      </c>
      <c r="K137" s="93">
        <v>349</v>
      </c>
    </row>
    <row r="138" spans="1:11" ht="14.6" x14ac:dyDescent="0.4">
      <c r="A138" s="90"/>
      <c r="B138" s="90"/>
      <c r="C138" s="90"/>
      <c r="D138" s="90"/>
      <c r="E138" s="90" t="s">
        <v>653</v>
      </c>
      <c r="F138" s="91">
        <v>44718</v>
      </c>
      <c r="G138" s="90" t="s">
        <v>2060</v>
      </c>
      <c r="H138" s="90" t="s">
        <v>802</v>
      </c>
      <c r="I138" s="90" t="s">
        <v>2381</v>
      </c>
      <c r="J138" s="90" t="s">
        <v>678</v>
      </c>
      <c r="K138" s="93">
        <v>100</v>
      </c>
    </row>
    <row r="139" spans="1:11" ht="14.6" x14ac:dyDescent="0.4">
      <c r="A139" s="90"/>
      <c r="B139" s="90"/>
      <c r="C139" s="90"/>
      <c r="D139" s="90"/>
      <c r="E139" s="90" t="s">
        <v>653</v>
      </c>
      <c r="F139" s="91">
        <v>44720</v>
      </c>
      <c r="G139" s="90" t="s">
        <v>2061</v>
      </c>
      <c r="H139" s="90" t="s">
        <v>2284</v>
      </c>
      <c r="I139" s="90" t="s">
        <v>2382</v>
      </c>
      <c r="J139" s="90" t="s">
        <v>678</v>
      </c>
      <c r="K139" s="93">
        <v>730</v>
      </c>
    </row>
    <row r="140" spans="1:11" ht="14.6" x14ac:dyDescent="0.4">
      <c r="A140" s="90"/>
      <c r="B140" s="90"/>
      <c r="C140" s="90"/>
      <c r="D140" s="90"/>
      <c r="E140" s="90" t="s">
        <v>653</v>
      </c>
      <c r="F140" s="91">
        <v>44720</v>
      </c>
      <c r="G140" s="90" t="s">
        <v>2061</v>
      </c>
      <c r="H140" s="90" t="s">
        <v>2284</v>
      </c>
      <c r="I140" s="90" t="s">
        <v>2383</v>
      </c>
      <c r="J140" s="90" t="s">
        <v>678</v>
      </c>
      <c r="K140" s="93">
        <v>730</v>
      </c>
    </row>
    <row r="141" spans="1:11" ht="14.6" x14ac:dyDescent="0.4">
      <c r="A141" s="90"/>
      <c r="B141" s="90"/>
      <c r="C141" s="90"/>
      <c r="D141" s="90"/>
      <c r="E141" s="90" t="s">
        <v>653</v>
      </c>
      <c r="F141" s="91">
        <v>44720</v>
      </c>
      <c r="G141" s="90" t="s">
        <v>2061</v>
      </c>
      <c r="H141" s="90" t="s">
        <v>2284</v>
      </c>
      <c r="I141" s="90" t="s">
        <v>2384</v>
      </c>
      <c r="J141" s="90" t="s">
        <v>678</v>
      </c>
      <c r="K141" s="93">
        <v>730</v>
      </c>
    </row>
    <row r="142" spans="1:11" ht="14.6" x14ac:dyDescent="0.4">
      <c r="A142" s="90"/>
      <c r="B142" s="90"/>
      <c r="C142" s="90"/>
      <c r="D142" s="90"/>
      <c r="E142" s="90" t="s">
        <v>653</v>
      </c>
      <c r="F142" s="91">
        <v>44720</v>
      </c>
      <c r="G142" s="90" t="s">
        <v>2061</v>
      </c>
      <c r="H142" s="90" t="s">
        <v>2284</v>
      </c>
      <c r="I142" s="90" t="s">
        <v>2385</v>
      </c>
      <c r="J142" s="90" t="s">
        <v>678</v>
      </c>
      <c r="K142" s="93">
        <v>730</v>
      </c>
    </row>
    <row r="143" spans="1:11" ht="14.6" x14ac:dyDescent="0.4">
      <c r="A143" s="90"/>
      <c r="B143" s="90"/>
      <c r="C143" s="90"/>
      <c r="D143" s="90"/>
      <c r="E143" s="90" t="s">
        <v>731</v>
      </c>
      <c r="F143" s="91">
        <v>44720</v>
      </c>
      <c r="G143" s="90" t="s">
        <v>2062</v>
      </c>
      <c r="H143" s="90" t="s">
        <v>2285</v>
      </c>
      <c r="I143" s="90" t="s">
        <v>2386</v>
      </c>
      <c r="J143" s="90" t="s">
        <v>735</v>
      </c>
      <c r="K143" s="93">
        <v>145</v>
      </c>
    </row>
    <row r="144" spans="1:11" ht="14.6" x14ac:dyDescent="0.4">
      <c r="A144" s="90"/>
      <c r="B144" s="90"/>
      <c r="C144" s="90"/>
      <c r="D144" s="90"/>
      <c r="E144" s="90" t="s">
        <v>731</v>
      </c>
      <c r="F144" s="91">
        <v>44725</v>
      </c>
      <c r="G144" s="90" t="s">
        <v>2063</v>
      </c>
      <c r="H144" s="90" t="s">
        <v>2286</v>
      </c>
      <c r="I144" s="90" t="s">
        <v>2387</v>
      </c>
      <c r="J144" s="90" t="s">
        <v>735</v>
      </c>
      <c r="K144" s="93">
        <v>340</v>
      </c>
    </row>
    <row r="145" spans="1:11" ht="14.6" x14ac:dyDescent="0.4">
      <c r="A145" s="90"/>
      <c r="B145" s="90"/>
      <c r="C145" s="90"/>
      <c r="D145" s="90"/>
      <c r="E145" s="90" t="s">
        <v>731</v>
      </c>
      <c r="F145" s="91">
        <v>44727</v>
      </c>
      <c r="G145" s="90" t="s">
        <v>2064</v>
      </c>
      <c r="H145" s="90" t="s">
        <v>799</v>
      </c>
      <c r="I145" s="90" t="s">
        <v>2388</v>
      </c>
      <c r="J145" s="90" t="s">
        <v>735</v>
      </c>
      <c r="K145" s="93">
        <v>75</v>
      </c>
    </row>
    <row r="146" spans="1:11" ht="14.6" x14ac:dyDescent="0.4">
      <c r="A146" s="90"/>
      <c r="B146" s="90"/>
      <c r="C146" s="90"/>
      <c r="D146" s="90"/>
      <c r="E146" s="90" t="s">
        <v>731</v>
      </c>
      <c r="F146" s="91">
        <v>44733</v>
      </c>
      <c r="G146" s="90" t="s">
        <v>2065</v>
      </c>
      <c r="H146" s="90" t="s">
        <v>1002</v>
      </c>
      <c r="I146" s="90" t="s">
        <v>2389</v>
      </c>
      <c r="J146" s="90" t="s">
        <v>888</v>
      </c>
      <c r="K146" s="93">
        <v>472.21</v>
      </c>
    </row>
    <row r="147" spans="1:11" ht="14.6" x14ac:dyDescent="0.4">
      <c r="A147" s="90"/>
      <c r="B147" s="90"/>
      <c r="C147" s="90"/>
      <c r="D147" s="90"/>
      <c r="E147" s="90" t="s">
        <v>731</v>
      </c>
      <c r="F147" s="91">
        <v>44733</v>
      </c>
      <c r="G147" s="90" t="s">
        <v>2066</v>
      </c>
      <c r="H147" s="90" t="s">
        <v>1002</v>
      </c>
      <c r="I147" s="90" t="s">
        <v>2390</v>
      </c>
      <c r="J147" s="90" t="s">
        <v>888</v>
      </c>
      <c r="K147" s="93">
        <v>447.2</v>
      </c>
    </row>
    <row r="148" spans="1:11" ht="14.6" x14ac:dyDescent="0.4">
      <c r="A148" s="90"/>
      <c r="B148" s="90"/>
      <c r="C148" s="90"/>
      <c r="D148" s="90"/>
      <c r="E148" s="90" t="s">
        <v>731</v>
      </c>
      <c r="F148" s="91">
        <v>44733</v>
      </c>
      <c r="G148" s="90" t="s">
        <v>2067</v>
      </c>
      <c r="H148" s="90" t="s">
        <v>1002</v>
      </c>
      <c r="I148" s="90" t="s">
        <v>2391</v>
      </c>
      <c r="J148" s="90" t="s">
        <v>888</v>
      </c>
      <c r="K148" s="93">
        <v>472.21</v>
      </c>
    </row>
    <row r="149" spans="1:11" ht="14.6" x14ac:dyDescent="0.4">
      <c r="A149" s="90"/>
      <c r="B149" s="90"/>
      <c r="C149" s="90"/>
      <c r="D149" s="90"/>
      <c r="E149" s="90" t="s">
        <v>731</v>
      </c>
      <c r="F149" s="91">
        <v>44733</v>
      </c>
      <c r="G149" s="90" t="s">
        <v>2068</v>
      </c>
      <c r="H149" s="90" t="s">
        <v>1002</v>
      </c>
      <c r="I149" s="90" t="s">
        <v>2392</v>
      </c>
      <c r="J149" s="90" t="s">
        <v>888</v>
      </c>
      <c r="K149" s="93">
        <v>447.2</v>
      </c>
    </row>
    <row r="150" spans="1:11" ht="14.6" x14ac:dyDescent="0.4">
      <c r="A150" s="90"/>
      <c r="B150" s="90"/>
      <c r="C150" s="90"/>
      <c r="D150" s="90"/>
      <c r="E150" s="90" t="s">
        <v>731</v>
      </c>
      <c r="F150" s="91">
        <v>44733</v>
      </c>
      <c r="G150" s="90" t="s">
        <v>2069</v>
      </c>
      <c r="H150" s="90" t="s">
        <v>2269</v>
      </c>
      <c r="I150" s="90" t="s">
        <v>2393</v>
      </c>
      <c r="J150" s="90" t="s">
        <v>735</v>
      </c>
      <c r="K150" s="93">
        <v>384</v>
      </c>
    </row>
    <row r="151" spans="1:11" ht="14.6" x14ac:dyDescent="0.4">
      <c r="A151" s="90"/>
      <c r="B151" s="90"/>
      <c r="C151" s="90"/>
      <c r="D151" s="90"/>
      <c r="E151" s="90" t="s">
        <v>731</v>
      </c>
      <c r="F151" s="91">
        <v>44734</v>
      </c>
      <c r="G151" s="90" t="s">
        <v>2041</v>
      </c>
      <c r="H151" s="90" t="s">
        <v>805</v>
      </c>
      <c r="I151" s="90" t="s">
        <v>1392</v>
      </c>
      <c r="J151" s="90" t="s">
        <v>735</v>
      </c>
      <c r="K151" s="93">
        <v>100</v>
      </c>
    </row>
    <row r="152" spans="1:11" ht="14.6" x14ac:dyDescent="0.4">
      <c r="A152" s="90"/>
      <c r="B152" s="90"/>
      <c r="C152" s="90"/>
      <c r="D152" s="90"/>
      <c r="E152" s="90" t="s">
        <v>653</v>
      </c>
      <c r="F152" s="91">
        <v>44735</v>
      </c>
      <c r="G152" s="90" t="s">
        <v>2004</v>
      </c>
      <c r="H152" s="90" t="s">
        <v>744</v>
      </c>
      <c r="I152" s="90" t="s">
        <v>2394</v>
      </c>
      <c r="J152" s="90" t="s">
        <v>678</v>
      </c>
      <c r="K152" s="93">
        <v>0</v>
      </c>
    </row>
    <row r="153" spans="1:11" ht="14.6" x14ac:dyDescent="0.4">
      <c r="A153" s="90"/>
      <c r="B153" s="90"/>
      <c r="C153" s="90"/>
      <c r="D153" s="90"/>
      <c r="E153" s="90" t="s">
        <v>731</v>
      </c>
      <c r="F153" s="91">
        <v>44735</v>
      </c>
      <c r="G153" s="90" t="s">
        <v>2070</v>
      </c>
      <c r="H153" s="90" t="s">
        <v>802</v>
      </c>
      <c r="I153" s="90" t="s">
        <v>2395</v>
      </c>
      <c r="J153" s="90" t="s">
        <v>735</v>
      </c>
      <c r="K153" s="93">
        <v>45</v>
      </c>
    </row>
    <row r="154" spans="1:11" ht="14.6" x14ac:dyDescent="0.4">
      <c r="A154" s="90"/>
      <c r="B154" s="90"/>
      <c r="C154" s="90"/>
      <c r="D154" s="90"/>
      <c r="E154" s="90" t="s">
        <v>653</v>
      </c>
      <c r="F154" s="91">
        <v>44741</v>
      </c>
      <c r="G154" s="90" t="s">
        <v>2071</v>
      </c>
      <c r="H154" s="90" t="s">
        <v>744</v>
      </c>
      <c r="I154" s="90" t="s">
        <v>2396</v>
      </c>
      <c r="J154" s="90" t="s">
        <v>678</v>
      </c>
      <c r="K154" s="93">
        <v>46.98</v>
      </c>
    </row>
    <row r="155" spans="1:11" ht="14.6" x14ac:dyDescent="0.4">
      <c r="A155" s="90"/>
      <c r="B155" s="90"/>
      <c r="C155" s="90"/>
      <c r="D155" s="90"/>
      <c r="E155" s="90" t="s">
        <v>653</v>
      </c>
      <c r="F155" s="91">
        <v>44742</v>
      </c>
      <c r="G155" s="90" t="s">
        <v>2072</v>
      </c>
      <c r="H155" s="90" t="s">
        <v>2287</v>
      </c>
      <c r="I155" s="90" t="s">
        <v>2397</v>
      </c>
      <c r="J155" s="90" t="s">
        <v>678</v>
      </c>
      <c r="K155" s="93">
        <v>102.5</v>
      </c>
    </row>
    <row r="156" spans="1:11" ht="14.6" x14ac:dyDescent="0.4">
      <c r="A156" s="90"/>
      <c r="B156" s="90"/>
      <c r="C156" s="90"/>
      <c r="D156" s="90"/>
      <c r="E156" s="90" t="s">
        <v>731</v>
      </c>
      <c r="F156" s="91">
        <v>44748</v>
      </c>
      <c r="G156" s="90" t="s">
        <v>2073</v>
      </c>
      <c r="H156" s="90" t="s">
        <v>802</v>
      </c>
      <c r="I156" s="90" t="s">
        <v>2398</v>
      </c>
      <c r="J156" s="90" t="s">
        <v>735</v>
      </c>
      <c r="K156" s="93">
        <v>45</v>
      </c>
    </row>
    <row r="157" spans="1:11" ht="14.6" x14ac:dyDescent="0.4">
      <c r="A157" s="90"/>
      <c r="B157" s="90"/>
      <c r="C157" s="90"/>
      <c r="D157" s="90"/>
      <c r="E157" s="90" t="s">
        <v>731</v>
      </c>
      <c r="F157" s="91">
        <v>44748</v>
      </c>
      <c r="G157" s="90" t="s">
        <v>2074</v>
      </c>
      <c r="H157" s="90" t="s">
        <v>2288</v>
      </c>
      <c r="I157" s="90" t="s">
        <v>2399</v>
      </c>
      <c r="J157" s="90" t="s">
        <v>735</v>
      </c>
      <c r="K157" s="93">
        <v>840</v>
      </c>
    </row>
    <row r="158" spans="1:11" ht="14.6" x14ac:dyDescent="0.4">
      <c r="A158" s="90"/>
      <c r="B158" s="90"/>
      <c r="C158" s="90"/>
      <c r="D158" s="90"/>
      <c r="E158" s="90" t="s">
        <v>653</v>
      </c>
      <c r="F158" s="91">
        <v>44749</v>
      </c>
      <c r="G158" s="90" t="s">
        <v>2075</v>
      </c>
      <c r="H158" s="90" t="s">
        <v>802</v>
      </c>
      <c r="I158" s="90" t="s">
        <v>2400</v>
      </c>
      <c r="J158" s="90" t="s">
        <v>678</v>
      </c>
      <c r="K158" s="93">
        <v>100</v>
      </c>
    </row>
    <row r="159" spans="1:11" ht="14.6" x14ac:dyDescent="0.4">
      <c r="A159" s="90"/>
      <c r="B159" s="90"/>
      <c r="C159" s="90"/>
      <c r="D159" s="90"/>
      <c r="E159" s="90" t="s">
        <v>653</v>
      </c>
      <c r="F159" s="91">
        <v>44749</v>
      </c>
      <c r="G159" s="90" t="s">
        <v>2076</v>
      </c>
      <c r="H159" s="90" t="s">
        <v>802</v>
      </c>
      <c r="I159" s="90" t="s">
        <v>2401</v>
      </c>
      <c r="J159" s="90" t="s">
        <v>678</v>
      </c>
      <c r="K159" s="93">
        <v>100</v>
      </c>
    </row>
    <row r="160" spans="1:11" ht="14.6" x14ac:dyDescent="0.4">
      <c r="A160" s="90"/>
      <c r="B160" s="90"/>
      <c r="C160" s="90"/>
      <c r="D160" s="90"/>
      <c r="E160" s="90" t="s">
        <v>731</v>
      </c>
      <c r="F160" s="91">
        <v>44753</v>
      </c>
      <c r="G160" s="90" t="s">
        <v>2077</v>
      </c>
      <c r="H160" s="90" t="s">
        <v>2289</v>
      </c>
      <c r="I160" s="90" t="s">
        <v>2402</v>
      </c>
      <c r="J160" s="90" t="s">
        <v>735</v>
      </c>
      <c r="K160" s="93">
        <v>204.17</v>
      </c>
    </row>
    <row r="161" spans="1:11" ht="14.6" x14ac:dyDescent="0.4">
      <c r="A161" s="90"/>
      <c r="B161" s="90"/>
      <c r="C161" s="90"/>
      <c r="D161" s="90"/>
      <c r="E161" s="90" t="s">
        <v>731</v>
      </c>
      <c r="F161" s="91">
        <v>44753</v>
      </c>
      <c r="G161" s="90" t="s">
        <v>2077</v>
      </c>
      <c r="H161" s="90" t="s">
        <v>2289</v>
      </c>
      <c r="I161" s="90" t="s">
        <v>2402</v>
      </c>
      <c r="J161" s="90" t="s">
        <v>735</v>
      </c>
      <c r="K161" s="93">
        <v>204.17</v>
      </c>
    </row>
    <row r="162" spans="1:11" ht="14.6" x14ac:dyDescent="0.4">
      <c r="A162" s="90"/>
      <c r="B162" s="90"/>
      <c r="C162" s="90"/>
      <c r="D162" s="90"/>
      <c r="E162" s="90" t="s">
        <v>731</v>
      </c>
      <c r="F162" s="91">
        <v>44754</v>
      </c>
      <c r="G162" s="90" t="s">
        <v>2078</v>
      </c>
      <c r="H162" s="90" t="s">
        <v>2290</v>
      </c>
      <c r="I162" s="90" t="s">
        <v>2403</v>
      </c>
      <c r="J162" s="90" t="s">
        <v>888</v>
      </c>
      <c r="K162" s="93">
        <v>38</v>
      </c>
    </row>
    <row r="163" spans="1:11" ht="14.6" x14ac:dyDescent="0.4">
      <c r="A163" s="90"/>
      <c r="B163" s="90"/>
      <c r="C163" s="90"/>
      <c r="D163" s="90"/>
      <c r="E163" s="90" t="s">
        <v>755</v>
      </c>
      <c r="F163" s="91">
        <v>44754</v>
      </c>
      <c r="G163" s="90" t="s">
        <v>2079</v>
      </c>
      <c r="H163" s="90" t="s">
        <v>2279</v>
      </c>
      <c r="I163" s="90" t="s">
        <v>2370</v>
      </c>
      <c r="J163" s="90" t="s">
        <v>888</v>
      </c>
      <c r="K163" s="93">
        <v>-515</v>
      </c>
    </row>
    <row r="164" spans="1:11" ht="14.6" x14ac:dyDescent="0.4">
      <c r="A164" s="90"/>
      <c r="B164" s="90"/>
      <c r="C164" s="90"/>
      <c r="D164" s="90"/>
      <c r="E164" s="90" t="s">
        <v>731</v>
      </c>
      <c r="F164" s="91">
        <v>44754</v>
      </c>
      <c r="G164" s="90" t="s">
        <v>2080</v>
      </c>
      <c r="H164" s="90" t="s">
        <v>807</v>
      </c>
      <c r="I164" s="90" t="s">
        <v>2404</v>
      </c>
      <c r="J164" s="90" t="s">
        <v>735</v>
      </c>
      <c r="K164" s="93">
        <v>445</v>
      </c>
    </row>
    <row r="165" spans="1:11" ht="14.6" x14ac:dyDescent="0.4">
      <c r="A165" s="90"/>
      <c r="B165" s="90"/>
      <c r="C165" s="90"/>
      <c r="D165" s="90"/>
      <c r="E165" s="90" t="s">
        <v>731</v>
      </c>
      <c r="F165" s="91">
        <v>44754</v>
      </c>
      <c r="G165" s="90" t="s">
        <v>2081</v>
      </c>
      <c r="H165" s="90" t="s">
        <v>807</v>
      </c>
      <c r="I165" s="90" t="s">
        <v>2405</v>
      </c>
      <c r="J165" s="90" t="s">
        <v>735</v>
      </c>
      <c r="K165" s="93">
        <v>445</v>
      </c>
    </row>
    <row r="166" spans="1:11" ht="14.6" x14ac:dyDescent="0.4">
      <c r="A166" s="90"/>
      <c r="B166" s="90"/>
      <c r="C166" s="90"/>
      <c r="D166" s="90"/>
      <c r="E166" s="90" t="s">
        <v>731</v>
      </c>
      <c r="F166" s="91">
        <v>44754</v>
      </c>
      <c r="G166" s="90" t="s">
        <v>2082</v>
      </c>
      <c r="H166" s="90" t="s">
        <v>1002</v>
      </c>
      <c r="I166" s="90" t="s">
        <v>2406</v>
      </c>
      <c r="J166" s="90" t="s">
        <v>735</v>
      </c>
      <c r="K166" s="93">
        <v>23.98</v>
      </c>
    </row>
    <row r="167" spans="1:11" ht="14.6" x14ac:dyDescent="0.4">
      <c r="A167" s="90"/>
      <c r="B167" s="90"/>
      <c r="C167" s="90"/>
      <c r="D167" s="90"/>
      <c r="E167" s="90" t="s">
        <v>653</v>
      </c>
      <c r="F167" s="91">
        <v>44760</v>
      </c>
      <c r="G167" s="90" t="s">
        <v>2083</v>
      </c>
      <c r="H167" s="90" t="s">
        <v>2291</v>
      </c>
      <c r="I167" s="90" t="s">
        <v>2407</v>
      </c>
      <c r="J167" s="90" t="s">
        <v>678</v>
      </c>
      <c r="K167" s="93">
        <v>45</v>
      </c>
    </row>
    <row r="168" spans="1:11" ht="14.6" x14ac:dyDescent="0.4">
      <c r="A168" s="90"/>
      <c r="B168" s="90"/>
      <c r="C168" s="90"/>
      <c r="D168" s="90"/>
      <c r="E168" s="90" t="s">
        <v>731</v>
      </c>
      <c r="F168" s="91">
        <v>44760</v>
      </c>
      <c r="G168" s="90" t="s">
        <v>2084</v>
      </c>
      <c r="H168" s="90" t="s">
        <v>802</v>
      </c>
      <c r="I168" s="90" t="s">
        <v>2408</v>
      </c>
      <c r="J168" s="90" t="s">
        <v>735</v>
      </c>
      <c r="K168" s="93">
        <v>45</v>
      </c>
    </row>
    <row r="169" spans="1:11" ht="14.6" x14ac:dyDescent="0.4">
      <c r="A169" s="90"/>
      <c r="B169" s="90"/>
      <c r="C169" s="90"/>
      <c r="D169" s="90"/>
      <c r="E169" s="90" t="s">
        <v>731</v>
      </c>
      <c r="F169" s="91">
        <v>44760</v>
      </c>
      <c r="G169" s="90" t="s">
        <v>2085</v>
      </c>
      <c r="H169" s="90" t="s">
        <v>802</v>
      </c>
      <c r="I169" s="90" t="s">
        <v>2409</v>
      </c>
      <c r="J169" s="90" t="s">
        <v>735</v>
      </c>
      <c r="K169" s="93">
        <v>45</v>
      </c>
    </row>
    <row r="170" spans="1:11" ht="14.6" x14ac:dyDescent="0.4">
      <c r="A170" s="90"/>
      <c r="B170" s="90"/>
      <c r="C170" s="90"/>
      <c r="D170" s="90"/>
      <c r="E170" s="90" t="s">
        <v>653</v>
      </c>
      <c r="F170" s="91">
        <v>44761</v>
      </c>
      <c r="G170" s="90" t="s">
        <v>2086</v>
      </c>
      <c r="H170" s="90" t="s">
        <v>1388</v>
      </c>
      <c r="I170" s="90" t="s">
        <v>2410</v>
      </c>
      <c r="J170" s="90" t="s">
        <v>678</v>
      </c>
      <c r="K170" s="93">
        <v>15</v>
      </c>
    </row>
    <row r="171" spans="1:11" ht="14.6" x14ac:dyDescent="0.4">
      <c r="A171" s="90"/>
      <c r="B171" s="90"/>
      <c r="C171" s="90"/>
      <c r="D171" s="90"/>
      <c r="E171" s="90" t="s">
        <v>653</v>
      </c>
      <c r="F171" s="91">
        <v>44761</v>
      </c>
      <c r="G171" s="90" t="s">
        <v>2086</v>
      </c>
      <c r="H171" s="90" t="s">
        <v>1388</v>
      </c>
      <c r="I171" s="90" t="s">
        <v>2411</v>
      </c>
      <c r="J171" s="90" t="s">
        <v>678</v>
      </c>
      <c r="K171" s="93">
        <v>15</v>
      </c>
    </row>
    <row r="172" spans="1:11" ht="14.6" x14ac:dyDescent="0.4">
      <c r="A172" s="90"/>
      <c r="B172" s="90"/>
      <c r="C172" s="90"/>
      <c r="D172" s="90"/>
      <c r="E172" s="90" t="s">
        <v>653</v>
      </c>
      <c r="F172" s="91">
        <v>44761</v>
      </c>
      <c r="G172" s="90" t="s">
        <v>2086</v>
      </c>
      <c r="H172" s="90" t="s">
        <v>1388</v>
      </c>
      <c r="I172" s="90" t="s">
        <v>2412</v>
      </c>
      <c r="J172" s="90" t="s">
        <v>678</v>
      </c>
      <c r="K172" s="93">
        <v>15</v>
      </c>
    </row>
    <row r="173" spans="1:11" ht="14.6" x14ac:dyDescent="0.4">
      <c r="A173" s="90"/>
      <c r="B173" s="90"/>
      <c r="C173" s="90"/>
      <c r="D173" s="90"/>
      <c r="E173" s="90" t="s">
        <v>653</v>
      </c>
      <c r="F173" s="91">
        <v>44761</v>
      </c>
      <c r="G173" s="90" t="s">
        <v>2086</v>
      </c>
      <c r="H173" s="90" t="s">
        <v>1388</v>
      </c>
      <c r="I173" s="90" t="s">
        <v>2413</v>
      </c>
      <c r="J173" s="90" t="s">
        <v>678</v>
      </c>
      <c r="K173" s="93">
        <v>15</v>
      </c>
    </row>
    <row r="174" spans="1:11" ht="14.6" x14ac:dyDescent="0.4">
      <c r="A174" s="90"/>
      <c r="B174" s="90"/>
      <c r="C174" s="90"/>
      <c r="D174" s="90"/>
      <c r="E174" s="90" t="s">
        <v>731</v>
      </c>
      <c r="F174" s="91">
        <v>44764</v>
      </c>
      <c r="G174" s="90" t="s">
        <v>1381</v>
      </c>
      <c r="H174" s="90" t="s">
        <v>805</v>
      </c>
      <c r="I174" s="90" t="s">
        <v>1392</v>
      </c>
      <c r="J174" s="90" t="s">
        <v>735</v>
      </c>
      <c r="K174" s="93">
        <v>100</v>
      </c>
    </row>
    <row r="175" spans="1:11" ht="14.6" x14ac:dyDescent="0.4">
      <c r="A175" s="90"/>
      <c r="B175" s="90"/>
      <c r="C175" s="90"/>
      <c r="D175" s="90"/>
      <c r="E175" s="90" t="s">
        <v>731</v>
      </c>
      <c r="F175" s="91">
        <v>44767</v>
      </c>
      <c r="G175" s="90" t="s">
        <v>2087</v>
      </c>
      <c r="H175" s="90" t="s">
        <v>2292</v>
      </c>
      <c r="I175" s="90" t="s">
        <v>2414</v>
      </c>
      <c r="J175" s="90" t="s">
        <v>888</v>
      </c>
      <c r="K175" s="93">
        <v>37</v>
      </c>
    </row>
    <row r="176" spans="1:11" ht="14.6" x14ac:dyDescent="0.4">
      <c r="A176" s="90"/>
      <c r="B176" s="90"/>
      <c r="C176" s="90"/>
      <c r="D176" s="90"/>
      <c r="E176" s="90" t="s">
        <v>731</v>
      </c>
      <c r="F176" s="91">
        <v>44767</v>
      </c>
      <c r="G176" s="90" t="s">
        <v>1381</v>
      </c>
      <c r="H176" s="90" t="s">
        <v>2293</v>
      </c>
      <c r="I176" s="90" t="s">
        <v>2415</v>
      </c>
      <c r="J176" s="90" t="s">
        <v>735</v>
      </c>
      <c r="K176" s="93">
        <v>100</v>
      </c>
    </row>
    <row r="177" spans="1:11" ht="14.6" x14ac:dyDescent="0.4">
      <c r="A177" s="90"/>
      <c r="B177" s="90"/>
      <c r="C177" s="90"/>
      <c r="D177" s="90"/>
      <c r="E177" s="90" t="s">
        <v>756</v>
      </c>
      <c r="F177" s="91">
        <v>44771</v>
      </c>
      <c r="G177" s="90" t="s">
        <v>2088</v>
      </c>
      <c r="H177" s="90" t="s">
        <v>799</v>
      </c>
      <c r="I177" s="90" t="s">
        <v>2416</v>
      </c>
      <c r="J177" s="90" t="s">
        <v>679</v>
      </c>
      <c r="K177" s="93">
        <v>-730</v>
      </c>
    </row>
    <row r="178" spans="1:11" ht="14.6" x14ac:dyDescent="0.4">
      <c r="A178" s="90"/>
      <c r="B178" s="90"/>
      <c r="C178" s="90"/>
      <c r="D178" s="90"/>
      <c r="E178" s="90" t="s">
        <v>731</v>
      </c>
      <c r="F178" s="91">
        <v>44771</v>
      </c>
      <c r="G178" s="90" t="s">
        <v>1019</v>
      </c>
      <c r="H178" s="90" t="s">
        <v>799</v>
      </c>
      <c r="I178" s="90" t="s">
        <v>2417</v>
      </c>
      <c r="J178" s="90" t="s">
        <v>735</v>
      </c>
      <c r="K178" s="93">
        <v>150</v>
      </c>
    </row>
    <row r="179" spans="1:11" ht="14.6" x14ac:dyDescent="0.4">
      <c r="A179" s="90"/>
      <c r="B179" s="90"/>
      <c r="C179" s="90"/>
      <c r="D179" s="90"/>
      <c r="E179" s="90" t="s">
        <v>731</v>
      </c>
      <c r="F179" s="91">
        <v>44771</v>
      </c>
      <c r="G179" s="90" t="s">
        <v>1381</v>
      </c>
      <c r="H179" s="90" t="s">
        <v>799</v>
      </c>
      <c r="I179" s="90" t="s">
        <v>2417</v>
      </c>
      <c r="J179" s="90" t="s">
        <v>735</v>
      </c>
      <c r="K179" s="93">
        <v>300</v>
      </c>
    </row>
    <row r="180" spans="1:11" ht="14.6" x14ac:dyDescent="0.4">
      <c r="A180" s="90"/>
      <c r="B180" s="90"/>
      <c r="C180" s="90"/>
      <c r="D180" s="90"/>
      <c r="E180" s="90" t="s">
        <v>731</v>
      </c>
      <c r="F180" s="91">
        <v>44771</v>
      </c>
      <c r="G180" s="90" t="s">
        <v>2089</v>
      </c>
      <c r="H180" s="90" t="s">
        <v>799</v>
      </c>
      <c r="I180" s="90" t="s">
        <v>2417</v>
      </c>
      <c r="J180" s="90" t="s">
        <v>735</v>
      </c>
      <c r="K180" s="93">
        <v>75</v>
      </c>
    </row>
    <row r="181" spans="1:11" ht="14.6" x14ac:dyDescent="0.4">
      <c r="A181" s="90"/>
      <c r="B181" s="90"/>
      <c r="C181" s="90"/>
      <c r="D181" s="90"/>
      <c r="E181" s="90" t="s">
        <v>731</v>
      </c>
      <c r="F181" s="91">
        <v>44771</v>
      </c>
      <c r="G181" s="90" t="s">
        <v>1381</v>
      </c>
      <c r="H181" s="90" t="s">
        <v>799</v>
      </c>
      <c r="I181" s="90" t="s">
        <v>2417</v>
      </c>
      <c r="J181" s="90" t="s">
        <v>735</v>
      </c>
      <c r="K181" s="93">
        <v>275</v>
      </c>
    </row>
    <row r="182" spans="1:11" ht="14.6" x14ac:dyDescent="0.4">
      <c r="A182" s="90"/>
      <c r="B182" s="90"/>
      <c r="C182" s="90"/>
      <c r="D182" s="90"/>
      <c r="E182" s="90" t="s">
        <v>731</v>
      </c>
      <c r="F182" s="91">
        <v>44771</v>
      </c>
      <c r="G182" s="90" t="s">
        <v>1381</v>
      </c>
      <c r="H182" s="90" t="s">
        <v>799</v>
      </c>
      <c r="I182" s="90" t="s">
        <v>2417</v>
      </c>
      <c r="J182" s="90" t="s">
        <v>735</v>
      </c>
      <c r="K182" s="93">
        <v>275</v>
      </c>
    </row>
    <row r="183" spans="1:11" ht="14.6" x14ac:dyDescent="0.4">
      <c r="A183" s="90"/>
      <c r="B183" s="90"/>
      <c r="C183" s="90"/>
      <c r="D183" s="90"/>
      <c r="E183" s="90" t="s">
        <v>731</v>
      </c>
      <c r="F183" s="91">
        <v>44771</v>
      </c>
      <c r="G183" s="90" t="s">
        <v>1381</v>
      </c>
      <c r="H183" s="90" t="s">
        <v>799</v>
      </c>
      <c r="I183" s="90" t="s">
        <v>2417</v>
      </c>
      <c r="J183" s="90" t="s">
        <v>735</v>
      </c>
      <c r="K183" s="93">
        <v>275</v>
      </c>
    </row>
    <row r="184" spans="1:11" ht="14.6" x14ac:dyDescent="0.4">
      <c r="A184" s="90"/>
      <c r="B184" s="90"/>
      <c r="C184" s="90"/>
      <c r="D184" s="90"/>
      <c r="E184" s="90" t="s">
        <v>731</v>
      </c>
      <c r="F184" s="91">
        <v>44771</v>
      </c>
      <c r="G184" s="90" t="s">
        <v>1381</v>
      </c>
      <c r="H184" s="90" t="s">
        <v>799</v>
      </c>
      <c r="I184" s="90" t="s">
        <v>2418</v>
      </c>
      <c r="J184" s="90" t="s">
        <v>735</v>
      </c>
      <c r="K184" s="93">
        <v>350</v>
      </c>
    </row>
    <row r="185" spans="1:11" ht="14.6" x14ac:dyDescent="0.4">
      <c r="A185" s="90"/>
      <c r="B185" s="90"/>
      <c r="C185" s="90"/>
      <c r="D185" s="90"/>
      <c r="E185" s="90" t="s">
        <v>731</v>
      </c>
      <c r="F185" s="91">
        <v>44771</v>
      </c>
      <c r="G185" s="90" t="s">
        <v>1381</v>
      </c>
      <c r="H185" s="90" t="s">
        <v>799</v>
      </c>
      <c r="I185" s="90" t="s">
        <v>2417</v>
      </c>
      <c r="J185" s="90" t="s">
        <v>735</v>
      </c>
      <c r="K185" s="93">
        <v>350</v>
      </c>
    </row>
    <row r="186" spans="1:11" ht="14.6" x14ac:dyDescent="0.4">
      <c r="A186" s="90"/>
      <c r="B186" s="90"/>
      <c r="C186" s="90"/>
      <c r="D186" s="90"/>
      <c r="E186" s="90" t="s">
        <v>731</v>
      </c>
      <c r="F186" s="91">
        <v>44771</v>
      </c>
      <c r="G186" s="90" t="s">
        <v>1381</v>
      </c>
      <c r="H186" s="90" t="s">
        <v>799</v>
      </c>
      <c r="I186" s="90" t="s">
        <v>2417</v>
      </c>
      <c r="J186" s="90" t="s">
        <v>735</v>
      </c>
      <c r="K186" s="93">
        <v>350</v>
      </c>
    </row>
    <row r="187" spans="1:11" ht="14.6" x14ac:dyDescent="0.4">
      <c r="A187" s="90"/>
      <c r="B187" s="90"/>
      <c r="C187" s="90"/>
      <c r="D187" s="90"/>
      <c r="E187" s="90" t="s">
        <v>731</v>
      </c>
      <c r="F187" s="91">
        <v>44771</v>
      </c>
      <c r="G187" s="90" t="s">
        <v>1381</v>
      </c>
      <c r="H187" s="90" t="s">
        <v>799</v>
      </c>
      <c r="I187" s="90" t="s">
        <v>2417</v>
      </c>
      <c r="J187" s="90" t="s">
        <v>735</v>
      </c>
      <c r="K187" s="93">
        <v>275</v>
      </c>
    </row>
    <row r="188" spans="1:11" ht="14.6" x14ac:dyDescent="0.4">
      <c r="A188" s="90"/>
      <c r="B188" s="90"/>
      <c r="C188" s="90"/>
      <c r="D188" s="90"/>
      <c r="E188" s="90" t="s">
        <v>731</v>
      </c>
      <c r="F188" s="91">
        <v>44771</v>
      </c>
      <c r="G188" s="90" t="s">
        <v>1381</v>
      </c>
      <c r="H188" s="90" t="s">
        <v>799</v>
      </c>
      <c r="I188" s="90" t="s">
        <v>2419</v>
      </c>
      <c r="J188" s="90" t="s">
        <v>735</v>
      </c>
      <c r="K188" s="93">
        <v>1120</v>
      </c>
    </row>
    <row r="189" spans="1:11" ht="14.6" x14ac:dyDescent="0.4">
      <c r="A189" s="90"/>
      <c r="B189" s="90"/>
      <c r="C189" s="90"/>
      <c r="D189" s="90"/>
      <c r="E189" s="90" t="s">
        <v>731</v>
      </c>
      <c r="F189" s="91">
        <v>44771</v>
      </c>
      <c r="G189" s="90" t="s">
        <v>1381</v>
      </c>
      <c r="H189" s="90" t="s">
        <v>799</v>
      </c>
      <c r="I189" s="90" t="s">
        <v>2417</v>
      </c>
      <c r="J189" s="90" t="s">
        <v>735</v>
      </c>
      <c r="K189" s="93">
        <v>320</v>
      </c>
    </row>
    <row r="190" spans="1:11" ht="14.6" x14ac:dyDescent="0.4">
      <c r="A190" s="90"/>
      <c r="B190" s="90"/>
      <c r="C190" s="90"/>
      <c r="D190" s="90"/>
      <c r="E190" s="90" t="s">
        <v>731</v>
      </c>
      <c r="F190" s="91">
        <v>44771</v>
      </c>
      <c r="G190" s="90" t="s">
        <v>1381</v>
      </c>
      <c r="H190" s="90" t="s">
        <v>799</v>
      </c>
      <c r="I190" s="90" t="s">
        <v>2417</v>
      </c>
      <c r="J190" s="90" t="s">
        <v>735</v>
      </c>
      <c r="K190" s="93">
        <v>150</v>
      </c>
    </row>
    <row r="191" spans="1:11" ht="14.6" x14ac:dyDescent="0.4">
      <c r="A191" s="90"/>
      <c r="B191" s="90"/>
      <c r="C191" s="90"/>
      <c r="D191" s="90"/>
      <c r="E191" s="90" t="s">
        <v>731</v>
      </c>
      <c r="F191" s="91">
        <v>44771</v>
      </c>
      <c r="G191" s="90" t="s">
        <v>1381</v>
      </c>
      <c r="H191" s="90" t="s">
        <v>799</v>
      </c>
      <c r="I191" s="90" t="s">
        <v>2417</v>
      </c>
      <c r="J191" s="90" t="s">
        <v>735</v>
      </c>
      <c r="K191" s="93">
        <v>100</v>
      </c>
    </row>
    <row r="192" spans="1:11" ht="14.6" x14ac:dyDescent="0.4">
      <c r="A192" s="90"/>
      <c r="B192" s="90"/>
      <c r="C192" s="90"/>
      <c r="D192" s="90"/>
      <c r="E192" s="90" t="s">
        <v>731</v>
      </c>
      <c r="F192" s="91">
        <v>44774</v>
      </c>
      <c r="G192" s="90" t="s">
        <v>2090</v>
      </c>
      <c r="H192" s="90" t="s">
        <v>2294</v>
      </c>
      <c r="I192" s="90" t="s">
        <v>2420</v>
      </c>
      <c r="J192" s="90" t="s">
        <v>735</v>
      </c>
      <c r="K192" s="93">
        <v>675</v>
      </c>
    </row>
    <row r="193" spans="1:11" ht="14.6" x14ac:dyDescent="0.4">
      <c r="A193" s="90"/>
      <c r="B193" s="90"/>
      <c r="C193" s="90"/>
      <c r="D193" s="90"/>
      <c r="E193" s="90" t="s">
        <v>731</v>
      </c>
      <c r="F193" s="91">
        <v>44774</v>
      </c>
      <c r="G193" s="90" t="s">
        <v>2091</v>
      </c>
      <c r="H193" s="90" t="s">
        <v>2295</v>
      </c>
      <c r="I193" s="90" t="s">
        <v>2421</v>
      </c>
      <c r="J193" s="90" t="s">
        <v>735</v>
      </c>
      <c r="K193" s="93">
        <v>15</v>
      </c>
    </row>
    <row r="194" spans="1:11" ht="14.6" x14ac:dyDescent="0.4">
      <c r="A194" s="90"/>
      <c r="B194" s="90"/>
      <c r="C194" s="90"/>
      <c r="D194" s="90"/>
      <c r="E194" s="90" t="s">
        <v>731</v>
      </c>
      <c r="F194" s="91">
        <v>44774</v>
      </c>
      <c r="G194" s="90" t="s">
        <v>2092</v>
      </c>
      <c r="H194" s="90" t="s">
        <v>2295</v>
      </c>
      <c r="I194" s="90" t="s">
        <v>2421</v>
      </c>
      <c r="J194" s="90" t="s">
        <v>735</v>
      </c>
      <c r="K194" s="93">
        <v>150</v>
      </c>
    </row>
    <row r="195" spans="1:11" ht="14.6" x14ac:dyDescent="0.4">
      <c r="A195" s="90"/>
      <c r="B195" s="90"/>
      <c r="C195" s="90"/>
      <c r="D195" s="90"/>
      <c r="E195" s="90" t="s">
        <v>653</v>
      </c>
      <c r="F195" s="91">
        <v>44774</v>
      </c>
      <c r="G195" s="90" t="s">
        <v>1381</v>
      </c>
      <c r="H195" s="90" t="s">
        <v>815</v>
      </c>
      <c r="I195" s="90" t="s">
        <v>2422</v>
      </c>
      <c r="J195" s="90" t="s">
        <v>678</v>
      </c>
      <c r="K195" s="93">
        <v>127.38</v>
      </c>
    </row>
    <row r="196" spans="1:11" ht="14.6" x14ac:dyDescent="0.4">
      <c r="A196" s="90"/>
      <c r="B196" s="90"/>
      <c r="C196" s="90"/>
      <c r="D196" s="90"/>
      <c r="E196" s="90" t="s">
        <v>731</v>
      </c>
      <c r="F196" s="91">
        <v>44775</v>
      </c>
      <c r="G196" s="90" t="s">
        <v>2093</v>
      </c>
      <c r="H196" s="90" t="s">
        <v>2295</v>
      </c>
      <c r="I196" s="90" t="s">
        <v>2421</v>
      </c>
      <c r="J196" s="90" t="s">
        <v>735</v>
      </c>
      <c r="K196" s="93">
        <v>75</v>
      </c>
    </row>
    <row r="197" spans="1:11" ht="14.6" x14ac:dyDescent="0.4">
      <c r="A197" s="90"/>
      <c r="B197" s="90"/>
      <c r="C197" s="90"/>
      <c r="D197" s="90"/>
      <c r="E197" s="90" t="s">
        <v>731</v>
      </c>
      <c r="F197" s="91">
        <v>44775</v>
      </c>
      <c r="G197" s="90" t="s">
        <v>2061</v>
      </c>
      <c r="H197" s="90" t="s">
        <v>799</v>
      </c>
      <c r="I197" s="90" t="s">
        <v>2417</v>
      </c>
      <c r="J197" s="90" t="s">
        <v>735</v>
      </c>
      <c r="K197" s="93">
        <v>75</v>
      </c>
    </row>
    <row r="198" spans="1:11" ht="14.6" x14ac:dyDescent="0.4">
      <c r="A198" s="90"/>
      <c r="B198" s="90"/>
      <c r="C198" s="90"/>
      <c r="D198" s="90"/>
      <c r="E198" s="90" t="s">
        <v>731</v>
      </c>
      <c r="F198" s="91">
        <v>44775</v>
      </c>
      <c r="G198" s="90" t="s">
        <v>2094</v>
      </c>
      <c r="H198" s="90" t="s">
        <v>799</v>
      </c>
      <c r="I198" s="90" t="s">
        <v>2417</v>
      </c>
      <c r="J198" s="90" t="s">
        <v>735</v>
      </c>
      <c r="K198" s="93">
        <v>50</v>
      </c>
    </row>
    <row r="199" spans="1:11" ht="14.6" x14ac:dyDescent="0.4">
      <c r="A199" s="90"/>
      <c r="B199" s="90"/>
      <c r="C199" s="90"/>
      <c r="D199" s="90"/>
      <c r="E199" s="90" t="s">
        <v>731</v>
      </c>
      <c r="F199" s="91">
        <v>44775</v>
      </c>
      <c r="G199" s="90" t="s">
        <v>2061</v>
      </c>
      <c r="H199" s="90" t="s">
        <v>799</v>
      </c>
      <c r="I199" s="90" t="s">
        <v>2417</v>
      </c>
      <c r="J199" s="90" t="s">
        <v>735</v>
      </c>
      <c r="K199" s="93">
        <v>50</v>
      </c>
    </row>
    <row r="200" spans="1:11" ht="14.6" x14ac:dyDescent="0.4">
      <c r="A200" s="90"/>
      <c r="B200" s="90"/>
      <c r="C200" s="90"/>
      <c r="D200" s="90"/>
      <c r="E200" s="90" t="s">
        <v>653</v>
      </c>
      <c r="F200" s="91">
        <v>44777</v>
      </c>
      <c r="G200" s="90" t="s">
        <v>2095</v>
      </c>
      <c r="H200" s="90" t="s">
        <v>799</v>
      </c>
      <c r="I200" s="90" t="s">
        <v>2423</v>
      </c>
      <c r="J200" s="90" t="s">
        <v>678</v>
      </c>
      <c r="K200" s="93">
        <v>200</v>
      </c>
    </row>
    <row r="201" spans="1:11" ht="14.6" x14ac:dyDescent="0.4">
      <c r="A201" s="90"/>
      <c r="B201" s="90"/>
      <c r="C201" s="90"/>
      <c r="D201" s="90"/>
      <c r="E201" s="90" t="s">
        <v>731</v>
      </c>
      <c r="F201" s="91">
        <v>44782</v>
      </c>
      <c r="G201" s="90" t="s">
        <v>2096</v>
      </c>
      <c r="H201" s="90" t="s">
        <v>799</v>
      </c>
      <c r="I201" s="90" t="s">
        <v>2417</v>
      </c>
      <c r="J201" s="90" t="s">
        <v>735</v>
      </c>
      <c r="K201" s="93">
        <v>50</v>
      </c>
    </row>
    <row r="202" spans="1:11" ht="14.6" x14ac:dyDescent="0.4">
      <c r="A202" s="90"/>
      <c r="B202" s="90"/>
      <c r="C202" s="90"/>
      <c r="D202" s="90"/>
      <c r="E202" s="90" t="s">
        <v>731</v>
      </c>
      <c r="F202" s="91">
        <v>44782</v>
      </c>
      <c r="G202" s="90" t="s">
        <v>2096</v>
      </c>
      <c r="H202" s="90" t="s">
        <v>799</v>
      </c>
      <c r="I202" s="90" t="s">
        <v>2417</v>
      </c>
      <c r="J202" s="90" t="s">
        <v>735</v>
      </c>
      <c r="K202" s="93">
        <v>75</v>
      </c>
    </row>
    <row r="203" spans="1:11" ht="14.6" x14ac:dyDescent="0.4">
      <c r="A203" s="90"/>
      <c r="B203" s="90"/>
      <c r="C203" s="90"/>
      <c r="D203" s="90"/>
      <c r="E203" s="90" t="s">
        <v>731</v>
      </c>
      <c r="F203" s="91">
        <v>44782</v>
      </c>
      <c r="G203" s="90" t="s">
        <v>2096</v>
      </c>
      <c r="H203" s="90" t="s">
        <v>799</v>
      </c>
      <c r="I203" s="90" t="s">
        <v>2417</v>
      </c>
      <c r="J203" s="90" t="s">
        <v>735</v>
      </c>
      <c r="K203" s="93">
        <v>50</v>
      </c>
    </row>
    <row r="204" spans="1:11" ht="14.6" x14ac:dyDescent="0.4">
      <c r="A204" s="90"/>
      <c r="B204" s="90"/>
      <c r="C204" s="90"/>
      <c r="D204" s="90"/>
      <c r="E204" s="90" t="s">
        <v>731</v>
      </c>
      <c r="F204" s="91">
        <v>44782</v>
      </c>
      <c r="G204" s="90" t="s">
        <v>2061</v>
      </c>
      <c r="H204" s="90" t="s">
        <v>799</v>
      </c>
      <c r="I204" s="90" t="s">
        <v>2417</v>
      </c>
      <c r="J204" s="90" t="s">
        <v>735</v>
      </c>
      <c r="K204" s="93">
        <v>300</v>
      </c>
    </row>
    <row r="205" spans="1:11" ht="14.6" x14ac:dyDescent="0.4">
      <c r="A205" s="90"/>
      <c r="B205" s="90"/>
      <c r="C205" s="90"/>
      <c r="D205" s="90"/>
      <c r="E205" s="90" t="s">
        <v>731</v>
      </c>
      <c r="F205" s="91">
        <v>44783</v>
      </c>
      <c r="G205" s="90" t="s">
        <v>2096</v>
      </c>
      <c r="H205" s="90" t="s">
        <v>799</v>
      </c>
      <c r="I205" s="90" t="s">
        <v>2417</v>
      </c>
      <c r="J205" s="90" t="s">
        <v>735</v>
      </c>
      <c r="K205" s="93">
        <v>225</v>
      </c>
    </row>
    <row r="206" spans="1:11" ht="14.6" x14ac:dyDescent="0.4">
      <c r="A206" s="90"/>
      <c r="B206" s="90"/>
      <c r="C206" s="90"/>
      <c r="D206" s="90"/>
      <c r="E206" s="90" t="s">
        <v>731</v>
      </c>
      <c r="F206" s="91">
        <v>44784</v>
      </c>
      <c r="G206" s="90" t="s">
        <v>2097</v>
      </c>
      <c r="H206" s="90" t="s">
        <v>2296</v>
      </c>
      <c r="I206" s="90" t="s">
        <v>2646</v>
      </c>
      <c r="J206" s="90" t="s">
        <v>888</v>
      </c>
      <c r="K206" s="93">
        <v>220.63</v>
      </c>
    </row>
    <row r="207" spans="1:11" ht="14.6" x14ac:dyDescent="0.4">
      <c r="A207" s="90"/>
      <c r="B207" s="90"/>
      <c r="C207" s="90"/>
      <c r="D207" s="90"/>
      <c r="E207" s="90" t="s">
        <v>653</v>
      </c>
      <c r="F207" s="91">
        <v>44788</v>
      </c>
      <c r="G207" s="90" t="s">
        <v>2098</v>
      </c>
      <c r="H207" s="90" t="s">
        <v>799</v>
      </c>
      <c r="I207" s="90" t="s">
        <v>2424</v>
      </c>
      <c r="J207" s="90" t="s">
        <v>678</v>
      </c>
      <c r="K207" s="93">
        <v>15</v>
      </c>
    </row>
    <row r="208" spans="1:11" ht="14.6" x14ac:dyDescent="0.4">
      <c r="A208" s="90"/>
      <c r="B208" s="90"/>
      <c r="C208" s="90"/>
      <c r="D208" s="90"/>
      <c r="E208" s="90" t="s">
        <v>731</v>
      </c>
      <c r="F208" s="91">
        <v>44788</v>
      </c>
      <c r="G208" s="90" t="s">
        <v>2099</v>
      </c>
      <c r="H208" s="90" t="s">
        <v>799</v>
      </c>
      <c r="I208" s="90" t="s">
        <v>2417</v>
      </c>
      <c r="J208" s="90" t="s">
        <v>735</v>
      </c>
      <c r="K208" s="93">
        <v>350</v>
      </c>
    </row>
    <row r="209" spans="1:11" ht="14.6" x14ac:dyDescent="0.4">
      <c r="A209" s="90"/>
      <c r="B209" s="90"/>
      <c r="C209" s="90"/>
      <c r="D209" s="90"/>
      <c r="E209" s="90" t="s">
        <v>653</v>
      </c>
      <c r="F209" s="91">
        <v>44790</v>
      </c>
      <c r="G209" s="90" t="s">
        <v>2100</v>
      </c>
      <c r="H209" s="90" t="s">
        <v>2297</v>
      </c>
      <c r="I209" s="90" t="s">
        <v>2425</v>
      </c>
      <c r="J209" s="90" t="s">
        <v>678</v>
      </c>
      <c r="K209" s="93">
        <v>2619.75</v>
      </c>
    </row>
    <row r="210" spans="1:11" ht="14.6" x14ac:dyDescent="0.4">
      <c r="A210" s="90"/>
      <c r="B210" s="90"/>
      <c r="C210" s="90"/>
      <c r="D210" s="90"/>
      <c r="E210" s="90" t="s">
        <v>731</v>
      </c>
      <c r="F210" s="91">
        <v>44790</v>
      </c>
      <c r="G210" s="90" t="s">
        <v>2101</v>
      </c>
      <c r="H210" s="90" t="s">
        <v>799</v>
      </c>
      <c r="I210" s="90" t="s">
        <v>2417</v>
      </c>
      <c r="J210" s="90" t="s">
        <v>735</v>
      </c>
      <c r="K210" s="93">
        <v>50</v>
      </c>
    </row>
    <row r="211" spans="1:11" ht="14.6" x14ac:dyDescent="0.4">
      <c r="A211" s="90"/>
      <c r="B211" s="90"/>
      <c r="C211" s="90"/>
      <c r="D211" s="90"/>
      <c r="E211" s="90" t="s">
        <v>731</v>
      </c>
      <c r="F211" s="91">
        <v>44790</v>
      </c>
      <c r="G211" s="90" t="s">
        <v>2102</v>
      </c>
      <c r="H211" s="90" t="s">
        <v>799</v>
      </c>
      <c r="I211" s="90" t="s">
        <v>2417</v>
      </c>
      <c r="J211" s="90" t="s">
        <v>735</v>
      </c>
      <c r="K211" s="93">
        <v>50</v>
      </c>
    </row>
    <row r="212" spans="1:11" ht="14.6" x14ac:dyDescent="0.4">
      <c r="A212" s="90"/>
      <c r="B212" s="90"/>
      <c r="C212" s="90"/>
      <c r="D212" s="90"/>
      <c r="E212" s="90" t="s">
        <v>731</v>
      </c>
      <c r="F212" s="91">
        <v>44790</v>
      </c>
      <c r="G212" s="90" t="s">
        <v>2103</v>
      </c>
      <c r="H212" s="90" t="s">
        <v>799</v>
      </c>
      <c r="I212" s="90" t="s">
        <v>2417</v>
      </c>
      <c r="J212" s="90" t="s">
        <v>735</v>
      </c>
      <c r="K212" s="93">
        <v>50</v>
      </c>
    </row>
    <row r="213" spans="1:11" ht="14.6" x14ac:dyDescent="0.4">
      <c r="A213" s="90"/>
      <c r="B213" s="90"/>
      <c r="C213" s="90"/>
      <c r="D213" s="90"/>
      <c r="E213" s="90" t="s">
        <v>731</v>
      </c>
      <c r="F213" s="91">
        <v>44790</v>
      </c>
      <c r="G213" s="90" t="s">
        <v>2104</v>
      </c>
      <c r="H213" s="90" t="s">
        <v>799</v>
      </c>
      <c r="I213" s="90" t="s">
        <v>2417</v>
      </c>
      <c r="J213" s="90" t="s">
        <v>735</v>
      </c>
      <c r="K213" s="93">
        <v>75</v>
      </c>
    </row>
    <row r="214" spans="1:11" ht="14.6" x14ac:dyDescent="0.4">
      <c r="A214" s="90"/>
      <c r="B214" s="90"/>
      <c r="C214" s="90"/>
      <c r="D214" s="90"/>
      <c r="E214" s="90" t="s">
        <v>731</v>
      </c>
      <c r="F214" s="91">
        <v>44792</v>
      </c>
      <c r="G214" s="90" t="s">
        <v>2105</v>
      </c>
      <c r="H214" s="90" t="s">
        <v>2298</v>
      </c>
      <c r="I214" s="90" t="s">
        <v>2426</v>
      </c>
      <c r="J214" s="90" t="s">
        <v>735</v>
      </c>
      <c r="K214" s="93">
        <v>200</v>
      </c>
    </row>
    <row r="215" spans="1:11" ht="14.6" x14ac:dyDescent="0.4">
      <c r="A215" s="90"/>
      <c r="B215" s="90"/>
      <c r="C215" s="90"/>
      <c r="D215" s="90"/>
      <c r="E215" s="90" t="s">
        <v>731</v>
      </c>
      <c r="F215" s="91">
        <v>44792</v>
      </c>
      <c r="G215" s="90" t="s">
        <v>2106</v>
      </c>
      <c r="H215" s="90" t="s">
        <v>799</v>
      </c>
      <c r="I215" s="90" t="s">
        <v>2417</v>
      </c>
      <c r="J215" s="90" t="s">
        <v>735</v>
      </c>
      <c r="K215" s="93">
        <v>75</v>
      </c>
    </row>
    <row r="216" spans="1:11" ht="14.6" x14ac:dyDescent="0.4">
      <c r="A216" s="90"/>
      <c r="B216" s="90"/>
      <c r="C216" s="90"/>
      <c r="D216" s="90"/>
      <c r="E216" s="90" t="s">
        <v>731</v>
      </c>
      <c r="F216" s="91">
        <v>44793</v>
      </c>
      <c r="G216" s="90" t="s">
        <v>2107</v>
      </c>
      <c r="H216" s="90" t="s">
        <v>2299</v>
      </c>
      <c r="I216" s="90" t="s">
        <v>2387</v>
      </c>
      <c r="J216" s="90" t="s">
        <v>735</v>
      </c>
      <c r="K216" s="93">
        <v>186.81</v>
      </c>
    </row>
    <row r="217" spans="1:11" ht="14.6" x14ac:dyDescent="0.4">
      <c r="A217" s="90"/>
      <c r="B217" s="90"/>
      <c r="C217" s="90"/>
      <c r="D217" s="90"/>
      <c r="E217" s="90" t="s">
        <v>653</v>
      </c>
      <c r="F217" s="91">
        <v>44795</v>
      </c>
      <c r="G217" s="90" t="s">
        <v>2061</v>
      </c>
      <c r="H217" s="90" t="s">
        <v>2300</v>
      </c>
      <c r="I217" s="90" t="s">
        <v>2427</v>
      </c>
      <c r="J217" s="90" t="s">
        <v>678</v>
      </c>
      <c r="K217" s="93">
        <v>30</v>
      </c>
    </row>
    <row r="218" spans="1:11" ht="14.6" x14ac:dyDescent="0.4">
      <c r="A218" s="90"/>
      <c r="B218" s="90"/>
      <c r="C218" s="90"/>
      <c r="D218" s="90"/>
      <c r="E218" s="90" t="s">
        <v>731</v>
      </c>
      <c r="F218" s="91">
        <v>44795</v>
      </c>
      <c r="G218" s="90" t="s">
        <v>767</v>
      </c>
      <c r="H218" s="90" t="s">
        <v>2301</v>
      </c>
      <c r="I218" s="90" t="s">
        <v>2387</v>
      </c>
      <c r="J218" s="90" t="s">
        <v>888</v>
      </c>
      <c r="K218" s="93">
        <v>43.3</v>
      </c>
    </row>
    <row r="219" spans="1:11" ht="14.6" x14ac:dyDescent="0.4">
      <c r="A219" s="90"/>
      <c r="B219" s="90"/>
      <c r="C219" s="90"/>
      <c r="D219" s="90"/>
      <c r="E219" s="90" t="s">
        <v>731</v>
      </c>
      <c r="F219" s="91">
        <v>44795</v>
      </c>
      <c r="G219" s="90" t="s">
        <v>2108</v>
      </c>
      <c r="H219" s="90" t="s">
        <v>2302</v>
      </c>
      <c r="I219" s="90" t="s">
        <v>2387</v>
      </c>
      <c r="J219" s="90" t="s">
        <v>888</v>
      </c>
      <c r="K219" s="93">
        <v>47.19</v>
      </c>
    </row>
    <row r="220" spans="1:11" ht="14.6" x14ac:dyDescent="0.4">
      <c r="A220" s="90"/>
      <c r="B220" s="90"/>
      <c r="C220" s="90"/>
      <c r="D220" s="90"/>
      <c r="E220" s="90" t="s">
        <v>731</v>
      </c>
      <c r="F220" s="91">
        <v>44795</v>
      </c>
      <c r="G220" s="90" t="s">
        <v>2061</v>
      </c>
      <c r="H220" s="90" t="s">
        <v>805</v>
      </c>
      <c r="I220" s="90" t="s">
        <v>1392</v>
      </c>
      <c r="J220" s="90" t="s">
        <v>735</v>
      </c>
      <c r="K220" s="93">
        <v>100</v>
      </c>
    </row>
    <row r="221" spans="1:11" ht="14.6" x14ac:dyDescent="0.4">
      <c r="A221" s="90"/>
      <c r="B221" s="90"/>
      <c r="C221" s="90"/>
      <c r="D221" s="90"/>
      <c r="E221" s="90" t="s">
        <v>731</v>
      </c>
      <c r="F221" s="91">
        <v>44795</v>
      </c>
      <c r="G221" s="90" t="s">
        <v>2109</v>
      </c>
      <c r="H221" s="90" t="s">
        <v>2299</v>
      </c>
      <c r="I221" s="90" t="s">
        <v>2387</v>
      </c>
      <c r="J221" s="90" t="s">
        <v>735</v>
      </c>
      <c r="K221" s="93">
        <v>31.1</v>
      </c>
    </row>
    <row r="222" spans="1:11" ht="14.6" x14ac:dyDescent="0.4">
      <c r="A222" s="90"/>
      <c r="B222" s="90"/>
      <c r="C222" s="90"/>
      <c r="D222" s="90"/>
      <c r="E222" s="90" t="s">
        <v>731</v>
      </c>
      <c r="F222" s="91">
        <v>44795</v>
      </c>
      <c r="G222" s="90" t="s">
        <v>2110</v>
      </c>
      <c r="H222" s="90" t="s">
        <v>2299</v>
      </c>
      <c r="I222" s="90" t="s">
        <v>2387</v>
      </c>
      <c r="J222" s="90" t="s">
        <v>735</v>
      </c>
      <c r="K222" s="93">
        <v>8.19</v>
      </c>
    </row>
    <row r="223" spans="1:11" ht="14.6" x14ac:dyDescent="0.4">
      <c r="A223" s="90"/>
      <c r="B223" s="90"/>
      <c r="C223" s="90"/>
      <c r="D223" s="90"/>
      <c r="E223" s="90" t="s">
        <v>731</v>
      </c>
      <c r="F223" s="91">
        <v>44795</v>
      </c>
      <c r="G223" s="90" t="s">
        <v>2111</v>
      </c>
      <c r="H223" s="90" t="s">
        <v>2303</v>
      </c>
      <c r="I223" s="90" t="s">
        <v>2428</v>
      </c>
      <c r="J223" s="90" t="s">
        <v>735</v>
      </c>
      <c r="K223" s="93">
        <v>382.44</v>
      </c>
    </row>
    <row r="224" spans="1:11" ht="14.6" x14ac:dyDescent="0.4">
      <c r="A224" s="90"/>
      <c r="B224" s="90"/>
      <c r="C224" s="90"/>
      <c r="D224" s="90"/>
      <c r="E224" s="90" t="s">
        <v>731</v>
      </c>
      <c r="F224" s="91">
        <v>44796</v>
      </c>
      <c r="G224" s="90" t="s">
        <v>2107</v>
      </c>
      <c r="H224" s="90" t="s">
        <v>2301</v>
      </c>
      <c r="I224" s="90" t="s">
        <v>2387</v>
      </c>
      <c r="J224" s="90" t="s">
        <v>888</v>
      </c>
      <c r="K224" s="93">
        <v>21.65</v>
      </c>
    </row>
    <row r="225" spans="1:11" ht="14.6" x14ac:dyDescent="0.4">
      <c r="A225" s="90"/>
      <c r="B225" s="90"/>
      <c r="C225" s="90"/>
      <c r="D225" s="90"/>
      <c r="E225" s="90" t="s">
        <v>731</v>
      </c>
      <c r="F225" s="91">
        <v>44796</v>
      </c>
      <c r="G225" s="90" t="s">
        <v>2112</v>
      </c>
      <c r="H225" s="90" t="s">
        <v>2304</v>
      </c>
      <c r="I225" s="90" t="s">
        <v>2429</v>
      </c>
      <c r="J225" s="90" t="s">
        <v>735</v>
      </c>
      <c r="K225" s="93">
        <v>364.95</v>
      </c>
    </row>
    <row r="226" spans="1:11" ht="14.6" x14ac:dyDescent="0.4">
      <c r="A226" s="90"/>
      <c r="B226" s="90"/>
      <c r="C226" s="90"/>
      <c r="D226" s="90"/>
      <c r="E226" s="90" t="s">
        <v>731</v>
      </c>
      <c r="F226" s="91">
        <v>44796</v>
      </c>
      <c r="G226" s="90" t="s">
        <v>2113</v>
      </c>
      <c r="H226" s="90" t="s">
        <v>1716</v>
      </c>
      <c r="I226" s="90" t="s">
        <v>2430</v>
      </c>
      <c r="J226" s="90" t="s">
        <v>735</v>
      </c>
      <c r="K226" s="93">
        <v>6.94</v>
      </c>
    </row>
    <row r="227" spans="1:11" ht="14.6" x14ac:dyDescent="0.4">
      <c r="A227" s="90"/>
      <c r="B227" s="90"/>
      <c r="C227" s="90"/>
      <c r="D227" s="90"/>
      <c r="E227" s="90" t="s">
        <v>731</v>
      </c>
      <c r="F227" s="91">
        <v>44796</v>
      </c>
      <c r="G227" s="90" t="s">
        <v>2113</v>
      </c>
      <c r="H227" s="90" t="s">
        <v>2299</v>
      </c>
      <c r="I227" s="90" t="s">
        <v>2387</v>
      </c>
      <c r="J227" s="90" t="s">
        <v>735</v>
      </c>
      <c r="K227" s="93">
        <v>6.81</v>
      </c>
    </row>
    <row r="228" spans="1:11" ht="14.6" x14ac:dyDescent="0.4">
      <c r="A228" s="90"/>
      <c r="B228" s="90"/>
      <c r="C228" s="90"/>
      <c r="D228" s="90"/>
      <c r="E228" s="90" t="s">
        <v>731</v>
      </c>
      <c r="F228" s="91">
        <v>44796</v>
      </c>
      <c r="G228" s="90" t="s">
        <v>2114</v>
      </c>
      <c r="H228" s="90" t="s">
        <v>2299</v>
      </c>
      <c r="I228" s="90" t="s">
        <v>2430</v>
      </c>
      <c r="J228" s="90" t="s">
        <v>735</v>
      </c>
      <c r="K228" s="93">
        <v>2.48</v>
      </c>
    </row>
    <row r="229" spans="1:11" ht="14.6" x14ac:dyDescent="0.4">
      <c r="A229" s="90"/>
      <c r="B229" s="90"/>
      <c r="C229" s="90"/>
      <c r="D229" s="90"/>
      <c r="E229" s="90" t="s">
        <v>731</v>
      </c>
      <c r="F229" s="91">
        <v>44796</v>
      </c>
      <c r="G229" s="90" t="s">
        <v>2115</v>
      </c>
      <c r="H229" s="90" t="s">
        <v>2304</v>
      </c>
      <c r="I229" s="90" t="s">
        <v>2429</v>
      </c>
      <c r="J229" s="90" t="s">
        <v>735</v>
      </c>
      <c r="K229" s="93">
        <v>19.25</v>
      </c>
    </row>
    <row r="230" spans="1:11" ht="14.6" x14ac:dyDescent="0.4">
      <c r="A230" s="90"/>
      <c r="B230" s="90"/>
      <c r="C230" s="90"/>
      <c r="D230" s="90"/>
      <c r="E230" s="90" t="s">
        <v>731</v>
      </c>
      <c r="F230" s="91">
        <v>44797</v>
      </c>
      <c r="G230" s="90" t="s">
        <v>2116</v>
      </c>
      <c r="H230" s="90" t="s">
        <v>2305</v>
      </c>
      <c r="I230" s="90" t="s">
        <v>2387</v>
      </c>
      <c r="J230" s="90" t="s">
        <v>888</v>
      </c>
      <c r="K230" s="93">
        <v>350</v>
      </c>
    </row>
    <row r="231" spans="1:11" ht="14.6" x14ac:dyDescent="0.4">
      <c r="A231" s="90"/>
      <c r="B231" s="90"/>
      <c r="C231" s="90"/>
      <c r="D231" s="90"/>
      <c r="E231" s="90" t="s">
        <v>653</v>
      </c>
      <c r="F231" s="91">
        <v>44798</v>
      </c>
      <c r="G231" s="90" t="s">
        <v>2117</v>
      </c>
      <c r="H231" s="90" t="s">
        <v>2287</v>
      </c>
      <c r="I231" s="90" t="s">
        <v>2397</v>
      </c>
      <c r="J231" s="90" t="s">
        <v>678</v>
      </c>
      <c r="K231" s="93">
        <v>672.5</v>
      </c>
    </row>
    <row r="232" spans="1:11" ht="14.6" x14ac:dyDescent="0.4">
      <c r="A232" s="90"/>
      <c r="B232" s="90"/>
      <c r="C232" s="90"/>
      <c r="D232" s="90"/>
      <c r="E232" s="90" t="s">
        <v>731</v>
      </c>
      <c r="F232" s="91">
        <v>44798</v>
      </c>
      <c r="G232" s="90" t="s">
        <v>2118</v>
      </c>
      <c r="H232" s="90" t="s">
        <v>802</v>
      </c>
      <c r="I232" s="90" t="s">
        <v>2431</v>
      </c>
      <c r="J232" s="90" t="s">
        <v>735</v>
      </c>
      <c r="K232" s="93">
        <v>67.5</v>
      </c>
    </row>
    <row r="233" spans="1:11" ht="14.6" x14ac:dyDescent="0.4">
      <c r="A233" s="90"/>
      <c r="B233" s="90"/>
      <c r="C233" s="90"/>
      <c r="D233" s="90"/>
      <c r="E233" s="90" t="s">
        <v>731</v>
      </c>
      <c r="F233" s="91">
        <v>44798</v>
      </c>
      <c r="G233" s="90" t="s">
        <v>2119</v>
      </c>
      <c r="H233" s="90" t="s">
        <v>1002</v>
      </c>
      <c r="I233" s="90" t="s">
        <v>2432</v>
      </c>
      <c r="J233" s="90" t="s">
        <v>735</v>
      </c>
      <c r="K233" s="93">
        <v>78.38</v>
      </c>
    </row>
    <row r="234" spans="1:11" ht="14.6" x14ac:dyDescent="0.4">
      <c r="A234" s="90"/>
      <c r="B234" s="90"/>
      <c r="C234" s="90"/>
      <c r="D234" s="90"/>
      <c r="E234" s="90" t="s">
        <v>756</v>
      </c>
      <c r="F234" s="91">
        <v>44799</v>
      </c>
      <c r="G234" s="90" t="s">
        <v>2120</v>
      </c>
      <c r="H234" s="90" t="s">
        <v>2306</v>
      </c>
      <c r="I234" s="90" t="s">
        <v>2433</v>
      </c>
      <c r="J234" s="90" t="s">
        <v>679</v>
      </c>
      <c r="K234" s="93">
        <v>-46.98</v>
      </c>
    </row>
    <row r="235" spans="1:11" ht="14.6" x14ac:dyDescent="0.4">
      <c r="A235" s="90"/>
      <c r="B235" s="90"/>
      <c r="C235" s="90"/>
      <c r="D235" s="90"/>
      <c r="E235" s="90" t="s">
        <v>731</v>
      </c>
      <c r="F235" s="91">
        <v>44799</v>
      </c>
      <c r="G235" s="90" t="s">
        <v>2121</v>
      </c>
      <c r="H235" s="90" t="s">
        <v>2307</v>
      </c>
      <c r="I235" s="90" t="s">
        <v>2434</v>
      </c>
      <c r="J235" s="90" t="s">
        <v>888</v>
      </c>
      <c r="K235" s="93">
        <v>10.6</v>
      </c>
    </row>
    <row r="236" spans="1:11" ht="14.6" x14ac:dyDescent="0.4">
      <c r="A236" s="90"/>
      <c r="B236" s="90"/>
      <c r="C236" s="90"/>
      <c r="D236" s="90"/>
      <c r="E236" s="90" t="s">
        <v>731</v>
      </c>
      <c r="F236" s="91">
        <v>44801</v>
      </c>
      <c r="G236" s="90" t="s">
        <v>2122</v>
      </c>
      <c r="H236" s="90" t="s">
        <v>2308</v>
      </c>
      <c r="I236" s="90" t="s">
        <v>2435</v>
      </c>
      <c r="J236" s="90" t="s">
        <v>888</v>
      </c>
      <c r="K236" s="93">
        <v>160</v>
      </c>
    </row>
    <row r="237" spans="1:11" ht="14.6" x14ac:dyDescent="0.4">
      <c r="A237" s="90"/>
      <c r="B237" s="90"/>
      <c r="C237" s="90"/>
      <c r="D237" s="90"/>
      <c r="E237" s="90" t="s">
        <v>731</v>
      </c>
      <c r="F237" s="91">
        <v>44801</v>
      </c>
      <c r="G237" s="90" t="s">
        <v>2123</v>
      </c>
      <c r="H237" s="90" t="s">
        <v>2309</v>
      </c>
      <c r="I237" s="90" t="s">
        <v>2436</v>
      </c>
      <c r="J237" s="90" t="s">
        <v>888</v>
      </c>
      <c r="K237" s="93">
        <v>32</v>
      </c>
    </row>
    <row r="238" spans="1:11" ht="14.6" x14ac:dyDescent="0.4">
      <c r="A238" s="90"/>
      <c r="B238" s="90"/>
      <c r="C238" s="90"/>
      <c r="D238" s="90"/>
      <c r="E238" s="90" t="s">
        <v>653</v>
      </c>
      <c r="F238" s="91">
        <v>44802</v>
      </c>
      <c r="G238" s="90" t="s">
        <v>2061</v>
      </c>
      <c r="H238" s="90" t="s">
        <v>2310</v>
      </c>
      <c r="I238" s="90" t="s">
        <v>2437</v>
      </c>
      <c r="J238" s="90" t="s">
        <v>678</v>
      </c>
      <c r="K238" s="93">
        <v>56.76</v>
      </c>
    </row>
    <row r="239" spans="1:11" ht="14.6" x14ac:dyDescent="0.4">
      <c r="A239" s="90"/>
      <c r="B239" s="90"/>
      <c r="C239" s="90"/>
      <c r="D239" s="90"/>
      <c r="E239" s="90" t="s">
        <v>731</v>
      </c>
      <c r="F239" s="91">
        <v>44802</v>
      </c>
      <c r="G239" s="90" t="s">
        <v>2124</v>
      </c>
      <c r="H239" s="90" t="s">
        <v>2311</v>
      </c>
      <c r="I239" s="90" t="s">
        <v>2438</v>
      </c>
      <c r="J239" s="90" t="s">
        <v>735</v>
      </c>
      <c r="K239" s="93">
        <v>469.53</v>
      </c>
    </row>
    <row r="240" spans="1:11" ht="14.6" x14ac:dyDescent="0.4">
      <c r="A240" s="90"/>
      <c r="B240" s="90"/>
      <c r="C240" s="90"/>
      <c r="D240" s="90"/>
      <c r="E240" s="90" t="s">
        <v>731</v>
      </c>
      <c r="F240" s="91">
        <v>44802</v>
      </c>
      <c r="G240" s="90" t="s">
        <v>2125</v>
      </c>
      <c r="H240" s="90" t="s">
        <v>2311</v>
      </c>
      <c r="I240" s="90" t="s">
        <v>2439</v>
      </c>
      <c r="J240" s="90" t="s">
        <v>735</v>
      </c>
      <c r="K240" s="93">
        <v>469.53</v>
      </c>
    </row>
    <row r="241" spans="1:11" ht="14.6" x14ac:dyDescent="0.4">
      <c r="A241" s="90"/>
      <c r="B241" s="90"/>
      <c r="C241" s="90"/>
      <c r="D241" s="90"/>
      <c r="E241" s="90" t="s">
        <v>755</v>
      </c>
      <c r="F241" s="91">
        <v>44803</v>
      </c>
      <c r="G241" s="90" t="s">
        <v>2126</v>
      </c>
      <c r="H241" s="90" t="s">
        <v>2286</v>
      </c>
      <c r="I241" s="90" t="s">
        <v>2440</v>
      </c>
      <c r="J241" s="90" t="s">
        <v>735</v>
      </c>
      <c r="K241" s="93">
        <v>-100</v>
      </c>
    </row>
    <row r="242" spans="1:11" ht="14.6" x14ac:dyDescent="0.4">
      <c r="A242" s="90"/>
      <c r="B242" s="90"/>
      <c r="C242" s="90"/>
      <c r="D242" s="90"/>
      <c r="E242" s="90" t="s">
        <v>731</v>
      </c>
      <c r="F242" s="91">
        <v>44804</v>
      </c>
      <c r="G242" s="90" t="s">
        <v>2127</v>
      </c>
      <c r="H242" s="90" t="s">
        <v>2307</v>
      </c>
      <c r="I242" s="90" t="s">
        <v>2441</v>
      </c>
      <c r="J242" s="90" t="s">
        <v>888</v>
      </c>
      <c r="K242" s="93">
        <v>47</v>
      </c>
    </row>
    <row r="243" spans="1:11" ht="14.6" x14ac:dyDescent="0.4">
      <c r="A243" s="90"/>
      <c r="B243" s="90"/>
      <c r="C243" s="90"/>
      <c r="D243" s="90"/>
      <c r="E243" s="90" t="s">
        <v>731</v>
      </c>
      <c r="F243" s="91">
        <v>44805</v>
      </c>
      <c r="G243" s="90" t="s">
        <v>2128</v>
      </c>
      <c r="H243" s="90" t="s">
        <v>2312</v>
      </c>
      <c r="I243" s="90" t="s">
        <v>2442</v>
      </c>
      <c r="J243" s="90" t="s">
        <v>888</v>
      </c>
      <c r="K243" s="93">
        <v>1171.6500000000001</v>
      </c>
    </row>
    <row r="244" spans="1:11" ht="14.6" x14ac:dyDescent="0.4">
      <c r="A244" s="90"/>
      <c r="B244" s="90"/>
      <c r="C244" s="90"/>
      <c r="D244" s="90"/>
      <c r="E244" s="90" t="s">
        <v>731</v>
      </c>
      <c r="F244" s="91">
        <v>44805</v>
      </c>
      <c r="G244" s="90" t="s">
        <v>2129</v>
      </c>
      <c r="H244" s="90" t="s">
        <v>2312</v>
      </c>
      <c r="I244" s="90" t="s">
        <v>2442</v>
      </c>
      <c r="J244" s="90" t="s">
        <v>735</v>
      </c>
      <c r="K244" s="93">
        <v>195</v>
      </c>
    </row>
    <row r="245" spans="1:11" ht="14.6" x14ac:dyDescent="0.4">
      <c r="A245" s="90"/>
      <c r="B245" s="90"/>
      <c r="C245" s="90"/>
      <c r="D245" s="90"/>
      <c r="E245" s="90" t="s">
        <v>653</v>
      </c>
      <c r="F245" s="91">
        <v>44806</v>
      </c>
      <c r="G245" s="90" t="s">
        <v>2061</v>
      </c>
      <c r="H245" s="90" t="s">
        <v>2313</v>
      </c>
      <c r="I245" s="90" t="s">
        <v>2443</v>
      </c>
      <c r="J245" s="90" t="s">
        <v>678</v>
      </c>
      <c r="K245" s="93">
        <v>1322.32</v>
      </c>
    </row>
    <row r="246" spans="1:11" ht="14.6" x14ac:dyDescent="0.4">
      <c r="A246" s="90"/>
      <c r="B246" s="90"/>
      <c r="C246" s="90"/>
      <c r="D246" s="90"/>
      <c r="E246" s="90" t="s">
        <v>653</v>
      </c>
      <c r="F246" s="91">
        <v>44806</v>
      </c>
      <c r="G246" s="90" t="s">
        <v>2061</v>
      </c>
      <c r="H246" s="90" t="s">
        <v>2314</v>
      </c>
      <c r="I246" s="90" t="s">
        <v>2444</v>
      </c>
      <c r="J246" s="90" t="s">
        <v>678</v>
      </c>
      <c r="K246" s="93">
        <v>132.65</v>
      </c>
    </row>
    <row r="247" spans="1:11" ht="14.6" x14ac:dyDescent="0.4">
      <c r="A247" s="90"/>
      <c r="B247" s="90"/>
      <c r="C247" s="90"/>
      <c r="D247" s="90"/>
      <c r="E247" s="90" t="s">
        <v>653</v>
      </c>
      <c r="F247" s="91">
        <v>44806</v>
      </c>
      <c r="G247" s="90" t="s">
        <v>2061</v>
      </c>
      <c r="H247" s="90" t="s">
        <v>2315</v>
      </c>
      <c r="I247" s="90" t="s">
        <v>2445</v>
      </c>
      <c r="J247" s="90" t="s">
        <v>678</v>
      </c>
      <c r="K247" s="93">
        <v>267.77999999999997</v>
      </c>
    </row>
    <row r="248" spans="1:11" ht="14.6" x14ac:dyDescent="0.4">
      <c r="A248" s="90"/>
      <c r="B248" s="90"/>
      <c r="C248" s="90"/>
      <c r="D248" s="90"/>
      <c r="E248" s="90" t="s">
        <v>731</v>
      </c>
      <c r="F248" s="91">
        <v>44806</v>
      </c>
      <c r="G248" s="90" t="s">
        <v>2130</v>
      </c>
      <c r="H248" s="90" t="s">
        <v>799</v>
      </c>
      <c r="I248" s="90" t="s">
        <v>2417</v>
      </c>
      <c r="J248" s="90" t="s">
        <v>735</v>
      </c>
      <c r="K248" s="93">
        <v>350</v>
      </c>
    </row>
    <row r="249" spans="1:11" ht="14.6" x14ac:dyDescent="0.4">
      <c r="A249" s="90"/>
      <c r="B249" s="90"/>
      <c r="C249" s="90"/>
      <c r="D249" s="90"/>
      <c r="E249" s="90" t="s">
        <v>731</v>
      </c>
      <c r="F249" s="91">
        <v>44806</v>
      </c>
      <c r="G249" s="90" t="s">
        <v>2131</v>
      </c>
      <c r="H249" s="90" t="s">
        <v>799</v>
      </c>
      <c r="I249" s="90" t="s">
        <v>2417</v>
      </c>
      <c r="J249" s="90" t="s">
        <v>735</v>
      </c>
      <c r="K249" s="93">
        <v>350</v>
      </c>
    </row>
    <row r="250" spans="1:11" ht="14.6" x14ac:dyDescent="0.4">
      <c r="A250" s="90"/>
      <c r="B250" s="90"/>
      <c r="C250" s="90"/>
      <c r="D250" s="90"/>
      <c r="E250" s="90" t="s">
        <v>731</v>
      </c>
      <c r="F250" s="91">
        <v>44806</v>
      </c>
      <c r="G250" s="90" t="s">
        <v>2132</v>
      </c>
      <c r="H250" s="90" t="s">
        <v>799</v>
      </c>
      <c r="I250" s="90" t="s">
        <v>2417</v>
      </c>
      <c r="J250" s="90" t="s">
        <v>735</v>
      </c>
      <c r="K250" s="93">
        <v>210</v>
      </c>
    </row>
    <row r="251" spans="1:11" ht="14.6" x14ac:dyDescent="0.4">
      <c r="A251" s="90"/>
      <c r="B251" s="90"/>
      <c r="C251" s="90"/>
      <c r="D251" s="90"/>
      <c r="E251" s="90" t="s">
        <v>731</v>
      </c>
      <c r="F251" s="91">
        <v>44806</v>
      </c>
      <c r="G251" s="90" t="s">
        <v>2133</v>
      </c>
      <c r="H251" s="90" t="s">
        <v>799</v>
      </c>
      <c r="I251" s="90" t="s">
        <v>2417</v>
      </c>
      <c r="J251" s="90" t="s">
        <v>735</v>
      </c>
      <c r="K251" s="93">
        <v>210</v>
      </c>
    </row>
    <row r="252" spans="1:11" ht="14.6" x14ac:dyDescent="0.4">
      <c r="A252" s="90"/>
      <c r="B252" s="90"/>
      <c r="C252" s="90"/>
      <c r="D252" s="90"/>
      <c r="E252" s="90" t="s">
        <v>653</v>
      </c>
      <c r="F252" s="91">
        <v>44811</v>
      </c>
      <c r="G252" s="90" t="s">
        <v>2134</v>
      </c>
      <c r="H252" s="90" t="s">
        <v>799</v>
      </c>
      <c r="I252" s="90" t="s">
        <v>2446</v>
      </c>
      <c r="J252" s="90" t="s">
        <v>678</v>
      </c>
      <c r="K252" s="93">
        <v>350</v>
      </c>
    </row>
    <row r="253" spans="1:11" ht="14.6" x14ac:dyDescent="0.4">
      <c r="A253" s="90"/>
      <c r="B253" s="90"/>
      <c r="C253" s="90"/>
      <c r="D253" s="90"/>
      <c r="E253" s="90" t="s">
        <v>731</v>
      </c>
      <c r="F253" s="91">
        <v>44811</v>
      </c>
      <c r="G253" s="90" t="s">
        <v>2135</v>
      </c>
      <c r="H253" s="90" t="s">
        <v>2316</v>
      </c>
      <c r="I253" s="90" t="s">
        <v>2447</v>
      </c>
      <c r="J253" s="90" t="s">
        <v>735</v>
      </c>
      <c r="K253" s="93">
        <v>240</v>
      </c>
    </row>
    <row r="254" spans="1:11" ht="14.6" x14ac:dyDescent="0.4">
      <c r="A254" s="90"/>
      <c r="B254" s="90"/>
      <c r="C254" s="90"/>
      <c r="D254" s="90"/>
      <c r="E254" s="90" t="s">
        <v>731</v>
      </c>
      <c r="F254" s="91">
        <v>44811</v>
      </c>
      <c r="G254" s="90" t="s">
        <v>2136</v>
      </c>
      <c r="H254" s="90" t="s">
        <v>808</v>
      </c>
      <c r="I254" s="90" t="s">
        <v>2448</v>
      </c>
      <c r="J254" s="90" t="s">
        <v>735</v>
      </c>
      <c r="K254" s="93">
        <v>415</v>
      </c>
    </row>
    <row r="255" spans="1:11" ht="14.6" x14ac:dyDescent="0.4">
      <c r="A255" s="90"/>
      <c r="B255" s="90"/>
      <c r="C255" s="90"/>
      <c r="D255" s="90"/>
      <c r="E255" s="90" t="s">
        <v>653</v>
      </c>
      <c r="F255" s="91">
        <v>44812</v>
      </c>
      <c r="G255" s="90" t="s">
        <v>2061</v>
      </c>
      <c r="H255" s="90" t="s">
        <v>818</v>
      </c>
      <c r="I255" s="90" t="s">
        <v>2449</v>
      </c>
      <c r="J255" s="90" t="s">
        <v>678</v>
      </c>
      <c r="K255" s="93">
        <v>1069.79</v>
      </c>
    </row>
    <row r="256" spans="1:11" ht="14.6" x14ac:dyDescent="0.4">
      <c r="A256" s="90"/>
      <c r="B256" s="90"/>
      <c r="C256" s="90"/>
      <c r="D256" s="90"/>
      <c r="E256" s="90" t="s">
        <v>653</v>
      </c>
      <c r="F256" s="91">
        <v>44812</v>
      </c>
      <c r="G256" s="90" t="s">
        <v>2061</v>
      </c>
      <c r="H256" s="90" t="s">
        <v>814</v>
      </c>
      <c r="I256" s="90" t="s">
        <v>2450</v>
      </c>
      <c r="J256" s="90" t="s">
        <v>678</v>
      </c>
      <c r="K256" s="93">
        <v>181.46</v>
      </c>
    </row>
    <row r="257" spans="1:11" ht="14.6" x14ac:dyDescent="0.4">
      <c r="A257" s="90"/>
      <c r="B257" s="90"/>
      <c r="C257" s="90"/>
      <c r="D257" s="90"/>
      <c r="E257" s="90" t="s">
        <v>731</v>
      </c>
      <c r="F257" s="91">
        <v>44812</v>
      </c>
      <c r="G257" s="90" t="s">
        <v>2137</v>
      </c>
      <c r="H257" s="90" t="s">
        <v>799</v>
      </c>
      <c r="I257" s="90" t="s">
        <v>2417</v>
      </c>
      <c r="J257" s="90" t="s">
        <v>735</v>
      </c>
      <c r="K257" s="93">
        <v>75</v>
      </c>
    </row>
    <row r="258" spans="1:11" ht="14.6" x14ac:dyDescent="0.4">
      <c r="A258" s="90"/>
      <c r="B258" s="90"/>
      <c r="C258" s="90"/>
      <c r="D258" s="90"/>
      <c r="E258" s="90" t="s">
        <v>731</v>
      </c>
      <c r="F258" s="91">
        <v>44812</v>
      </c>
      <c r="G258" s="90" t="s">
        <v>2138</v>
      </c>
      <c r="H258" s="90" t="s">
        <v>799</v>
      </c>
      <c r="I258" s="90" t="s">
        <v>2417</v>
      </c>
      <c r="J258" s="90" t="s">
        <v>735</v>
      </c>
      <c r="K258" s="93">
        <v>50</v>
      </c>
    </row>
    <row r="259" spans="1:11" ht="14.6" x14ac:dyDescent="0.4">
      <c r="A259" s="90"/>
      <c r="B259" s="90"/>
      <c r="C259" s="90"/>
      <c r="D259" s="90"/>
      <c r="E259" s="90" t="s">
        <v>731</v>
      </c>
      <c r="F259" s="91">
        <v>44812</v>
      </c>
      <c r="G259" s="90" t="s">
        <v>2139</v>
      </c>
      <c r="H259" s="90" t="s">
        <v>799</v>
      </c>
      <c r="I259" s="90" t="s">
        <v>2417</v>
      </c>
      <c r="J259" s="90" t="s">
        <v>735</v>
      </c>
      <c r="K259" s="93">
        <v>160</v>
      </c>
    </row>
    <row r="260" spans="1:11" ht="14.6" x14ac:dyDescent="0.4">
      <c r="A260" s="90"/>
      <c r="B260" s="90"/>
      <c r="C260" s="90"/>
      <c r="D260" s="90"/>
      <c r="E260" s="90" t="s">
        <v>653</v>
      </c>
      <c r="F260" s="91">
        <v>44813</v>
      </c>
      <c r="G260" s="90" t="s">
        <v>2140</v>
      </c>
      <c r="H260" s="90" t="s">
        <v>2313</v>
      </c>
      <c r="I260" s="90" t="s">
        <v>2451</v>
      </c>
      <c r="J260" s="90" t="s">
        <v>678</v>
      </c>
      <c r="K260" s="93">
        <v>539.74</v>
      </c>
    </row>
    <row r="261" spans="1:11" ht="14.6" x14ac:dyDescent="0.4">
      <c r="A261" s="90"/>
      <c r="B261" s="90"/>
      <c r="C261" s="90"/>
      <c r="D261" s="90"/>
      <c r="E261" s="90" t="s">
        <v>653</v>
      </c>
      <c r="F261" s="91">
        <v>44817</v>
      </c>
      <c r="G261" s="90" t="s">
        <v>2141</v>
      </c>
      <c r="H261" s="90" t="s">
        <v>820</v>
      </c>
      <c r="I261" s="90" t="s">
        <v>2452</v>
      </c>
      <c r="J261" s="90" t="s">
        <v>678</v>
      </c>
      <c r="K261" s="93">
        <v>112</v>
      </c>
    </row>
    <row r="262" spans="1:11" ht="14.6" x14ac:dyDescent="0.4">
      <c r="A262" s="90"/>
      <c r="B262" s="90"/>
      <c r="C262" s="90"/>
      <c r="D262" s="90"/>
      <c r="E262" s="90" t="s">
        <v>653</v>
      </c>
      <c r="F262" s="91">
        <v>44817</v>
      </c>
      <c r="G262" s="90" t="s">
        <v>2142</v>
      </c>
      <c r="H262" s="90" t="s">
        <v>807</v>
      </c>
      <c r="I262" s="90" t="s">
        <v>2453</v>
      </c>
      <c r="J262" s="90" t="s">
        <v>678</v>
      </c>
      <c r="K262" s="93">
        <v>90</v>
      </c>
    </row>
    <row r="263" spans="1:11" ht="14.6" x14ac:dyDescent="0.4">
      <c r="A263" s="90"/>
      <c r="B263" s="90"/>
      <c r="C263" s="90"/>
      <c r="D263" s="90"/>
      <c r="E263" s="90" t="s">
        <v>653</v>
      </c>
      <c r="F263" s="91">
        <v>44817</v>
      </c>
      <c r="G263" s="90" t="s">
        <v>2143</v>
      </c>
      <c r="H263" s="90" t="s">
        <v>807</v>
      </c>
      <c r="I263" s="90" t="s">
        <v>2454</v>
      </c>
      <c r="J263" s="90" t="s">
        <v>678</v>
      </c>
      <c r="K263" s="93">
        <v>90</v>
      </c>
    </row>
    <row r="264" spans="1:11" ht="14.6" x14ac:dyDescent="0.4">
      <c r="A264" s="90"/>
      <c r="B264" s="90"/>
      <c r="C264" s="90"/>
      <c r="D264" s="90"/>
      <c r="E264" s="90" t="s">
        <v>653</v>
      </c>
      <c r="F264" s="91">
        <v>44817</v>
      </c>
      <c r="G264" s="90" t="s">
        <v>2144</v>
      </c>
      <c r="H264" s="90" t="s">
        <v>807</v>
      </c>
      <c r="I264" s="90" t="s">
        <v>2455</v>
      </c>
      <c r="J264" s="90" t="s">
        <v>678</v>
      </c>
      <c r="K264" s="93">
        <v>90</v>
      </c>
    </row>
    <row r="265" spans="1:11" ht="14.6" x14ac:dyDescent="0.4">
      <c r="A265" s="90"/>
      <c r="B265" s="90"/>
      <c r="C265" s="90"/>
      <c r="D265" s="90"/>
      <c r="E265" s="90" t="s">
        <v>653</v>
      </c>
      <c r="F265" s="91">
        <v>44817</v>
      </c>
      <c r="G265" s="90" t="s">
        <v>2145</v>
      </c>
      <c r="H265" s="90" t="s">
        <v>807</v>
      </c>
      <c r="I265" s="90" t="s">
        <v>2456</v>
      </c>
      <c r="J265" s="90" t="s">
        <v>678</v>
      </c>
      <c r="K265" s="93">
        <v>90</v>
      </c>
    </row>
    <row r="266" spans="1:11" ht="14.6" x14ac:dyDescent="0.4">
      <c r="A266" s="90"/>
      <c r="B266" s="90"/>
      <c r="C266" s="90"/>
      <c r="D266" s="90"/>
      <c r="E266" s="90" t="s">
        <v>653</v>
      </c>
      <c r="F266" s="91">
        <v>44817</v>
      </c>
      <c r="G266" s="90" t="s">
        <v>2146</v>
      </c>
      <c r="H266" s="90" t="s">
        <v>807</v>
      </c>
      <c r="I266" s="90" t="s">
        <v>2457</v>
      </c>
      <c r="J266" s="90" t="s">
        <v>678</v>
      </c>
      <c r="K266" s="93">
        <v>90</v>
      </c>
    </row>
    <row r="267" spans="1:11" ht="14.6" x14ac:dyDescent="0.4">
      <c r="A267" s="90"/>
      <c r="B267" s="90"/>
      <c r="C267" s="90"/>
      <c r="D267" s="90"/>
      <c r="E267" s="90" t="s">
        <v>653</v>
      </c>
      <c r="F267" s="91">
        <v>44817</v>
      </c>
      <c r="G267" s="90" t="s">
        <v>2147</v>
      </c>
      <c r="H267" s="90" t="s">
        <v>807</v>
      </c>
      <c r="I267" s="90" t="s">
        <v>2458</v>
      </c>
      <c r="J267" s="90" t="s">
        <v>678</v>
      </c>
      <c r="K267" s="93">
        <v>90</v>
      </c>
    </row>
    <row r="268" spans="1:11" ht="14.6" x14ac:dyDescent="0.4">
      <c r="A268" s="90"/>
      <c r="B268" s="90"/>
      <c r="C268" s="90"/>
      <c r="D268" s="90"/>
      <c r="E268" s="90" t="s">
        <v>653</v>
      </c>
      <c r="F268" s="91">
        <v>44817</v>
      </c>
      <c r="G268" s="90" t="s">
        <v>2148</v>
      </c>
      <c r="H268" s="90" t="s">
        <v>799</v>
      </c>
      <c r="I268" s="90" t="s">
        <v>2459</v>
      </c>
      <c r="J268" s="90" t="s">
        <v>678</v>
      </c>
      <c r="K268" s="93">
        <v>365</v>
      </c>
    </row>
    <row r="269" spans="1:11" ht="14.6" x14ac:dyDescent="0.4">
      <c r="A269" s="90"/>
      <c r="B269" s="90"/>
      <c r="C269" s="90"/>
      <c r="D269" s="90"/>
      <c r="E269" s="90" t="s">
        <v>731</v>
      </c>
      <c r="F269" s="91">
        <v>44817</v>
      </c>
      <c r="G269" s="90" t="s">
        <v>2149</v>
      </c>
      <c r="H269" s="90" t="s">
        <v>799</v>
      </c>
      <c r="I269" s="90" t="s">
        <v>2417</v>
      </c>
      <c r="J269" s="90" t="s">
        <v>735</v>
      </c>
      <c r="K269" s="93">
        <v>350</v>
      </c>
    </row>
    <row r="270" spans="1:11" ht="14.6" x14ac:dyDescent="0.4">
      <c r="A270" s="90"/>
      <c r="B270" s="90"/>
      <c r="C270" s="90"/>
      <c r="D270" s="90"/>
      <c r="E270" s="90" t="s">
        <v>731</v>
      </c>
      <c r="F270" s="91">
        <v>44817</v>
      </c>
      <c r="G270" s="90" t="s">
        <v>2150</v>
      </c>
      <c r="H270" s="90" t="s">
        <v>804</v>
      </c>
      <c r="I270" s="90" t="s">
        <v>2460</v>
      </c>
      <c r="J270" s="90" t="s">
        <v>735</v>
      </c>
      <c r="K270" s="93">
        <v>409.96</v>
      </c>
    </row>
    <row r="271" spans="1:11" ht="14.6" x14ac:dyDescent="0.4">
      <c r="A271" s="90"/>
      <c r="B271" s="90"/>
      <c r="C271" s="90"/>
      <c r="D271" s="90"/>
      <c r="E271" s="90" t="s">
        <v>653</v>
      </c>
      <c r="F271" s="91">
        <v>44817</v>
      </c>
      <c r="G271" s="90" t="s">
        <v>2151</v>
      </c>
      <c r="H271" s="90" t="s">
        <v>807</v>
      </c>
      <c r="I271" s="90" t="s">
        <v>2461</v>
      </c>
      <c r="J271" s="90" t="s">
        <v>678</v>
      </c>
      <c r="K271" s="93">
        <v>90</v>
      </c>
    </row>
    <row r="272" spans="1:11" ht="14.6" x14ac:dyDescent="0.4">
      <c r="A272" s="90"/>
      <c r="B272" s="90"/>
      <c r="C272" s="90"/>
      <c r="D272" s="90"/>
      <c r="E272" s="90" t="s">
        <v>653</v>
      </c>
      <c r="F272" s="91">
        <v>44817</v>
      </c>
      <c r="G272" s="90" t="s">
        <v>2152</v>
      </c>
      <c r="H272" s="90" t="s">
        <v>807</v>
      </c>
      <c r="I272" s="90" t="s">
        <v>2462</v>
      </c>
      <c r="J272" s="90" t="s">
        <v>678</v>
      </c>
      <c r="K272" s="93">
        <v>90</v>
      </c>
    </row>
    <row r="273" spans="1:11" ht="14.6" x14ac:dyDescent="0.4">
      <c r="A273" s="90"/>
      <c r="B273" s="90"/>
      <c r="C273" s="90"/>
      <c r="D273" s="90"/>
      <c r="E273" s="90" t="s">
        <v>731</v>
      </c>
      <c r="F273" s="91">
        <v>44818</v>
      </c>
      <c r="G273" s="90" t="s">
        <v>2153</v>
      </c>
      <c r="H273" s="90" t="s">
        <v>2278</v>
      </c>
      <c r="I273" s="90" t="s">
        <v>2463</v>
      </c>
      <c r="J273" s="90" t="s">
        <v>888</v>
      </c>
      <c r="K273" s="93">
        <v>14.86</v>
      </c>
    </row>
    <row r="274" spans="1:11" ht="14.6" x14ac:dyDescent="0.4">
      <c r="A274" s="90"/>
      <c r="B274" s="90"/>
      <c r="C274" s="90"/>
      <c r="D274" s="90"/>
      <c r="E274" s="90" t="s">
        <v>731</v>
      </c>
      <c r="F274" s="91">
        <v>44818</v>
      </c>
      <c r="G274" s="90" t="s">
        <v>2154</v>
      </c>
      <c r="H274" s="90" t="s">
        <v>799</v>
      </c>
      <c r="I274" s="90" t="s">
        <v>2417</v>
      </c>
      <c r="J274" s="90" t="s">
        <v>735</v>
      </c>
      <c r="K274" s="93">
        <v>250</v>
      </c>
    </row>
    <row r="275" spans="1:11" ht="14.6" x14ac:dyDescent="0.4">
      <c r="A275" s="90"/>
      <c r="B275" s="90"/>
      <c r="C275" s="90"/>
      <c r="D275" s="90"/>
      <c r="E275" s="90" t="s">
        <v>731</v>
      </c>
      <c r="F275" s="91">
        <v>44818</v>
      </c>
      <c r="G275" s="90" t="s">
        <v>2155</v>
      </c>
      <c r="H275" s="90" t="s">
        <v>799</v>
      </c>
      <c r="I275" s="90" t="s">
        <v>2417</v>
      </c>
      <c r="J275" s="90" t="s">
        <v>735</v>
      </c>
      <c r="K275" s="93">
        <v>75</v>
      </c>
    </row>
    <row r="276" spans="1:11" ht="14.6" x14ac:dyDescent="0.4">
      <c r="A276" s="90"/>
      <c r="B276" s="90"/>
      <c r="C276" s="90"/>
      <c r="D276" s="90"/>
      <c r="E276" s="90" t="s">
        <v>731</v>
      </c>
      <c r="F276" s="91">
        <v>44818</v>
      </c>
      <c r="G276" s="90" t="s">
        <v>2156</v>
      </c>
      <c r="H276" s="90" t="s">
        <v>807</v>
      </c>
      <c r="I276" s="90" t="s">
        <v>2464</v>
      </c>
      <c r="J276" s="90" t="s">
        <v>735</v>
      </c>
      <c r="K276" s="93">
        <v>370</v>
      </c>
    </row>
    <row r="277" spans="1:11" ht="14.6" x14ac:dyDescent="0.4">
      <c r="A277" s="90"/>
      <c r="B277" s="90"/>
      <c r="C277" s="90"/>
      <c r="D277" s="90"/>
      <c r="E277" s="90" t="s">
        <v>652</v>
      </c>
      <c r="F277" s="91">
        <v>44819</v>
      </c>
      <c r="G277" s="90" t="s">
        <v>1019</v>
      </c>
      <c r="H277" s="90" t="s">
        <v>799</v>
      </c>
      <c r="I277" s="90" t="s">
        <v>2465</v>
      </c>
      <c r="J277" s="90" t="s">
        <v>678</v>
      </c>
      <c r="K277" s="93">
        <v>-50</v>
      </c>
    </row>
    <row r="278" spans="1:11" ht="14.6" x14ac:dyDescent="0.4">
      <c r="A278" s="90"/>
      <c r="B278" s="90"/>
      <c r="C278" s="90"/>
      <c r="D278" s="90"/>
      <c r="E278" s="90" t="s">
        <v>731</v>
      </c>
      <c r="F278" s="91">
        <v>44823</v>
      </c>
      <c r="G278" s="90" t="s">
        <v>2157</v>
      </c>
      <c r="H278" s="90" t="s">
        <v>799</v>
      </c>
      <c r="I278" s="90" t="s">
        <v>2417</v>
      </c>
      <c r="J278" s="90" t="s">
        <v>735</v>
      </c>
      <c r="K278" s="93">
        <v>150</v>
      </c>
    </row>
    <row r="279" spans="1:11" ht="14.6" x14ac:dyDescent="0.4">
      <c r="A279" s="90"/>
      <c r="B279" s="90"/>
      <c r="C279" s="90"/>
      <c r="D279" s="90"/>
      <c r="E279" s="90" t="s">
        <v>653</v>
      </c>
      <c r="F279" s="91">
        <v>44824</v>
      </c>
      <c r="G279" s="90" t="s">
        <v>2061</v>
      </c>
      <c r="H279" s="90" t="s">
        <v>2317</v>
      </c>
      <c r="I279" s="90" t="s">
        <v>2466</v>
      </c>
      <c r="J279" s="90" t="s">
        <v>678</v>
      </c>
      <c r="K279" s="93">
        <v>692.12</v>
      </c>
    </row>
    <row r="280" spans="1:11" ht="14.6" x14ac:dyDescent="0.4">
      <c r="A280" s="90"/>
      <c r="B280" s="90"/>
      <c r="C280" s="90"/>
      <c r="D280" s="90"/>
      <c r="E280" s="90" t="s">
        <v>653</v>
      </c>
      <c r="F280" s="91">
        <v>44824</v>
      </c>
      <c r="G280" s="90" t="s">
        <v>2140</v>
      </c>
      <c r="H280" s="90" t="s">
        <v>2318</v>
      </c>
      <c r="I280" s="90" t="s">
        <v>2467</v>
      </c>
      <c r="J280" s="90" t="s">
        <v>678</v>
      </c>
      <c r="K280" s="93">
        <v>44.84</v>
      </c>
    </row>
    <row r="281" spans="1:11" ht="14.6" x14ac:dyDescent="0.4">
      <c r="A281" s="90"/>
      <c r="B281" s="90"/>
      <c r="C281" s="90"/>
      <c r="D281" s="90"/>
      <c r="E281" s="90" t="s">
        <v>731</v>
      </c>
      <c r="F281" s="91">
        <v>44825</v>
      </c>
      <c r="G281" s="90" t="s">
        <v>2158</v>
      </c>
      <c r="H281" s="90" t="s">
        <v>2316</v>
      </c>
      <c r="I281" s="90" t="s">
        <v>2468</v>
      </c>
      <c r="J281" s="90" t="s">
        <v>888</v>
      </c>
      <c r="K281" s="93">
        <v>209</v>
      </c>
    </row>
    <row r="282" spans="1:11" ht="14.6" x14ac:dyDescent="0.4">
      <c r="A282" s="90"/>
      <c r="B282" s="90"/>
      <c r="C282" s="90"/>
      <c r="D282" s="90"/>
      <c r="E282" s="90" t="s">
        <v>731</v>
      </c>
      <c r="F282" s="91">
        <v>44825</v>
      </c>
      <c r="G282" s="90" t="s">
        <v>2159</v>
      </c>
      <c r="H282" s="90" t="s">
        <v>2319</v>
      </c>
      <c r="I282" s="90" t="s">
        <v>2469</v>
      </c>
      <c r="J282" s="90" t="s">
        <v>888</v>
      </c>
      <c r="K282" s="93">
        <v>14.16</v>
      </c>
    </row>
    <row r="283" spans="1:11" ht="14.6" x14ac:dyDescent="0.4">
      <c r="A283" s="90"/>
      <c r="B283" s="90"/>
      <c r="C283" s="90"/>
      <c r="D283" s="90"/>
      <c r="E283" s="90" t="s">
        <v>731</v>
      </c>
      <c r="F283" s="91">
        <v>44825</v>
      </c>
      <c r="G283" s="90" t="s">
        <v>2160</v>
      </c>
      <c r="H283" s="90" t="s">
        <v>799</v>
      </c>
      <c r="I283" s="90" t="s">
        <v>2417</v>
      </c>
      <c r="J283" s="90" t="s">
        <v>735</v>
      </c>
      <c r="K283" s="93">
        <v>160</v>
      </c>
    </row>
    <row r="284" spans="1:11" ht="14.6" x14ac:dyDescent="0.4">
      <c r="A284" s="90"/>
      <c r="B284" s="90"/>
      <c r="C284" s="90"/>
      <c r="D284" s="90"/>
      <c r="E284" s="90" t="s">
        <v>731</v>
      </c>
      <c r="F284" s="91">
        <v>44825</v>
      </c>
      <c r="G284" s="90" t="s">
        <v>2161</v>
      </c>
      <c r="H284" s="90" t="s">
        <v>799</v>
      </c>
      <c r="I284" s="90" t="s">
        <v>2417</v>
      </c>
      <c r="J284" s="90" t="s">
        <v>735</v>
      </c>
      <c r="K284" s="93">
        <v>50</v>
      </c>
    </row>
    <row r="285" spans="1:11" ht="14.6" x14ac:dyDescent="0.4">
      <c r="A285" s="90"/>
      <c r="B285" s="90"/>
      <c r="C285" s="90"/>
      <c r="D285" s="90"/>
      <c r="E285" s="90" t="s">
        <v>731</v>
      </c>
      <c r="F285" s="91">
        <v>44825</v>
      </c>
      <c r="G285" s="90" t="s">
        <v>2162</v>
      </c>
      <c r="H285" s="90" t="s">
        <v>799</v>
      </c>
      <c r="I285" s="90" t="s">
        <v>2417</v>
      </c>
      <c r="J285" s="90" t="s">
        <v>735</v>
      </c>
      <c r="K285" s="93">
        <v>75</v>
      </c>
    </row>
    <row r="286" spans="1:11" ht="14.6" x14ac:dyDescent="0.4">
      <c r="A286" s="90"/>
      <c r="B286" s="90"/>
      <c r="C286" s="90"/>
      <c r="D286" s="90"/>
      <c r="E286" s="90" t="s">
        <v>731</v>
      </c>
      <c r="F286" s="91">
        <v>44825</v>
      </c>
      <c r="G286" s="90" t="s">
        <v>2162</v>
      </c>
      <c r="H286" s="90" t="s">
        <v>804</v>
      </c>
      <c r="I286" s="90" t="s">
        <v>2470</v>
      </c>
      <c r="J286" s="90" t="s">
        <v>735</v>
      </c>
      <c r="K286" s="93">
        <v>176.96</v>
      </c>
    </row>
    <row r="287" spans="1:11" ht="14.6" x14ac:dyDescent="0.4">
      <c r="A287" s="90"/>
      <c r="B287" s="90"/>
      <c r="C287" s="90"/>
      <c r="D287" s="90"/>
      <c r="E287" s="90" t="s">
        <v>731</v>
      </c>
      <c r="F287" s="91">
        <v>44826</v>
      </c>
      <c r="G287" s="90" t="s">
        <v>2140</v>
      </c>
      <c r="H287" s="90" t="s">
        <v>805</v>
      </c>
      <c r="I287" s="90" t="s">
        <v>1392</v>
      </c>
      <c r="J287" s="90" t="s">
        <v>735</v>
      </c>
      <c r="K287" s="93">
        <v>100</v>
      </c>
    </row>
    <row r="288" spans="1:11" ht="14.6" x14ac:dyDescent="0.4">
      <c r="A288" s="90"/>
      <c r="B288" s="90"/>
      <c r="C288" s="90"/>
      <c r="D288" s="90"/>
      <c r="E288" s="90" t="s">
        <v>731</v>
      </c>
      <c r="F288" s="91">
        <v>44827</v>
      </c>
      <c r="G288" s="90" t="s">
        <v>2163</v>
      </c>
      <c r="H288" s="90" t="s">
        <v>2296</v>
      </c>
      <c r="I288" s="90" t="s">
        <v>3139</v>
      </c>
      <c r="J288" s="90" t="s">
        <v>735</v>
      </c>
      <c r="K288" s="93">
        <v>122.85</v>
      </c>
    </row>
    <row r="289" spans="1:11" ht="14.6" x14ac:dyDescent="0.4">
      <c r="A289" s="90"/>
      <c r="B289" s="90"/>
      <c r="C289" s="90"/>
      <c r="D289" s="90"/>
      <c r="E289" s="90" t="s">
        <v>756</v>
      </c>
      <c r="F289" s="91">
        <v>44830</v>
      </c>
      <c r="G289" s="90" t="s">
        <v>2164</v>
      </c>
      <c r="H289" s="90" t="s">
        <v>799</v>
      </c>
      <c r="I289" s="90" t="s">
        <v>2471</v>
      </c>
      <c r="J289" s="90" t="s">
        <v>679</v>
      </c>
      <c r="K289" s="93">
        <v>-1305.5</v>
      </c>
    </row>
    <row r="290" spans="1:11" ht="14.6" x14ac:dyDescent="0.4">
      <c r="A290" s="90"/>
      <c r="B290" s="90"/>
      <c r="C290" s="90"/>
      <c r="D290" s="90"/>
      <c r="E290" s="90" t="s">
        <v>731</v>
      </c>
      <c r="F290" s="91">
        <v>44831</v>
      </c>
      <c r="G290" s="90" t="s">
        <v>2165</v>
      </c>
      <c r="H290" s="90" t="s">
        <v>799</v>
      </c>
      <c r="I290" s="90" t="s">
        <v>2417</v>
      </c>
      <c r="J290" s="90" t="s">
        <v>735</v>
      </c>
      <c r="K290" s="93">
        <v>225</v>
      </c>
    </row>
    <row r="291" spans="1:11" ht="14.6" x14ac:dyDescent="0.4">
      <c r="A291" s="90"/>
      <c r="B291" s="90"/>
      <c r="C291" s="90"/>
      <c r="D291" s="90"/>
      <c r="E291" s="90" t="s">
        <v>731</v>
      </c>
      <c r="F291" s="91">
        <v>44831</v>
      </c>
      <c r="G291" s="90" t="s">
        <v>2166</v>
      </c>
      <c r="H291" s="90" t="s">
        <v>799</v>
      </c>
      <c r="I291" s="90" t="s">
        <v>2417</v>
      </c>
      <c r="J291" s="90" t="s">
        <v>735</v>
      </c>
      <c r="K291" s="93">
        <v>300</v>
      </c>
    </row>
    <row r="292" spans="1:11" ht="14.6" x14ac:dyDescent="0.4">
      <c r="A292" s="90"/>
      <c r="B292" s="90"/>
      <c r="C292" s="90"/>
      <c r="D292" s="90"/>
      <c r="E292" s="90" t="s">
        <v>731</v>
      </c>
      <c r="F292" s="91">
        <v>44831</v>
      </c>
      <c r="G292" s="90" t="s">
        <v>2167</v>
      </c>
      <c r="H292" s="90" t="s">
        <v>799</v>
      </c>
      <c r="I292" s="90" t="s">
        <v>2417</v>
      </c>
      <c r="J292" s="90" t="s">
        <v>735</v>
      </c>
      <c r="K292" s="93">
        <v>75</v>
      </c>
    </row>
    <row r="293" spans="1:11" ht="14.6" x14ac:dyDescent="0.4">
      <c r="A293" s="90"/>
      <c r="B293" s="90"/>
      <c r="C293" s="90"/>
      <c r="D293" s="90"/>
      <c r="E293" s="90" t="s">
        <v>731</v>
      </c>
      <c r="F293" s="91">
        <v>44831</v>
      </c>
      <c r="G293" s="90" t="s">
        <v>2168</v>
      </c>
      <c r="H293" s="90" t="s">
        <v>802</v>
      </c>
      <c r="I293" s="90" t="s">
        <v>2431</v>
      </c>
      <c r="J293" s="90" t="s">
        <v>735</v>
      </c>
      <c r="K293" s="93">
        <v>45</v>
      </c>
    </row>
    <row r="294" spans="1:11" ht="14.6" x14ac:dyDescent="0.4">
      <c r="A294" s="90"/>
      <c r="B294" s="90"/>
      <c r="C294" s="90"/>
      <c r="D294" s="90"/>
      <c r="E294" s="90" t="s">
        <v>731</v>
      </c>
      <c r="F294" s="91">
        <v>44831</v>
      </c>
      <c r="G294" s="90" t="s">
        <v>2169</v>
      </c>
      <c r="H294" s="90" t="s">
        <v>802</v>
      </c>
      <c r="I294" s="90" t="s">
        <v>2431</v>
      </c>
      <c r="J294" s="90" t="s">
        <v>735</v>
      </c>
      <c r="K294" s="93">
        <v>45</v>
      </c>
    </row>
    <row r="295" spans="1:11" ht="14.6" x14ac:dyDescent="0.4">
      <c r="A295" s="90"/>
      <c r="B295" s="90"/>
      <c r="C295" s="90"/>
      <c r="D295" s="90"/>
      <c r="E295" s="90" t="s">
        <v>755</v>
      </c>
      <c r="F295" s="91">
        <v>44831</v>
      </c>
      <c r="G295" s="90" t="s">
        <v>2170</v>
      </c>
      <c r="H295" s="90" t="s">
        <v>2296</v>
      </c>
      <c r="I295" s="90" t="s">
        <v>2472</v>
      </c>
      <c r="J295" s="90" t="s">
        <v>888</v>
      </c>
      <c r="K295" s="93">
        <v>-170.63</v>
      </c>
    </row>
    <row r="296" spans="1:11" ht="14.6" x14ac:dyDescent="0.4">
      <c r="A296" s="90"/>
      <c r="B296" s="90"/>
      <c r="C296" s="90"/>
      <c r="D296" s="90"/>
      <c r="E296" s="90" t="s">
        <v>653</v>
      </c>
      <c r="F296" s="91">
        <v>44831</v>
      </c>
      <c r="G296" s="90" t="s">
        <v>2171</v>
      </c>
      <c r="H296" s="90" t="s">
        <v>2320</v>
      </c>
      <c r="I296" s="90" t="s">
        <v>2473</v>
      </c>
      <c r="J296" s="90" t="s">
        <v>678</v>
      </c>
      <c r="K296" s="93">
        <v>2070</v>
      </c>
    </row>
    <row r="297" spans="1:11" ht="14.6" x14ac:dyDescent="0.4">
      <c r="A297" s="90"/>
      <c r="B297" s="90"/>
      <c r="C297" s="90"/>
      <c r="D297" s="90"/>
      <c r="E297" s="90" t="s">
        <v>653</v>
      </c>
      <c r="F297" s="91">
        <v>44832</v>
      </c>
      <c r="G297" s="90" t="s">
        <v>2172</v>
      </c>
      <c r="H297" s="90" t="s">
        <v>2321</v>
      </c>
      <c r="I297" s="90" t="s">
        <v>2474</v>
      </c>
      <c r="J297" s="90" t="s">
        <v>678</v>
      </c>
      <c r="K297" s="93">
        <v>225</v>
      </c>
    </row>
    <row r="298" spans="1:11" ht="14.6" x14ac:dyDescent="0.4">
      <c r="A298" s="90"/>
      <c r="B298" s="90"/>
      <c r="C298" s="90"/>
      <c r="D298" s="90"/>
      <c r="E298" s="90" t="s">
        <v>653</v>
      </c>
      <c r="F298" s="91">
        <v>44832</v>
      </c>
      <c r="G298" s="90" t="s">
        <v>2172</v>
      </c>
      <c r="H298" s="90" t="s">
        <v>2321</v>
      </c>
      <c r="I298" s="90" t="s">
        <v>2475</v>
      </c>
      <c r="J298" s="90" t="s">
        <v>678</v>
      </c>
      <c r="K298" s="93">
        <v>225</v>
      </c>
    </row>
    <row r="299" spans="1:11" ht="14.6" x14ac:dyDescent="0.4">
      <c r="A299" s="90"/>
      <c r="B299" s="90"/>
      <c r="C299" s="90"/>
      <c r="D299" s="90"/>
      <c r="E299" s="90" t="s">
        <v>653</v>
      </c>
      <c r="F299" s="91">
        <v>44832</v>
      </c>
      <c r="G299" s="90" t="s">
        <v>2172</v>
      </c>
      <c r="H299" s="90" t="s">
        <v>2321</v>
      </c>
      <c r="I299" s="90" t="s">
        <v>2476</v>
      </c>
      <c r="J299" s="90" t="s">
        <v>678</v>
      </c>
      <c r="K299" s="93">
        <v>225</v>
      </c>
    </row>
    <row r="300" spans="1:11" ht="14.6" x14ac:dyDescent="0.4">
      <c r="A300" s="90"/>
      <c r="B300" s="90"/>
      <c r="C300" s="90"/>
      <c r="D300" s="90"/>
      <c r="E300" s="90" t="s">
        <v>653</v>
      </c>
      <c r="F300" s="91">
        <v>44832</v>
      </c>
      <c r="G300" s="90" t="s">
        <v>2172</v>
      </c>
      <c r="H300" s="90" t="s">
        <v>2321</v>
      </c>
      <c r="I300" s="90" t="s">
        <v>2477</v>
      </c>
      <c r="J300" s="90" t="s">
        <v>678</v>
      </c>
      <c r="K300" s="93">
        <v>225</v>
      </c>
    </row>
    <row r="301" spans="1:11" ht="14.6" x14ac:dyDescent="0.4">
      <c r="A301" s="90"/>
      <c r="B301" s="90"/>
      <c r="C301" s="90"/>
      <c r="D301" s="90"/>
      <c r="E301" s="90" t="s">
        <v>653</v>
      </c>
      <c r="F301" s="91">
        <v>44832</v>
      </c>
      <c r="G301" s="90" t="s">
        <v>2172</v>
      </c>
      <c r="H301" s="90" t="s">
        <v>2321</v>
      </c>
      <c r="I301" s="90" t="s">
        <v>2478</v>
      </c>
      <c r="J301" s="90" t="s">
        <v>678</v>
      </c>
      <c r="K301" s="93">
        <v>225</v>
      </c>
    </row>
    <row r="302" spans="1:11" ht="14.6" x14ac:dyDescent="0.4">
      <c r="A302" s="90"/>
      <c r="B302" s="90"/>
      <c r="C302" s="90"/>
      <c r="D302" s="90"/>
      <c r="E302" s="90" t="s">
        <v>653</v>
      </c>
      <c r="F302" s="91">
        <v>44832</v>
      </c>
      <c r="G302" s="90" t="s">
        <v>2172</v>
      </c>
      <c r="H302" s="90" t="s">
        <v>2321</v>
      </c>
      <c r="I302" s="90" t="s">
        <v>2479</v>
      </c>
      <c r="J302" s="90" t="s">
        <v>678</v>
      </c>
      <c r="K302" s="93">
        <v>225</v>
      </c>
    </row>
    <row r="303" spans="1:11" ht="14.6" x14ac:dyDescent="0.4">
      <c r="A303" s="90"/>
      <c r="B303" s="90"/>
      <c r="C303" s="90"/>
      <c r="D303" s="90"/>
      <c r="E303" s="90" t="s">
        <v>653</v>
      </c>
      <c r="F303" s="91">
        <v>44832</v>
      </c>
      <c r="G303" s="90" t="s">
        <v>2172</v>
      </c>
      <c r="H303" s="90" t="s">
        <v>2321</v>
      </c>
      <c r="I303" s="90" t="s">
        <v>2480</v>
      </c>
      <c r="J303" s="90" t="s">
        <v>678</v>
      </c>
      <c r="K303" s="93">
        <v>225</v>
      </c>
    </row>
    <row r="304" spans="1:11" ht="14.6" x14ac:dyDescent="0.4">
      <c r="A304" s="90"/>
      <c r="B304" s="90"/>
      <c r="C304" s="90"/>
      <c r="D304" s="90"/>
      <c r="E304" s="90" t="s">
        <v>731</v>
      </c>
      <c r="F304" s="91">
        <v>44837</v>
      </c>
      <c r="G304" s="90" t="s">
        <v>2173</v>
      </c>
      <c r="H304" s="90" t="s">
        <v>799</v>
      </c>
      <c r="I304" s="90" t="s">
        <v>2417</v>
      </c>
      <c r="J304" s="90" t="s">
        <v>888</v>
      </c>
      <c r="K304" s="93">
        <v>160</v>
      </c>
    </row>
    <row r="305" spans="1:11" ht="14.6" x14ac:dyDescent="0.4">
      <c r="A305" s="90"/>
      <c r="B305" s="90"/>
      <c r="C305" s="90"/>
      <c r="D305" s="90"/>
      <c r="E305" s="90" t="s">
        <v>731</v>
      </c>
      <c r="F305" s="91">
        <v>44837</v>
      </c>
      <c r="G305" s="90" t="s">
        <v>2174</v>
      </c>
      <c r="H305" s="90" t="s">
        <v>799</v>
      </c>
      <c r="I305" s="90" t="s">
        <v>2417</v>
      </c>
      <c r="J305" s="90" t="s">
        <v>888</v>
      </c>
      <c r="K305" s="93">
        <v>200</v>
      </c>
    </row>
    <row r="306" spans="1:11" ht="14.6" x14ac:dyDescent="0.4">
      <c r="A306" s="90"/>
      <c r="B306" s="90"/>
      <c r="C306" s="90"/>
      <c r="D306" s="90"/>
      <c r="E306" s="90" t="s">
        <v>731</v>
      </c>
      <c r="F306" s="91">
        <v>44837</v>
      </c>
      <c r="G306" s="90" t="s">
        <v>2175</v>
      </c>
      <c r="H306" s="90" t="s">
        <v>799</v>
      </c>
      <c r="I306" s="90" t="s">
        <v>2417</v>
      </c>
      <c r="J306" s="90" t="s">
        <v>888</v>
      </c>
      <c r="K306" s="93">
        <v>75</v>
      </c>
    </row>
    <row r="307" spans="1:11" ht="14.6" x14ac:dyDescent="0.4">
      <c r="A307" s="90"/>
      <c r="B307" s="90"/>
      <c r="C307" s="90"/>
      <c r="D307" s="90"/>
      <c r="E307" s="90" t="s">
        <v>731</v>
      </c>
      <c r="F307" s="91">
        <v>44837</v>
      </c>
      <c r="G307" s="90" t="s">
        <v>2176</v>
      </c>
      <c r="H307" s="90" t="s">
        <v>799</v>
      </c>
      <c r="I307" s="90" t="s">
        <v>2417</v>
      </c>
      <c r="J307" s="90" t="s">
        <v>888</v>
      </c>
      <c r="K307" s="93">
        <v>350</v>
      </c>
    </row>
    <row r="308" spans="1:11" ht="14.6" x14ac:dyDescent="0.4">
      <c r="A308" s="90"/>
      <c r="B308" s="90"/>
      <c r="C308" s="90"/>
      <c r="D308" s="90"/>
      <c r="E308" s="90" t="s">
        <v>731</v>
      </c>
      <c r="F308" s="91">
        <v>44837</v>
      </c>
      <c r="G308" s="90" t="s">
        <v>2177</v>
      </c>
      <c r="H308" s="90" t="s">
        <v>799</v>
      </c>
      <c r="I308" s="90" t="s">
        <v>2417</v>
      </c>
      <c r="J308" s="90" t="s">
        <v>888</v>
      </c>
      <c r="K308" s="93">
        <v>50</v>
      </c>
    </row>
    <row r="309" spans="1:11" ht="14.6" x14ac:dyDescent="0.4">
      <c r="A309" s="90"/>
      <c r="B309" s="90"/>
      <c r="C309" s="90"/>
      <c r="D309" s="90"/>
      <c r="E309" s="90" t="s">
        <v>731</v>
      </c>
      <c r="F309" s="91">
        <v>44837</v>
      </c>
      <c r="G309" s="90" t="s">
        <v>2178</v>
      </c>
      <c r="H309" s="90" t="s">
        <v>2322</v>
      </c>
      <c r="I309" s="90" t="s">
        <v>2481</v>
      </c>
      <c r="J309" s="90" t="s">
        <v>888</v>
      </c>
      <c r="K309" s="93">
        <v>103</v>
      </c>
    </row>
    <row r="310" spans="1:11" ht="14.6" x14ac:dyDescent="0.4">
      <c r="A310" s="90"/>
      <c r="B310" s="90"/>
      <c r="C310" s="90"/>
      <c r="D310" s="90"/>
      <c r="E310" s="90" t="s">
        <v>731</v>
      </c>
      <c r="F310" s="91">
        <v>44838</v>
      </c>
      <c r="G310" s="90" t="s">
        <v>2179</v>
      </c>
      <c r="H310" s="90" t="s">
        <v>799</v>
      </c>
      <c r="I310" s="90" t="s">
        <v>2417</v>
      </c>
      <c r="J310" s="90" t="s">
        <v>888</v>
      </c>
      <c r="K310" s="93">
        <v>100</v>
      </c>
    </row>
    <row r="311" spans="1:11" ht="14.6" x14ac:dyDescent="0.4">
      <c r="A311" s="90"/>
      <c r="B311" s="90"/>
      <c r="C311" s="90"/>
      <c r="D311" s="90"/>
      <c r="E311" s="90" t="s">
        <v>731</v>
      </c>
      <c r="F311" s="91">
        <v>44838</v>
      </c>
      <c r="G311" s="90" t="s">
        <v>2180</v>
      </c>
      <c r="H311" s="90" t="s">
        <v>799</v>
      </c>
      <c r="I311" s="90" t="s">
        <v>2417</v>
      </c>
      <c r="J311" s="90" t="s">
        <v>888</v>
      </c>
      <c r="K311" s="93">
        <v>50</v>
      </c>
    </row>
    <row r="312" spans="1:11" ht="14.6" x14ac:dyDescent="0.4">
      <c r="A312" s="90"/>
      <c r="B312" s="90"/>
      <c r="C312" s="90"/>
      <c r="D312" s="90"/>
      <c r="E312" s="90" t="s">
        <v>731</v>
      </c>
      <c r="F312" s="91">
        <v>44838</v>
      </c>
      <c r="G312" s="90" t="s">
        <v>2181</v>
      </c>
      <c r="H312" s="90" t="s">
        <v>799</v>
      </c>
      <c r="I312" s="90" t="s">
        <v>2417</v>
      </c>
      <c r="J312" s="90" t="s">
        <v>888</v>
      </c>
      <c r="K312" s="93">
        <v>75</v>
      </c>
    </row>
    <row r="313" spans="1:11" ht="14.6" x14ac:dyDescent="0.4">
      <c r="A313" s="90"/>
      <c r="B313" s="90"/>
      <c r="C313" s="90"/>
      <c r="D313" s="90"/>
      <c r="E313" s="90" t="s">
        <v>731</v>
      </c>
      <c r="F313" s="91">
        <v>44838</v>
      </c>
      <c r="G313" s="90" t="s">
        <v>2182</v>
      </c>
      <c r="H313" s="90" t="s">
        <v>802</v>
      </c>
      <c r="I313" s="90" t="s">
        <v>2431</v>
      </c>
      <c r="J313" s="90" t="s">
        <v>888</v>
      </c>
      <c r="K313" s="93">
        <v>45</v>
      </c>
    </row>
    <row r="314" spans="1:11" ht="14.6" x14ac:dyDescent="0.4">
      <c r="A314" s="90"/>
      <c r="B314" s="90"/>
      <c r="C314" s="90"/>
      <c r="D314" s="90"/>
      <c r="E314" s="90" t="s">
        <v>653</v>
      </c>
      <c r="F314" s="91">
        <v>44839</v>
      </c>
      <c r="G314" s="90" t="s">
        <v>2183</v>
      </c>
      <c r="H314" s="90" t="s">
        <v>799</v>
      </c>
      <c r="I314" s="90" t="s">
        <v>2482</v>
      </c>
      <c r="J314" s="90" t="s">
        <v>678</v>
      </c>
      <c r="K314" s="93">
        <v>275</v>
      </c>
    </row>
    <row r="315" spans="1:11" ht="14.6" x14ac:dyDescent="0.4">
      <c r="A315" s="90"/>
      <c r="B315" s="90"/>
      <c r="C315" s="90"/>
      <c r="D315" s="90"/>
      <c r="E315" s="90" t="s">
        <v>653</v>
      </c>
      <c r="F315" s="91">
        <v>44839</v>
      </c>
      <c r="G315" s="90" t="s">
        <v>2183</v>
      </c>
      <c r="H315" s="90" t="s">
        <v>799</v>
      </c>
      <c r="I315" s="90" t="s">
        <v>2483</v>
      </c>
      <c r="J315" s="90" t="s">
        <v>678</v>
      </c>
      <c r="K315" s="93">
        <v>15</v>
      </c>
    </row>
    <row r="316" spans="1:11" ht="14.6" x14ac:dyDescent="0.4">
      <c r="A316" s="90"/>
      <c r="B316" s="90"/>
      <c r="C316" s="90"/>
      <c r="D316" s="90"/>
      <c r="E316" s="90" t="s">
        <v>653</v>
      </c>
      <c r="F316" s="91">
        <v>44839</v>
      </c>
      <c r="G316" s="90" t="s">
        <v>2183</v>
      </c>
      <c r="H316" s="90" t="s">
        <v>799</v>
      </c>
      <c r="I316" s="90" t="s">
        <v>2484</v>
      </c>
      <c r="J316" s="90" t="s">
        <v>678</v>
      </c>
      <c r="K316" s="93">
        <v>275</v>
      </c>
    </row>
    <row r="317" spans="1:11" ht="14.6" x14ac:dyDescent="0.4">
      <c r="A317" s="90"/>
      <c r="B317" s="90"/>
      <c r="C317" s="90"/>
      <c r="D317" s="90"/>
      <c r="E317" s="90" t="s">
        <v>653</v>
      </c>
      <c r="F317" s="91">
        <v>44839</v>
      </c>
      <c r="G317" s="90" t="s">
        <v>2183</v>
      </c>
      <c r="H317" s="90" t="s">
        <v>799</v>
      </c>
      <c r="I317" s="90" t="s">
        <v>2485</v>
      </c>
      <c r="J317" s="90" t="s">
        <v>678</v>
      </c>
      <c r="K317" s="93">
        <v>15</v>
      </c>
    </row>
    <row r="318" spans="1:11" ht="14.6" x14ac:dyDescent="0.4">
      <c r="A318" s="90"/>
      <c r="B318" s="90"/>
      <c r="C318" s="90"/>
      <c r="D318" s="90"/>
      <c r="E318" s="90" t="s">
        <v>653</v>
      </c>
      <c r="F318" s="91">
        <v>44839</v>
      </c>
      <c r="G318" s="90" t="s">
        <v>2183</v>
      </c>
      <c r="H318" s="90" t="s">
        <v>799</v>
      </c>
      <c r="I318" s="90" t="s">
        <v>2486</v>
      </c>
      <c r="J318" s="90" t="s">
        <v>678</v>
      </c>
      <c r="K318" s="93">
        <v>210</v>
      </c>
    </row>
    <row r="319" spans="1:11" ht="14.6" x14ac:dyDescent="0.4">
      <c r="A319" s="90"/>
      <c r="B319" s="90"/>
      <c r="C319" s="90"/>
      <c r="D319" s="90"/>
      <c r="E319" s="90" t="s">
        <v>653</v>
      </c>
      <c r="F319" s="91">
        <v>44839</v>
      </c>
      <c r="G319" s="90" t="s">
        <v>2183</v>
      </c>
      <c r="H319" s="90" t="s">
        <v>799</v>
      </c>
      <c r="I319" s="90" t="s">
        <v>2487</v>
      </c>
      <c r="J319" s="90" t="s">
        <v>678</v>
      </c>
      <c r="K319" s="93">
        <v>15</v>
      </c>
    </row>
    <row r="320" spans="1:11" ht="14.6" x14ac:dyDescent="0.4">
      <c r="A320" s="90"/>
      <c r="B320" s="90"/>
      <c r="C320" s="90"/>
      <c r="D320" s="90"/>
      <c r="E320" s="90" t="s">
        <v>653</v>
      </c>
      <c r="F320" s="91">
        <v>44839</v>
      </c>
      <c r="G320" s="90" t="s">
        <v>2183</v>
      </c>
      <c r="H320" s="90" t="s">
        <v>799</v>
      </c>
      <c r="I320" s="90" t="s">
        <v>2488</v>
      </c>
      <c r="J320" s="90" t="s">
        <v>678</v>
      </c>
      <c r="K320" s="93">
        <v>75</v>
      </c>
    </row>
    <row r="321" spans="1:11" ht="14.6" x14ac:dyDescent="0.4">
      <c r="A321" s="90"/>
      <c r="B321" s="90"/>
      <c r="C321" s="90"/>
      <c r="D321" s="90"/>
      <c r="E321" s="90" t="s">
        <v>653</v>
      </c>
      <c r="F321" s="91">
        <v>44839</v>
      </c>
      <c r="G321" s="90" t="s">
        <v>2183</v>
      </c>
      <c r="H321" s="90" t="s">
        <v>799</v>
      </c>
      <c r="I321" s="90" t="s">
        <v>2489</v>
      </c>
      <c r="J321" s="90" t="s">
        <v>678</v>
      </c>
      <c r="K321" s="93">
        <v>160</v>
      </c>
    </row>
    <row r="322" spans="1:11" ht="14.6" x14ac:dyDescent="0.4">
      <c r="A322" s="90"/>
      <c r="B322" s="90"/>
      <c r="C322" s="90"/>
      <c r="D322" s="90"/>
      <c r="E322" s="90" t="s">
        <v>653</v>
      </c>
      <c r="F322" s="91">
        <v>44839</v>
      </c>
      <c r="G322" s="90" t="s">
        <v>2183</v>
      </c>
      <c r="H322" s="90" t="s">
        <v>799</v>
      </c>
      <c r="I322" s="90" t="s">
        <v>2490</v>
      </c>
      <c r="J322" s="90" t="s">
        <v>678</v>
      </c>
      <c r="K322" s="93">
        <v>160</v>
      </c>
    </row>
    <row r="323" spans="1:11" ht="14.6" x14ac:dyDescent="0.4">
      <c r="A323" s="90"/>
      <c r="B323" s="90"/>
      <c r="C323" s="90"/>
      <c r="D323" s="90"/>
      <c r="E323" s="90" t="s">
        <v>653</v>
      </c>
      <c r="F323" s="91">
        <v>44839</v>
      </c>
      <c r="G323" s="90" t="s">
        <v>2183</v>
      </c>
      <c r="H323" s="90" t="s">
        <v>799</v>
      </c>
      <c r="I323" s="90" t="s">
        <v>2491</v>
      </c>
      <c r="J323" s="90" t="s">
        <v>678</v>
      </c>
      <c r="K323" s="93">
        <v>100</v>
      </c>
    </row>
    <row r="324" spans="1:11" ht="14.6" x14ac:dyDescent="0.4">
      <c r="A324" s="90"/>
      <c r="B324" s="90"/>
      <c r="C324" s="90"/>
      <c r="D324" s="90"/>
      <c r="E324" s="90" t="s">
        <v>731</v>
      </c>
      <c r="F324" s="91">
        <v>44839</v>
      </c>
      <c r="G324" s="90" t="s">
        <v>2184</v>
      </c>
      <c r="H324" s="90" t="s">
        <v>799</v>
      </c>
      <c r="I324" s="90" t="s">
        <v>2417</v>
      </c>
      <c r="J324" s="90" t="s">
        <v>888</v>
      </c>
      <c r="K324" s="93">
        <v>275</v>
      </c>
    </row>
    <row r="325" spans="1:11" ht="14.6" x14ac:dyDescent="0.4">
      <c r="A325" s="90"/>
      <c r="B325" s="90"/>
      <c r="C325" s="90"/>
      <c r="D325" s="90"/>
      <c r="E325" s="90" t="s">
        <v>731</v>
      </c>
      <c r="F325" s="91">
        <v>44839</v>
      </c>
      <c r="G325" s="90" t="s">
        <v>2185</v>
      </c>
      <c r="H325" s="90" t="s">
        <v>799</v>
      </c>
      <c r="I325" s="90" t="s">
        <v>2417</v>
      </c>
      <c r="J325" s="90" t="s">
        <v>888</v>
      </c>
      <c r="K325" s="93">
        <v>275</v>
      </c>
    </row>
    <row r="326" spans="1:11" ht="14.6" x14ac:dyDescent="0.4">
      <c r="A326" s="90"/>
      <c r="B326" s="90"/>
      <c r="C326" s="90"/>
      <c r="D326" s="90"/>
      <c r="E326" s="90" t="s">
        <v>731</v>
      </c>
      <c r="F326" s="91">
        <v>44839</v>
      </c>
      <c r="G326" s="90" t="s">
        <v>2186</v>
      </c>
      <c r="H326" s="90" t="s">
        <v>799</v>
      </c>
      <c r="I326" s="90" t="s">
        <v>2417</v>
      </c>
      <c r="J326" s="90" t="s">
        <v>888</v>
      </c>
      <c r="K326" s="93">
        <v>200</v>
      </c>
    </row>
    <row r="327" spans="1:11" ht="14.6" x14ac:dyDescent="0.4">
      <c r="A327" s="90"/>
      <c r="B327" s="90"/>
      <c r="C327" s="90"/>
      <c r="D327" s="90"/>
      <c r="E327" s="90" t="s">
        <v>731</v>
      </c>
      <c r="F327" s="91">
        <v>44839</v>
      </c>
      <c r="G327" s="90" t="s">
        <v>2187</v>
      </c>
      <c r="H327" s="90" t="s">
        <v>799</v>
      </c>
      <c r="I327" s="90" t="s">
        <v>2417</v>
      </c>
      <c r="J327" s="90" t="s">
        <v>888</v>
      </c>
      <c r="K327" s="93">
        <v>150</v>
      </c>
    </row>
    <row r="328" spans="1:11" ht="14.6" x14ac:dyDescent="0.4">
      <c r="A328" s="90"/>
      <c r="B328" s="90"/>
      <c r="C328" s="90"/>
      <c r="D328" s="90"/>
      <c r="E328" s="90" t="s">
        <v>653</v>
      </c>
      <c r="F328" s="91">
        <v>44840</v>
      </c>
      <c r="G328" s="90" t="s">
        <v>790</v>
      </c>
      <c r="H328" s="90" t="s">
        <v>2323</v>
      </c>
      <c r="I328" s="90" t="s">
        <v>2492</v>
      </c>
      <c r="J328" s="90" t="s">
        <v>678</v>
      </c>
      <c r="K328" s="93">
        <v>28.62</v>
      </c>
    </row>
    <row r="329" spans="1:11" ht="14.6" x14ac:dyDescent="0.4">
      <c r="A329" s="90"/>
      <c r="B329" s="90"/>
      <c r="C329" s="90"/>
      <c r="D329" s="90"/>
      <c r="E329" s="90" t="s">
        <v>653</v>
      </c>
      <c r="F329" s="91">
        <v>44844</v>
      </c>
      <c r="G329" s="90" t="s">
        <v>2188</v>
      </c>
      <c r="H329" s="90" t="s">
        <v>2321</v>
      </c>
      <c r="I329" s="90" t="s">
        <v>2493</v>
      </c>
      <c r="J329" s="90" t="s">
        <v>678</v>
      </c>
      <c r="K329" s="93">
        <v>225</v>
      </c>
    </row>
    <row r="330" spans="1:11" ht="14.6" x14ac:dyDescent="0.4">
      <c r="A330" s="90"/>
      <c r="B330" s="90"/>
      <c r="C330" s="90"/>
      <c r="D330" s="90"/>
      <c r="E330" s="90" t="s">
        <v>731</v>
      </c>
      <c r="F330" s="91">
        <v>44844</v>
      </c>
      <c r="G330" s="90" t="s">
        <v>2189</v>
      </c>
      <c r="H330" s="90" t="s">
        <v>799</v>
      </c>
      <c r="I330" s="90" t="s">
        <v>2417</v>
      </c>
      <c r="J330" s="90" t="s">
        <v>735</v>
      </c>
      <c r="K330" s="93">
        <v>100</v>
      </c>
    </row>
    <row r="331" spans="1:11" ht="14.6" x14ac:dyDescent="0.4">
      <c r="A331" s="90"/>
      <c r="B331" s="90"/>
      <c r="C331" s="90"/>
      <c r="D331" s="90"/>
      <c r="E331" s="90" t="s">
        <v>731</v>
      </c>
      <c r="F331" s="91">
        <v>44845</v>
      </c>
      <c r="G331" s="90" t="s">
        <v>2190</v>
      </c>
      <c r="H331" s="90" t="s">
        <v>799</v>
      </c>
      <c r="I331" s="90" t="s">
        <v>2417</v>
      </c>
      <c r="J331" s="90" t="s">
        <v>888</v>
      </c>
      <c r="K331" s="93">
        <v>75</v>
      </c>
    </row>
    <row r="332" spans="1:11" ht="14.6" x14ac:dyDescent="0.4">
      <c r="A332" s="90"/>
      <c r="B332" s="90"/>
      <c r="C332" s="90"/>
      <c r="D332" s="90"/>
      <c r="E332" s="90" t="s">
        <v>653</v>
      </c>
      <c r="F332" s="91">
        <v>44846</v>
      </c>
      <c r="G332" s="90" t="s">
        <v>2191</v>
      </c>
      <c r="H332" s="90" t="s">
        <v>2324</v>
      </c>
      <c r="I332" s="90" t="s">
        <v>2494</v>
      </c>
      <c r="J332" s="90" t="s">
        <v>678</v>
      </c>
      <c r="K332" s="93">
        <v>225</v>
      </c>
    </row>
    <row r="333" spans="1:11" ht="14.6" x14ac:dyDescent="0.4">
      <c r="A333" s="90"/>
      <c r="B333" s="90"/>
      <c r="C333" s="90"/>
      <c r="D333" s="90"/>
      <c r="E333" s="90" t="s">
        <v>653</v>
      </c>
      <c r="F333" s="91">
        <v>44846</v>
      </c>
      <c r="G333" s="90" t="s">
        <v>2192</v>
      </c>
      <c r="H333" s="90" t="s">
        <v>802</v>
      </c>
      <c r="I333" s="90" t="s">
        <v>2495</v>
      </c>
      <c r="J333" s="90" t="s">
        <v>678</v>
      </c>
      <c r="K333" s="93">
        <v>100</v>
      </c>
    </row>
    <row r="334" spans="1:11" ht="14.6" x14ac:dyDescent="0.4">
      <c r="A334" s="90"/>
      <c r="B334" s="90"/>
      <c r="C334" s="90"/>
      <c r="D334" s="90"/>
      <c r="E334" s="90" t="s">
        <v>653</v>
      </c>
      <c r="F334" s="91">
        <v>44847</v>
      </c>
      <c r="G334" s="90" t="s">
        <v>790</v>
      </c>
      <c r="H334" s="90" t="s">
        <v>2325</v>
      </c>
      <c r="I334" s="90" t="s">
        <v>2492</v>
      </c>
      <c r="J334" s="90" t="s">
        <v>678</v>
      </c>
      <c r="K334" s="93">
        <v>24.83</v>
      </c>
    </row>
    <row r="335" spans="1:11" ht="14.6" x14ac:dyDescent="0.4">
      <c r="A335" s="90"/>
      <c r="B335" s="90"/>
      <c r="C335" s="90"/>
      <c r="D335" s="90"/>
      <c r="E335" s="90" t="s">
        <v>731</v>
      </c>
      <c r="F335" s="91">
        <v>44847</v>
      </c>
      <c r="G335" s="90" t="s">
        <v>2193</v>
      </c>
      <c r="H335" s="90" t="s">
        <v>804</v>
      </c>
      <c r="I335" s="90" t="s">
        <v>2496</v>
      </c>
      <c r="J335" s="90" t="s">
        <v>735</v>
      </c>
      <c r="K335" s="93">
        <v>80</v>
      </c>
    </row>
    <row r="336" spans="1:11" ht="14.6" x14ac:dyDescent="0.4">
      <c r="A336" s="90"/>
      <c r="B336" s="90"/>
      <c r="C336" s="90"/>
      <c r="D336" s="90"/>
      <c r="E336" s="90" t="s">
        <v>731</v>
      </c>
      <c r="F336" s="91">
        <v>44852</v>
      </c>
      <c r="G336" s="90" t="s">
        <v>2194</v>
      </c>
      <c r="H336" s="90" t="s">
        <v>2326</v>
      </c>
      <c r="I336" s="90" t="s">
        <v>2497</v>
      </c>
      <c r="J336" s="90" t="s">
        <v>735</v>
      </c>
      <c r="K336" s="93">
        <v>37.86</v>
      </c>
    </row>
    <row r="337" spans="1:11" ht="14.6" x14ac:dyDescent="0.4">
      <c r="A337" s="90"/>
      <c r="B337" s="90"/>
      <c r="C337" s="90"/>
      <c r="D337" s="90"/>
      <c r="E337" s="90" t="s">
        <v>653</v>
      </c>
      <c r="F337" s="91">
        <v>44853</v>
      </c>
      <c r="G337" s="90" t="s">
        <v>2195</v>
      </c>
      <c r="H337" s="90" t="s">
        <v>2327</v>
      </c>
      <c r="I337" s="90" t="s">
        <v>2492</v>
      </c>
      <c r="J337" s="90" t="s">
        <v>678</v>
      </c>
      <c r="K337" s="93">
        <v>30</v>
      </c>
    </row>
    <row r="338" spans="1:11" ht="14.6" x14ac:dyDescent="0.4">
      <c r="A338" s="90"/>
      <c r="B338" s="90"/>
      <c r="C338" s="90"/>
      <c r="D338" s="90"/>
      <c r="E338" s="90" t="s">
        <v>731</v>
      </c>
      <c r="F338" s="91">
        <v>44854</v>
      </c>
      <c r="G338" s="90" t="s">
        <v>2196</v>
      </c>
      <c r="H338" s="90" t="s">
        <v>802</v>
      </c>
      <c r="I338" s="90" t="s">
        <v>2498</v>
      </c>
      <c r="J338" s="90" t="s">
        <v>735</v>
      </c>
      <c r="K338" s="93">
        <v>45</v>
      </c>
    </row>
    <row r="339" spans="1:11" ht="14.6" x14ac:dyDescent="0.4">
      <c r="A339" s="90"/>
      <c r="B339" s="90"/>
      <c r="C339" s="90"/>
      <c r="D339" s="90"/>
      <c r="E339" s="90" t="s">
        <v>731</v>
      </c>
      <c r="F339" s="91">
        <v>44854</v>
      </c>
      <c r="G339" s="90" t="s">
        <v>2197</v>
      </c>
      <c r="H339" s="90" t="s">
        <v>802</v>
      </c>
      <c r="I339" s="90" t="s">
        <v>2499</v>
      </c>
      <c r="J339" s="90" t="s">
        <v>735</v>
      </c>
      <c r="K339" s="93">
        <v>45</v>
      </c>
    </row>
    <row r="340" spans="1:11" ht="14.6" x14ac:dyDescent="0.4">
      <c r="A340" s="90"/>
      <c r="B340" s="90"/>
      <c r="C340" s="90"/>
      <c r="D340" s="90"/>
      <c r="E340" s="90" t="s">
        <v>731</v>
      </c>
      <c r="F340" s="91">
        <v>44854</v>
      </c>
      <c r="G340" s="90" t="s">
        <v>2198</v>
      </c>
      <c r="H340" s="90" t="s">
        <v>802</v>
      </c>
      <c r="I340" s="90" t="s">
        <v>2500</v>
      </c>
      <c r="J340" s="90" t="s">
        <v>735</v>
      </c>
      <c r="K340" s="93">
        <v>45</v>
      </c>
    </row>
    <row r="341" spans="1:11" ht="14.6" x14ac:dyDescent="0.4">
      <c r="A341" s="90"/>
      <c r="B341" s="90"/>
      <c r="C341" s="90"/>
      <c r="D341" s="90"/>
      <c r="E341" s="90" t="s">
        <v>731</v>
      </c>
      <c r="F341" s="91">
        <v>44854</v>
      </c>
      <c r="G341" s="90" t="s">
        <v>2199</v>
      </c>
      <c r="H341" s="90" t="s">
        <v>802</v>
      </c>
      <c r="I341" s="90" t="s">
        <v>2501</v>
      </c>
      <c r="J341" s="90" t="s">
        <v>735</v>
      </c>
      <c r="K341" s="93">
        <v>45</v>
      </c>
    </row>
    <row r="342" spans="1:11" ht="14.6" x14ac:dyDescent="0.4">
      <c r="A342" s="90"/>
      <c r="B342" s="90"/>
      <c r="C342" s="90"/>
      <c r="D342" s="90"/>
      <c r="E342" s="90" t="s">
        <v>731</v>
      </c>
      <c r="F342" s="91">
        <v>44854</v>
      </c>
      <c r="G342" s="90" t="s">
        <v>2200</v>
      </c>
      <c r="H342" s="90" t="s">
        <v>802</v>
      </c>
      <c r="I342" s="90" t="s">
        <v>2502</v>
      </c>
      <c r="J342" s="90" t="s">
        <v>735</v>
      </c>
      <c r="K342" s="93">
        <v>45</v>
      </c>
    </row>
    <row r="343" spans="1:11" ht="14.6" x14ac:dyDescent="0.4">
      <c r="A343" s="90"/>
      <c r="B343" s="90"/>
      <c r="C343" s="90"/>
      <c r="D343" s="90"/>
      <c r="E343" s="90" t="s">
        <v>731</v>
      </c>
      <c r="F343" s="91">
        <v>44854</v>
      </c>
      <c r="G343" s="90" t="s">
        <v>2201</v>
      </c>
      <c r="H343" s="90" t="s">
        <v>802</v>
      </c>
      <c r="I343" s="90" t="s">
        <v>2503</v>
      </c>
      <c r="J343" s="90" t="s">
        <v>735</v>
      </c>
      <c r="K343" s="93">
        <v>45</v>
      </c>
    </row>
    <row r="344" spans="1:11" ht="14.6" x14ac:dyDescent="0.4">
      <c r="A344" s="90"/>
      <c r="B344" s="90"/>
      <c r="C344" s="90"/>
      <c r="D344" s="90"/>
      <c r="E344" s="90" t="s">
        <v>731</v>
      </c>
      <c r="F344" s="91">
        <v>44854</v>
      </c>
      <c r="G344" s="90" t="s">
        <v>2202</v>
      </c>
      <c r="H344" s="90" t="s">
        <v>802</v>
      </c>
      <c r="I344" s="90" t="s">
        <v>2504</v>
      </c>
      <c r="J344" s="90" t="s">
        <v>735</v>
      </c>
      <c r="K344" s="93">
        <v>45</v>
      </c>
    </row>
    <row r="345" spans="1:11" ht="14.6" x14ac:dyDescent="0.4">
      <c r="A345" s="90"/>
      <c r="B345" s="90"/>
      <c r="C345" s="90"/>
      <c r="D345" s="90"/>
      <c r="E345" s="90" t="s">
        <v>731</v>
      </c>
      <c r="F345" s="91">
        <v>44854</v>
      </c>
      <c r="G345" s="90" t="s">
        <v>2203</v>
      </c>
      <c r="H345" s="90" t="s">
        <v>2326</v>
      </c>
      <c r="I345" s="90" t="s">
        <v>2505</v>
      </c>
      <c r="J345" s="90" t="s">
        <v>735</v>
      </c>
      <c r="K345" s="93">
        <v>27.05</v>
      </c>
    </row>
    <row r="346" spans="1:11" ht="14.6" x14ac:dyDescent="0.4">
      <c r="A346" s="90"/>
      <c r="B346" s="90"/>
      <c r="C346" s="90"/>
      <c r="D346" s="90"/>
      <c r="E346" s="90" t="s">
        <v>731</v>
      </c>
      <c r="F346" s="91">
        <v>44854</v>
      </c>
      <c r="G346" s="90" t="s">
        <v>2204</v>
      </c>
      <c r="H346" s="90" t="s">
        <v>805</v>
      </c>
      <c r="I346" s="90" t="s">
        <v>1392</v>
      </c>
      <c r="J346" s="90" t="s">
        <v>735</v>
      </c>
      <c r="K346" s="93">
        <v>100</v>
      </c>
    </row>
    <row r="347" spans="1:11" ht="14.6" x14ac:dyDescent="0.4">
      <c r="A347" s="90"/>
      <c r="B347" s="90"/>
      <c r="C347" s="90"/>
      <c r="D347" s="90"/>
      <c r="E347" s="90" t="s">
        <v>731</v>
      </c>
      <c r="F347" s="91">
        <v>44854</v>
      </c>
      <c r="G347" s="90" t="s">
        <v>2205</v>
      </c>
      <c r="H347" s="90" t="s">
        <v>2326</v>
      </c>
      <c r="I347" s="90" t="s">
        <v>2506</v>
      </c>
      <c r="J347" s="90" t="s">
        <v>735</v>
      </c>
      <c r="K347" s="93">
        <v>21.64</v>
      </c>
    </row>
    <row r="348" spans="1:11" ht="14.6" x14ac:dyDescent="0.4">
      <c r="A348" s="90"/>
      <c r="B348" s="90"/>
      <c r="C348" s="90"/>
      <c r="D348" s="90"/>
      <c r="E348" s="90" t="s">
        <v>731</v>
      </c>
      <c r="F348" s="91">
        <v>44854</v>
      </c>
      <c r="G348" s="90" t="s">
        <v>2206</v>
      </c>
      <c r="H348" s="90" t="s">
        <v>1521</v>
      </c>
      <c r="I348" s="90" t="s">
        <v>2507</v>
      </c>
      <c r="J348" s="90" t="s">
        <v>735</v>
      </c>
      <c r="K348" s="93">
        <v>69</v>
      </c>
    </row>
    <row r="349" spans="1:11" ht="14.6" x14ac:dyDescent="0.4">
      <c r="A349" s="90"/>
      <c r="B349" s="90"/>
      <c r="C349" s="90"/>
      <c r="D349" s="90"/>
      <c r="E349" s="90" t="s">
        <v>653</v>
      </c>
      <c r="F349" s="91">
        <v>44860</v>
      </c>
      <c r="G349" s="90" t="s">
        <v>2207</v>
      </c>
      <c r="H349" s="90" t="s">
        <v>802</v>
      </c>
      <c r="I349" s="90" t="s">
        <v>2508</v>
      </c>
      <c r="J349" s="90" t="s">
        <v>678</v>
      </c>
      <c r="K349" s="93">
        <v>100</v>
      </c>
    </row>
    <row r="350" spans="1:11" ht="14.6" x14ac:dyDescent="0.4">
      <c r="A350" s="90"/>
      <c r="B350" s="90"/>
      <c r="C350" s="90"/>
      <c r="D350" s="90"/>
      <c r="E350" s="90" t="s">
        <v>731</v>
      </c>
      <c r="F350" s="91">
        <v>44860</v>
      </c>
      <c r="G350" s="90" t="s">
        <v>2208</v>
      </c>
      <c r="H350" s="90" t="s">
        <v>804</v>
      </c>
      <c r="I350" s="90" t="s">
        <v>2509</v>
      </c>
      <c r="J350" s="90" t="s">
        <v>735</v>
      </c>
      <c r="K350" s="93">
        <v>831.92</v>
      </c>
    </row>
    <row r="351" spans="1:11" ht="14.6" x14ac:dyDescent="0.4">
      <c r="A351" s="90"/>
      <c r="B351" s="90"/>
      <c r="C351" s="90"/>
      <c r="D351" s="90"/>
      <c r="E351" s="90" t="s">
        <v>731</v>
      </c>
      <c r="F351" s="91">
        <v>44860</v>
      </c>
      <c r="G351" s="90" t="s">
        <v>2209</v>
      </c>
      <c r="H351" s="90" t="s">
        <v>2283</v>
      </c>
      <c r="I351" s="90" t="s">
        <v>2510</v>
      </c>
      <c r="J351" s="90" t="s">
        <v>735</v>
      </c>
      <c r="K351" s="93">
        <v>349</v>
      </c>
    </row>
    <row r="352" spans="1:11" ht="14.6" x14ac:dyDescent="0.4">
      <c r="A352" s="90"/>
      <c r="B352" s="90"/>
      <c r="C352" s="90"/>
      <c r="D352" s="90"/>
      <c r="E352" s="90" t="s">
        <v>731</v>
      </c>
      <c r="F352" s="91">
        <v>44864</v>
      </c>
      <c r="G352" s="90" t="s">
        <v>2210</v>
      </c>
      <c r="H352" s="90" t="s">
        <v>2328</v>
      </c>
      <c r="I352" s="90" t="s">
        <v>2511</v>
      </c>
      <c r="J352" s="90" t="s">
        <v>888</v>
      </c>
      <c r="K352" s="93">
        <v>22.31</v>
      </c>
    </row>
    <row r="353" spans="1:11" ht="14.6" x14ac:dyDescent="0.4">
      <c r="A353" s="90"/>
      <c r="B353" s="90"/>
      <c r="C353" s="90"/>
      <c r="D353" s="90"/>
      <c r="E353" s="90" t="s">
        <v>731</v>
      </c>
      <c r="F353" s="91">
        <v>44865</v>
      </c>
      <c r="G353" s="90" t="s">
        <v>2211</v>
      </c>
      <c r="H353" s="90" t="s">
        <v>799</v>
      </c>
      <c r="I353" s="90" t="s">
        <v>2417</v>
      </c>
      <c r="J353" s="90" t="s">
        <v>735</v>
      </c>
      <c r="K353" s="93">
        <v>150</v>
      </c>
    </row>
    <row r="354" spans="1:11" ht="14.6" x14ac:dyDescent="0.4">
      <c r="A354" s="90"/>
      <c r="B354" s="90"/>
      <c r="C354" s="90"/>
      <c r="D354" s="90"/>
      <c r="E354" s="90" t="s">
        <v>653</v>
      </c>
      <c r="F354" s="91">
        <v>44866</v>
      </c>
      <c r="G354" s="90" t="s">
        <v>2212</v>
      </c>
      <c r="H354" s="90" t="s">
        <v>803</v>
      </c>
      <c r="I354" s="90" t="s">
        <v>2512</v>
      </c>
      <c r="J354" s="90" t="s">
        <v>678</v>
      </c>
      <c r="K354" s="93">
        <v>50</v>
      </c>
    </row>
    <row r="355" spans="1:11" ht="14.6" x14ac:dyDescent="0.4">
      <c r="A355" s="90"/>
      <c r="B355" s="90"/>
      <c r="C355" s="90"/>
      <c r="D355" s="90"/>
      <c r="E355" s="90" t="s">
        <v>731</v>
      </c>
      <c r="F355" s="91">
        <v>44866</v>
      </c>
      <c r="G355" s="90" t="s">
        <v>2213</v>
      </c>
      <c r="H355" s="90" t="s">
        <v>2329</v>
      </c>
      <c r="I355" s="90" t="s">
        <v>2513</v>
      </c>
      <c r="J355" s="90" t="s">
        <v>888</v>
      </c>
      <c r="K355" s="93">
        <v>308.2</v>
      </c>
    </row>
    <row r="356" spans="1:11" ht="14.6" x14ac:dyDescent="0.4">
      <c r="A356" s="90"/>
      <c r="B356" s="90"/>
      <c r="C356" s="90"/>
      <c r="D356" s="90"/>
      <c r="E356" s="90" t="s">
        <v>653</v>
      </c>
      <c r="F356" s="91">
        <v>44867</v>
      </c>
      <c r="G356" s="90" t="s">
        <v>2214</v>
      </c>
      <c r="H356" s="90" t="s">
        <v>2330</v>
      </c>
      <c r="I356" s="90" t="s">
        <v>2514</v>
      </c>
      <c r="J356" s="90" t="s">
        <v>678</v>
      </c>
      <c r="K356" s="93">
        <v>811.24</v>
      </c>
    </row>
    <row r="357" spans="1:11" ht="14.6" x14ac:dyDescent="0.4">
      <c r="A357" s="90"/>
      <c r="B357" s="90"/>
      <c r="C357" s="90"/>
      <c r="D357" s="90"/>
      <c r="E357" s="90" t="s">
        <v>731</v>
      </c>
      <c r="F357" s="91">
        <v>44868</v>
      </c>
      <c r="G357" s="90" t="s">
        <v>2215</v>
      </c>
      <c r="H357" s="90" t="s">
        <v>2331</v>
      </c>
      <c r="I357" s="90" t="s">
        <v>2515</v>
      </c>
      <c r="J357" s="90" t="s">
        <v>888</v>
      </c>
      <c r="K357" s="93">
        <v>13</v>
      </c>
    </row>
    <row r="358" spans="1:11" ht="14.6" x14ac:dyDescent="0.4">
      <c r="A358" s="90"/>
      <c r="B358" s="90"/>
      <c r="C358" s="90"/>
      <c r="D358" s="90"/>
      <c r="E358" s="90" t="s">
        <v>731</v>
      </c>
      <c r="F358" s="91">
        <v>44868</v>
      </c>
      <c r="G358" s="90" t="s">
        <v>2216</v>
      </c>
      <c r="H358" s="90" t="s">
        <v>2332</v>
      </c>
      <c r="I358" s="90" t="s">
        <v>2516</v>
      </c>
      <c r="J358" s="90" t="s">
        <v>888</v>
      </c>
      <c r="K358" s="93">
        <v>22.34</v>
      </c>
    </row>
    <row r="359" spans="1:11" ht="14.6" x14ac:dyDescent="0.4">
      <c r="A359" s="90"/>
      <c r="B359" s="90"/>
      <c r="C359" s="90"/>
      <c r="D359" s="90"/>
      <c r="E359" s="90" t="s">
        <v>731</v>
      </c>
      <c r="F359" s="91">
        <v>44868</v>
      </c>
      <c r="G359" s="90" t="s">
        <v>1019</v>
      </c>
      <c r="H359" s="90" t="s">
        <v>2333</v>
      </c>
      <c r="I359" s="90" t="s">
        <v>2517</v>
      </c>
      <c r="J359" s="90" t="s">
        <v>735</v>
      </c>
      <c r="K359" s="93">
        <v>131.97999999999999</v>
      </c>
    </row>
    <row r="360" spans="1:11" ht="14.6" x14ac:dyDescent="0.4">
      <c r="A360" s="90"/>
      <c r="B360" s="90"/>
      <c r="C360" s="90"/>
      <c r="D360" s="90"/>
      <c r="E360" s="90" t="s">
        <v>653</v>
      </c>
      <c r="F360" s="91">
        <v>44869</v>
      </c>
      <c r="G360" s="90" t="s">
        <v>2217</v>
      </c>
      <c r="H360" s="90" t="s">
        <v>2324</v>
      </c>
      <c r="I360" s="90" t="s">
        <v>2518</v>
      </c>
      <c r="J360" s="90" t="s">
        <v>678</v>
      </c>
      <c r="K360" s="93">
        <v>240</v>
      </c>
    </row>
    <row r="361" spans="1:11" ht="14.6" x14ac:dyDescent="0.4">
      <c r="A361" s="90"/>
      <c r="B361" s="90"/>
      <c r="C361" s="90"/>
      <c r="D361" s="90"/>
      <c r="E361" s="90" t="s">
        <v>653</v>
      </c>
      <c r="F361" s="91">
        <v>44869</v>
      </c>
      <c r="G361" s="90" t="s">
        <v>2217</v>
      </c>
      <c r="H361" s="90" t="s">
        <v>2324</v>
      </c>
      <c r="I361" s="90" t="s">
        <v>2519</v>
      </c>
      <c r="J361" s="90" t="s">
        <v>678</v>
      </c>
      <c r="K361" s="93">
        <v>170</v>
      </c>
    </row>
    <row r="362" spans="1:11" ht="14.6" x14ac:dyDescent="0.4">
      <c r="A362" s="90"/>
      <c r="B362" s="90"/>
      <c r="C362" s="90"/>
      <c r="D362" s="90"/>
      <c r="E362" s="90" t="s">
        <v>653</v>
      </c>
      <c r="F362" s="91">
        <v>44869</v>
      </c>
      <c r="G362" s="90" t="s">
        <v>2217</v>
      </c>
      <c r="H362" s="90" t="s">
        <v>2324</v>
      </c>
      <c r="I362" s="90" t="s">
        <v>2520</v>
      </c>
      <c r="J362" s="90" t="s">
        <v>678</v>
      </c>
      <c r="K362" s="93">
        <v>85</v>
      </c>
    </row>
    <row r="363" spans="1:11" ht="14.6" x14ac:dyDescent="0.4">
      <c r="A363" s="90"/>
      <c r="B363" s="90"/>
      <c r="C363" s="90"/>
      <c r="D363" s="90"/>
      <c r="E363" s="90" t="s">
        <v>653</v>
      </c>
      <c r="F363" s="91">
        <v>44869</v>
      </c>
      <c r="G363" s="90" t="s">
        <v>2217</v>
      </c>
      <c r="H363" s="90" t="s">
        <v>2324</v>
      </c>
      <c r="I363" s="90" t="s">
        <v>2521</v>
      </c>
      <c r="J363" s="90" t="s">
        <v>678</v>
      </c>
      <c r="K363" s="93">
        <v>240</v>
      </c>
    </row>
    <row r="364" spans="1:11" ht="14.6" x14ac:dyDescent="0.4">
      <c r="A364" s="90"/>
      <c r="B364" s="90"/>
      <c r="C364" s="90"/>
      <c r="D364" s="90"/>
      <c r="E364" s="90" t="s">
        <v>653</v>
      </c>
      <c r="F364" s="91">
        <v>44869</v>
      </c>
      <c r="G364" s="90" t="s">
        <v>2217</v>
      </c>
      <c r="H364" s="90" t="s">
        <v>2324</v>
      </c>
      <c r="I364" s="90" t="s">
        <v>2519</v>
      </c>
      <c r="J364" s="90" t="s">
        <v>678</v>
      </c>
      <c r="K364" s="93">
        <v>170</v>
      </c>
    </row>
    <row r="365" spans="1:11" ht="14.6" x14ac:dyDescent="0.4">
      <c r="A365" s="90"/>
      <c r="B365" s="90"/>
      <c r="C365" s="90"/>
      <c r="D365" s="90"/>
      <c r="E365" s="90" t="s">
        <v>653</v>
      </c>
      <c r="F365" s="91">
        <v>44869</v>
      </c>
      <c r="G365" s="90" t="s">
        <v>2217</v>
      </c>
      <c r="H365" s="90" t="s">
        <v>2324</v>
      </c>
      <c r="I365" s="90" t="s">
        <v>2520</v>
      </c>
      <c r="J365" s="90" t="s">
        <v>678</v>
      </c>
      <c r="K365" s="93">
        <v>85</v>
      </c>
    </row>
    <row r="366" spans="1:11" ht="14.6" x14ac:dyDescent="0.4">
      <c r="A366" s="90"/>
      <c r="B366" s="90"/>
      <c r="C366" s="90"/>
      <c r="D366" s="90"/>
      <c r="E366" s="90" t="s">
        <v>653</v>
      </c>
      <c r="F366" s="91">
        <v>44869</v>
      </c>
      <c r="G366" s="90" t="s">
        <v>2217</v>
      </c>
      <c r="H366" s="90" t="s">
        <v>2324</v>
      </c>
      <c r="I366" s="90" t="s">
        <v>2522</v>
      </c>
      <c r="J366" s="90" t="s">
        <v>678</v>
      </c>
      <c r="K366" s="93">
        <v>240</v>
      </c>
    </row>
    <row r="367" spans="1:11" ht="14.6" x14ac:dyDescent="0.4">
      <c r="A367" s="90"/>
      <c r="B367" s="90"/>
      <c r="C367" s="90"/>
      <c r="D367" s="90"/>
      <c r="E367" s="90" t="s">
        <v>653</v>
      </c>
      <c r="F367" s="91">
        <v>44869</v>
      </c>
      <c r="G367" s="90" t="s">
        <v>2217</v>
      </c>
      <c r="H367" s="90" t="s">
        <v>2324</v>
      </c>
      <c r="I367" s="90" t="s">
        <v>2523</v>
      </c>
      <c r="J367" s="90" t="s">
        <v>678</v>
      </c>
      <c r="K367" s="93">
        <v>80</v>
      </c>
    </row>
    <row r="368" spans="1:11" ht="14.6" x14ac:dyDescent="0.4">
      <c r="A368" s="90"/>
      <c r="B368" s="90"/>
      <c r="C368" s="90"/>
      <c r="D368" s="90"/>
      <c r="E368" s="90" t="s">
        <v>653</v>
      </c>
      <c r="F368" s="91">
        <v>44869</v>
      </c>
      <c r="G368" s="90" t="s">
        <v>2217</v>
      </c>
      <c r="H368" s="90" t="s">
        <v>2324</v>
      </c>
      <c r="I368" s="90" t="s">
        <v>2524</v>
      </c>
      <c r="J368" s="90" t="s">
        <v>678</v>
      </c>
      <c r="K368" s="93">
        <v>240</v>
      </c>
    </row>
    <row r="369" spans="1:11" ht="14.6" x14ac:dyDescent="0.4">
      <c r="A369" s="90"/>
      <c r="B369" s="90"/>
      <c r="C369" s="90"/>
      <c r="D369" s="90"/>
      <c r="E369" s="90" t="s">
        <v>653</v>
      </c>
      <c r="F369" s="91">
        <v>44869</v>
      </c>
      <c r="G369" s="90" t="s">
        <v>2217</v>
      </c>
      <c r="H369" s="90" t="s">
        <v>2324</v>
      </c>
      <c r="I369" s="90" t="s">
        <v>2525</v>
      </c>
      <c r="J369" s="90" t="s">
        <v>678</v>
      </c>
      <c r="K369" s="93">
        <v>170</v>
      </c>
    </row>
    <row r="370" spans="1:11" ht="14.6" x14ac:dyDescent="0.4">
      <c r="A370" s="90"/>
      <c r="B370" s="90"/>
      <c r="C370" s="90"/>
      <c r="D370" s="90"/>
      <c r="E370" s="90" t="s">
        <v>653</v>
      </c>
      <c r="F370" s="91">
        <v>44869</v>
      </c>
      <c r="G370" s="90" t="s">
        <v>2217</v>
      </c>
      <c r="H370" s="90" t="s">
        <v>2324</v>
      </c>
      <c r="I370" s="90" t="s">
        <v>2526</v>
      </c>
      <c r="J370" s="90" t="s">
        <v>678</v>
      </c>
      <c r="K370" s="93">
        <v>240</v>
      </c>
    </row>
    <row r="371" spans="1:11" ht="14.6" x14ac:dyDescent="0.4">
      <c r="A371" s="90"/>
      <c r="B371" s="90"/>
      <c r="C371" s="90"/>
      <c r="D371" s="90"/>
      <c r="E371" s="90" t="s">
        <v>653</v>
      </c>
      <c r="F371" s="91">
        <v>44869</v>
      </c>
      <c r="G371" s="90" t="s">
        <v>2217</v>
      </c>
      <c r="H371" s="90" t="s">
        <v>2324</v>
      </c>
      <c r="I371" s="90" t="s">
        <v>2520</v>
      </c>
      <c r="J371" s="90" t="s">
        <v>678</v>
      </c>
      <c r="K371" s="93">
        <v>170</v>
      </c>
    </row>
    <row r="372" spans="1:11" ht="14.6" x14ac:dyDescent="0.4">
      <c r="A372" s="90"/>
      <c r="B372" s="90"/>
      <c r="C372" s="90"/>
      <c r="D372" s="90"/>
      <c r="E372" s="90" t="s">
        <v>653</v>
      </c>
      <c r="F372" s="91">
        <v>44869</v>
      </c>
      <c r="G372" s="90" t="s">
        <v>2217</v>
      </c>
      <c r="H372" s="90" t="s">
        <v>2324</v>
      </c>
      <c r="I372" s="90" t="s">
        <v>2527</v>
      </c>
      <c r="J372" s="90" t="s">
        <v>678</v>
      </c>
      <c r="K372" s="93">
        <v>80</v>
      </c>
    </row>
    <row r="373" spans="1:11" ht="14.6" x14ac:dyDescent="0.4">
      <c r="A373" s="90"/>
      <c r="B373" s="90"/>
      <c r="C373" s="90"/>
      <c r="D373" s="90"/>
      <c r="E373" s="90" t="s">
        <v>653</v>
      </c>
      <c r="F373" s="91">
        <v>44869</v>
      </c>
      <c r="G373" s="90" t="s">
        <v>2217</v>
      </c>
      <c r="H373" s="90" t="s">
        <v>2324</v>
      </c>
      <c r="I373" s="90" t="s">
        <v>2528</v>
      </c>
      <c r="J373" s="90" t="s">
        <v>678</v>
      </c>
      <c r="K373" s="93">
        <v>240</v>
      </c>
    </row>
    <row r="374" spans="1:11" ht="14.6" x14ac:dyDescent="0.4">
      <c r="A374" s="90"/>
      <c r="B374" s="90"/>
      <c r="C374" s="90"/>
      <c r="D374" s="90"/>
      <c r="E374" s="90" t="s">
        <v>653</v>
      </c>
      <c r="F374" s="91">
        <v>44869</v>
      </c>
      <c r="G374" s="90" t="s">
        <v>2217</v>
      </c>
      <c r="H374" s="90" t="s">
        <v>2324</v>
      </c>
      <c r="I374" s="90" t="s">
        <v>2529</v>
      </c>
      <c r="J374" s="90" t="s">
        <v>678</v>
      </c>
      <c r="K374" s="93">
        <v>240</v>
      </c>
    </row>
    <row r="375" spans="1:11" ht="14.6" x14ac:dyDescent="0.4">
      <c r="A375" s="90"/>
      <c r="B375" s="90"/>
      <c r="C375" s="90"/>
      <c r="D375" s="90"/>
      <c r="E375" s="90" t="s">
        <v>653</v>
      </c>
      <c r="F375" s="91">
        <v>44869</v>
      </c>
      <c r="G375" s="90" t="s">
        <v>2217</v>
      </c>
      <c r="H375" s="90" t="s">
        <v>2324</v>
      </c>
      <c r="I375" s="90" t="s">
        <v>2530</v>
      </c>
      <c r="J375" s="90" t="s">
        <v>678</v>
      </c>
      <c r="K375" s="93">
        <v>170</v>
      </c>
    </row>
    <row r="376" spans="1:11" ht="14.6" x14ac:dyDescent="0.4">
      <c r="A376" s="90"/>
      <c r="B376" s="90"/>
      <c r="C376" s="90"/>
      <c r="D376" s="90"/>
      <c r="E376" s="90" t="s">
        <v>653</v>
      </c>
      <c r="F376" s="91">
        <v>44869</v>
      </c>
      <c r="G376" s="90" t="s">
        <v>2217</v>
      </c>
      <c r="H376" s="90" t="s">
        <v>2324</v>
      </c>
      <c r="I376" s="90" t="s">
        <v>2531</v>
      </c>
      <c r="J376" s="90" t="s">
        <v>678</v>
      </c>
      <c r="K376" s="93">
        <v>225</v>
      </c>
    </row>
    <row r="377" spans="1:11" ht="14.6" x14ac:dyDescent="0.4">
      <c r="A377" s="90"/>
      <c r="B377" s="90"/>
      <c r="C377" s="90"/>
      <c r="D377" s="90"/>
      <c r="E377" s="90" t="s">
        <v>653</v>
      </c>
      <c r="F377" s="91">
        <v>44869</v>
      </c>
      <c r="G377" s="90" t="s">
        <v>2217</v>
      </c>
      <c r="H377" s="90" t="s">
        <v>2324</v>
      </c>
      <c r="I377" s="90" t="s">
        <v>2532</v>
      </c>
      <c r="J377" s="90" t="s">
        <v>678</v>
      </c>
      <c r="K377" s="93">
        <v>240</v>
      </c>
    </row>
    <row r="378" spans="1:11" ht="14.6" x14ac:dyDescent="0.4">
      <c r="A378" s="90"/>
      <c r="B378" s="90"/>
      <c r="C378" s="90"/>
      <c r="D378" s="90"/>
      <c r="E378" s="90" t="s">
        <v>653</v>
      </c>
      <c r="F378" s="91">
        <v>44869</v>
      </c>
      <c r="G378" s="90" t="s">
        <v>2217</v>
      </c>
      <c r="H378" s="90" t="s">
        <v>2324</v>
      </c>
      <c r="I378" s="90" t="s">
        <v>2533</v>
      </c>
      <c r="J378" s="90" t="s">
        <v>678</v>
      </c>
      <c r="K378" s="93">
        <v>80</v>
      </c>
    </row>
    <row r="379" spans="1:11" ht="14.6" x14ac:dyDescent="0.4">
      <c r="A379" s="90"/>
      <c r="B379" s="90"/>
      <c r="C379" s="90"/>
      <c r="D379" s="90"/>
      <c r="E379" s="90" t="s">
        <v>653</v>
      </c>
      <c r="F379" s="91">
        <v>44869</v>
      </c>
      <c r="G379" s="90" t="s">
        <v>2217</v>
      </c>
      <c r="H379" s="90" t="s">
        <v>2324</v>
      </c>
      <c r="I379" s="90" t="s">
        <v>2534</v>
      </c>
      <c r="J379" s="90" t="s">
        <v>678</v>
      </c>
      <c r="K379" s="93">
        <v>240</v>
      </c>
    </row>
    <row r="380" spans="1:11" ht="14.6" x14ac:dyDescent="0.4">
      <c r="A380" s="90"/>
      <c r="B380" s="90"/>
      <c r="C380" s="90"/>
      <c r="D380" s="90"/>
      <c r="E380" s="90" t="s">
        <v>653</v>
      </c>
      <c r="F380" s="91">
        <v>44869</v>
      </c>
      <c r="G380" s="90" t="s">
        <v>2217</v>
      </c>
      <c r="H380" s="90" t="s">
        <v>2324</v>
      </c>
      <c r="I380" s="90" t="s">
        <v>2535</v>
      </c>
      <c r="J380" s="90" t="s">
        <v>678</v>
      </c>
      <c r="K380" s="93">
        <v>80</v>
      </c>
    </row>
    <row r="381" spans="1:11" ht="14.6" x14ac:dyDescent="0.4">
      <c r="A381" s="90"/>
      <c r="B381" s="90"/>
      <c r="C381" s="90"/>
      <c r="D381" s="90"/>
      <c r="E381" s="90" t="s">
        <v>653</v>
      </c>
      <c r="F381" s="91">
        <v>44869</v>
      </c>
      <c r="G381" s="90" t="s">
        <v>2217</v>
      </c>
      <c r="H381" s="90" t="s">
        <v>2324</v>
      </c>
      <c r="I381" s="90" t="s">
        <v>2536</v>
      </c>
      <c r="J381" s="90" t="s">
        <v>678</v>
      </c>
      <c r="K381" s="93">
        <v>240</v>
      </c>
    </row>
    <row r="382" spans="1:11" ht="14.6" x14ac:dyDescent="0.4">
      <c r="A382" s="90"/>
      <c r="B382" s="90"/>
      <c r="C382" s="90"/>
      <c r="D382" s="90"/>
      <c r="E382" s="90" t="s">
        <v>653</v>
      </c>
      <c r="F382" s="91">
        <v>44869</v>
      </c>
      <c r="G382" s="90" t="s">
        <v>2217</v>
      </c>
      <c r="H382" s="90" t="s">
        <v>2324</v>
      </c>
      <c r="I382" s="90" t="s">
        <v>2537</v>
      </c>
      <c r="J382" s="90" t="s">
        <v>678</v>
      </c>
      <c r="K382" s="93">
        <v>240</v>
      </c>
    </row>
    <row r="383" spans="1:11" ht="14.6" x14ac:dyDescent="0.4">
      <c r="A383" s="90"/>
      <c r="B383" s="90"/>
      <c r="C383" s="90"/>
      <c r="D383" s="90"/>
      <c r="E383" s="90" t="s">
        <v>653</v>
      </c>
      <c r="F383" s="91">
        <v>44869</v>
      </c>
      <c r="G383" s="90" t="s">
        <v>2217</v>
      </c>
      <c r="H383" s="90" t="s">
        <v>2324</v>
      </c>
      <c r="I383" s="90" t="s">
        <v>2538</v>
      </c>
      <c r="J383" s="90" t="s">
        <v>678</v>
      </c>
      <c r="K383" s="93">
        <v>80</v>
      </c>
    </row>
    <row r="384" spans="1:11" ht="14.6" x14ac:dyDescent="0.4">
      <c r="A384" s="90"/>
      <c r="B384" s="90"/>
      <c r="C384" s="90"/>
      <c r="D384" s="90"/>
      <c r="E384" s="90" t="s">
        <v>653</v>
      </c>
      <c r="F384" s="91">
        <v>44869</v>
      </c>
      <c r="G384" s="90" t="s">
        <v>2217</v>
      </c>
      <c r="H384" s="90" t="s">
        <v>2324</v>
      </c>
      <c r="I384" s="90" t="s">
        <v>2539</v>
      </c>
      <c r="J384" s="90" t="s">
        <v>678</v>
      </c>
      <c r="K384" s="93">
        <v>240</v>
      </c>
    </row>
    <row r="385" spans="1:11" ht="14.6" x14ac:dyDescent="0.4">
      <c r="A385" s="90"/>
      <c r="B385" s="90"/>
      <c r="C385" s="90"/>
      <c r="D385" s="90"/>
      <c r="E385" s="90" t="s">
        <v>653</v>
      </c>
      <c r="F385" s="91">
        <v>44869</v>
      </c>
      <c r="G385" s="90" t="s">
        <v>2217</v>
      </c>
      <c r="H385" s="90" t="s">
        <v>2324</v>
      </c>
      <c r="I385" s="90" t="s">
        <v>2540</v>
      </c>
      <c r="J385" s="90" t="s">
        <v>678</v>
      </c>
      <c r="K385" s="93">
        <v>80</v>
      </c>
    </row>
    <row r="386" spans="1:11" ht="14.6" x14ac:dyDescent="0.4">
      <c r="A386" s="90"/>
      <c r="B386" s="90"/>
      <c r="C386" s="90"/>
      <c r="D386" s="90"/>
      <c r="E386" s="90" t="s">
        <v>653</v>
      </c>
      <c r="F386" s="91">
        <v>44869</v>
      </c>
      <c r="G386" s="90" t="s">
        <v>2217</v>
      </c>
      <c r="H386" s="90" t="s">
        <v>2324</v>
      </c>
      <c r="I386" s="90" t="s">
        <v>2541</v>
      </c>
      <c r="J386" s="90" t="s">
        <v>678</v>
      </c>
      <c r="K386" s="93">
        <v>150</v>
      </c>
    </row>
    <row r="387" spans="1:11" ht="14.6" x14ac:dyDescent="0.4">
      <c r="A387" s="90"/>
      <c r="B387" s="90"/>
      <c r="C387" s="90"/>
      <c r="D387" s="90"/>
      <c r="E387" s="90" t="s">
        <v>653</v>
      </c>
      <c r="F387" s="91">
        <v>44869</v>
      </c>
      <c r="G387" s="90" t="s">
        <v>2217</v>
      </c>
      <c r="H387" s="90" t="s">
        <v>2324</v>
      </c>
      <c r="I387" s="90" t="s">
        <v>2542</v>
      </c>
      <c r="J387" s="90" t="s">
        <v>678</v>
      </c>
      <c r="K387" s="93">
        <v>225</v>
      </c>
    </row>
    <row r="388" spans="1:11" ht="14.6" x14ac:dyDescent="0.4">
      <c r="A388" s="90"/>
      <c r="B388" s="90"/>
      <c r="C388" s="90"/>
      <c r="D388" s="90"/>
      <c r="E388" s="90" t="s">
        <v>653</v>
      </c>
      <c r="F388" s="91">
        <v>44869</v>
      </c>
      <c r="G388" s="90" t="s">
        <v>2217</v>
      </c>
      <c r="H388" s="90" t="s">
        <v>2324</v>
      </c>
      <c r="I388" s="90" t="s">
        <v>2543</v>
      </c>
      <c r="J388" s="90" t="s">
        <v>678</v>
      </c>
      <c r="K388" s="93">
        <v>225</v>
      </c>
    </row>
    <row r="389" spans="1:11" ht="14.6" x14ac:dyDescent="0.4">
      <c r="A389" s="90"/>
      <c r="B389" s="90"/>
      <c r="C389" s="90"/>
      <c r="D389" s="90"/>
      <c r="E389" s="90" t="s">
        <v>653</v>
      </c>
      <c r="F389" s="91">
        <v>44869</v>
      </c>
      <c r="G389" s="90" t="s">
        <v>2217</v>
      </c>
      <c r="H389" s="90" t="s">
        <v>2324</v>
      </c>
      <c r="I389" s="90" t="s">
        <v>2544</v>
      </c>
      <c r="J389" s="90" t="s">
        <v>678</v>
      </c>
      <c r="K389" s="93">
        <v>0</v>
      </c>
    </row>
    <row r="390" spans="1:11" ht="14.6" x14ac:dyDescent="0.4">
      <c r="A390" s="90"/>
      <c r="B390" s="90"/>
      <c r="C390" s="90"/>
      <c r="D390" s="90"/>
      <c r="E390" s="90" t="s">
        <v>653</v>
      </c>
      <c r="F390" s="91">
        <v>44869</v>
      </c>
      <c r="G390" s="90" t="s">
        <v>2217</v>
      </c>
      <c r="H390" s="90" t="s">
        <v>2324</v>
      </c>
      <c r="I390" s="90" t="s">
        <v>2545</v>
      </c>
      <c r="J390" s="90" t="s">
        <v>678</v>
      </c>
      <c r="K390" s="93">
        <v>225</v>
      </c>
    </row>
    <row r="391" spans="1:11" ht="14.6" x14ac:dyDescent="0.4">
      <c r="A391" s="90"/>
      <c r="B391" s="90"/>
      <c r="C391" s="90"/>
      <c r="D391" s="90"/>
      <c r="E391" s="90" t="s">
        <v>653</v>
      </c>
      <c r="F391" s="91">
        <v>44869</v>
      </c>
      <c r="G391" s="90" t="s">
        <v>2217</v>
      </c>
      <c r="H391" s="90" t="s">
        <v>2324</v>
      </c>
      <c r="I391" s="90" t="s">
        <v>2546</v>
      </c>
      <c r="J391" s="90" t="s">
        <v>678</v>
      </c>
      <c r="K391" s="93">
        <v>0</v>
      </c>
    </row>
    <row r="392" spans="1:11" ht="14.6" x14ac:dyDescent="0.4">
      <c r="A392" s="90"/>
      <c r="B392" s="90"/>
      <c r="C392" s="90"/>
      <c r="D392" s="90"/>
      <c r="E392" s="90" t="s">
        <v>653</v>
      </c>
      <c r="F392" s="91">
        <v>44869</v>
      </c>
      <c r="G392" s="90" t="s">
        <v>2218</v>
      </c>
      <c r="H392" s="90" t="s">
        <v>799</v>
      </c>
      <c r="I392" s="90" t="s">
        <v>2547</v>
      </c>
      <c r="J392" s="90" t="s">
        <v>678</v>
      </c>
      <c r="K392" s="93">
        <v>350</v>
      </c>
    </row>
    <row r="393" spans="1:11" ht="14.6" x14ac:dyDescent="0.4">
      <c r="A393" s="90"/>
      <c r="B393" s="90"/>
      <c r="C393" s="90"/>
      <c r="D393" s="90"/>
      <c r="E393" s="90" t="s">
        <v>653</v>
      </c>
      <c r="F393" s="91">
        <v>44869</v>
      </c>
      <c r="G393" s="90" t="s">
        <v>2218</v>
      </c>
      <c r="H393" s="90" t="s">
        <v>799</v>
      </c>
      <c r="I393" s="90" t="s">
        <v>2548</v>
      </c>
      <c r="J393" s="90" t="s">
        <v>678</v>
      </c>
      <c r="K393" s="93">
        <v>275</v>
      </c>
    </row>
    <row r="394" spans="1:11" ht="14.6" x14ac:dyDescent="0.4">
      <c r="A394" s="90"/>
      <c r="B394" s="90"/>
      <c r="C394" s="90"/>
      <c r="D394" s="90"/>
      <c r="E394" s="90" t="s">
        <v>653</v>
      </c>
      <c r="F394" s="91">
        <v>44869</v>
      </c>
      <c r="G394" s="90" t="s">
        <v>2218</v>
      </c>
      <c r="H394" s="90" t="s">
        <v>799</v>
      </c>
      <c r="I394" s="90" t="s">
        <v>2483</v>
      </c>
      <c r="J394" s="90" t="s">
        <v>678</v>
      </c>
      <c r="K394" s="93">
        <v>15</v>
      </c>
    </row>
    <row r="395" spans="1:11" ht="14.6" x14ac:dyDescent="0.4">
      <c r="A395" s="90"/>
      <c r="B395" s="90"/>
      <c r="C395" s="90"/>
      <c r="D395" s="90"/>
      <c r="E395" s="90" t="s">
        <v>653</v>
      </c>
      <c r="F395" s="91">
        <v>44869</v>
      </c>
      <c r="G395" s="90" t="s">
        <v>2218</v>
      </c>
      <c r="H395" s="90" t="s">
        <v>799</v>
      </c>
      <c r="I395" s="90" t="s">
        <v>2549</v>
      </c>
      <c r="J395" s="90" t="s">
        <v>678</v>
      </c>
      <c r="K395" s="93">
        <v>350</v>
      </c>
    </row>
    <row r="396" spans="1:11" ht="14.6" x14ac:dyDescent="0.4">
      <c r="A396" s="90"/>
      <c r="B396" s="90"/>
      <c r="C396" s="90"/>
      <c r="D396" s="90"/>
      <c r="E396" s="90" t="s">
        <v>653</v>
      </c>
      <c r="F396" s="91">
        <v>44869</v>
      </c>
      <c r="G396" s="90" t="s">
        <v>2218</v>
      </c>
      <c r="H396" s="90" t="s">
        <v>799</v>
      </c>
      <c r="I396" s="90" t="s">
        <v>2550</v>
      </c>
      <c r="J396" s="90" t="s">
        <v>678</v>
      </c>
      <c r="K396" s="93">
        <v>15</v>
      </c>
    </row>
    <row r="397" spans="1:11" ht="14.6" x14ac:dyDescent="0.4">
      <c r="A397" s="90"/>
      <c r="B397" s="90"/>
      <c r="C397" s="90"/>
      <c r="D397" s="90"/>
      <c r="E397" s="90" t="s">
        <v>653</v>
      </c>
      <c r="F397" s="91">
        <v>44869</v>
      </c>
      <c r="G397" s="90" t="s">
        <v>2218</v>
      </c>
      <c r="H397" s="90" t="s">
        <v>799</v>
      </c>
      <c r="I397" s="90" t="s">
        <v>2551</v>
      </c>
      <c r="J397" s="90" t="s">
        <v>678</v>
      </c>
      <c r="K397" s="93">
        <v>275</v>
      </c>
    </row>
    <row r="398" spans="1:11" ht="14.6" x14ac:dyDescent="0.4">
      <c r="A398" s="90"/>
      <c r="B398" s="90"/>
      <c r="C398" s="90"/>
      <c r="D398" s="90"/>
      <c r="E398" s="90" t="s">
        <v>653</v>
      </c>
      <c r="F398" s="91">
        <v>44869</v>
      </c>
      <c r="G398" s="90" t="s">
        <v>2218</v>
      </c>
      <c r="H398" s="90" t="s">
        <v>799</v>
      </c>
      <c r="I398" s="90" t="s">
        <v>2483</v>
      </c>
      <c r="J398" s="90" t="s">
        <v>678</v>
      </c>
      <c r="K398" s="93">
        <v>15</v>
      </c>
    </row>
    <row r="399" spans="1:11" ht="14.6" x14ac:dyDescent="0.4">
      <c r="A399" s="90"/>
      <c r="B399" s="90"/>
      <c r="C399" s="90"/>
      <c r="D399" s="90"/>
      <c r="E399" s="90" t="s">
        <v>653</v>
      </c>
      <c r="F399" s="91">
        <v>44869</v>
      </c>
      <c r="G399" s="90" t="s">
        <v>2218</v>
      </c>
      <c r="H399" s="90" t="s">
        <v>799</v>
      </c>
      <c r="I399" s="90" t="s">
        <v>2552</v>
      </c>
      <c r="J399" s="90" t="s">
        <v>678</v>
      </c>
      <c r="K399" s="93">
        <v>275</v>
      </c>
    </row>
    <row r="400" spans="1:11" ht="14.6" x14ac:dyDescent="0.4">
      <c r="A400" s="90"/>
      <c r="B400" s="90"/>
      <c r="C400" s="90"/>
      <c r="D400" s="90"/>
      <c r="E400" s="90" t="s">
        <v>653</v>
      </c>
      <c r="F400" s="91">
        <v>44869</v>
      </c>
      <c r="G400" s="90" t="s">
        <v>2218</v>
      </c>
      <c r="H400" s="90" t="s">
        <v>799</v>
      </c>
      <c r="I400" s="90" t="s">
        <v>2483</v>
      </c>
      <c r="J400" s="90" t="s">
        <v>678</v>
      </c>
      <c r="K400" s="93">
        <v>15</v>
      </c>
    </row>
    <row r="401" spans="1:11" ht="14.6" x14ac:dyDescent="0.4">
      <c r="A401" s="90"/>
      <c r="B401" s="90"/>
      <c r="C401" s="90"/>
      <c r="D401" s="90"/>
      <c r="E401" s="90" t="s">
        <v>653</v>
      </c>
      <c r="F401" s="91">
        <v>44869</v>
      </c>
      <c r="G401" s="90" t="s">
        <v>2218</v>
      </c>
      <c r="H401" s="90" t="s">
        <v>799</v>
      </c>
      <c r="I401" s="90" t="s">
        <v>2553</v>
      </c>
      <c r="J401" s="90" t="s">
        <v>678</v>
      </c>
      <c r="K401" s="93">
        <v>275</v>
      </c>
    </row>
    <row r="402" spans="1:11" ht="14.6" x14ac:dyDescent="0.4">
      <c r="A402" s="90"/>
      <c r="B402" s="90"/>
      <c r="C402" s="90"/>
      <c r="D402" s="90"/>
      <c r="E402" s="90" t="s">
        <v>653</v>
      </c>
      <c r="F402" s="91">
        <v>44869</v>
      </c>
      <c r="G402" s="90" t="s">
        <v>2218</v>
      </c>
      <c r="H402" s="90" t="s">
        <v>799</v>
      </c>
      <c r="I402" s="90" t="s">
        <v>2485</v>
      </c>
      <c r="J402" s="90" t="s">
        <v>678</v>
      </c>
      <c r="K402" s="93">
        <v>15</v>
      </c>
    </row>
    <row r="403" spans="1:11" ht="14.6" x14ac:dyDescent="0.4">
      <c r="A403" s="90"/>
      <c r="B403" s="90"/>
      <c r="C403" s="90"/>
      <c r="D403" s="90"/>
      <c r="E403" s="90" t="s">
        <v>653</v>
      </c>
      <c r="F403" s="91">
        <v>44869</v>
      </c>
      <c r="G403" s="90" t="s">
        <v>2218</v>
      </c>
      <c r="H403" s="90" t="s">
        <v>799</v>
      </c>
      <c r="I403" s="90" t="s">
        <v>2554</v>
      </c>
      <c r="J403" s="90" t="s">
        <v>678</v>
      </c>
      <c r="K403" s="93">
        <v>275</v>
      </c>
    </row>
    <row r="404" spans="1:11" ht="14.6" x14ac:dyDescent="0.4">
      <c r="A404" s="90"/>
      <c r="B404" s="90"/>
      <c r="C404" s="90"/>
      <c r="D404" s="90"/>
      <c r="E404" s="90" t="s">
        <v>653</v>
      </c>
      <c r="F404" s="91">
        <v>44869</v>
      </c>
      <c r="G404" s="90" t="s">
        <v>2218</v>
      </c>
      <c r="H404" s="90" t="s">
        <v>799</v>
      </c>
      <c r="I404" s="90" t="s">
        <v>2485</v>
      </c>
      <c r="J404" s="90" t="s">
        <v>678</v>
      </c>
      <c r="K404" s="93">
        <v>15</v>
      </c>
    </row>
    <row r="405" spans="1:11" ht="14.6" x14ac:dyDescent="0.4">
      <c r="A405" s="90"/>
      <c r="B405" s="90"/>
      <c r="C405" s="90"/>
      <c r="D405" s="90"/>
      <c r="E405" s="90" t="s">
        <v>653</v>
      </c>
      <c r="F405" s="91">
        <v>44869</v>
      </c>
      <c r="G405" s="90" t="s">
        <v>2218</v>
      </c>
      <c r="H405" s="90" t="s">
        <v>799</v>
      </c>
      <c r="I405" s="90" t="s">
        <v>2555</v>
      </c>
      <c r="J405" s="90" t="s">
        <v>678</v>
      </c>
      <c r="K405" s="93">
        <v>275</v>
      </c>
    </row>
    <row r="406" spans="1:11" ht="14.6" x14ac:dyDescent="0.4">
      <c r="A406" s="90"/>
      <c r="B406" s="90"/>
      <c r="C406" s="90"/>
      <c r="D406" s="90"/>
      <c r="E406" s="90" t="s">
        <v>653</v>
      </c>
      <c r="F406" s="91">
        <v>44869</v>
      </c>
      <c r="G406" s="90" t="s">
        <v>2218</v>
      </c>
      <c r="H406" s="90" t="s">
        <v>799</v>
      </c>
      <c r="I406" s="90" t="s">
        <v>2485</v>
      </c>
      <c r="J406" s="90" t="s">
        <v>678</v>
      </c>
      <c r="K406" s="93">
        <v>15</v>
      </c>
    </row>
    <row r="407" spans="1:11" ht="14.6" x14ac:dyDescent="0.4">
      <c r="A407" s="90"/>
      <c r="B407" s="90"/>
      <c r="C407" s="90"/>
      <c r="D407" s="90"/>
      <c r="E407" s="90" t="s">
        <v>653</v>
      </c>
      <c r="F407" s="91">
        <v>44869</v>
      </c>
      <c r="G407" s="90" t="s">
        <v>2218</v>
      </c>
      <c r="H407" s="90" t="s">
        <v>799</v>
      </c>
      <c r="I407" s="90" t="s">
        <v>2556</v>
      </c>
      <c r="J407" s="90" t="s">
        <v>678</v>
      </c>
      <c r="K407" s="93">
        <v>350</v>
      </c>
    </row>
    <row r="408" spans="1:11" ht="14.6" x14ac:dyDescent="0.4">
      <c r="A408" s="90"/>
      <c r="B408" s="90"/>
      <c r="C408" s="90"/>
      <c r="D408" s="90"/>
      <c r="E408" s="90" t="s">
        <v>653</v>
      </c>
      <c r="F408" s="91">
        <v>44869</v>
      </c>
      <c r="G408" s="90" t="s">
        <v>2218</v>
      </c>
      <c r="H408" s="90" t="s">
        <v>799</v>
      </c>
      <c r="I408" s="90" t="s">
        <v>2557</v>
      </c>
      <c r="J408" s="90" t="s">
        <v>678</v>
      </c>
      <c r="K408" s="93">
        <v>15</v>
      </c>
    </row>
    <row r="409" spans="1:11" ht="14.6" x14ac:dyDescent="0.4">
      <c r="A409" s="90"/>
      <c r="B409" s="90"/>
      <c r="C409" s="90"/>
      <c r="D409" s="90"/>
      <c r="E409" s="90" t="s">
        <v>653</v>
      </c>
      <c r="F409" s="91">
        <v>44869</v>
      </c>
      <c r="G409" s="90" t="s">
        <v>2217</v>
      </c>
      <c r="H409" s="90" t="s">
        <v>2324</v>
      </c>
      <c r="I409" s="90" t="s">
        <v>2558</v>
      </c>
      <c r="J409" s="90" t="s">
        <v>678</v>
      </c>
      <c r="K409" s="93">
        <v>225</v>
      </c>
    </row>
    <row r="410" spans="1:11" ht="14.6" x14ac:dyDescent="0.4">
      <c r="A410" s="90"/>
      <c r="B410" s="90"/>
      <c r="C410" s="90"/>
      <c r="D410" s="90"/>
      <c r="E410" s="90" t="s">
        <v>653</v>
      </c>
      <c r="F410" s="91">
        <v>44869</v>
      </c>
      <c r="G410" s="90" t="s">
        <v>2217</v>
      </c>
      <c r="H410" s="90" t="s">
        <v>2324</v>
      </c>
      <c r="I410" s="90" t="s">
        <v>2559</v>
      </c>
      <c r="J410" s="90" t="s">
        <v>678</v>
      </c>
      <c r="K410" s="93">
        <v>225</v>
      </c>
    </row>
    <row r="411" spans="1:11" ht="14.6" x14ac:dyDescent="0.4">
      <c r="A411" s="90"/>
      <c r="B411" s="90"/>
      <c r="C411" s="90"/>
      <c r="D411" s="90"/>
      <c r="E411" s="90" t="s">
        <v>653</v>
      </c>
      <c r="F411" s="91">
        <v>44869</v>
      </c>
      <c r="G411" s="90" t="s">
        <v>2217</v>
      </c>
      <c r="H411" s="90" t="s">
        <v>2324</v>
      </c>
      <c r="I411" s="90" t="s">
        <v>2560</v>
      </c>
      <c r="J411" s="90" t="s">
        <v>678</v>
      </c>
      <c r="K411" s="93">
        <v>225</v>
      </c>
    </row>
    <row r="412" spans="1:11" ht="14.6" x14ac:dyDescent="0.4">
      <c r="A412" s="90"/>
      <c r="B412" s="90"/>
      <c r="C412" s="90"/>
      <c r="D412" s="90"/>
      <c r="E412" s="90" t="s">
        <v>653</v>
      </c>
      <c r="F412" s="91">
        <v>44869</v>
      </c>
      <c r="G412" s="90" t="s">
        <v>2217</v>
      </c>
      <c r="H412" s="90" t="s">
        <v>2324</v>
      </c>
      <c r="I412" s="90" t="s">
        <v>2561</v>
      </c>
      <c r="J412" s="90" t="s">
        <v>678</v>
      </c>
      <c r="K412" s="93">
        <v>225</v>
      </c>
    </row>
    <row r="413" spans="1:11" ht="14.6" x14ac:dyDescent="0.4">
      <c r="A413" s="90"/>
      <c r="B413" s="90"/>
      <c r="C413" s="90"/>
      <c r="D413" s="90"/>
      <c r="E413" s="90" t="s">
        <v>731</v>
      </c>
      <c r="F413" s="91">
        <v>44869</v>
      </c>
      <c r="G413" s="90" t="s">
        <v>2219</v>
      </c>
      <c r="H413" s="90" t="s">
        <v>2335</v>
      </c>
      <c r="I413" s="90" t="s">
        <v>2515</v>
      </c>
      <c r="J413" s="90" t="s">
        <v>888</v>
      </c>
      <c r="K413" s="93">
        <v>15</v>
      </c>
    </row>
    <row r="414" spans="1:11" ht="14.6" x14ac:dyDescent="0.4">
      <c r="A414" s="90"/>
      <c r="B414" s="90"/>
      <c r="C414" s="90"/>
      <c r="D414" s="90"/>
      <c r="E414" s="90" t="s">
        <v>731</v>
      </c>
      <c r="F414" s="91">
        <v>44869</v>
      </c>
      <c r="G414" s="90" t="s">
        <v>2220</v>
      </c>
      <c r="H414" s="90" t="s">
        <v>799</v>
      </c>
      <c r="I414" s="90" t="s">
        <v>2611</v>
      </c>
      <c r="J414" s="90" t="s">
        <v>735</v>
      </c>
      <c r="K414" s="93">
        <v>700</v>
      </c>
    </row>
    <row r="415" spans="1:11" ht="14.6" x14ac:dyDescent="0.4">
      <c r="A415" s="90"/>
      <c r="B415" s="90"/>
      <c r="C415" s="90"/>
      <c r="D415" s="90"/>
      <c r="E415" s="90" t="s">
        <v>731</v>
      </c>
      <c r="F415" s="91">
        <v>44869</v>
      </c>
      <c r="G415" s="90" t="s">
        <v>2221</v>
      </c>
      <c r="H415" s="90" t="s">
        <v>799</v>
      </c>
      <c r="I415" s="90" t="s">
        <v>2417</v>
      </c>
      <c r="J415" s="90" t="s">
        <v>735</v>
      </c>
      <c r="K415" s="93">
        <v>100</v>
      </c>
    </row>
    <row r="416" spans="1:11" ht="14.6" x14ac:dyDescent="0.4">
      <c r="A416" s="90"/>
      <c r="B416" s="90"/>
      <c r="C416" s="90"/>
      <c r="D416" s="90"/>
      <c r="E416" s="90" t="s">
        <v>731</v>
      </c>
      <c r="F416" s="91">
        <v>44869</v>
      </c>
      <c r="G416" s="90" t="s">
        <v>2222</v>
      </c>
      <c r="H416" s="90" t="s">
        <v>799</v>
      </c>
      <c r="I416" s="90" t="s">
        <v>2417</v>
      </c>
      <c r="J416" s="90" t="s">
        <v>735</v>
      </c>
      <c r="K416" s="93">
        <v>150</v>
      </c>
    </row>
    <row r="417" spans="1:11" ht="14.6" x14ac:dyDescent="0.4">
      <c r="A417" s="90"/>
      <c r="B417" s="90"/>
      <c r="C417" s="90"/>
      <c r="D417" s="90"/>
      <c r="E417" s="90" t="s">
        <v>731</v>
      </c>
      <c r="F417" s="91">
        <v>44869</v>
      </c>
      <c r="G417" s="90" t="s">
        <v>2223</v>
      </c>
      <c r="H417" s="90" t="s">
        <v>799</v>
      </c>
      <c r="I417" s="90" t="s">
        <v>2417</v>
      </c>
      <c r="J417" s="90" t="s">
        <v>735</v>
      </c>
      <c r="K417" s="93">
        <v>150</v>
      </c>
    </row>
    <row r="418" spans="1:11" ht="14.6" x14ac:dyDescent="0.4">
      <c r="A418" s="90"/>
      <c r="B418" s="90"/>
      <c r="C418" s="90"/>
      <c r="D418" s="90"/>
      <c r="E418" s="90" t="s">
        <v>756</v>
      </c>
      <c r="F418" s="91">
        <v>44873</v>
      </c>
      <c r="G418" s="90" t="s">
        <v>2224</v>
      </c>
      <c r="H418" s="90" t="s">
        <v>2323</v>
      </c>
      <c r="I418" s="90" t="s">
        <v>2562</v>
      </c>
      <c r="J418" s="90" t="s">
        <v>679</v>
      </c>
      <c r="K418" s="93">
        <v>-12</v>
      </c>
    </row>
    <row r="419" spans="1:11" ht="14.6" x14ac:dyDescent="0.4">
      <c r="A419" s="90"/>
      <c r="B419" s="90"/>
      <c r="C419" s="90"/>
      <c r="D419" s="90"/>
      <c r="E419" s="90" t="s">
        <v>756</v>
      </c>
      <c r="F419" s="91">
        <v>44873</v>
      </c>
      <c r="G419" s="90" t="s">
        <v>2225</v>
      </c>
      <c r="H419" s="90" t="s">
        <v>2336</v>
      </c>
      <c r="I419" s="90" t="s">
        <v>2563</v>
      </c>
      <c r="J419" s="90" t="s">
        <v>679</v>
      </c>
      <c r="K419" s="93">
        <v>-120</v>
      </c>
    </row>
    <row r="420" spans="1:11" ht="14.6" x14ac:dyDescent="0.4">
      <c r="A420" s="90"/>
      <c r="B420" s="90"/>
      <c r="C420" s="90"/>
      <c r="D420" s="90"/>
      <c r="E420" s="90" t="s">
        <v>756</v>
      </c>
      <c r="F420" s="91">
        <v>44873</v>
      </c>
      <c r="G420" s="90"/>
      <c r="H420" s="90" t="s">
        <v>816</v>
      </c>
      <c r="I420" s="90" t="s">
        <v>2564</v>
      </c>
      <c r="J420" s="90" t="s">
        <v>679</v>
      </c>
      <c r="K420" s="93">
        <v>-14.86</v>
      </c>
    </row>
    <row r="421" spans="1:11" ht="14.6" x14ac:dyDescent="0.4">
      <c r="A421" s="90"/>
      <c r="B421" s="90"/>
      <c r="C421" s="90"/>
      <c r="D421" s="90"/>
      <c r="E421" s="90" t="s">
        <v>756</v>
      </c>
      <c r="F421" s="91">
        <v>44873</v>
      </c>
      <c r="G421" s="90"/>
      <c r="H421" s="90" t="s">
        <v>816</v>
      </c>
      <c r="I421" s="90" t="s">
        <v>2565</v>
      </c>
      <c r="J421" s="90" t="s">
        <v>679</v>
      </c>
      <c r="K421" s="93">
        <v>-13.91</v>
      </c>
    </row>
    <row r="422" spans="1:11" ht="14.6" x14ac:dyDescent="0.4">
      <c r="A422" s="90"/>
      <c r="B422" s="90"/>
      <c r="C422" s="90"/>
      <c r="D422" s="90"/>
      <c r="E422" s="90" t="s">
        <v>756</v>
      </c>
      <c r="F422" s="91">
        <v>44873</v>
      </c>
      <c r="G422" s="90"/>
      <c r="H422" s="90" t="s">
        <v>2337</v>
      </c>
      <c r="I422" s="90" t="s">
        <v>2566</v>
      </c>
      <c r="J422" s="90" t="s">
        <v>679</v>
      </c>
      <c r="K422" s="93">
        <v>-528</v>
      </c>
    </row>
    <row r="423" spans="1:11" ht="14.6" x14ac:dyDescent="0.4">
      <c r="A423" s="90"/>
      <c r="B423" s="90"/>
      <c r="C423" s="90"/>
      <c r="D423" s="90"/>
      <c r="E423" s="90" t="s">
        <v>653</v>
      </c>
      <c r="F423" s="91">
        <v>44873</v>
      </c>
      <c r="G423" s="90" t="s">
        <v>2226</v>
      </c>
      <c r="H423" s="90" t="s">
        <v>799</v>
      </c>
      <c r="I423" s="90" t="s">
        <v>2567</v>
      </c>
      <c r="J423" s="90" t="s">
        <v>678</v>
      </c>
      <c r="K423" s="93">
        <v>225</v>
      </c>
    </row>
    <row r="424" spans="1:11" ht="14.6" x14ac:dyDescent="0.4">
      <c r="A424" s="90"/>
      <c r="B424" s="90"/>
      <c r="C424" s="90"/>
      <c r="D424" s="90"/>
      <c r="E424" s="90" t="s">
        <v>653</v>
      </c>
      <c r="F424" s="91">
        <v>44873</v>
      </c>
      <c r="G424" s="90" t="s">
        <v>2226</v>
      </c>
      <c r="H424" s="90" t="s">
        <v>799</v>
      </c>
      <c r="I424" s="90" t="s">
        <v>2568</v>
      </c>
      <c r="J424" s="90" t="s">
        <v>678</v>
      </c>
      <c r="K424" s="93">
        <v>225</v>
      </c>
    </row>
    <row r="425" spans="1:11" ht="14.6" x14ac:dyDescent="0.4">
      <c r="A425" s="90"/>
      <c r="B425" s="90"/>
      <c r="C425" s="90"/>
      <c r="D425" s="90"/>
      <c r="E425" s="90" t="s">
        <v>653</v>
      </c>
      <c r="F425" s="91">
        <v>44875</v>
      </c>
      <c r="G425" s="90" t="s">
        <v>2214</v>
      </c>
      <c r="H425" s="90" t="s">
        <v>2273</v>
      </c>
      <c r="I425" s="90" t="s">
        <v>2569</v>
      </c>
      <c r="J425" s="90" t="s">
        <v>678</v>
      </c>
      <c r="K425" s="93">
        <v>1097.53</v>
      </c>
    </row>
    <row r="426" spans="1:11" ht="14.6" x14ac:dyDescent="0.4">
      <c r="A426" s="90"/>
      <c r="B426" s="90"/>
      <c r="C426" s="90"/>
      <c r="D426" s="90"/>
      <c r="E426" s="90" t="s">
        <v>653</v>
      </c>
      <c r="F426" s="91">
        <v>44875</v>
      </c>
      <c r="G426" s="90" t="s">
        <v>2214</v>
      </c>
      <c r="H426" s="90" t="s">
        <v>2314</v>
      </c>
      <c r="I426" s="965" t="s">
        <v>2569</v>
      </c>
      <c r="J426" s="90" t="s">
        <v>678</v>
      </c>
      <c r="K426" s="93">
        <v>1103.28</v>
      </c>
    </row>
    <row r="427" spans="1:11" ht="14.6" x14ac:dyDescent="0.4">
      <c r="A427" s="90"/>
      <c r="B427" s="90"/>
      <c r="C427" s="90"/>
      <c r="D427" s="90"/>
      <c r="E427" s="90" t="s">
        <v>731</v>
      </c>
      <c r="F427" s="91">
        <v>44883</v>
      </c>
      <c r="G427" s="90" t="s">
        <v>2228</v>
      </c>
      <c r="H427" s="90" t="s">
        <v>2338</v>
      </c>
      <c r="I427" s="90" t="s">
        <v>2571</v>
      </c>
      <c r="J427" s="90" t="s">
        <v>735</v>
      </c>
      <c r="K427" s="93">
        <v>188.74</v>
      </c>
    </row>
    <row r="428" spans="1:11" ht="14.6" x14ac:dyDescent="0.4">
      <c r="A428" s="90"/>
      <c r="B428" s="90"/>
      <c r="C428" s="90"/>
      <c r="D428" s="90"/>
      <c r="E428" s="90" t="s">
        <v>731</v>
      </c>
      <c r="F428" s="91">
        <v>44887</v>
      </c>
      <c r="G428" s="90" t="s">
        <v>2214</v>
      </c>
      <c r="H428" s="90" t="s">
        <v>805</v>
      </c>
      <c r="I428" s="90" t="s">
        <v>1392</v>
      </c>
      <c r="J428" s="90" t="s">
        <v>735</v>
      </c>
      <c r="K428" s="93">
        <v>100</v>
      </c>
    </row>
    <row r="429" spans="1:11" ht="14.6" x14ac:dyDescent="0.4">
      <c r="A429" s="90"/>
      <c r="B429" s="90"/>
      <c r="C429" s="90"/>
      <c r="D429" s="90"/>
      <c r="E429" s="90" t="s">
        <v>731</v>
      </c>
      <c r="F429" s="91">
        <v>44894</v>
      </c>
      <c r="G429" s="90" t="s">
        <v>2229</v>
      </c>
      <c r="H429" s="90" t="s">
        <v>799</v>
      </c>
      <c r="I429" s="90" t="s">
        <v>2572</v>
      </c>
      <c r="J429" s="90" t="s">
        <v>735</v>
      </c>
      <c r="K429" s="93">
        <v>30</v>
      </c>
    </row>
    <row r="430" spans="1:11" ht="14.6" x14ac:dyDescent="0.4">
      <c r="A430" s="90"/>
      <c r="B430" s="90"/>
      <c r="C430" s="90"/>
      <c r="D430" s="90"/>
      <c r="E430" s="90" t="s">
        <v>731</v>
      </c>
      <c r="F430" s="91">
        <v>44894</v>
      </c>
      <c r="G430" s="90" t="s">
        <v>2230</v>
      </c>
      <c r="H430" s="90" t="s">
        <v>2336</v>
      </c>
      <c r="I430" s="90" t="s">
        <v>2573</v>
      </c>
      <c r="J430" s="90" t="s">
        <v>735</v>
      </c>
      <c r="K430" s="93">
        <v>2800</v>
      </c>
    </row>
    <row r="431" spans="1:11" ht="14.6" x14ac:dyDescent="0.4">
      <c r="A431" s="90"/>
      <c r="B431" s="90"/>
      <c r="C431" s="90"/>
      <c r="D431" s="90"/>
      <c r="E431" s="90" t="s">
        <v>653</v>
      </c>
      <c r="F431" s="91">
        <v>44896</v>
      </c>
      <c r="G431" s="90" t="s">
        <v>2231</v>
      </c>
      <c r="H431" s="90" t="s">
        <v>799</v>
      </c>
      <c r="I431" s="90" t="s">
        <v>2574</v>
      </c>
      <c r="J431" s="90" t="s">
        <v>678</v>
      </c>
      <c r="K431" s="93">
        <v>900</v>
      </c>
    </row>
    <row r="432" spans="1:11" ht="14.6" x14ac:dyDescent="0.4">
      <c r="A432" s="90"/>
      <c r="B432" s="90"/>
      <c r="C432" s="90"/>
      <c r="D432" s="90"/>
      <c r="E432" s="90" t="s">
        <v>653</v>
      </c>
      <c r="F432" s="91">
        <v>44896</v>
      </c>
      <c r="G432" s="90" t="s">
        <v>2231</v>
      </c>
      <c r="H432" s="90" t="s">
        <v>799</v>
      </c>
      <c r="I432" s="90" t="s">
        <v>2575</v>
      </c>
      <c r="J432" s="90" t="s">
        <v>678</v>
      </c>
      <c r="K432" s="93">
        <v>15</v>
      </c>
    </row>
    <row r="433" spans="1:11" ht="14.6" x14ac:dyDescent="0.4">
      <c r="A433" s="90"/>
      <c r="B433" s="90"/>
      <c r="C433" s="90"/>
      <c r="D433" s="90"/>
      <c r="E433" s="90" t="s">
        <v>731</v>
      </c>
      <c r="F433" s="91">
        <v>44896</v>
      </c>
      <c r="G433" s="90" t="s">
        <v>2232</v>
      </c>
      <c r="H433" s="90" t="s">
        <v>2311</v>
      </c>
      <c r="I433" s="90" t="s">
        <v>2576</v>
      </c>
      <c r="J433" s="90" t="s">
        <v>888</v>
      </c>
      <c r="K433" s="93">
        <v>27.06</v>
      </c>
    </row>
    <row r="434" spans="1:11" ht="14.6" x14ac:dyDescent="0.4">
      <c r="A434" s="90"/>
      <c r="B434" s="90"/>
      <c r="C434" s="90"/>
      <c r="D434" s="90"/>
      <c r="E434" s="90" t="s">
        <v>731</v>
      </c>
      <c r="F434" s="91">
        <v>44897</v>
      </c>
      <c r="G434" s="90" t="s">
        <v>2233</v>
      </c>
      <c r="H434" s="90" t="s">
        <v>2339</v>
      </c>
      <c r="I434" s="90" t="s">
        <v>2576</v>
      </c>
      <c r="J434" s="90" t="s">
        <v>888</v>
      </c>
      <c r="K434" s="93">
        <v>5.99</v>
      </c>
    </row>
    <row r="435" spans="1:11" ht="14.6" x14ac:dyDescent="0.4">
      <c r="A435" s="90"/>
      <c r="B435" s="90"/>
      <c r="C435" s="90"/>
      <c r="D435" s="90"/>
      <c r="E435" s="90" t="s">
        <v>653</v>
      </c>
      <c r="F435" s="91">
        <v>44900</v>
      </c>
      <c r="G435" s="90" t="s">
        <v>1783</v>
      </c>
      <c r="H435" s="90" t="s">
        <v>815</v>
      </c>
      <c r="I435" s="90" t="s">
        <v>2577</v>
      </c>
      <c r="J435" s="90" t="s">
        <v>678</v>
      </c>
      <c r="K435" s="93">
        <v>45</v>
      </c>
    </row>
    <row r="436" spans="1:11" ht="14.6" x14ac:dyDescent="0.4">
      <c r="A436" s="90"/>
      <c r="B436" s="90"/>
      <c r="C436" s="90"/>
      <c r="D436" s="90"/>
      <c r="E436" s="90" t="s">
        <v>731</v>
      </c>
      <c r="F436" s="91">
        <v>44900</v>
      </c>
      <c r="G436" s="90" t="s">
        <v>2234</v>
      </c>
      <c r="H436" s="90" t="s">
        <v>799</v>
      </c>
      <c r="I436" s="90" t="s">
        <v>2578</v>
      </c>
      <c r="J436" s="90" t="s">
        <v>735</v>
      </c>
      <c r="K436" s="93">
        <v>275</v>
      </c>
    </row>
    <row r="437" spans="1:11" ht="14.6" x14ac:dyDescent="0.4">
      <c r="A437" s="90"/>
      <c r="B437" s="90"/>
      <c r="C437" s="90"/>
      <c r="D437" s="90"/>
      <c r="E437" s="90" t="s">
        <v>731</v>
      </c>
      <c r="F437" s="91">
        <v>44900</v>
      </c>
      <c r="G437" s="90" t="s">
        <v>2235</v>
      </c>
      <c r="H437" s="90" t="s">
        <v>799</v>
      </c>
      <c r="I437" s="90" t="s">
        <v>2579</v>
      </c>
      <c r="J437" s="90" t="s">
        <v>735</v>
      </c>
      <c r="K437" s="93">
        <v>275</v>
      </c>
    </row>
    <row r="438" spans="1:11" ht="14.6" x14ac:dyDescent="0.4">
      <c r="A438" s="90"/>
      <c r="B438" s="90"/>
      <c r="C438" s="90"/>
      <c r="D438" s="90"/>
      <c r="E438" s="90" t="s">
        <v>653</v>
      </c>
      <c r="F438" s="91">
        <v>44900</v>
      </c>
      <c r="G438" s="90" t="s">
        <v>1783</v>
      </c>
      <c r="H438" s="90" t="s">
        <v>2318</v>
      </c>
      <c r="I438" s="90" t="s">
        <v>2467</v>
      </c>
      <c r="J438" s="90" t="s">
        <v>678</v>
      </c>
      <c r="K438" s="93">
        <v>30</v>
      </c>
    </row>
    <row r="439" spans="1:11" ht="14.6" x14ac:dyDescent="0.4">
      <c r="A439" s="90"/>
      <c r="B439" s="90"/>
      <c r="C439" s="90"/>
      <c r="D439" s="90"/>
      <c r="E439" s="90" t="s">
        <v>731</v>
      </c>
      <c r="F439" s="91">
        <v>44901</v>
      </c>
      <c r="G439" s="90" t="s">
        <v>2236</v>
      </c>
      <c r="H439" s="90" t="s">
        <v>340</v>
      </c>
      <c r="I439" s="90" t="s">
        <v>2647</v>
      </c>
      <c r="J439" s="90" t="s">
        <v>735</v>
      </c>
      <c r="K439" s="93">
        <v>315</v>
      </c>
    </row>
    <row r="440" spans="1:11" ht="14.6" x14ac:dyDescent="0.4">
      <c r="A440" s="90"/>
      <c r="B440" s="90"/>
      <c r="C440" s="90"/>
      <c r="D440" s="90"/>
      <c r="E440" s="90" t="s">
        <v>731</v>
      </c>
      <c r="F440" s="91">
        <v>44901</v>
      </c>
      <c r="G440" s="90" t="s">
        <v>2237</v>
      </c>
      <c r="H440" s="90" t="s">
        <v>804</v>
      </c>
      <c r="I440" s="90" t="s">
        <v>2580</v>
      </c>
      <c r="J440" s="90" t="s">
        <v>888</v>
      </c>
      <c r="K440" s="93">
        <v>30</v>
      </c>
    </row>
    <row r="441" spans="1:11" ht="14.6" x14ac:dyDescent="0.4">
      <c r="A441" s="90"/>
      <c r="B441" s="90"/>
      <c r="C441" s="90"/>
      <c r="D441" s="90"/>
      <c r="E441" s="90" t="s">
        <v>731</v>
      </c>
      <c r="F441" s="91">
        <v>44902</v>
      </c>
      <c r="G441" s="90" t="s">
        <v>2238</v>
      </c>
      <c r="H441" s="90" t="s">
        <v>2282</v>
      </c>
      <c r="I441" s="90" t="s">
        <v>2581</v>
      </c>
      <c r="J441" s="90" t="s">
        <v>735</v>
      </c>
      <c r="K441" s="93">
        <v>52</v>
      </c>
    </row>
    <row r="442" spans="1:11" ht="14.6" x14ac:dyDescent="0.4">
      <c r="A442" s="90"/>
      <c r="B442" s="90"/>
      <c r="C442" s="90"/>
      <c r="D442" s="90"/>
      <c r="E442" s="90" t="s">
        <v>731</v>
      </c>
      <c r="F442" s="91">
        <v>44902</v>
      </c>
      <c r="G442" s="90" t="s">
        <v>2239</v>
      </c>
      <c r="H442" s="90" t="s">
        <v>799</v>
      </c>
      <c r="I442" s="90" t="s">
        <v>2582</v>
      </c>
      <c r="J442" s="90" t="s">
        <v>735</v>
      </c>
      <c r="K442" s="93">
        <v>350</v>
      </c>
    </row>
    <row r="443" spans="1:11" ht="14.6" x14ac:dyDescent="0.4">
      <c r="A443" s="90"/>
      <c r="B443" s="90"/>
      <c r="C443" s="90"/>
      <c r="D443" s="90"/>
      <c r="E443" s="90" t="s">
        <v>731</v>
      </c>
      <c r="F443" s="91">
        <v>44902</v>
      </c>
      <c r="G443" s="90" t="s">
        <v>2240</v>
      </c>
      <c r="H443" s="90" t="s">
        <v>804</v>
      </c>
      <c r="I443" s="90" t="s">
        <v>2580</v>
      </c>
      <c r="J443" s="90" t="s">
        <v>888</v>
      </c>
      <c r="K443" s="93">
        <v>30</v>
      </c>
    </row>
    <row r="444" spans="1:11" ht="14.6" x14ac:dyDescent="0.4">
      <c r="A444" s="90"/>
      <c r="B444" s="90"/>
      <c r="C444" s="90"/>
      <c r="D444" s="90"/>
      <c r="E444" s="90" t="s">
        <v>731</v>
      </c>
      <c r="F444" s="91">
        <v>44902</v>
      </c>
      <c r="G444" s="90" t="s">
        <v>2241</v>
      </c>
      <c r="H444" s="90" t="s">
        <v>799</v>
      </c>
      <c r="I444" s="90" t="s">
        <v>2582</v>
      </c>
      <c r="J444" s="90" t="s">
        <v>735</v>
      </c>
      <c r="K444" s="93">
        <v>350</v>
      </c>
    </row>
    <row r="445" spans="1:11" ht="14.6" x14ac:dyDescent="0.4">
      <c r="A445" s="90"/>
      <c r="B445" s="90"/>
      <c r="C445" s="90"/>
      <c r="D445" s="90"/>
      <c r="E445" s="90" t="s">
        <v>653</v>
      </c>
      <c r="F445" s="91">
        <v>44903</v>
      </c>
      <c r="G445" s="90" t="s">
        <v>1783</v>
      </c>
      <c r="H445" s="90" t="s">
        <v>2313</v>
      </c>
      <c r="I445" s="90" t="s">
        <v>2583</v>
      </c>
      <c r="J445" s="90" t="s">
        <v>678</v>
      </c>
      <c r="K445" s="93">
        <v>103.92</v>
      </c>
    </row>
    <row r="446" spans="1:11" ht="14.6" x14ac:dyDescent="0.4">
      <c r="A446" s="90"/>
      <c r="B446" s="90"/>
      <c r="C446" s="90"/>
      <c r="D446" s="90"/>
      <c r="E446" s="90" t="s">
        <v>653</v>
      </c>
      <c r="F446" s="91">
        <v>44903</v>
      </c>
      <c r="G446" s="90" t="s">
        <v>2242</v>
      </c>
      <c r="H446" s="90" t="s">
        <v>2340</v>
      </c>
      <c r="I446" s="90" t="s">
        <v>2584</v>
      </c>
      <c r="J446" s="90" t="s">
        <v>678</v>
      </c>
      <c r="K446" s="93">
        <v>30</v>
      </c>
    </row>
    <row r="447" spans="1:11" ht="14.6" x14ac:dyDescent="0.4">
      <c r="A447" s="90"/>
      <c r="B447" s="90"/>
      <c r="C447" s="90"/>
      <c r="D447" s="90"/>
      <c r="E447" s="90" t="s">
        <v>653</v>
      </c>
      <c r="F447" s="91">
        <v>44903</v>
      </c>
      <c r="G447" s="90" t="s">
        <v>2214</v>
      </c>
      <c r="H447" s="90" t="s">
        <v>2340</v>
      </c>
      <c r="I447" s="90" t="s">
        <v>2584</v>
      </c>
      <c r="J447" s="90" t="s">
        <v>678</v>
      </c>
      <c r="K447" s="93">
        <v>60</v>
      </c>
    </row>
    <row r="448" spans="1:11" ht="14.6" x14ac:dyDescent="0.4">
      <c r="A448" s="90"/>
      <c r="B448" s="90"/>
      <c r="C448" s="90"/>
      <c r="D448" s="90"/>
      <c r="E448" s="90" t="s">
        <v>731</v>
      </c>
      <c r="F448" s="91">
        <v>44903</v>
      </c>
      <c r="G448" s="90" t="s">
        <v>2243</v>
      </c>
      <c r="H448" s="90" t="s">
        <v>2267</v>
      </c>
      <c r="I448" s="90" t="s">
        <v>2585</v>
      </c>
      <c r="J448" s="90" t="s">
        <v>888</v>
      </c>
      <c r="K448" s="93">
        <v>20</v>
      </c>
    </row>
    <row r="449" spans="1:11" ht="14.6" x14ac:dyDescent="0.4">
      <c r="A449" s="90"/>
      <c r="B449" s="90"/>
      <c r="C449" s="90"/>
      <c r="D449" s="90"/>
      <c r="E449" s="90" t="s">
        <v>653</v>
      </c>
      <c r="F449" s="91">
        <v>44904</v>
      </c>
      <c r="G449" s="90" t="s">
        <v>2244</v>
      </c>
      <c r="H449" s="90" t="s">
        <v>2334</v>
      </c>
      <c r="I449" s="90" t="s">
        <v>2586</v>
      </c>
      <c r="J449" s="90" t="s">
        <v>678</v>
      </c>
      <c r="K449" s="93">
        <v>198</v>
      </c>
    </row>
    <row r="450" spans="1:11" ht="14.6" x14ac:dyDescent="0.4">
      <c r="A450" s="90"/>
      <c r="B450" s="90"/>
      <c r="C450" s="90"/>
      <c r="D450" s="90"/>
      <c r="E450" s="90" t="s">
        <v>731</v>
      </c>
      <c r="F450" s="91">
        <v>44904</v>
      </c>
      <c r="G450" s="90" t="s">
        <v>2245</v>
      </c>
      <c r="H450" s="90" t="s">
        <v>2288</v>
      </c>
      <c r="I450" s="90" t="s">
        <v>2587</v>
      </c>
      <c r="J450" s="90" t="s">
        <v>735</v>
      </c>
      <c r="K450" s="93">
        <v>2000</v>
      </c>
    </row>
    <row r="451" spans="1:11" ht="14.6" x14ac:dyDescent="0.4">
      <c r="A451" s="90"/>
      <c r="B451" s="90"/>
      <c r="C451" s="90"/>
      <c r="D451" s="90"/>
      <c r="E451" s="90" t="s">
        <v>731</v>
      </c>
      <c r="F451" s="91">
        <v>44904</v>
      </c>
      <c r="G451" s="90" t="s">
        <v>2246</v>
      </c>
      <c r="H451" s="90" t="s">
        <v>2288</v>
      </c>
      <c r="I451" s="90" t="s">
        <v>2587</v>
      </c>
      <c r="J451" s="90" t="s">
        <v>735</v>
      </c>
      <c r="K451" s="93">
        <v>2000</v>
      </c>
    </row>
    <row r="452" spans="1:11" ht="14.6" x14ac:dyDescent="0.4">
      <c r="A452" s="90"/>
      <c r="B452" s="90"/>
      <c r="C452" s="90"/>
      <c r="D452" s="90"/>
      <c r="E452" s="90" t="s">
        <v>731</v>
      </c>
      <c r="F452" s="91">
        <v>44904</v>
      </c>
      <c r="G452" s="90" t="s">
        <v>2247</v>
      </c>
      <c r="H452" s="90" t="s">
        <v>2288</v>
      </c>
      <c r="I452" s="90" t="s">
        <v>2587</v>
      </c>
      <c r="J452" s="90" t="s">
        <v>735</v>
      </c>
      <c r="K452" s="93">
        <v>1752.5</v>
      </c>
    </row>
    <row r="453" spans="1:11" ht="14.6" x14ac:dyDescent="0.4">
      <c r="A453" s="90"/>
      <c r="B453" s="90"/>
      <c r="C453" s="90"/>
      <c r="D453" s="90"/>
      <c r="E453" s="90" t="s">
        <v>731</v>
      </c>
      <c r="F453" s="91">
        <v>44907</v>
      </c>
      <c r="G453" s="90" t="s">
        <v>2248</v>
      </c>
      <c r="H453" s="90" t="s">
        <v>799</v>
      </c>
      <c r="I453" s="90" t="s">
        <v>2417</v>
      </c>
      <c r="J453" s="90" t="s">
        <v>735</v>
      </c>
      <c r="K453" s="93">
        <v>100</v>
      </c>
    </row>
    <row r="454" spans="1:11" ht="14.6" x14ac:dyDescent="0.4">
      <c r="A454" s="90"/>
      <c r="B454" s="90"/>
      <c r="C454" s="90"/>
      <c r="D454" s="90"/>
      <c r="E454" s="90" t="s">
        <v>653</v>
      </c>
      <c r="F454" s="91">
        <v>44907</v>
      </c>
      <c r="G454" s="90" t="s">
        <v>1783</v>
      </c>
      <c r="H454" s="90" t="s">
        <v>1428</v>
      </c>
      <c r="I454" s="90" t="s">
        <v>2588</v>
      </c>
      <c r="J454" s="90" t="s">
        <v>678</v>
      </c>
      <c r="K454" s="93">
        <v>40.43</v>
      </c>
    </row>
    <row r="455" spans="1:11" ht="14.6" x14ac:dyDescent="0.4">
      <c r="A455" s="90"/>
      <c r="B455" s="90"/>
      <c r="C455" s="90"/>
      <c r="D455" s="90"/>
      <c r="E455" s="90" t="s">
        <v>731</v>
      </c>
      <c r="F455" s="91">
        <v>44909</v>
      </c>
      <c r="G455" s="90" t="s">
        <v>2249</v>
      </c>
      <c r="H455" s="90" t="s">
        <v>2336</v>
      </c>
      <c r="I455" s="90" t="s">
        <v>2589</v>
      </c>
      <c r="J455" s="90" t="s">
        <v>735</v>
      </c>
      <c r="K455" s="93">
        <v>550</v>
      </c>
    </row>
    <row r="456" spans="1:11" ht="14.6" x14ac:dyDescent="0.4">
      <c r="A456" s="90"/>
      <c r="B456" s="90"/>
      <c r="C456" s="90"/>
      <c r="D456" s="90"/>
      <c r="E456" s="90" t="s">
        <v>731</v>
      </c>
      <c r="F456" s="91">
        <v>44909</v>
      </c>
      <c r="G456" s="90" t="s">
        <v>2250</v>
      </c>
      <c r="H456" s="90" t="s">
        <v>804</v>
      </c>
      <c r="I456" s="90" t="s">
        <v>2590</v>
      </c>
      <c r="J456" s="90" t="s">
        <v>888</v>
      </c>
      <c r="K456" s="93">
        <v>40</v>
      </c>
    </row>
    <row r="457" spans="1:11" ht="14.6" x14ac:dyDescent="0.4">
      <c r="A457" s="90"/>
      <c r="B457" s="90"/>
      <c r="C457" s="90"/>
      <c r="D457" s="90"/>
      <c r="E457" s="90" t="s">
        <v>731</v>
      </c>
      <c r="F457" s="91">
        <v>44909</v>
      </c>
      <c r="G457" s="90" t="s">
        <v>2249</v>
      </c>
      <c r="H457" s="90" t="s">
        <v>2336</v>
      </c>
      <c r="I457" s="90" t="s">
        <v>2591</v>
      </c>
      <c r="J457" s="90" t="s">
        <v>735</v>
      </c>
      <c r="K457" s="93">
        <v>550</v>
      </c>
    </row>
    <row r="458" spans="1:11" ht="14.6" x14ac:dyDescent="0.4">
      <c r="A458" s="90"/>
      <c r="B458" s="90"/>
      <c r="C458" s="90"/>
      <c r="D458" s="90"/>
      <c r="E458" s="90" t="s">
        <v>731</v>
      </c>
      <c r="F458" s="91">
        <v>44910</v>
      </c>
      <c r="G458" s="90" t="s">
        <v>2251</v>
      </c>
      <c r="H458" s="90" t="s">
        <v>2341</v>
      </c>
      <c r="I458" s="90" t="s">
        <v>2592</v>
      </c>
      <c r="J458" s="90" t="s">
        <v>888</v>
      </c>
      <c r="K458" s="93">
        <v>27</v>
      </c>
    </row>
    <row r="459" spans="1:11" ht="14.6" x14ac:dyDescent="0.4">
      <c r="A459" s="90"/>
      <c r="B459" s="90"/>
      <c r="C459" s="90"/>
      <c r="D459" s="90"/>
      <c r="E459" s="90" t="s">
        <v>731</v>
      </c>
      <c r="F459" s="91">
        <v>44910</v>
      </c>
      <c r="G459" s="90" t="s">
        <v>2252</v>
      </c>
      <c r="H459" s="90" t="s">
        <v>804</v>
      </c>
      <c r="I459" s="90" t="s">
        <v>2593</v>
      </c>
      <c r="J459" s="90" t="s">
        <v>888</v>
      </c>
      <c r="K459" s="93">
        <v>40</v>
      </c>
    </row>
    <row r="460" spans="1:11" ht="14.6" x14ac:dyDescent="0.4">
      <c r="A460" s="90"/>
      <c r="B460" s="90"/>
      <c r="C460" s="90"/>
      <c r="D460" s="90"/>
      <c r="E460" s="90" t="s">
        <v>731</v>
      </c>
      <c r="F460" s="91">
        <v>44911</v>
      </c>
      <c r="G460" s="90" t="s">
        <v>2253</v>
      </c>
      <c r="H460" s="90" t="s">
        <v>799</v>
      </c>
      <c r="I460" s="90" t="s">
        <v>2594</v>
      </c>
      <c r="J460" s="90" t="s">
        <v>888</v>
      </c>
      <c r="K460" s="93">
        <v>375</v>
      </c>
    </row>
    <row r="461" spans="1:11" ht="14.6" x14ac:dyDescent="0.4">
      <c r="A461" s="90"/>
      <c r="B461" s="90"/>
      <c r="C461" s="90"/>
      <c r="D461" s="90"/>
      <c r="E461" s="90" t="s">
        <v>653</v>
      </c>
      <c r="F461" s="91">
        <v>44914</v>
      </c>
      <c r="G461" s="90" t="s">
        <v>2254</v>
      </c>
      <c r="H461" s="90" t="s">
        <v>802</v>
      </c>
      <c r="I461" s="90" t="s">
        <v>2595</v>
      </c>
      <c r="J461" s="90" t="s">
        <v>678</v>
      </c>
      <c r="K461" s="93">
        <v>100</v>
      </c>
    </row>
    <row r="462" spans="1:11" ht="14.6" x14ac:dyDescent="0.4">
      <c r="A462" s="90"/>
      <c r="B462" s="90"/>
      <c r="C462" s="90"/>
      <c r="D462" s="90"/>
      <c r="E462" s="90" t="s">
        <v>653</v>
      </c>
      <c r="F462" s="91">
        <v>44914</v>
      </c>
      <c r="G462" s="90" t="s">
        <v>1783</v>
      </c>
      <c r="H462" s="90" t="s">
        <v>2314</v>
      </c>
      <c r="I462" s="90" t="s">
        <v>2596</v>
      </c>
      <c r="J462" s="90" t="s">
        <v>678</v>
      </c>
      <c r="K462" s="93">
        <v>429.76</v>
      </c>
    </row>
    <row r="463" spans="1:11" ht="14.6" x14ac:dyDescent="0.4">
      <c r="A463" s="90"/>
      <c r="B463" s="90"/>
      <c r="C463" s="90"/>
      <c r="D463" s="90"/>
      <c r="E463" s="90" t="s">
        <v>653</v>
      </c>
      <c r="F463" s="91">
        <v>44914</v>
      </c>
      <c r="G463" s="90" t="s">
        <v>1783</v>
      </c>
      <c r="H463" s="90" t="s">
        <v>2342</v>
      </c>
      <c r="I463" s="90" t="s">
        <v>2597</v>
      </c>
      <c r="J463" s="90" t="s">
        <v>678</v>
      </c>
      <c r="K463" s="93">
        <v>28.52</v>
      </c>
    </row>
    <row r="464" spans="1:11" ht="14.6" x14ac:dyDescent="0.4">
      <c r="A464" s="90"/>
      <c r="B464" s="90"/>
      <c r="C464" s="90"/>
      <c r="D464" s="90"/>
      <c r="E464" s="90" t="s">
        <v>653</v>
      </c>
      <c r="F464" s="91">
        <v>44914</v>
      </c>
      <c r="G464" s="90" t="s">
        <v>1783</v>
      </c>
      <c r="H464" s="90" t="s">
        <v>2343</v>
      </c>
      <c r="I464" s="90" t="s">
        <v>2598</v>
      </c>
      <c r="J464" s="90" t="s">
        <v>678</v>
      </c>
      <c r="K464" s="93">
        <v>121.03</v>
      </c>
    </row>
    <row r="465" spans="1:11" ht="14.6" x14ac:dyDescent="0.4">
      <c r="A465" s="90"/>
      <c r="B465" s="90"/>
      <c r="C465" s="90"/>
      <c r="D465" s="90"/>
      <c r="E465" s="90" t="s">
        <v>653</v>
      </c>
      <c r="F465" s="91">
        <v>44915</v>
      </c>
      <c r="G465" s="90" t="s">
        <v>1783</v>
      </c>
      <c r="H465" s="90" t="s">
        <v>814</v>
      </c>
      <c r="I465" s="90" t="s">
        <v>2599</v>
      </c>
      <c r="J465" s="90" t="s">
        <v>678</v>
      </c>
      <c r="K465" s="93">
        <v>628.05999999999995</v>
      </c>
    </row>
    <row r="466" spans="1:11" ht="14.6" x14ac:dyDescent="0.4">
      <c r="A466" s="90"/>
      <c r="B466" s="90"/>
      <c r="C466" s="90"/>
      <c r="D466" s="90"/>
      <c r="E466" s="90" t="s">
        <v>653</v>
      </c>
      <c r="F466" s="91">
        <v>44915</v>
      </c>
      <c r="G466" s="90" t="s">
        <v>1783</v>
      </c>
      <c r="H466" s="90" t="s">
        <v>2273</v>
      </c>
      <c r="I466" s="90" t="s">
        <v>2362</v>
      </c>
      <c r="J466" s="90" t="s">
        <v>678</v>
      </c>
      <c r="K466" s="93">
        <v>4489</v>
      </c>
    </row>
    <row r="467" spans="1:11" ht="14.6" x14ac:dyDescent="0.4">
      <c r="A467" s="90"/>
      <c r="B467" s="90"/>
      <c r="C467" s="90"/>
      <c r="D467" s="90"/>
      <c r="E467" s="90" t="s">
        <v>653</v>
      </c>
      <c r="F467" s="91">
        <v>44915</v>
      </c>
      <c r="G467" s="90" t="s">
        <v>2255</v>
      </c>
      <c r="H467" s="90" t="s">
        <v>2318</v>
      </c>
      <c r="I467" s="90" t="s">
        <v>2600</v>
      </c>
      <c r="J467" s="90" t="s">
        <v>678</v>
      </c>
      <c r="K467" s="93">
        <v>16.61</v>
      </c>
    </row>
    <row r="468" spans="1:11" ht="14.6" x14ac:dyDescent="0.4">
      <c r="A468" s="90"/>
      <c r="B468" s="90"/>
      <c r="C468" s="90"/>
      <c r="D468" s="90"/>
      <c r="E468" s="90" t="s">
        <v>731</v>
      </c>
      <c r="F468" s="91">
        <v>44915</v>
      </c>
      <c r="G468" s="90" t="s">
        <v>2256</v>
      </c>
      <c r="H468" s="90" t="s">
        <v>2282</v>
      </c>
      <c r="I468" s="90" t="s">
        <v>2601</v>
      </c>
      <c r="J468" s="90" t="s">
        <v>888</v>
      </c>
      <c r="K468" s="93">
        <v>71</v>
      </c>
    </row>
    <row r="469" spans="1:11" ht="14.6" x14ac:dyDescent="0.4">
      <c r="A469" s="90"/>
      <c r="B469" s="90"/>
      <c r="C469" s="90"/>
      <c r="D469" s="90"/>
      <c r="E469" s="90" t="s">
        <v>653</v>
      </c>
      <c r="F469" s="91">
        <v>44916</v>
      </c>
      <c r="G469" s="90" t="s">
        <v>1783</v>
      </c>
      <c r="H469" s="90" t="s">
        <v>2325</v>
      </c>
      <c r="I469" s="90" t="s">
        <v>2492</v>
      </c>
      <c r="J469" s="90" t="s">
        <v>678</v>
      </c>
      <c r="K469" s="93">
        <v>69.14</v>
      </c>
    </row>
    <row r="470" spans="1:11" ht="14.6" x14ac:dyDescent="0.4">
      <c r="A470" s="90"/>
      <c r="B470" s="90"/>
      <c r="C470" s="90"/>
      <c r="D470" s="90"/>
      <c r="E470" s="90" t="s">
        <v>731</v>
      </c>
      <c r="F470" s="91">
        <v>44917</v>
      </c>
      <c r="G470" s="90" t="s">
        <v>1783</v>
      </c>
      <c r="H470" s="90" t="s">
        <v>805</v>
      </c>
      <c r="I470" s="90" t="s">
        <v>1392</v>
      </c>
      <c r="J470" s="90" t="s">
        <v>735</v>
      </c>
      <c r="K470" s="93">
        <v>100</v>
      </c>
    </row>
    <row r="471" spans="1:11" ht="14.6" x14ac:dyDescent="0.4">
      <c r="A471" s="90"/>
      <c r="B471" s="90"/>
      <c r="C471" s="90"/>
      <c r="D471" s="90"/>
      <c r="E471" s="90" t="s">
        <v>653</v>
      </c>
      <c r="F471" s="91">
        <v>44917</v>
      </c>
      <c r="G471" s="90" t="s">
        <v>1783</v>
      </c>
      <c r="H471" s="90" t="s">
        <v>2344</v>
      </c>
      <c r="I471" s="90" t="s">
        <v>2602</v>
      </c>
      <c r="J471" s="90" t="s">
        <v>678</v>
      </c>
      <c r="K471" s="93">
        <v>544.80999999999995</v>
      </c>
    </row>
    <row r="472" spans="1:11" ht="14.6" x14ac:dyDescent="0.4">
      <c r="A472" s="90"/>
      <c r="B472" s="90"/>
      <c r="C472" s="90"/>
      <c r="D472" s="90"/>
      <c r="E472" s="90" t="s">
        <v>756</v>
      </c>
      <c r="F472" s="91">
        <v>44917</v>
      </c>
      <c r="G472" s="90"/>
      <c r="H472" s="90" t="s">
        <v>2337</v>
      </c>
      <c r="I472" s="90" t="s">
        <v>2603</v>
      </c>
      <c r="J472" s="90" t="s">
        <v>679</v>
      </c>
      <c r="K472" s="93">
        <v>-710</v>
      </c>
    </row>
    <row r="473" spans="1:11" ht="14.6" x14ac:dyDescent="0.4">
      <c r="A473" s="90"/>
      <c r="B473" s="90"/>
      <c r="C473" s="90"/>
      <c r="D473" s="90"/>
      <c r="E473" s="90" t="s">
        <v>756</v>
      </c>
      <c r="F473" s="91">
        <v>44917</v>
      </c>
      <c r="G473" s="90"/>
      <c r="H473" s="90" t="s">
        <v>2337</v>
      </c>
      <c r="I473" s="90" t="s">
        <v>2603</v>
      </c>
      <c r="J473" s="90" t="s">
        <v>679</v>
      </c>
      <c r="K473" s="93">
        <v>-130</v>
      </c>
    </row>
    <row r="474" spans="1:11" ht="14.6" x14ac:dyDescent="0.4">
      <c r="A474" s="90"/>
      <c r="B474" s="90"/>
      <c r="C474" s="90"/>
      <c r="D474" s="90"/>
      <c r="E474" s="90" t="s">
        <v>731</v>
      </c>
      <c r="F474" s="91">
        <v>44917</v>
      </c>
      <c r="G474" s="90" t="s">
        <v>2257</v>
      </c>
      <c r="H474" s="90" t="s">
        <v>802</v>
      </c>
      <c r="I474" s="90" t="s">
        <v>2604</v>
      </c>
      <c r="J474" s="90" t="s">
        <v>735</v>
      </c>
      <c r="K474" s="93">
        <v>25</v>
      </c>
    </row>
    <row r="475" spans="1:11" ht="14.6" x14ac:dyDescent="0.4">
      <c r="A475" s="90"/>
      <c r="B475" s="90"/>
      <c r="C475" s="90"/>
      <c r="D475" s="90"/>
      <c r="E475" s="90" t="s">
        <v>731</v>
      </c>
      <c r="F475" s="91">
        <v>44924</v>
      </c>
      <c r="G475" s="90" t="s">
        <v>2258</v>
      </c>
      <c r="H475" s="90" t="s">
        <v>799</v>
      </c>
      <c r="I475" s="90" t="s">
        <v>2605</v>
      </c>
      <c r="J475" s="90" t="s">
        <v>735</v>
      </c>
      <c r="K475" s="93">
        <v>290</v>
      </c>
    </row>
    <row r="476" spans="1:11" ht="14.6" x14ac:dyDescent="0.4">
      <c r="A476" s="90"/>
      <c r="B476" s="90"/>
      <c r="C476" s="90"/>
      <c r="D476" s="90"/>
      <c r="E476" s="90" t="s">
        <v>731</v>
      </c>
      <c r="F476" s="91">
        <v>44925</v>
      </c>
      <c r="G476" s="90" t="s">
        <v>2259</v>
      </c>
      <c r="H476" s="90" t="s">
        <v>802</v>
      </c>
      <c r="I476" s="90" t="s">
        <v>2606</v>
      </c>
      <c r="J476" s="90" t="s">
        <v>735</v>
      </c>
      <c r="K476" s="93">
        <v>45</v>
      </c>
    </row>
    <row r="477" spans="1:11" ht="14.6" x14ac:dyDescent="0.4">
      <c r="A477" s="90"/>
      <c r="B477" s="90"/>
      <c r="C477" s="90"/>
      <c r="D477" s="90"/>
      <c r="E477" s="90" t="s">
        <v>731</v>
      </c>
      <c r="F477" s="91">
        <v>44925</v>
      </c>
      <c r="G477" s="90" t="s">
        <v>2260</v>
      </c>
      <c r="H477" s="90" t="s">
        <v>802</v>
      </c>
      <c r="I477" s="90" t="s">
        <v>2607</v>
      </c>
      <c r="J477" s="90" t="s">
        <v>735</v>
      </c>
      <c r="K477" s="93">
        <v>45</v>
      </c>
    </row>
    <row r="478" spans="1:11" ht="14.6" x14ac:dyDescent="0.4">
      <c r="A478" s="90"/>
      <c r="B478" s="90"/>
      <c r="C478" s="90"/>
      <c r="D478" s="90"/>
      <c r="E478" s="90" t="s">
        <v>731</v>
      </c>
      <c r="F478" s="91">
        <v>44925</v>
      </c>
      <c r="G478" s="90" t="s">
        <v>2261</v>
      </c>
      <c r="H478" s="90" t="s">
        <v>802</v>
      </c>
      <c r="I478" s="90" t="s">
        <v>2607</v>
      </c>
      <c r="J478" s="90" t="s">
        <v>735</v>
      </c>
      <c r="K478" s="93">
        <v>45</v>
      </c>
    </row>
    <row r="479" spans="1:11" ht="14.6" x14ac:dyDescent="0.4">
      <c r="A479" s="90"/>
      <c r="B479" s="90"/>
      <c r="C479" s="90"/>
      <c r="D479" s="90"/>
      <c r="E479" s="90" t="s">
        <v>731</v>
      </c>
      <c r="F479" s="91">
        <v>44925</v>
      </c>
      <c r="G479" s="90" t="s">
        <v>2262</v>
      </c>
      <c r="H479" s="90" t="s">
        <v>802</v>
      </c>
      <c r="I479" s="90" t="s">
        <v>2608</v>
      </c>
      <c r="J479" s="90" t="s">
        <v>735</v>
      </c>
      <c r="K479" s="93">
        <v>45</v>
      </c>
    </row>
    <row r="480" spans="1:11" ht="14.6" x14ac:dyDescent="0.4">
      <c r="A480" s="90"/>
      <c r="B480" s="90"/>
      <c r="C480" s="90"/>
      <c r="D480" s="90"/>
      <c r="E480" s="90" t="s">
        <v>731</v>
      </c>
      <c r="F480" s="91">
        <v>44925</v>
      </c>
      <c r="G480" s="90" t="s">
        <v>2263</v>
      </c>
      <c r="H480" s="90" t="s">
        <v>802</v>
      </c>
      <c r="I480" s="90" t="s">
        <v>2609</v>
      </c>
      <c r="J480" s="90" t="s">
        <v>735</v>
      </c>
      <c r="K480" s="93">
        <v>45</v>
      </c>
    </row>
    <row r="481" spans="1:11" ht="14.6" x14ac:dyDescent="0.4">
      <c r="A481" s="90"/>
      <c r="B481" s="90"/>
      <c r="C481" s="90"/>
      <c r="D481" s="90"/>
      <c r="E481" s="90" t="s">
        <v>653</v>
      </c>
      <c r="F481" s="91">
        <v>44926</v>
      </c>
      <c r="G481" s="90" t="s">
        <v>2264</v>
      </c>
      <c r="H481" s="90" t="s">
        <v>2323</v>
      </c>
      <c r="I481" s="90" t="s">
        <v>2492</v>
      </c>
      <c r="J481" s="90" t="s">
        <v>678</v>
      </c>
      <c r="K481" s="93">
        <v>57.44</v>
      </c>
    </row>
    <row r="482" spans="1:11" thickBot="1" x14ac:dyDescent="0.45">
      <c r="A482" s="90"/>
      <c r="B482" s="90"/>
      <c r="C482" s="90"/>
      <c r="D482" s="90"/>
      <c r="E482" s="90" t="s">
        <v>653</v>
      </c>
      <c r="F482" s="91">
        <v>44926</v>
      </c>
      <c r="G482" s="90" t="s">
        <v>1783</v>
      </c>
      <c r="H482" s="90" t="s">
        <v>2345</v>
      </c>
      <c r="I482" s="90" t="s">
        <v>2610</v>
      </c>
      <c r="J482" s="90" t="s">
        <v>678</v>
      </c>
      <c r="K482" s="445">
        <v>417.81</v>
      </c>
    </row>
    <row r="483" spans="1:11" thickBot="1" x14ac:dyDescent="0.45">
      <c r="A483" s="90"/>
      <c r="B483" s="90"/>
      <c r="C483" s="90" t="s">
        <v>753</v>
      </c>
      <c r="D483" s="90"/>
      <c r="E483" s="90"/>
      <c r="F483" s="91"/>
      <c r="G483" s="90"/>
      <c r="H483" s="90"/>
      <c r="I483" s="90"/>
      <c r="J483" s="90"/>
      <c r="K483" s="446">
        <f>ROUND(SUM(K3:K482),5)</f>
        <v>117952.6</v>
      </c>
    </row>
    <row r="484" spans="1:11" thickBot="1" x14ac:dyDescent="0.45">
      <c r="A484" s="90"/>
      <c r="B484" s="90" t="s">
        <v>754</v>
      </c>
      <c r="C484" s="90"/>
      <c r="D484" s="90"/>
      <c r="E484" s="90"/>
      <c r="F484" s="91"/>
      <c r="G484" s="90"/>
      <c r="H484" s="90"/>
      <c r="I484" s="90"/>
      <c r="J484" s="90"/>
      <c r="K484" s="446">
        <f>K483</f>
        <v>117952.6</v>
      </c>
    </row>
    <row r="485" spans="1:11" thickBot="1" x14ac:dyDescent="0.45">
      <c r="A485" s="90" t="s">
        <v>158</v>
      </c>
      <c r="B485" s="90"/>
      <c r="C485" s="90"/>
      <c r="D485" s="90"/>
      <c r="E485" s="90"/>
      <c r="F485" s="91"/>
      <c r="G485" s="90"/>
      <c r="H485" s="90"/>
      <c r="I485" s="90"/>
      <c r="J485" s="90"/>
      <c r="K485" s="447">
        <f>K484</f>
        <v>117952.6</v>
      </c>
    </row>
    <row r="486" spans="1:11" thickTop="1" x14ac:dyDescent="0.4"/>
    <row r="487" spans="1:11" ht="14.6" x14ac:dyDescent="0.4"/>
    <row r="488" spans="1:11" ht="14.6" x14ac:dyDescent="0.4"/>
  </sheetData>
  <pageMargins left="0.7" right="0.7" top="0.75" bottom="0.75" header="0.1" footer="0"/>
  <pageSetup orientation="portrait" r:id="rId1"/>
  <headerFooter>
    <oddHeader>&amp;L&amp;"Arial,Bold"&amp;8 10:57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8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8073" r:id="rId4" name="FILTER"/>
      </mc:Fallback>
    </mc:AlternateContent>
    <mc:AlternateContent xmlns:mc="http://schemas.openxmlformats.org/markup-compatibility/2006">
      <mc:Choice Requires="x14">
        <control shapeId="88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8074" r:id="rId6" name="HEADER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1"/>
  <dimension ref="A1:K55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33.84375" customWidth="1"/>
    <col min="4" max="4" width="2.3046875" customWidth="1"/>
    <col min="5" max="5" width="5.3046875" bestFit="1" customWidth="1"/>
    <col min="6" max="6" width="10.69140625" bestFit="1" customWidth="1"/>
    <col min="7" max="7" width="12.3828125" bestFit="1" customWidth="1"/>
    <col min="8" max="8" width="25.15234375" bestFit="1" customWidth="1"/>
    <col min="9" max="9" width="30.69140625" customWidth="1"/>
    <col min="10" max="10" width="22.304687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889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44568</v>
      </c>
      <c r="G4" s="90" t="s">
        <v>891</v>
      </c>
      <c r="H4" s="90" t="s">
        <v>900</v>
      </c>
      <c r="I4" s="90" t="s">
        <v>902</v>
      </c>
      <c r="J4" s="90" t="s">
        <v>678</v>
      </c>
      <c r="K4" s="93">
        <v>39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44570</v>
      </c>
      <c r="G5" s="90" t="s">
        <v>892</v>
      </c>
      <c r="H5" s="90" t="s">
        <v>1333</v>
      </c>
      <c r="I5" s="90" t="s">
        <v>903</v>
      </c>
      <c r="J5" s="90" t="s">
        <v>678</v>
      </c>
      <c r="K5" s="93">
        <v>345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44574</v>
      </c>
      <c r="G6" s="90" t="s">
        <v>893</v>
      </c>
      <c r="H6" s="90" t="s">
        <v>900</v>
      </c>
      <c r="I6" s="90" t="s">
        <v>902</v>
      </c>
      <c r="J6" s="90" t="s">
        <v>678</v>
      </c>
      <c r="K6" s="93">
        <v>1292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44574</v>
      </c>
      <c r="G7" s="90" t="s">
        <v>893</v>
      </c>
      <c r="H7" s="90" t="s">
        <v>900</v>
      </c>
      <c r="I7" s="90" t="s">
        <v>904</v>
      </c>
      <c r="J7" s="90" t="s">
        <v>678</v>
      </c>
      <c r="K7" s="93">
        <v>773.53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44589</v>
      </c>
      <c r="G8" s="90" t="s">
        <v>894</v>
      </c>
      <c r="H8" s="90" t="s">
        <v>901</v>
      </c>
      <c r="I8" s="90" t="s">
        <v>905</v>
      </c>
      <c r="J8" s="90" t="s">
        <v>678</v>
      </c>
      <c r="K8" s="93">
        <v>1209.81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44596</v>
      </c>
      <c r="G9" s="90" t="s">
        <v>895</v>
      </c>
      <c r="H9" s="90" t="s">
        <v>900</v>
      </c>
      <c r="I9" s="90" t="s">
        <v>902</v>
      </c>
      <c r="J9" s="90" t="s">
        <v>678</v>
      </c>
      <c r="K9" s="93">
        <v>39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44599</v>
      </c>
      <c r="G10" s="90" t="s">
        <v>896</v>
      </c>
      <c r="H10" s="90" t="s">
        <v>1333</v>
      </c>
      <c r="I10" s="90" t="s">
        <v>903</v>
      </c>
      <c r="J10" s="90" t="s">
        <v>678</v>
      </c>
      <c r="K10" s="93">
        <v>345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44602</v>
      </c>
      <c r="G11" s="90" t="s">
        <v>897</v>
      </c>
      <c r="H11" s="90" t="s">
        <v>900</v>
      </c>
      <c r="I11" s="90" t="s">
        <v>902</v>
      </c>
      <c r="J11" s="90" t="s">
        <v>678</v>
      </c>
      <c r="K11" s="93">
        <v>1292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44627</v>
      </c>
      <c r="G12" s="90" t="s">
        <v>898</v>
      </c>
      <c r="H12" s="90" t="s">
        <v>900</v>
      </c>
      <c r="I12" s="90" t="s">
        <v>902</v>
      </c>
      <c r="J12" s="90" t="s">
        <v>678</v>
      </c>
      <c r="K12" s="93">
        <v>39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44627</v>
      </c>
      <c r="G13" s="90" t="s">
        <v>899</v>
      </c>
      <c r="H13" s="90" t="s">
        <v>1333</v>
      </c>
      <c r="I13" s="90" t="s">
        <v>903</v>
      </c>
      <c r="J13" s="90" t="s">
        <v>678</v>
      </c>
      <c r="K13" s="93">
        <v>345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44627</v>
      </c>
      <c r="G14" s="90" t="s">
        <v>899</v>
      </c>
      <c r="H14" s="90" t="s">
        <v>1333</v>
      </c>
      <c r="I14" s="90" t="s">
        <v>906</v>
      </c>
      <c r="J14" s="90" t="s">
        <v>678</v>
      </c>
      <c r="K14" s="93">
        <v>20.399999999999999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44632</v>
      </c>
      <c r="G15" s="90" t="s">
        <v>1408</v>
      </c>
      <c r="H15" s="90" t="s">
        <v>901</v>
      </c>
      <c r="I15" s="90" t="s">
        <v>1412</v>
      </c>
      <c r="J15" s="90" t="s">
        <v>678</v>
      </c>
      <c r="K15" s="93">
        <v>1429.47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44634</v>
      </c>
      <c r="G16" s="90" t="s">
        <v>1409</v>
      </c>
      <c r="H16" s="90" t="s">
        <v>900</v>
      </c>
      <c r="I16" s="90" t="s">
        <v>902</v>
      </c>
      <c r="J16" s="90" t="s">
        <v>678</v>
      </c>
      <c r="K16" s="93">
        <v>1292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44657</v>
      </c>
      <c r="G17" s="90" t="s">
        <v>1410</v>
      </c>
      <c r="H17" s="90" t="s">
        <v>900</v>
      </c>
      <c r="I17" s="90" t="s">
        <v>902</v>
      </c>
      <c r="J17" s="90" t="s">
        <v>678</v>
      </c>
      <c r="K17" s="93">
        <v>39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44662</v>
      </c>
      <c r="G18" s="90" t="s">
        <v>1411</v>
      </c>
      <c r="H18" s="90" t="s">
        <v>1333</v>
      </c>
      <c r="I18" s="90" t="s">
        <v>903</v>
      </c>
      <c r="J18" s="90" t="s">
        <v>678</v>
      </c>
      <c r="K18" s="93">
        <v>345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44663</v>
      </c>
      <c r="G19" s="90" t="s">
        <v>2612</v>
      </c>
      <c r="H19" s="90" t="s">
        <v>900</v>
      </c>
      <c r="I19" s="90" t="s">
        <v>902</v>
      </c>
      <c r="J19" s="90" t="s">
        <v>678</v>
      </c>
      <c r="K19" s="93">
        <v>1292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44680</v>
      </c>
      <c r="G20" s="90" t="s">
        <v>2613</v>
      </c>
      <c r="H20" s="90" t="s">
        <v>901</v>
      </c>
      <c r="I20" s="90" t="s">
        <v>905</v>
      </c>
      <c r="J20" s="90" t="s">
        <v>678</v>
      </c>
      <c r="K20" s="93">
        <v>1209.81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44689</v>
      </c>
      <c r="G21" s="90" t="s">
        <v>2614</v>
      </c>
      <c r="H21" s="90" t="s">
        <v>1333</v>
      </c>
      <c r="I21" s="90" t="s">
        <v>903</v>
      </c>
      <c r="J21" s="90" t="s">
        <v>678</v>
      </c>
      <c r="K21" s="93">
        <v>345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44690</v>
      </c>
      <c r="G22" s="90" t="s">
        <v>2615</v>
      </c>
      <c r="H22" s="90" t="s">
        <v>900</v>
      </c>
      <c r="I22" s="90" t="s">
        <v>902</v>
      </c>
      <c r="J22" s="90" t="s">
        <v>678</v>
      </c>
      <c r="K22" s="93">
        <v>39</v>
      </c>
    </row>
    <row r="23" spans="1:11" ht="15" customHeight="1" x14ac:dyDescent="0.4">
      <c r="A23" s="90"/>
      <c r="B23" s="90"/>
      <c r="C23" s="90"/>
      <c r="D23" s="90"/>
      <c r="E23" s="90" t="s">
        <v>653</v>
      </c>
      <c r="F23" s="91">
        <v>44694</v>
      </c>
      <c r="G23" s="90" t="s">
        <v>2616</v>
      </c>
      <c r="H23" s="90" t="s">
        <v>900</v>
      </c>
      <c r="I23" s="90" t="s">
        <v>902</v>
      </c>
      <c r="J23" s="90" t="s">
        <v>678</v>
      </c>
      <c r="K23" s="93">
        <v>1292</v>
      </c>
    </row>
    <row r="24" spans="1:11" ht="15" customHeight="1" x14ac:dyDescent="0.4">
      <c r="A24" s="90"/>
      <c r="B24" s="90"/>
      <c r="C24" s="90"/>
      <c r="D24" s="90"/>
      <c r="E24" s="90" t="s">
        <v>653</v>
      </c>
      <c r="F24" s="91">
        <v>44712</v>
      </c>
      <c r="G24" s="90" t="s">
        <v>2617</v>
      </c>
      <c r="H24" s="90" t="s">
        <v>1333</v>
      </c>
      <c r="I24" s="90" t="s">
        <v>903</v>
      </c>
      <c r="J24" s="90" t="s">
        <v>678</v>
      </c>
      <c r="K24" s="93">
        <v>345</v>
      </c>
    </row>
    <row r="25" spans="1:11" ht="15" customHeight="1" x14ac:dyDescent="0.4">
      <c r="A25" s="90"/>
      <c r="B25" s="90"/>
      <c r="C25" s="90"/>
      <c r="D25" s="90"/>
      <c r="E25" s="90" t="s">
        <v>653</v>
      </c>
      <c r="F25" s="91">
        <v>44712</v>
      </c>
      <c r="G25" s="90" t="s">
        <v>2617</v>
      </c>
      <c r="H25" s="90" t="s">
        <v>1333</v>
      </c>
      <c r="I25" s="90" t="s">
        <v>906</v>
      </c>
      <c r="J25" s="90" t="s">
        <v>678</v>
      </c>
      <c r="K25" s="93">
        <v>783.85</v>
      </c>
    </row>
    <row r="26" spans="1:11" ht="15" customHeight="1" x14ac:dyDescent="0.4">
      <c r="A26" s="90"/>
      <c r="B26" s="90"/>
      <c r="C26" s="90"/>
      <c r="D26" s="90"/>
      <c r="E26" s="90" t="s">
        <v>653</v>
      </c>
      <c r="F26" s="91">
        <v>44718</v>
      </c>
      <c r="G26" s="90" t="s">
        <v>2618</v>
      </c>
      <c r="H26" s="90" t="s">
        <v>900</v>
      </c>
      <c r="I26" s="90" t="s">
        <v>902</v>
      </c>
      <c r="J26" s="90" t="s">
        <v>678</v>
      </c>
      <c r="K26" s="93">
        <v>39</v>
      </c>
    </row>
    <row r="27" spans="1:11" ht="15" customHeight="1" x14ac:dyDescent="0.4">
      <c r="A27" s="90"/>
      <c r="B27" s="90"/>
      <c r="C27" s="90"/>
      <c r="D27" s="90"/>
      <c r="E27" s="90" t="s">
        <v>653</v>
      </c>
      <c r="F27" s="91">
        <v>44722</v>
      </c>
      <c r="G27" s="90" t="s">
        <v>2619</v>
      </c>
      <c r="H27" s="90" t="s">
        <v>901</v>
      </c>
      <c r="I27" s="90" t="s">
        <v>1412</v>
      </c>
      <c r="J27" s="90" t="s">
        <v>678</v>
      </c>
      <c r="K27" s="93">
        <v>1429.47</v>
      </c>
    </row>
    <row r="28" spans="1:11" ht="15" customHeight="1" x14ac:dyDescent="0.4">
      <c r="A28" s="90"/>
      <c r="B28" s="90"/>
      <c r="C28" s="90"/>
      <c r="D28" s="90"/>
      <c r="E28" s="90" t="s">
        <v>653</v>
      </c>
      <c r="F28" s="91">
        <v>44725</v>
      </c>
      <c r="G28" s="90" t="s">
        <v>2620</v>
      </c>
      <c r="H28" s="90" t="s">
        <v>900</v>
      </c>
      <c r="I28" s="90" t="s">
        <v>902</v>
      </c>
      <c r="J28" s="90" t="s">
        <v>678</v>
      </c>
      <c r="K28" s="93">
        <v>1292</v>
      </c>
    </row>
    <row r="29" spans="1:11" ht="15" customHeight="1" x14ac:dyDescent="0.4">
      <c r="A29" s="90"/>
      <c r="B29" s="90"/>
      <c r="C29" s="90"/>
      <c r="D29" s="90"/>
      <c r="E29" s="90" t="s">
        <v>653</v>
      </c>
      <c r="F29" s="91">
        <v>44749</v>
      </c>
      <c r="G29" s="90" t="s">
        <v>2621</v>
      </c>
      <c r="H29" s="90" t="s">
        <v>900</v>
      </c>
      <c r="I29" s="90" t="s">
        <v>902</v>
      </c>
      <c r="J29" s="90" t="s">
        <v>678</v>
      </c>
      <c r="K29" s="93">
        <v>39</v>
      </c>
    </row>
    <row r="30" spans="1:11" ht="15" customHeight="1" x14ac:dyDescent="0.4">
      <c r="A30" s="90"/>
      <c r="B30" s="90"/>
      <c r="C30" s="90"/>
      <c r="D30" s="90"/>
      <c r="E30" s="90" t="s">
        <v>653</v>
      </c>
      <c r="F30" s="91">
        <v>44749</v>
      </c>
      <c r="G30" s="90" t="s">
        <v>2622</v>
      </c>
      <c r="H30" s="90" t="s">
        <v>1333</v>
      </c>
      <c r="I30" s="90" t="s">
        <v>903</v>
      </c>
      <c r="J30" s="90" t="s">
        <v>678</v>
      </c>
      <c r="K30" s="93">
        <v>345</v>
      </c>
    </row>
    <row r="31" spans="1:11" ht="15" customHeight="1" x14ac:dyDescent="0.4">
      <c r="A31" s="90"/>
      <c r="B31" s="90"/>
      <c r="C31" s="90"/>
      <c r="D31" s="90"/>
      <c r="E31" s="90" t="s">
        <v>653</v>
      </c>
      <c r="F31" s="91">
        <v>44755</v>
      </c>
      <c r="G31" s="90" t="s">
        <v>2623</v>
      </c>
      <c r="H31" s="90" t="s">
        <v>900</v>
      </c>
      <c r="I31" s="90" t="s">
        <v>902</v>
      </c>
      <c r="J31" s="90" t="s">
        <v>678</v>
      </c>
      <c r="K31" s="93">
        <v>1292</v>
      </c>
    </row>
    <row r="32" spans="1:11" ht="15" customHeight="1" x14ac:dyDescent="0.4">
      <c r="A32" s="90"/>
      <c r="B32" s="90"/>
      <c r="C32" s="90"/>
      <c r="D32" s="90"/>
      <c r="E32" s="90" t="s">
        <v>653</v>
      </c>
      <c r="F32" s="91">
        <v>44772</v>
      </c>
      <c r="G32" s="90" t="s">
        <v>2624</v>
      </c>
      <c r="H32" s="90" t="s">
        <v>901</v>
      </c>
      <c r="I32" s="90" t="s">
        <v>905</v>
      </c>
      <c r="J32" s="90" t="s">
        <v>678</v>
      </c>
      <c r="K32" s="93">
        <v>1209.81</v>
      </c>
    </row>
    <row r="33" spans="1:11" ht="15" customHeight="1" x14ac:dyDescent="0.4">
      <c r="A33" s="90"/>
      <c r="B33" s="90"/>
      <c r="C33" s="90"/>
      <c r="D33" s="90"/>
      <c r="E33" s="90" t="s">
        <v>653</v>
      </c>
      <c r="F33" s="91">
        <v>44780</v>
      </c>
      <c r="G33" s="90" t="s">
        <v>2625</v>
      </c>
      <c r="H33" s="90" t="s">
        <v>1333</v>
      </c>
      <c r="I33" s="90" t="s">
        <v>903</v>
      </c>
      <c r="J33" s="90" t="s">
        <v>678</v>
      </c>
      <c r="K33" s="93">
        <v>345</v>
      </c>
    </row>
    <row r="34" spans="1:11" ht="15" customHeight="1" x14ac:dyDescent="0.4">
      <c r="A34" s="90"/>
      <c r="B34" s="90"/>
      <c r="C34" s="90"/>
      <c r="D34" s="90"/>
      <c r="E34" s="90" t="s">
        <v>653</v>
      </c>
      <c r="F34" s="91">
        <v>44781</v>
      </c>
      <c r="G34" s="90" t="s">
        <v>2626</v>
      </c>
      <c r="H34" s="90" t="s">
        <v>900</v>
      </c>
      <c r="I34" s="90" t="s">
        <v>902</v>
      </c>
      <c r="J34" s="90" t="s">
        <v>678</v>
      </c>
      <c r="K34" s="93">
        <v>39</v>
      </c>
    </row>
    <row r="35" spans="1:11" ht="15" customHeight="1" x14ac:dyDescent="0.4">
      <c r="A35" s="90"/>
      <c r="B35" s="90"/>
      <c r="C35" s="90"/>
      <c r="D35" s="90"/>
      <c r="E35" s="90" t="s">
        <v>653</v>
      </c>
      <c r="F35" s="91">
        <v>44788</v>
      </c>
      <c r="G35" s="90" t="s">
        <v>2627</v>
      </c>
      <c r="H35" s="90" t="s">
        <v>900</v>
      </c>
      <c r="I35" s="90" t="s">
        <v>902</v>
      </c>
      <c r="J35" s="90" t="s">
        <v>678</v>
      </c>
      <c r="K35" s="93">
        <v>1292</v>
      </c>
    </row>
    <row r="36" spans="1:11" ht="15" customHeight="1" x14ac:dyDescent="0.4">
      <c r="A36" s="90"/>
      <c r="B36" s="90"/>
      <c r="C36" s="90"/>
      <c r="D36" s="90"/>
      <c r="E36" s="90" t="s">
        <v>653</v>
      </c>
      <c r="F36" s="91">
        <v>44809</v>
      </c>
      <c r="G36" s="90" t="s">
        <v>2628</v>
      </c>
      <c r="H36" s="90" t="s">
        <v>900</v>
      </c>
      <c r="I36" s="90" t="s">
        <v>902</v>
      </c>
      <c r="J36" s="90" t="s">
        <v>678</v>
      </c>
      <c r="K36" s="93">
        <v>39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44814</v>
      </c>
      <c r="G37" s="90" t="s">
        <v>2629</v>
      </c>
      <c r="H37" s="90" t="s">
        <v>901</v>
      </c>
      <c r="I37" s="90" t="s">
        <v>1412</v>
      </c>
      <c r="J37" s="90" t="s">
        <v>678</v>
      </c>
      <c r="K37" s="93">
        <v>1429.47</v>
      </c>
    </row>
    <row r="38" spans="1:11" ht="15" customHeight="1" x14ac:dyDescent="0.4">
      <c r="A38" s="90"/>
      <c r="B38" s="90"/>
      <c r="C38" s="90"/>
      <c r="D38" s="90"/>
      <c r="E38" s="90" t="s">
        <v>653</v>
      </c>
      <c r="F38" s="91">
        <v>44816</v>
      </c>
      <c r="G38" s="90" t="s">
        <v>2630</v>
      </c>
      <c r="H38" s="90" t="s">
        <v>1333</v>
      </c>
      <c r="I38" s="90" t="s">
        <v>903</v>
      </c>
      <c r="J38" s="90" t="s">
        <v>678</v>
      </c>
      <c r="K38" s="93">
        <v>345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44816</v>
      </c>
      <c r="G39" s="90" t="s">
        <v>2630</v>
      </c>
      <c r="H39" s="90" t="s">
        <v>1333</v>
      </c>
      <c r="I39" s="90" t="s">
        <v>906</v>
      </c>
      <c r="J39" s="90" t="s">
        <v>678</v>
      </c>
      <c r="K39" s="93">
        <v>1196.44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44816</v>
      </c>
      <c r="G40" s="90" t="s">
        <v>2631</v>
      </c>
      <c r="H40" s="90" t="s">
        <v>900</v>
      </c>
      <c r="I40" s="90" t="s">
        <v>902</v>
      </c>
      <c r="J40" s="90" t="s">
        <v>678</v>
      </c>
      <c r="K40" s="93">
        <v>1292</v>
      </c>
    </row>
    <row r="41" spans="1:11" ht="15" customHeight="1" x14ac:dyDescent="0.4">
      <c r="A41" s="90"/>
      <c r="B41" s="90"/>
      <c r="C41" s="90"/>
      <c r="D41" s="90"/>
      <c r="E41" s="90" t="s">
        <v>653</v>
      </c>
      <c r="F41" s="91">
        <v>44840</v>
      </c>
      <c r="G41" s="90" t="s">
        <v>2632</v>
      </c>
      <c r="H41" s="90" t="s">
        <v>1333</v>
      </c>
      <c r="I41" s="90" t="s">
        <v>903</v>
      </c>
      <c r="J41" s="90" t="s">
        <v>678</v>
      </c>
      <c r="K41" s="93">
        <v>354.95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44841</v>
      </c>
      <c r="G42" s="90" t="s">
        <v>2633</v>
      </c>
      <c r="H42" s="90" t="s">
        <v>900</v>
      </c>
      <c r="I42" s="90" t="s">
        <v>902</v>
      </c>
      <c r="J42" s="90" t="s">
        <v>678</v>
      </c>
      <c r="K42" s="93">
        <v>39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44847</v>
      </c>
      <c r="G43" s="90" t="s">
        <v>2634</v>
      </c>
      <c r="H43" s="90" t="s">
        <v>900</v>
      </c>
      <c r="I43" s="90" t="s">
        <v>902</v>
      </c>
      <c r="J43" s="90" t="s">
        <v>678</v>
      </c>
      <c r="K43" s="93">
        <v>1292</v>
      </c>
    </row>
    <row r="44" spans="1:11" ht="15" customHeight="1" x14ac:dyDescent="0.4">
      <c r="A44" s="90"/>
      <c r="B44" s="90"/>
      <c r="C44" s="90"/>
      <c r="D44" s="90"/>
      <c r="E44" s="90" t="s">
        <v>653</v>
      </c>
      <c r="F44" s="91">
        <v>44863</v>
      </c>
      <c r="G44" s="90" t="s">
        <v>2635</v>
      </c>
      <c r="H44" s="90" t="s">
        <v>901</v>
      </c>
      <c r="I44" s="90" t="s">
        <v>905</v>
      </c>
      <c r="J44" s="90" t="s">
        <v>678</v>
      </c>
      <c r="K44" s="93">
        <v>1209.81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44872</v>
      </c>
      <c r="G45" s="90" t="s">
        <v>2636</v>
      </c>
      <c r="H45" s="90" t="s">
        <v>900</v>
      </c>
      <c r="I45" s="90" t="s">
        <v>902</v>
      </c>
      <c r="J45" s="90" t="s">
        <v>678</v>
      </c>
      <c r="K45" s="93">
        <v>39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44872</v>
      </c>
      <c r="G46" s="90" t="s">
        <v>2637</v>
      </c>
      <c r="H46" s="90" t="s">
        <v>1333</v>
      </c>
      <c r="I46" s="90" t="s">
        <v>903</v>
      </c>
      <c r="J46" s="90" t="s">
        <v>678</v>
      </c>
      <c r="K46" s="93">
        <v>354.95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44879</v>
      </c>
      <c r="G47" s="90" t="s">
        <v>2638</v>
      </c>
      <c r="H47" s="90" t="s">
        <v>900</v>
      </c>
      <c r="I47" s="90" t="s">
        <v>902</v>
      </c>
      <c r="J47" s="90" t="s">
        <v>678</v>
      </c>
      <c r="K47" s="93">
        <v>1292</v>
      </c>
    </row>
    <row r="48" spans="1:11" ht="15" customHeight="1" x14ac:dyDescent="0.4">
      <c r="A48" s="90"/>
      <c r="B48" s="90"/>
      <c r="C48" s="90"/>
      <c r="D48" s="90"/>
      <c r="E48" s="90" t="s">
        <v>653</v>
      </c>
      <c r="F48" s="91">
        <v>44902</v>
      </c>
      <c r="G48" s="90" t="s">
        <v>2639</v>
      </c>
      <c r="H48" s="90" t="s">
        <v>900</v>
      </c>
      <c r="I48" s="90" t="s">
        <v>902</v>
      </c>
      <c r="J48" s="90" t="s">
        <v>678</v>
      </c>
      <c r="K48" s="93">
        <v>65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44906</v>
      </c>
      <c r="G49" s="90" t="s">
        <v>2640</v>
      </c>
      <c r="H49" s="90" t="s">
        <v>901</v>
      </c>
      <c r="I49" s="90" t="s">
        <v>1412</v>
      </c>
      <c r="J49" s="90" t="s">
        <v>678</v>
      </c>
      <c r="K49" s="93">
        <v>1429.47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44908</v>
      </c>
      <c r="G50" s="90" t="s">
        <v>2641</v>
      </c>
      <c r="H50" s="90" t="s">
        <v>1333</v>
      </c>
      <c r="I50" s="90" t="s">
        <v>903</v>
      </c>
      <c r="J50" s="90" t="s">
        <v>678</v>
      </c>
      <c r="K50" s="93">
        <v>389.57</v>
      </c>
    </row>
    <row r="51" spans="1:11" ht="15" customHeight="1" thickBot="1" x14ac:dyDescent="0.45">
      <c r="A51" s="90"/>
      <c r="B51" s="90"/>
      <c r="C51" s="90"/>
      <c r="D51" s="90"/>
      <c r="E51" s="90" t="s">
        <v>653</v>
      </c>
      <c r="F51" s="91">
        <v>44908</v>
      </c>
      <c r="G51" s="90" t="s">
        <v>2642</v>
      </c>
      <c r="H51" s="90" t="s">
        <v>900</v>
      </c>
      <c r="I51" s="90" t="s">
        <v>902</v>
      </c>
      <c r="J51" s="90" t="s">
        <v>678</v>
      </c>
      <c r="K51" s="445">
        <v>1292</v>
      </c>
    </row>
    <row r="52" spans="1:11" ht="15" customHeight="1" thickBot="1" x14ac:dyDescent="0.45">
      <c r="A52" s="90"/>
      <c r="B52" s="90"/>
      <c r="C52" s="90" t="s">
        <v>890</v>
      </c>
      <c r="D52" s="90"/>
      <c r="E52" s="90"/>
      <c r="F52" s="91"/>
      <c r="G52" s="90"/>
      <c r="H52" s="90"/>
      <c r="I52" s="90"/>
      <c r="J52" s="90"/>
      <c r="K52" s="446">
        <f>ROUND(SUM(K3:K51),5)</f>
        <v>33533.81</v>
      </c>
    </row>
    <row r="53" spans="1:11" ht="15" customHeight="1" thickBot="1" x14ac:dyDescent="0.45">
      <c r="A53" s="90"/>
      <c r="B53" s="90" t="s">
        <v>754</v>
      </c>
      <c r="C53" s="90"/>
      <c r="D53" s="90"/>
      <c r="E53" s="90"/>
      <c r="F53" s="91"/>
      <c r="G53" s="90"/>
      <c r="H53" s="90"/>
      <c r="I53" s="90"/>
      <c r="J53" s="90"/>
      <c r="K53" s="446">
        <f>K52</f>
        <v>33533.81</v>
      </c>
    </row>
    <row r="54" spans="1:11" ht="15" customHeight="1" thickBot="1" x14ac:dyDescent="0.45">
      <c r="A54" s="90" t="s">
        <v>158</v>
      </c>
      <c r="B54" s="90"/>
      <c r="C54" s="90"/>
      <c r="D54" s="90"/>
      <c r="E54" s="90"/>
      <c r="F54" s="91"/>
      <c r="G54" s="90"/>
      <c r="H54" s="90"/>
      <c r="I54" s="90"/>
      <c r="J54" s="90"/>
      <c r="K54" s="447">
        <f>K53</f>
        <v>33533.81</v>
      </c>
    </row>
    <row r="55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8:29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909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9093" r:id="rId4" name="FILTER"/>
      </mc:Fallback>
    </mc:AlternateContent>
    <mc:AlternateContent xmlns:mc="http://schemas.openxmlformats.org/markup-compatibility/2006">
      <mc:Choice Requires="x14">
        <control shapeId="8909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9094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95E-6C0F-4E35-960D-E2F957C450C0}">
  <sheetPr>
    <pageSetUpPr fitToPage="1"/>
  </sheetPr>
  <dimension ref="A1:T92"/>
  <sheetViews>
    <sheetView zoomScaleNormal="100" workbookViewId="0">
      <selection activeCell="B17" sqref="B17"/>
    </sheetView>
  </sheetViews>
  <sheetFormatPr defaultColWidth="14.3828125" defaultRowHeight="14.6" x14ac:dyDescent="0.4"/>
  <cols>
    <col min="1" max="1" width="48" bestFit="1" customWidth="1"/>
    <col min="2" max="2" width="12.15234375" bestFit="1" customWidth="1"/>
    <col min="3" max="3" width="11.53515625" bestFit="1" customWidth="1"/>
    <col min="4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72" t="s">
        <v>53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</row>
    <row r="2" spans="1:20" ht="45" customHeight="1" x14ac:dyDescent="0.4">
      <c r="A2" s="316" t="s">
        <v>1</v>
      </c>
      <c r="B2" s="317" t="s">
        <v>54</v>
      </c>
      <c r="C2" s="317" t="s">
        <v>55</v>
      </c>
      <c r="D2" s="317" t="s">
        <v>56</v>
      </c>
      <c r="E2" s="317" t="s">
        <v>57</v>
      </c>
      <c r="F2" s="317" t="s">
        <v>58</v>
      </c>
      <c r="G2" s="317" t="s">
        <v>59</v>
      </c>
      <c r="H2" s="317" t="s">
        <v>60</v>
      </c>
      <c r="I2" s="317" t="s">
        <v>2</v>
      </c>
      <c r="J2" s="317" t="s">
        <v>61</v>
      </c>
      <c r="K2" s="318" t="s">
        <v>62</v>
      </c>
      <c r="L2" s="1"/>
      <c r="M2" s="1"/>
      <c r="N2" t="s">
        <v>63</v>
      </c>
    </row>
    <row r="3" spans="1:20" x14ac:dyDescent="0.4">
      <c r="A3" s="161" t="s">
        <v>9</v>
      </c>
      <c r="B3" s="153">
        <v>3942800</v>
      </c>
      <c r="C3" s="153">
        <v>3852722</v>
      </c>
      <c r="D3" s="153">
        <v>4225900</v>
      </c>
      <c r="E3" s="153">
        <v>4114339</v>
      </c>
      <c r="F3" s="153">
        <v>4348900</v>
      </c>
      <c r="G3" s="153">
        <v>4237072</v>
      </c>
      <c r="H3" s="153">
        <v>4350500</v>
      </c>
      <c r="I3" s="153">
        <v>4650100</v>
      </c>
      <c r="J3" s="162">
        <f>SUM(ROUNDUP('1% Personnel'!E10,-2))</f>
        <v>4758900</v>
      </c>
      <c r="K3" s="163">
        <f>(J3-I3)/I3</f>
        <v>2.3397346293628093E-2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SUM(ROUNDUP('1% Personnel'!E34,-2))</f>
        <v>269300</v>
      </c>
      <c r="K4" s="164">
        <f t="shared" ref="K4:K31" si="0">(J4-I4)/I4</f>
        <v>1.3167795334838224E-2</v>
      </c>
      <c r="L4" s="1"/>
      <c r="M4" s="973" t="s">
        <v>64</v>
      </c>
      <c r="N4" s="971"/>
    </row>
    <row r="5" spans="1:20" x14ac:dyDescent="0.4">
      <c r="A5" s="161" t="s">
        <v>11</v>
      </c>
      <c r="B5" s="153">
        <v>551200</v>
      </c>
      <c r="C5" s="153">
        <v>523428</v>
      </c>
      <c r="D5" s="153">
        <v>568800</v>
      </c>
      <c r="E5" s="153">
        <v>541872</v>
      </c>
      <c r="F5" s="153">
        <v>603100</v>
      </c>
      <c r="G5" s="153">
        <v>557116</v>
      </c>
      <c r="H5" s="153">
        <v>626700</v>
      </c>
      <c r="I5" s="153">
        <v>675600</v>
      </c>
      <c r="J5" s="162">
        <f>SUM(ROUNDUP('1% Personnel'!E43,-2))</f>
        <v>656400</v>
      </c>
      <c r="K5" s="163">
        <f t="shared" si="0"/>
        <v>-2.8419182948490232E-2</v>
      </c>
      <c r="L5" s="1"/>
      <c r="M5" s="4">
        <f>SUM(I3:I8)</f>
        <v>6553600</v>
      </c>
      <c r="N5" s="5">
        <f>SUM(J3:J8)</f>
        <v>6669600</v>
      </c>
      <c r="O5" s="141">
        <f>N5/N35</f>
        <v>0.69556148840313703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SUM(ROUNDUP('1% Personnel'!E57,-2))</f>
        <v>903500</v>
      </c>
      <c r="K6" s="164">
        <f t="shared" si="0"/>
        <v>2.414418499206529E-2</v>
      </c>
      <c r="L6" s="1"/>
      <c r="M6" s="1"/>
      <c r="O6" s="142"/>
      <c r="R6" s="301" t="s">
        <v>65</v>
      </c>
      <c r="S6" s="302" t="s">
        <v>66</v>
      </c>
      <c r="T6" s="303" t="s">
        <v>67</v>
      </c>
    </row>
    <row r="7" spans="1:20" x14ac:dyDescent="0.4">
      <c r="A7" s="165" t="s">
        <v>13</v>
      </c>
      <c r="B7" s="154">
        <v>8800</v>
      </c>
      <c r="C7" s="154">
        <v>8159</v>
      </c>
      <c r="D7" s="154">
        <v>8900</v>
      </c>
      <c r="E7" s="154">
        <v>8492</v>
      </c>
      <c r="F7" s="154">
        <v>8900</v>
      </c>
      <c r="G7" s="154">
        <v>8302</v>
      </c>
      <c r="H7" s="154">
        <v>8900</v>
      </c>
      <c r="I7" s="154">
        <v>8900</v>
      </c>
      <c r="J7" s="166">
        <f>SUM(ROUNDUP('1% Personnel'!E63,-2))</f>
        <v>8900</v>
      </c>
      <c r="K7" s="163">
        <f t="shared" si="0"/>
        <v>0</v>
      </c>
      <c r="L7" s="1"/>
      <c r="M7" s="1"/>
      <c r="O7" s="142"/>
      <c r="R7" s="289" t="s">
        <v>64</v>
      </c>
      <c r="S7" s="290">
        <f>SUM(N5)</f>
        <v>6669600</v>
      </c>
      <c r="T7" s="291">
        <f t="shared" ref="T7:T12" si="1">S7/$S$13</f>
        <v>0.69556148840313703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SUM(ROUNDUP('1% Personnel'!E77,-2))</f>
        <v>72600</v>
      </c>
      <c r="K8" s="164">
        <f t="shared" si="0"/>
        <v>2.2535211267605635E-2</v>
      </c>
      <c r="L8" s="1"/>
      <c r="M8" s="1"/>
      <c r="O8" s="142"/>
      <c r="R8" s="292" t="s">
        <v>68</v>
      </c>
      <c r="S8" s="293">
        <f>SUM(N11)</f>
        <v>447300</v>
      </c>
      <c r="T8" s="294">
        <f t="shared" si="1"/>
        <v>4.6648172868346403E-2</v>
      </c>
    </row>
    <row r="9" spans="1:20" x14ac:dyDescent="0.4">
      <c r="A9" s="165" t="s">
        <v>16</v>
      </c>
      <c r="B9" s="154">
        <v>12600</v>
      </c>
      <c r="C9" s="154">
        <v>10891</v>
      </c>
      <c r="D9" s="154">
        <v>12070</v>
      </c>
      <c r="E9" s="154">
        <v>9363</v>
      </c>
      <c r="F9" s="154">
        <v>15100</v>
      </c>
      <c r="G9" s="154">
        <v>11279</v>
      </c>
      <c r="H9" s="154">
        <v>14100</v>
      </c>
      <c r="I9" s="154">
        <v>13600</v>
      </c>
      <c r="J9" s="166">
        <f>SUM(ROUNDUP('Budget-Services'!H15,-2))</f>
        <v>13900</v>
      </c>
      <c r="K9" s="163">
        <f t="shared" si="0"/>
        <v>2.2058823529411766E-2</v>
      </c>
      <c r="L9" s="1"/>
      <c r="M9" s="1"/>
      <c r="O9" s="142"/>
      <c r="R9" s="289" t="s">
        <v>69</v>
      </c>
      <c r="S9" s="290">
        <f>SUM(N17)</f>
        <v>2159500</v>
      </c>
      <c r="T9" s="291">
        <f t="shared" si="1"/>
        <v>0.22521066243951277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SUM(ROUNDUP('Budget-Services'!H38,-2))</f>
        <v>228000</v>
      </c>
      <c r="K10" s="164">
        <f t="shared" si="0"/>
        <v>8.1081081081081086E-2</v>
      </c>
      <c r="L10" s="1"/>
      <c r="M10" s="973" t="s">
        <v>70</v>
      </c>
      <c r="N10" s="971"/>
      <c r="O10" s="142"/>
      <c r="R10" s="292" t="s">
        <v>71</v>
      </c>
      <c r="S10" s="293">
        <f>SUM(N28)</f>
        <v>0</v>
      </c>
      <c r="T10" s="294">
        <f t="shared" si="1"/>
        <v>0</v>
      </c>
    </row>
    <row r="11" spans="1:20" x14ac:dyDescent="0.4">
      <c r="A11" s="267" t="s">
        <v>20</v>
      </c>
      <c r="B11" s="268">
        <v>44200</v>
      </c>
      <c r="C11" s="268">
        <v>44200</v>
      </c>
      <c r="D11" s="268">
        <v>48400</v>
      </c>
      <c r="E11" s="268">
        <v>53093</v>
      </c>
      <c r="F11" s="268">
        <v>53400</v>
      </c>
      <c r="G11" s="268">
        <v>50379</v>
      </c>
      <c r="H11" s="268">
        <v>58800</v>
      </c>
      <c r="I11" s="268">
        <v>85000</v>
      </c>
      <c r="J11" s="269">
        <f>SUM(ROUNDUP('Budget-Services'!H62,-2))</f>
        <v>97100</v>
      </c>
      <c r="K11" s="163">
        <f t="shared" si="0"/>
        <v>0.1423529411764706</v>
      </c>
      <c r="L11" s="1"/>
      <c r="M11" s="4">
        <f>SUM(I9:I14)</f>
        <v>411000</v>
      </c>
      <c r="N11" s="5">
        <f>SUM(J9:J14)</f>
        <v>447300</v>
      </c>
      <c r="O11" s="141">
        <f>N11/N35</f>
        <v>4.6648172868346403E-2</v>
      </c>
      <c r="R11" s="289" t="s">
        <v>72</v>
      </c>
      <c r="S11" s="290">
        <f>SUM(N31)</f>
        <v>70000</v>
      </c>
      <c r="T11" s="291">
        <f t="shared" si="1"/>
        <v>7.3001835474720504E-3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SUM(ROUNDUP('Budget-Services'!H66,-2))</f>
        <v>7200</v>
      </c>
      <c r="K12" s="164">
        <f t="shared" si="0"/>
        <v>0</v>
      </c>
      <c r="L12" s="1"/>
      <c r="M12" s="1"/>
      <c r="O12" s="142"/>
      <c r="R12" s="295" t="s">
        <v>73</v>
      </c>
      <c r="S12" s="296">
        <f>SUM(N34)</f>
        <v>242400</v>
      </c>
      <c r="T12" s="297">
        <f t="shared" si="1"/>
        <v>2.5279492741531788E-2</v>
      </c>
    </row>
    <row r="13" spans="1:20" ht="15" thickBot="1" x14ac:dyDescent="0.45">
      <c r="A13" s="161" t="s">
        <v>24</v>
      </c>
      <c r="B13" s="153">
        <v>61000</v>
      </c>
      <c r="C13" s="153">
        <v>109071</v>
      </c>
      <c r="D13" s="153">
        <v>72300</v>
      </c>
      <c r="E13" s="153">
        <v>68848</v>
      </c>
      <c r="F13" s="153">
        <v>72800</v>
      </c>
      <c r="G13" s="153">
        <v>76288</v>
      </c>
      <c r="H13" s="153">
        <v>78900</v>
      </c>
      <c r="I13" s="153">
        <v>80800</v>
      </c>
      <c r="J13" s="162">
        <f>SUM(ROUNDUP('Budget-Services'!H82,-2))</f>
        <v>87700</v>
      </c>
      <c r="K13" s="163">
        <f t="shared" si="0"/>
        <v>8.5396039603960402E-2</v>
      </c>
      <c r="L13" s="1"/>
      <c r="M13" s="1"/>
      <c r="O13" s="142"/>
      <c r="R13" s="300" t="s">
        <v>74</v>
      </c>
      <c r="S13" s="298">
        <f>SUM(S7:S12)</f>
        <v>9588800</v>
      </c>
      <c r="T13" s="299">
        <f>SUM(T7:T12)</f>
        <v>1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SUM(ROUNDUP('Budget-Services'!H97,-2))</f>
        <v>13400</v>
      </c>
      <c r="K14" s="164">
        <f t="shared" si="0"/>
        <v>-7.4074074074074077E-3</v>
      </c>
      <c r="L14" s="1"/>
      <c r="M14" s="1"/>
      <c r="O14" s="142"/>
    </row>
    <row r="15" spans="1:20" x14ac:dyDescent="0.4">
      <c r="A15" s="267" t="s">
        <v>28</v>
      </c>
      <c r="B15" s="268">
        <v>89800</v>
      </c>
      <c r="C15" s="268">
        <v>72828</v>
      </c>
      <c r="D15" s="268">
        <v>102500</v>
      </c>
      <c r="E15" s="268">
        <v>99861</v>
      </c>
      <c r="F15" s="268">
        <v>90100</v>
      </c>
      <c r="G15" s="268">
        <v>97252</v>
      </c>
      <c r="H15" s="268">
        <v>106900</v>
      </c>
      <c r="I15" s="268">
        <v>111700</v>
      </c>
      <c r="J15" s="269">
        <f>SUM(ROUNDUP('Budget-Services'!H135,-2))</f>
        <v>123400</v>
      </c>
      <c r="K15" s="163">
        <f t="shared" si="0"/>
        <v>0.10474485228290063</v>
      </c>
      <c r="L15" s="1"/>
      <c r="M15" s="1"/>
      <c r="O15" s="142"/>
    </row>
    <row r="16" spans="1:20" x14ac:dyDescent="0.4">
      <c r="A16" s="167" t="s">
        <v>29</v>
      </c>
      <c r="B16" s="155">
        <v>53400</v>
      </c>
      <c r="C16" s="155">
        <v>42720</v>
      </c>
      <c r="D16" s="155">
        <v>47990</v>
      </c>
      <c r="E16" s="155">
        <v>47989</v>
      </c>
      <c r="F16" s="155">
        <v>41400</v>
      </c>
      <c r="G16" s="155">
        <v>25290</v>
      </c>
      <c r="H16" s="155">
        <v>40000</v>
      </c>
      <c r="I16" s="155">
        <v>40000</v>
      </c>
      <c r="J16" s="168">
        <f>SUM(ROUNDUP('Budget-Services'!H144,-2))</f>
        <v>41100</v>
      </c>
      <c r="K16" s="164">
        <f t="shared" si="0"/>
        <v>2.75E-2</v>
      </c>
      <c r="L16" s="1"/>
      <c r="M16" s="973" t="s">
        <v>69</v>
      </c>
      <c r="N16" s="971"/>
      <c r="O16" s="142"/>
    </row>
    <row r="17" spans="1:16" x14ac:dyDescent="0.4">
      <c r="A17" s="267" t="s">
        <v>30</v>
      </c>
      <c r="B17" s="268">
        <v>156400</v>
      </c>
      <c r="C17" s="268">
        <v>145935</v>
      </c>
      <c r="D17" s="268">
        <v>157990</v>
      </c>
      <c r="E17" s="268">
        <v>157984</v>
      </c>
      <c r="F17" s="268">
        <v>155000</v>
      </c>
      <c r="G17" s="268">
        <v>156639</v>
      </c>
      <c r="H17" s="268">
        <v>158400</v>
      </c>
      <c r="I17" s="268">
        <v>167300</v>
      </c>
      <c r="J17" s="269">
        <f>SUM(ROUNDUP('Budget-Services'!H155,-2))</f>
        <v>215900</v>
      </c>
      <c r="K17" s="163">
        <f t="shared" si="0"/>
        <v>0.2904961147638972</v>
      </c>
      <c r="L17" s="1"/>
      <c r="M17" s="4">
        <f>SUM(I15:I27)</f>
        <v>1827300</v>
      </c>
      <c r="N17" s="5">
        <f>SUM(J15:J27)</f>
        <v>2159500</v>
      </c>
      <c r="O17" s="141">
        <f>N17/N35</f>
        <v>0.22521066243951277</v>
      </c>
    </row>
    <row r="18" spans="1:16" x14ac:dyDescent="0.4">
      <c r="A18" s="167" t="s">
        <v>31</v>
      </c>
      <c r="B18" s="155">
        <v>84800</v>
      </c>
      <c r="C18" s="155">
        <v>114375</v>
      </c>
      <c r="D18" s="155">
        <v>98710</v>
      </c>
      <c r="E18" s="155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SUM(ROUNDUP('Budget-Services'!H183,-2))</f>
        <v>154200</v>
      </c>
      <c r="K18" s="164">
        <f t="shared" si="0"/>
        <v>0.1925754060324826</v>
      </c>
      <c r="L18" s="1"/>
      <c r="M18" s="1"/>
      <c r="O18" s="142"/>
    </row>
    <row r="19" spans="1:16" x14ac:dyDescent="0.4">
      <c r="A19" s="267" t="s">
        <v>32</v>
      </c>
      <c r="B19" s="268">
        <v>7800</v>
      </c>
      <c r="C19" s="268">
        <v>7800</v>
      </c>
      <c r="D19" s="268">
        <v>8250</v>
      </c>
      <c r="E19" s="268">
        <v>8250</v>
      </c>
      <c r="F19" s="268">
        <v>8400</v>
      </c>
      <c r="G19" s="268">
        <v>9300</v>
      </c>
      <c r="H19" s="268">
        <v>10100</v>
      </c>
      <c r="I19" s="268">
        <v>10200</v>
      </c>
      <c r="J19" s="269">
        <f>SUM(ROUNDUP('Budget-Services'!H189,-2))</f>
        <v>12000</v>
      </c>
      <c r="K19" s="163">
        <f t="shared" si="0"/>
        <v>0.17647058823529413</v>
      </c>
      <c r="L19" s="1"/>
      <c r="M19" s="6"/>
      <c r="N19" s="5"/>
      <c r="O19" s="142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SUM(ROUNDUP('Budget-Services'!H193,-2))</f>
        <v>6000</v>
      </c>
      <c r="K20" s="164">
        <f t="shared" si="0"/>
        <v>0</v>
      </c>
      <c r="L20" s="1"/>
      <c r="M20" s="1"/>
      <c r="O20" s="142"/>
    </row>
    <row r="21" spans="1:16" x14ac:dyDescent="0.4">
      <c r="A21" s="165" t="s">
        <v>34</v>
      </c>
      <c r="B21" s="154">
        <v>44600</v>
      </c>
      <c r="C21" s="154">
        <v>40997</v>
      </c>
      <c r="D21" s="154">
        <v>47100</v>
      </c>
      <c r="E21" s="154">
        <v>43537</v>
      </c>
      <c r="F21" s="154">
        <v>45700</v>
      </c>
      <c r="G21" s="154">
        <v>75711</v>
      </c>
      <c r="H21" s="154">
        <v>47200</v>
      </c>
      <c r="I21" s="154">
        <v>85300</v>
      </c>
      <c r="J21" s="166">
        <f>SUM(ROUNDUP('Budget-Services'!H236,-2))</f>
        <v>109500</v>
      </c>
      <c r="K21" s="163">
        <f t="shared" si="0"/>
        <v>0.28370457209847599</v>
      </c>
      <c r="L21" s="1"/>
      <c r="M21" s="1"/>
      <c r="O21" s="142"/>
    </row>
    <row r="22" spans="1:16" x14ac:dyDescent="0.4">
      <c r="A22" s="167" t="s">
        <v>35</v>
      </c>
      <c r="B22" s="155">
        <v>500</v>
      </c>
      <c r="C22" s="155">
        <v>0</v>
      </c>
      <c r="D22" s="155">
        <v>500</v>
      </c>
      <c r="E22" s="155">
        <v>0</v>
      </c>
      <c r="F22" s="155">
        <v>500</v>
      </c>
      <c r="G22" s="155">
        <v>0</v>
      </c>
      <c r="H22" s="155">
        <v>500</v>
      </c>
      <c r="I22" s="155">
        <v>500</v>
      </c>
      <c r="J22" s="168">
        <f>SUM(ROUNDUP('Budget-Services'!H240,-2))</f>
        <v>500</v>
      </c>
      <c r="K22" s="164">
        <f t="shared" si="0"/>
        <v>0</v>
      </c>
      <c r="L22" s="1"/>
      <c r="M22" s="1"/>
      <c r="O22" s="142"/>
    </row>
    <row r="23" spans="1:16" x14ac:dyDescent="0.4">
      <c r="A23" s="161" t="s">
        <v>36</v>
      </c>
      <c r="B23" s="153">
        <v>446500</v>
      </c>
      <c r="C23" s="153">
        <v>399678</v>
      </c>
      <c r="D23" s="153">
        <v>783300</v>
      </c>
      <c r="E23" s="153">
        <v>630893</v>
      </c>
      <c r="F23" s="153">
        <v>822700</v>
      </c>
      <c r="G23" s="153">
        <v>802957</v>
      </c>
      <c r="H23" s="153">
        <v>840700</v>
      </c>
      <c r="I23" s="153">
        <v>857700</v>
      </c>
      <c r="J23" s="162">
        <f>SUM(ROUNDUP('Budget-Services'!H259,-2))</f>
        <v>924600</v>
      </c>
      <c r="K23" s="163">
        <f t="shared" si="0"/>
        <v>7.7999300454704448E-2</v>
      </c>
      <c r="L23" s="1"/>
      <c r="M23" s="1"/>
      <c r="O23" s="142"/>
    </row>
    <row r="24" spans="1:16" x14ac:dyDescent="0.4">
      <c r="A24" s="167" t="s">
        <v>37</v>
      </c>
      <c r="B24" s="155">
        <v>237900</v>
      </c>
      <c r="C24" s="155">
        <v>189905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68">
        <v>0</v>
      </c>
      <c r="K24" s="164">
        <v>0</v>
      </c>
      <c r="L24" s="1"/>
      <c r="M24" s="1"/>
      <c r="O24" s="142"/>
    </row>
    <row r="25" spans="1:16" x14ac:dyDescent="0.4">
      <c r="A25" s="349" t="s">
        <v>38</v>
      </c>
      <c r="B25" s="353">
        <v>310000</v>
      </c>
      <c r="C25" s="353">
        <v>319353</v>
      </c>
      <c r="D25" s="353">
        <v>262350</v>
      </c>
      <c r="E25" s="353">
        <v>241812</v>
      </c>
      <c r="F25" s="353">
        <v>274000</v>
      </c>
      <c r="G25" s="353">
        <v>223432</v>
      </c>
      <c r="H25" s="353">
        <v>270800</v>
      </c>
      <c r="I25" s="353">
        <v>277600</v>
      </c>
      <c r="J25" s="354">
        <f>SUM(ROUNDUP('Budget-Services'!H306,-2))</f>
        <v>394700</v>
      </c>
      <c r="K25" s="352">
        <f t="shared" si="0"/>
        <v>0.42182997118155618</v>
      </c>
      <c r="L25" s="1"/>
      <c r="M25" s="1"/>
      <c r="O25" s="142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SUM(ROUNDUP('Budget-Services'!H327,-2))</f>
        <v>157800</v>
      </c>
      <c r="K26" s="164">
        <f t="shared" si="0"/>
        <v>0.27360774818401939</v>
      </c>
      <c r="L26" s="1"/>
      <c r="M26" s="1"/>
      <c r="O26" s="142"/>
    </row>
    <row r="27" spans="1:16" x14ac:dyDescent="0.4">
      <c r="A27" s="165" t="s">
        <v>40</v>
      </c>
      <c r="B27" s="154">
        <v>17400</v>
      </c>
      <c r="C27" s="154">
        <v>13820</v>
      </c>
      <c r="D27" s="154">
        <v>16300</v>
      </c>
      <c r="E27" s="154">
        <v>16298</v>
      </c>
      <c r="F27" s="154">
        <v>15200</v>
      </c>
      <c r="G27" s="154">
        <v>16586</v>
      </c>
      <c r="H27" s="154">
        <v>17500</v>
      </c>
      <c r="I27" s="154">
        <v>17800</v>
      </c>
      <c r="J27" s="166">
        <f>SUM(ROUNDUP('Budget-Services'!H335,-2))</f>
        <v>19800</v>
      </c>
      <c r="K27" s="163">
        <f t="shared" si="0"/>
        <v>0.11235955056179775</v>
      </c>
      <c r="L27" s="1"/>
      <c r="M27" s="973" t="s">
        <v>71</v>
      </c>
      <c r="N27" s="971"/>
      <c r="O27" s="142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SUM(ROUNDUP('Budget-Services'!H339,-2))</f>
        <v>0</v>
      </c>
      <c r="K28" s="164">
        <f t="shared" si="0"/>
        <v>-1</v>
      </c>
      <c r="L28" s="1"/>
      <c r="M28" s="4">
        <f>SUM(I28)</f>
        <v>425600</v>
      </c>
      <c r="N28" s="5">
        <f>SUM(J28)</f>
        <v>0</v>
      </c>
      <c r="O28" s="141">
        <f>N28/N35</f>
        <v>0</v>
      </c>
    </row>
    <row r="29" spans="1:16" x14ac:dyDescent="0.4">
      <c r="A29" s="165" t="s">
        <v>42</v>
      </c>
      <c r="B29" s="154">
        <v>50000</v>
      </c>
      <c r="C29" s="154">
        <v>110591</v>
      </c>
      <c r="D29" s="154">
        <v>66500</v>
      </c>
      <c r="E29" s="154">
        <v>41191</v>
      </c>
      <c r="F29" s="154">
        <v>55000</v>
      </c>
      <c r="G29" s="154">
        <v>105866</v>
      </c>
      <c r="H29" s="154">
        <v>80000</v>
      </c>
      <c r="I29" s="154">
        <v>61200</v>
      </c>
      <c r="J29" s="166">
        <f>SUM(ROUNDUP('Budget-Services'!H345,-2))</f>
        <v>65000</v>
      </c>
      <c r="K29" s="163">
        <f t="shared" si="0"/>
        <v>6.2091503267973858E-2</v>
      </c>
      <c r="L29" s="1"/>
      <c r="M29" s="1"/>
      <c r="O29" s="142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SUM(ROUNDUP('Budget-Services'!H349,-2))</f>
        <v>0</v>
      </c>
      <c r="K30" s="164">
        <v>0</v>
      </c>
      <c r="L30" s="1"/>
      <c r="M30" s="970" t="s">
        <v>72</v>
      </c>
      <c r="N30" s="971"/>
      <c r="O30" s="142"/>
    </row>
    <row r="31" spans="1:16" x14ac:dyDescent="0.4">
      <c r="A31" s="165" t="s">
        <v>44</v>
      </c>
      <c r="B31" s="156">
        <v>5000</v>
      </c>
      <c r="C31" s="156">
        <v>0</v>
      </c>
      <c r="D31" s="156">
        <v>5000</v>
      </c>
      <c r="E31" s="156">
        <v>0</v>
      </c>
      <c r="F31" s="156">
        <v>5000</v>
      </c>
      <c r="G31" s="156">
        <v>0</v>
      </c>
      <c r="H31" s="156">
        <v>5000</v>
      </c>
      <c r="I31" s="156">
        <v>5000</v>
      </c>
      <c r="J31" s="169">
        <v>5000</v>
      </c>
      <c r="K31" s="163">
        <f t="shared" si="0"/>
        <v>0</v>
      </c>
      <c r="L31" s="1"/>
      <c r="M31" s="4">
        <f>SUM(I29:I31)</f>
        <v>66200</v>
      </c>
      <c r="N31" s="5">
        <f>SUM(J29:J31)</f>
        <v>70000</v>
      </c>
      <c r="O31" s="141">
        <f>N31/N35</f>
        <v>7.3001835474720504E-3</v>
      </c>
    </row>
    <row r="32" spans="1:16" ht="15" thickBot="1" x14ac:dyDescent="0.45">
      <c r="A32" s="21" t="s">
        <v>45</v>
      </c>
      <c r="B32" s="23">
        <f t="shared" ref="B32:F32" si="2">SUM(B3:B31)</f>
        <v>7682900</v>
      </c>
      <c r="C32" s="23">
        <f t="shared" si="2"/>
        <v>7542932</v>
      </c>
      <c r="D32" s="23">
        <f t="shared" si="2"/>
        <v>8237100</v>
      </c>
      <c r="E32" s="23">
        <f>SUM(E3:E31)</f>
        <v>7792733</v>
      </c>
      <c r="F32" s="23">
        <f t="shared" si="2"/>
        <v>8432100</v>
      </c>
      <c r="G32" s="23">
        <f>SUM(G3:G31)</f>
        <v>8192270</v>
      </c>
      <c r="H32" s="23">
        <f>SUM(H3:H31)</f>
        <v>8560500</v>
      </c>
      <c r="I32" s="23">
        <f>SUM(I3:I31)</f>
        <v>9283700</v>
      </c>
      <c r="J32" s="22">
        <f>SUM(J3:J31)</f>
        <v>9346400</v>
      </c>
      <c r="K32" s="170">
        <f>(J32-I32)/I32</f>
        <v>6.7537727414716114E-3</v>
      </c>
      <c r="L32" s="1"/>
      <c r="M32" s="160">
        <f>SUM(M31+M28+M17+M11+M5)</f>
        <v>9283700</v>
      </c>
      <c r="N32" s="123">
        <f>SUM(N31+N28+N17+N11+N5)</f>
        <v>9346400</v>
      </c>
      <c r="P32" s="341">
        <f>N32-M32</f>
        <v>62700</v>
      </c>
    </row>
    <row r="33" spans="1:16" ht="15" thickTop="1" x14ac:dyDescent="0.4">
      <c r="A33" s="165"/>
      <c r="B33" s="157"/>
      <c r="C33" s="157"/>
      <c r="D33" s="157"/>
      <c r="E33" s="157"/>
      <c r="F33" s="157"/>
      <c r="G33" s="157"/>
      <c r="H33" s="157"/>
      <c r="I33" s="157"/>
      <c r="J33" s="157"/>
      <c r="K33" s="171"/>
      <c r="L33" s="1"/>
      <c r="M33" s="3"/>
      <c r="O33" s="142"/>
    </row>
    <row r="34" spans="1:16" x14ac:dyDescent="0.4">
      <c r="A34" s="3" t="s">
        <v>46</v>
      </c>
      <c r="B34" s="263">
        <v>166300</v>
      </c>
      <c r="C34" s="263">
        <v>172982</v>
      </c>
      <c r="D34" s="263">
        <v>185900</v>
      </c>
      <c r="E34" s="263">
        <v>152449</v>
      </c>
      <c r="F34" s="263">
        <v>187100</v>
      </c>
      <c r="G34" s="263">
        <v>127911</v>
      </c>
      <c r="H34" s="263">
        <v>195300</v>
      </c>
      <c r="I34" s="263">
        <v>227800</v>
      </c>
      <c r="J34" s="264">
        <f>SUM(ROUNDUP('ARB Budget'!F39,-2))</f>
        <v>242400</v>
      </c>
      <c r="K34" s="164">
        <f>(J34-I34)/I34</f>
        <v>6.4091308165057065E-2</v>
      </c>
      <c r="L34" s="1"/>
      <c r="M34" s="4">
        <f>SUM(I34)</f>
        <v>227800</v>
      </c>
      <c r="N34" s="265">
        <f>SUM(J34)</f>
        <v>242400</v>
      </c>
      <c r="O34" s="266">
        <f>N34/N35</f>
        <v>2.5279492741531788E-2</v>
      </c>
    </row>
    <row r="35" spans="1:16" ht="15" thickBot="1" x14ac:dyDescent="0.45">
      <c r="A35" s="172" t="s">
        <v>47</v>
      </c>
      <c r="B35" s="158">
        <f t="shared" ref="B35:J35" si="3">SUM(B32:B34)</f>
        <v>7849200</v>
      </c>
      <c r="C35" s="158">
        <f t="shared" si="3"/>
        <v>7715914</v>
      </c>
      <c r="D35" s="158">
        <f t="shared" si="3"/>
        <v>8423000</v>
      </c>
      <c r="E35" s="158">
        <f>SUM(E32:E34)</f>
        <v>7945182</v>
      </c>
      <c r="F35" s="158">
        <f t="shared" si="3"/>
        <v>8619200</v>
      </c>
      <c r="G35" s="158">
        <f>SUM(G32:G34)</f>
        <v>8320181</v>
      </c>
      <c r="H35" s="158">
        <f>SUM(H32:H34)</f>
        <v>8755800</v>
      </c>
      <c r="I35" s="158">
        <f>SUM(I32:I34)</f>
        <v>9511500</v>
      </c>
      <c r="J35" s="173">
        <f t="shared" si="3"/>
        <v>9588800</v>
      </c>
      <c r="K35" s="174">
        <f>(J35-I35)/I35</f>
        <v>8.1270041528675816E-3</v>
      </c>
      <c r="L35" s="1"/>
      <c r="M35" s="123">
        <f>SUM(M32:M34)</f>
        <v>9511500</v>
      </c>
      <c r="N35" s="139">
        <f>SUM(N32:N34)</f>
        <v>9588800</v>
      </c>
      <c r="O35" s="142">
        <f>SUM(O5:O34)</f>
        <v>1</v>
      </c>
      <c r="P35" s="341">
        <f>N35-M35</f>
        <v>77300</v>
      </c>
    </row>
    <row r="36" spans="1:16" ht="15" thickTop="1" x14ac:dyDescent="0.4">
      <c r="A36" s="175" t="s">
        <v>48</v>
      </c>
      <c r="B36" s="159"/>
      <c r="C36" s="159"/>
      <c r="D36" s="159"/>
      <c r="E36" s="159"/>
      <c r="F36" s="159"/>
      <c r="G36" s="159"/>
      <c r="H36" s="159"/>
      <c r="I36" s="159"/>
      <c r="J36" s="168"/>
      <c r="K36" s="164"/>
    </row>
    <row r="37" spans="1:16" ht="15" thickBot="1" x14ac:dyDescent="0.45">
      <c r="A37" s="267" t="s">
        <v>49</v>
      </c>
      <c r="B37" s="279"/>
      <c r="C37" s="279"/>
      <c r="D37" s="373">
        <v>-247604</v>
      </c>
      <c r="E37" s="373"/>
      <c r="F37" s="373">
        <v>-200000</v>
      </c>
      <c r="G37" s="373"/>
      <c r="H37" s="373"/>
      <c r="I37" s="373">
        <v>-158000</v>
      </c>
      <c r="J37" s="374">
        <f>-(322053+50000)</f>
        <v>-372053</v>
      </c>
      <c r="K37" s="375"/>
      <c r="L37" s="1"/>
      <c r="M37" s="1"/>
    </row>
    <row r="38" spans="1:16" ht="15.45" thickTop="1" thickBot="1" x14ac:dyDescent="0.45">
      <c r="A38" s="29" t="s">
        <v>50</v>
      </c>
      <c r="B38" s="30">
        <f>SUM(B35)</f>
        <v>7849200</v>
      </c>
      <c r="C38" s="30"/>
      <c r="D38" s="30">
        <f t="shared" ref="D38:J38" si="4">SUM(D35:D37)</f>
        <v>8175396</v>
      </c>
      <c r="E38" s="30"/>
      <c r="F38" s="30">
        <f t="shared" si="4"/>
        <v>8419200</v>
      </c>
      <c r="G38" s="30"/>
      <c r="H38" s="30">
        <f>SUM(H35:H37)</f>
        <v>8755800</v>
      </c>
      <c r="I38" s="30">
        <f>SUM(I35:I37)</f>
        <v>9353500</v>
      </c>
      <c r="J38" s="31">
        <f t="shared" si="4"/>
        <v>9216747</v>
      </c>
      <c r="K38" s="177">
        <f>(J38-I38)/I38</f>
        <v>-1.4620516384241193E-2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2"/>
      <c r="C41" s="32"/>
      <c r="D41" s="32"/>
      <c r="E41" s="32"/>
      <c r="F41" s="32"/>
      <c r="G41" s="32"/>
      <c r="H41" s="32"/>
      <c r="I41" s="32"/>
      <c r="J41" s="32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60" priority="1" stopIfTrue="1" operator="lessThan">
      <formula>0</formula>
    </cfRule>
    <cfRule type="cellIs" dxfId="159" priority="2" stopIfTrue="1" operator="greaterThan">
      <formula>0</formula>
    </cfRule>
    <cfRule type="cellIs" dxfId="158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1"/>
  <dimension ref="A1:K105"/>
  <sheetViews>
    <sheetView workbookViewId="0">
      <pane xSplit="3" ySplit="1" topLeftCell="D79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5.3046875" bestFit="1" customWidth="1"/>
    <col min="6" max="6" width="10.69140625" bestFit="1" customWidth="1"/>
    <col min="7" max="7" width="20.3828125" bestFit="1" customWidth="1"/>
    <col min="8" max="8" width="19.3046875" bestFit="1" customWidth="1"/>
    <col min="9" max="9" width="30.69140625" customWidth="1"/>
    <col min="10" max="10" width="22.304687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907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44566</v>
      </c>
      <c r="G4" s="90" t="s">
        <v>909</v>
      </c>
      <c r="H4" s="90" t="s">
        <v>2706</v>
      </c>
      <c r="I4" s="90" t="s">
        <v>927</v>
      </c>
      <c r="J4" s="90" t="s">
        <v>678</v>
      </c>
      <c r="K4" s="93">
        <v>21.98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44568</v>
      </c>
      <c r="G5" s="90" t="s">
        <v>910</v>
      </c>
      <c r="H5" s="90" t="s">
        <v>2707</v>
      </c>
      <c r="I5" s="90" t="s">
        <v>928</v>
      </c>
      <c r="J5" s="90" t="s">
        <v>678</v>
      </c>
      <c r="K5" s="93">
        <v>437.58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44568</v>
      </c>
      <c r="G6" s="90" t="s">
        <v>911</v>
      </c>
      <c r="H6" s="90" t="s">
        <v>2708</v>
      </c>
      <c r="I6" s="90" t="s">
        <v>929</v>
      </c>
      <c r="J6" s="90" t="s">
        <v>678</v>
      </c>
      <c r="K6" s="93">
        <v>1176.05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44571</v>
      </c>
      <c r="G7" s="90" t="s">
        <v>912</v>
      </c>
      <c r="H7" s="90" t="s">
        <v>2708</v>
      </c>
      <c r="I7" s="90" t="s">
        <v>929</v>
      </c>
      <c r="J7" s="90" t="s">
        <v>678</v>
      </c>
      <c r="K7" s="93">
        <v>3502.11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44579</v>
      </c>
      <c r="G8" s="90" t="s">
        <v>913</v>
      </c>
      <c r="H8" s="90" t="s">
        <v>743</v>
      </c>
      <c r="I8" s="90" t="s">
        <v>930</v>
      </c>
      <c r="J8" s="90" t="s">
        <v>678</v>
      </c>
      <c r="K8" s="93">
        <v>2917.73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44580</v>
      </c>
      <c r="G9" s="90" t="s">
        <v>914</v>
      </c>
      <c r="H9" s="90" t="s">
        <v>925</v>
      </c>
      <c r="I9" s="90" t="s">
        <v>931</v>
      </c>
      <c r="J9" s="90" t="s">
        <v>678</v>
      </c>
      <c r="K9" s="93">
        <v>2886.51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44581</v>
      </c>
      <c r="G10" s="90" t="s">
        <v>915</v>
      </c>
      <c r="H10" s="90" t="s">
        <v>2706</v>
      </c>
      <c r="I10" s="90" t="s">
        <v>927</v>
      </c>
      <c r="J10" s="90" t="s">
        <v>678</v>
      </c>
      <c r="K10" s="93">
        <v>1465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44586</v>
      </c>
      <c r="G11" s="90" t="s">
        <v>916</v>
      </c>
      <c r="H11" s="90" t="s">
        <v>2706</v>
      </c>
      <c r="I11" s="90" t="s">
        <v>927</v>
      </c>
      <c r="J11" s="90" t="s">
        <v>678</v>
      </c>
      <c r="K11" s="93">
        <v>21.98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44587</v>
      </c>
      <c r="G12" s="90" t="s">
        <v>917</v>
      </c>
      <c r="H12" s="90" t="s">
        <v>2707</v>
      </c>
      <c r="I12" s="90" t="s">
        <v>932</v>
      </c>
      <c r="J12" s="90" t="s">
        <v>678</v>
      </c>
      <c r="K12" s="93">
        <v>437.58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44589</v>
      </c>
      <c r="G13" s="90" t="s">
        <v>768</v>
      </c>
      <c r="H13" s="90" t="s">
        <v>926</v>
      </c>
      <c r="I13" s="90" t="s">
        <v>933</v>
      </c>
      <c r="J13" s="90" t="s">
        <v>678</v>
      </c>
      <c r="K13" s="93">
        <v>5045.5200000000004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44589</v>
      </c>
      <c r="G14" s="90" t="s">
        <v>918</v>
      </c>
      <c r="H14" s="90" t="s">
        <v>926</v>
      </c>
      <c r="I14" s="90" t="s">
        <v>934</v>
      </c>
      <c r="J14" s="90" t="s">
        <v>678</v>
      </c>
      <c r="K14" s="93">
        <v>237.64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44599</v>
      </c>
      <c r="G15" s="90" t="s">
        <v>919</v>
      </c>
      <c r="H15" s="90" t="s">
        <v>2708</v>
      </c>
      <c r="I15" s="90" t="s">
        <v>929</v>
      </c>
      <c r="J15" s="90" t="s">
        <v>678</v>
      </c>
      <c r="K15" s="93">
        <v>1176.05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44602</v>
      </c>
      <c r="G16" s="90" t="s">
        <v>920</v>
      </c>
      <c r="H16" s="90" t="s">
        <v>2708</v>
      </c>
      <c r="I16" s="90" t="s">
        <v>929</v>
      </c>
      <c r="J16" s="90" t="s">
        <v>678</v>
      </c>
      <c r="K16" s="93">
        <v>3502.11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44610</v>
      </c>
      <c r="G17" s="90" t="s">
        <v>740</v>
      </c>
      <c r="H17" s="90" t="s">
        <v>743</v>
      </c>
      <c r="I17" s="90" t="s">
        <v>935</v>
      </c>
      <c r="J17" s="90" t="s">
        <v>678</v>
      </c>
      <c r="K17" s="93">
        <v>2917.73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44611</v>
      </c>
      <c r="G18" s="90" t="s">
        <v>1413</v>
      </c>
      <c r="H18" s="90" t="s">
        <v>925</v>
      </c>
      <c r="I18" s="90" t="s">
        <v>931</v>
      </c>
      <c r="J18" s="90" t="s">
        <v>678</v>
      </c>
      <c r="K18" s="93">
        <v>2817.56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44612</v>
      </c>
      <c r="G19" s="90" t="s">
        <v>921</v>
      </c>
      <c r="H19" s="90" t="s">
        <v>2706</v>
      </c>
      <c r="I19" s="90" t="s">
        <v>927</v>
      </c>
      <c r="J19" s="90" t="s">
        <v>678</v>
      </c>
      <c r="K19" s="93">
        <v>1465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44617</v>
      </c>
      <c r="G20" s="90" t="s">
        <v>922</v>
      </c>
      <c r="H20" s="90" t="s">
        <v>926</v>
      </c>
      <c r="I20" s="90" t="s">
        <v>934</v>
      </c>
      <c r="J20" s="90" t="s">
        <v>678</v>
      </c>
      <c r="K20" s="93">
        <v>261.39999999999998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44617</v>
      </c>
      <c r="G21" s="90" t="s">
        <v>664</v>
      </c>
      <c r="H21" s="90" t="s">
        <v>926</v>
      </c>
      <c r="I21" s="90" t="s">
        <v>933</v>
      </c>
      <c r="J21" s="90" t="s">
        <v>678</v>
      </c>
      <c r="K21" s="93">
        <v>5640.77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44621</v>
      </c>
      <c r="G22" s="90" t="s">
        <v>923</v>
      </c>
      <c r="H22" s="90" t="s">
        <v>2707</v>
      </c>
      <c r="I22" s="90" t="s">
        <v>932</v>
      </c>
      <c r="J22" s="90" t="s">
        <v>678</v>
      </c>
      <c r="K22" s="93">
        <v>445.06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44627</v>
      </c>
      <c r="G23" s="90" t="s">
        <v>924</v>
      </c>
      <c r="H23" s="90" t="s">
        <v>2708</v>
      </c>
      <c r="I23" s="90" t="s">
        <v>929</v>
      </c>
      <c r="J23" s="90" t="s">
        <v>678</v>
      </c>
      <c r="K23" s="93">
        <v>1176.05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44630</v>
      </c>
      <c r="G24" s="90" t="s">
        <v>1414</v>
      </c>
      <c r="H24" s="90" t="s">
        <v>2708</v>
      </c>
      <c r="I24" s="90" t="s">
        <v>929</v>
      </c>
      <c r="J24" s="90" t="s">
        <v>678</v>
      </c>
      <c r="K24" s="93">
        <v>3502.11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44638</v>
      </c>
      <c r="G25" s="90" t="s">
        <v>1415</v>
      </c>
      <c r="H25" s="90" t="s">
        <v>743</v>
      </c>
      <c r="I25" s="90" t="s">
        <v>930</v>
      </c>
      <c r="J25" s="90" t="s">
        <v>678</v>
      </c>
      <c r="K25" s="93">
        <v>2917.73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44639</v>
      </c>
      <c r="G26" s="90" t="s">
        <v>1416</v>
      </c>
      <c r="H26" s="90" t="s">
        <v>925</v>
      </c>
      <c r="I26" s="90" t="s">
        <v>931</v>
      </c>
      <c r="J26" s="90" t="s">
        <v>678</v>
      </c>
      <c r="K26" s="93">
        <v>1999.16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44639</v>
      </c>
      <c r="G27" s="90" t="s">
        <v>1417</v>
      </c>
      <c r="H27" s="90" t="s">
        <v>926</v>
      </c>
      <c r="I27" s="90" t="s">
        <v>934</v>
      </c>
      <c r="J27" s="90" t="s">
        <v>678</v>
      </c>
      <c r="K27" s="93">
        <v>213.88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44640</v>
      </c>
      <c r="G28" s="90" t="s">
        <v>1418</v>
      </c>
      <c r="H28" s="90" t="s">
        <v>2706</v>
      </c>
      <c r="I28" s="90" t="s">
        <v>927</v>
      </c>
      <c r="J28" s="90" t="s">
        <v>678</v>
      </c>
      <c r="K28" s="93">
        <v>1465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44640</v>
      </c>
      <c r="G29" s="90" t="s">
        <v>985</v>
      </c>
      <c r="H29" s="90" t="s">
        <v>926</v>
      </c>
      <c r="I29" s="90" t="s">
        <v>933</v>
      </c>
      <c r="J29" s="90" t="s">
        <v>678</v>
      </c>
      <c r="K29" s="93">
        <v>5299.73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44646</v>
      </c>
      <c r="G30" s="90" t="s">
        <v>1419</v>
      </c>
      <c r="H30" s="90" t="s">
        <v>2707</v>
      </c>
      <c r="I30" s="90" t="s">
        <v>932</v>
      </c>
      <c r="J30" s="90" t="s">
        <v>678</v>
      </c>
      <c r="K30" s="93">
        <v>434.35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44658</v>
      </c>
      <c r="G31" s="90" t="s">
        <v>2648</v>
      </c>
      <c r="H31" s="90" t="s">
        <v>2708</v>
      </c>
      <c r="I31" s="90" t="s">
        <v>929</v>
      </c>
      <c r="J31" s="90" t="s">
        <v>678</v>
      </c>
      <c r="K31" s="93">
        <v>1173.9100000000001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44661</v>
      </c>
      <c r="G32" s="90" t="s">
        <v>2649</v>
      </c>
      <c r="H32" s="90" t="s">
        <v>2708</v>
      </c>
      <c r="I32" s="90" t="s">
        <v>929</v>
      </c>
      <c r="J32" s="90" t="s">
        <v>678</v>
      </c>
      <c r="K32" s="93">
        <v>3499.68</v>
      </c>
    </row>
    <row r="33" spans="1:11" ht="14.6" x14ac:dyDescent="0.4">
      <c r="A33" s="90"/>
      <c r="B33" s="90"/>
      <c r="C33" s="90"/>
      <c r="D33" s="90"/>
      <c r="E33" s="90" t="s">
        <v>653</v>
      </c>
      <c r="F33" s="91">
        <v>44669</v>
      </c>
      <c r="G33" s="90" t="s">
        <v>2650</v>
      </c>
      <c r="H33" s="90" t="s">
        <v>743</v>
      </c>
      <c r="I33" s="90" t="s">
        <v>930</v>
      </c>
      <c r="J33" s="90" t="s">
        <v>678</v>
      </c>
      <c r="K33" s="93">
        <v>3177.46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44670</v>
      </c>
      <c r="G34" s="90" t="s">
        <v>2651</v>
      </c>
      <c r="H34" s="90" t="s">
        <v>925</v>
      </c>
      <c r="I34" s="90" t="s">
        <v>931</v>
      </c>
      <c r="J34" s="90" t="s">
        <v>678</v>
      </c>
      <c r="K34" s="93">
        <v>1566.99</v>
      </c>
    </row>
    <row r="35" spans="1:11" ht="15" customHeight="1" x14ac:dyDescent="0.4">
      <c r="A35" s="90"/>
      <c r="B35" s="90"/>
      <c r="C35" s="90"/>
      <c r="D35" s="90"/>
      <c r="E35" s="90" t="s">
        <v>653</v>
      </c>
      <c r="F35" s="91">
        <v>44671</v>
      </c>
      <c r="G35" s="90" t="s">
        <v>2652</v>
      </c>
      <c r="H35" s="90" t="s">
        <v>2706</v>
      </c>
      <c r="I35" s="90" t="s">
        <v>927</v>
      </c>
      <c r="J35" s="90" t="s">
        <v>678</v>
      </c>
      <c r="K35" s="93">
        <v>1465</v>
      </c>
    </row>
    <row r="36" spans="1:11" ht="15" customHeight="1" x14ac:dyDescent="0.4">
      <c r="A36" s="90"/>
      <c r="B36" s="90"/>
      <c r="C36" s="90"/>
      <c r="D36" s="90"/>
      <c r="E36" s="90" t="s">
        <v>653</v>
      </c>
      <c r="F36" s="91">
        <v>44677</v>
      </c>
      <c r="G36" s="90" t="s">
        <v>2653</v>
      </c>
      <c r="H36" s="90" t="s">
        <v>2707</v>
      </c>
      <c r="I36" s="90" t="s">
        <v>932</v>
      </c>
      <c r="J36" s="90" t="s">
        <v>678</v>
      </c>
      <c r="K36" s="93">
        <v>434.35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44679</v>
      </c>
      <c r="G37" s="90" t="s">
        <v>1420</v>
      </c>
      <c r="H37" s="90" t="s">
        <v>926</v>
      </c>
      <c r="I37" s="90" t="s">
        <v>933</v>
      </c>
      <c r="J37" s="90" t="s">
        <v>678</v>
      </c>
      <c r="K37" s="93">
        <v>5234.3999999999996</v>
      </c>
    </row>
    <row r="38" spans="1:11" ht="15" customHeight="1" x14ac:dyDescent="0.4">
      <c r="A38" s="90"/>
      <c r="B38" s="90"/>
      <c r="C38" s="90"/>
      <c r="D38" s="90"/>
      <c r="E38" s="90" t="s">
        <v>653</v>
      </c>
      <c r="F38" s="91">
        <v>44679</v>
      </c>
      <c r="G38" s="90" t="s">
        <v>2654</v>
      </c>
      <c r="H38" s="90" t="s">
        <v>926</v>
      </c>
      <c r="I38" s="90" t="s">
        <v>934</v>
      </c>
      <c r="J38" s="90" t="s">
        <v>678</v>
      </c>
      <c r="K38" s="93">
        <v>237.64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44688</v>
      </c>
      <c r="G39" s="90" t="s">
        <v>2655</v>
      </c>
      <c r="H39" s="90" t="s">
        <v>2708</v>
      </c>
      <c r="I39" s="90" t="s">
        <v>929</v>
      </c>
      <c r="J39" s="90" t="s">
        <v>678</v>
      </c>
      <c r="K39" s="93">
        <v>1173.9100000000001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44691</v>
      </c>
      <c r="G40" s="90" t="s">
        <v>2656</v>
      </c>
      <c r="H40" s="90" t="s">
        <v>2708</v>
      </c>
      <c r="I40" s="90" t="s">
        <v>929</v>
      </c>
      <c r="J40" s="90" t="s">
        <v>678</v>
      </c>
      <c r="K40" s="93">
        <v>3499.68</v>
      </c>
    </row>
    <row r="41" spans="1:11" ht="15" customHeight="1" x14ac:dyDescent="0.4">
      <c r="A41" s="90"/>
      <c r="B41" s="90"/>
      <c r="C41" s="90"/>
      <c r="D41" s="90"/>
      <c r="E41" s="90" t="s">
        <v>653</v>
      </c>
      <c r="F41" s="91">
        <v>44699</v>
      </c>
      <c r="G41" s="90" t="s">
        <v>2657</v>
      </c>
      <c r="H41" s="90" t="s">
        <v>743</v>
      </c>
      <c r="I41" s="90" t="s">
        <v>930</v>
      </c>
      <c r="J41" s="90" t="s">
        <v>678</v>
      </c>
      <c r="K41" s="93">
        <v>3076.56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44700</v>
      </c>
      <c r="G42" s="90" t="s">
        <v>2658</v>
      </c>
      <c r="H42" s="90" t="s">
        <v>925</v>
      </c>
      <c r="I42" s="90" t="s">
        <v>931</v>
      </c>
      <c r="J42" s="90" t="s">
        <v>678</v>
      </c>
      <c r="K42" s="93">
        <v>1623.01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44701</v>
      </c>
      <c r="G43" s="90" t="s">
        <v>2659</v>
      </c>
      <c r="H43" s="90" t="s">
        <v>2706</v>
      </c>
      <c r="I43" s="90" t="s">
        <v>927</v>
      </c>
      <c r="J43" s="90" t="s">
        <v>678</v>
      </c>
      <c r="K43" s="93">
        <v>1465</v>
      </c>
    </row>
    <row r="44" spans="1:11" ht="15" customHeight="1" x14ac:dyDescent="0.4">
      <c r="A44" s="90"/>
      <c r="B44" s="90"/>
      <c r="C44" s="90"/>
      <c r="D44" s="90"/>
      <c r="E44" s="90" t="s">
        <v>653</v>
      </c>
      <c r="F44" s="91">
        <v>44707</v>
      </c>
      <c r="G44" s="90" t="s">
        <v>2660</v>
      </c>
      <c r="H44" s="90" t="s">
        <v>2707</v>
      </c>
      <c r="I44" s="90" t="s">
        <v>932</v>
      </c>
      <c r="J44" s="90" t="s">
        <v>678</v>
      </c>
      <c r="K44" s="93">
        <v>434.35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44711</v>
      </c>
      <c r="G45" s="90" t="s">
        <v>2042</v>
      </c>
      <c r="H45" s="90" t="s">
        <v>926</v>
      </c>
      <c r="I45" s="90" t="s">
        <v>933</v>
      </c>
      <c r="J45" s="90" t="s">
        <v>678</v>
      </c>
      <c r="K45" s="93">
        <v>5736.43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44711</v>
      </c>
      <c r="G46" s="90" t="s">
        <v>2661</v>
      </c>
      <c r="H46" s="90" t="s">
        <v>926</v>
      </c>
      <c r="I46" s="90" t="s">
        <v>934</v>
      </c>
      <c r="J46" s="90" t="s">
        <v>678</v>
      </c>
      <c r="K46" s="93">
        <v>237.64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44719</v>
      </c>
      <c r="G47" s="90" t="s">
        <v>2662</v>
      </c>
      <c r="H47" s="90" t="s">
        <v>2708</v>
      </c>
      <c r="I47" s="90" t="s">
        <v>929</v>
      </c>
      <c r="J47" s="90" t="s">
        <v>678</v>
      </c>
      <c r="K47" s="93">
        <v>1173.9100000000001</v>
      </c>
    </row>
    <row r="48" spans="1:11" ht="15" customHeight="1" x14ac:dyDescent="0.4">
      <c r="A48" s="90"/>
      <c r="B48" s="90"/>
      <c r="C48" s="90"/>
      <c r="D48" s="90"/>
      <c r="E48" s="90" t="s">
        <v>653</v>
      </c>
      <c r="F48" s="91">
        <v>44722</v>
      </c>
      <c r="G48" s="90" t="s">
        <v>2663</v>
      </c>
      <c r="H48" s="90" t="s">
        <v>2708</v>
      </c>
      <c r="I48" s="90" t="s">
        <v>929</v>
      </c>
      <c r="J48" s="90" t="s">
        <v>678</v>
      </c>
      <c r="K48" s="93">
        <v>3499.68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44730</v>
      </c>
      <c r="G49" s="90" t="s">
        <v>2664</v>
      </c>
      <c r="H49" s="90" t="s">
        <v>743</v>
      </c>
      <c r="I49" s="90" t="s">
        <v>930</v>
      </c>
      <c r="J49" s="90" t="s">
        <v>678</v>
      </c>
      <c r="K49" s="93">
        <v>3047.33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44731</v>
      </c>
      <c r="G50" s="90" t="s">
        <v>2665</v>
      </c>
      <c r="H50" s="90" t="s">
        <v>926</v>
      </c>
      <c r="I50" s="90" t="s">
        <v>934</v>
      </c>
      <c r="J50" s="90" t="s">
        <v>678</v>
      </c>
      <c r="K50" s="93">
        <v>237.64</v>
      </c>
    </row>
    <row r="51" spans="1:11" ht="15" customHeight="1" x14ac:dyDescent="0.4">
      <c r="A51" s="90"/>
      <c r="B51" s="90"/>
      <c r="C51" s="90"/>
      <c r="D51" s="90"/>
      <c r="E51" s="90" t="s">
        <v>653</v>
      </c>
      <c r="F51" s="91">
        <v>44731</v>
      </c>
      <c r="G51" s="90" t="s">
        <v>2660</v>
      </c>
      <c r="H51" s="90" t="s">
        <v>926</v>
      </c>
      <c r="I51" s="90" t="s">
        <v>933</v>
      </c>
      <c r="J51" s="90" t="s">
        <v>678</v>
      </c>
      <c r="K51" s="93">
        <v>6261.55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44731</v>
      </c>
      <c r="G52" s="90" t="s">
        <v>2666</v>
      </c>
      <c r="H52" s="90" t="s">
        <v>925</v>
      </c>
      <c r="I52" s="90" t="s">
        <v>931</v>
      </c>
      <c r="J52" s="90" t="s">
        <v>678</v>
      </c>
      <c r="K52" s="93">
        <v>1893.62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44732</v>
      </c>
      <c r="G53" s="90" t="s">
        <v>2667</v>
      </c>
      <c r="H53" s="90" t="s">
        <v>2706</v>
      </c>
      <c r="I53" s="90" t="s">
        <v>927</v>
      </c>
      <c r="J53" s="90" t="s">
        <v>678</v>
      </c>
      <c r="K53" s="93">
        <v>1465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44740</v>
      </c>
      <c r="G54" s="90" t="s">
        <v>1381</v>
      </c>
      <c r="H54" s="90" t="s">
        <v>2707</v>
      </c>
      <c r="I54" s="90" t="s">
        <v>932</v>
      </c>
      <c r="J54" s="90" t="s">
        <v>678</v>
      </c>
      <c r="K54" s="93">
        <v>434.35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44749</v>
      </c>
      <c r="G55" s="90" t="s">
        <v>2668</v>
      </c>
      <c r="H55" s="90" t="s">
        <v>2708</v>
      </c>
      <c r="I55" s="90" t="s">
        <v>929</v>
      </c>
      <c r="J55" s="90" t="s">
        <v>678</v>
      </c>
      <c r="K55" s="93">
        <v>1173.9100000000001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44752</v>
      </c>
      <c r="G56" s="90" t="s">
        <v>2669</v>
      </c>
      <c r="H56" s="90" t="s">
        <v>2708</v>
      </c>
      <c r="I56" s="90" t="s">
        <v>929</v>
      </c>
      <c r="J56" s="90" t="s">
        <v>678</v>
      </c>
      <c r="K56" s="93">
        <v>3499.68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44760</v>
      </c>
      <c r="G57" s="90" t="s">
        <v>2670</v>
      </c>
      <c r="H57" s="90" t="s">
        <v>743</v>
      </c>
      <c r="I57" s="90" t="s">
        <v>930</v>
      </c>
      <c r="J57" s="90" t="s">
        <v>678</v>
      </c>
      <c r="K57" s="93">
        <v>3082.99</v>
      </c>
    </row>
    <row r="58" spans="1:11" ht="15" customHeight="1" x14ac:dyDescent="0.4">
      <c r="A58" s="90"/>
      <c r="B58" s="90"/>
      <c r="C58" s="90"/>
      <c r="D58" s="90"/>
      <c r="E58" s="90" t="s">
        <v>653</v>
      </c>
      <c r="F58" s="91">
        <v>44761</v>
      </c>
      <c r="G58" s="90" t="s">
        <v>2671</v>
      </c>
      <c r="H58" s="90" t="s">
        <v>925</v>
      </c>
      <c r="I58" s="90" t="s">
        <v>931</v>
      </c>
      <c r="J58" s="90" t="s">
        <v>678</v>
      </c>
      <c r="K58" s="93">
        <v>2389.37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44762</v>
      </c>
      <c r="G59" s="90" t="s">
        <v>2672</v>
      </c>
      <c r="H59" s="90" t="s">
        <v>2706</v>
      </c>
      <c r="I59" s="90" t="s">
        <v>927</v>
      </c>
      <c r="J59" s="90" t="s">
        <v>678</v>
      </c>
      <c r="K59" s="93">
        <v>1465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44768</v>
      </c>
      <c r="G60" s="90" t="s">
        <v>2061</v>
      </c>
      <c r="H60" s="90" t="s">
        <v>2707</v>
      </c>
      <c r="I60" s="90" t="s">
        <v>932</v>
      </c>
      <c r="J60" s="90" t="s">
        <v>678</v>
      </c>
      <c r="K60" s="93">
        <v>434.35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44770</v>
      </c>
      <c r="G61" s="90" t="s">
        <v>1381</v>
      </c>
      <c r="H61" s="90" t="s">
        <v>926</v>
      </c>
      <c r="I61" s="90" t="s">
        <v>933</v>
      </c>
      <c r="J61" s="90" t="s">
        <v>678</v>
      </c>
      <c r="K61" s="93">
        <v>6916.29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44770</v>
      </c>
      <c r="G62" s="90" t="s">
        <v>2673</v>
      </c>
      <c r="H62" s="90" t="s">
        <v>926</v>
      </c>
      <c r="I62" s="90" t="s">
        <v>934</v>
      </c>
      <c r="J62" s="90" t="s">
        <v>678</v>
      </c>
      <c r="K62" s="93">
        <v>237.64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44780</v>
      </c>
      <c r="G63" s="90" t="s">
        <v>2674</v>
      </c>
      <c r="H63" s="90" t="s">
        <v>2708</v>
      </c>
      <c r="I63" s="90" t="s">
        <v>929</v>
      </c>
      <c r="J63" s="90" t="s">
        <v>678</v>
      </c>
      <c r="K63" s="93">
        <v>1410.19</v>
      </c>
    </row>
    <row r="64" spans="1:11" ht="15" customHeight="1" x14ac:dyDescent="0.4">
      <c r="A64" s="90"/>
      <c r="B64" s="90"/>
      <c r="C64" s="90"/>
      <c r="D64" s="90"/>
      <c r="E64" s="90" t="s">
        <v>653</v>
      </c>
      <c r="F64" s="91">
        <v>44783</v>
      </c>
      <c r="G64" s="90" t="s">
        <v>2675</v>
      </c>
      <c r="H64" s="90" t="s">
        <v>2708</v>
      </c>
      <c r="I64" s="90" t="s">
        <v>929</v>
      </c>
      <c r="J64" s="90" t="s">
        <v>678</v>
      </c>
      <c r="K64" s="93">
        <v>3769.05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44791</v>
      </c>
      <c r="G65" s="90" t="s">
        <v>2676</v>
      </c>
      <c r="H65" s="90" t="s">
        <v>743</v>
      </c>
      <c r="I65" s="90" t="s">
        <v>930</v>
      </c>
      <c r="J65" s="90" t="s">
        <v>678</v>
      </c>
      <c r="K65" s="93">
        <v>3082.99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44792</v>
      </c>
      <c r="G66" s="90" t="s">
        <v>2677</v>
      </c>
      <c r="H66" s="90" t="s">
        <v>925</v>
      </c>
      <c r="I66" s="90" t="s">
        <v>931</v>
      </c>
      <c r="J66" s="90" t="s">
        <v>678</v>
      </c>
      <c r="K66" s="93">
        <v>2316.5500000000002</v>
      </c>
    </row>
    <row r="67" spans="1:11" ht="15" customHeight="1" x14ac:dyDescent="0.4">
      <c r="A67" s="90"/>
      <c r="B67" s="90"/>
      <c r="C67" s="90"/>
      <c r="D67" s="90"/>
      <c r="E67" s="90" t="s">
        <v>653</v>
      </c>
      <c r="F67" s="91">
        <v>44793</v>
      </c>
      <c r="G67" s="90" t="s">
        <v>2678</v>
      </c>
      <c r="H67" s="90" t="s">
        <v>2706</v>
      </c>
      <c r="I67" s="90" t="s">
        <v>927</v>
      </c>
      <c r="J67" s="90" t="s">
        <v>678</v>
      </c>
      <c r="K67" s="93">
        <v>1465</v>
      </c>
    </row>
    <row r="68" spans="1:11" ht="15" customHeight="1" x14ac:dyDescent="0.4">
      <c r="A68" s="90"/>
      <c r="B68" s="90"/>
      <c r="C68" s="90"/>
      <c r="D68" s="90"/>
      <c r="E68" s="90" t="s">
        <v>653</v>
      </c>
      <c r="F68" s="91">
        <v>44798</v>
      </c>
      <c r="G68" s="90" t="s">
        <v>2140</v>
      </c>
      <c r="H68" s="90" t="s">
        <v>2707</v>
      </c>
      <c r="I68" s="90" t="s">
        <v>932</v>
      </c>
      <c r="J68" s="90" t="s">
        <v>678</v>
      </c>
      <c r="K68" s="93">
        <v>445.1</v>
      </c>
    </row>
    <row r="69" spans="1:11" ht="15" customHeight="1" x14ac:dyDescent="0.4">
      <c r="A69" s="90"/>
      <c r="B69" s="90"/>
      <c r="C69" s="90"/>
      <c r="D69" s="90"/>
      <c r="E69" s="90" t="s">
        <v>653</v>
      </c>
      <c r="F69" s="91">
        <v>44803</v>
      </c>
      <c r="G69" s="90" t="s">
        <v>2061</v>
      </c>
      <c r="H69" s="90" t="s">
        <v>926</v>
      </c>
      <c r="I69" s="90" t="s">
        <v>933</v>
      </c>
      <c r="J69" s="90" t="s">
        <v>678</v>
      </c>
      <c r="K69" s="93">
        <v>6699.17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44803</v>
      </c>
      <c r="G70" s="90" t="s">
        <v>2679</v>
      </c>
      <c r="H70" s="90" t="s">
        <v>926</v>
      </c>
      <c r="I70" s="90" t="s">
        <v>934</v>
      </c>
      <c r="J70" s="90" t="s">
        <v>678</v>
      </c>
      <c r="K70" s="93">
        <v>261.39999999999998</v>
      </c>
    </row>
    <row r="71" spans="1:11" ht="15" customHeight="1" x14ac:dyDescent="0.4">
      <c r="A71" s="90"/>
      <c r="B71" s="90"/>
      <c r="C71" s="90"/>
      <c r="D71" s="90"/>
      <c r="E71" s="90" t="s">
        <v>653</v>
      </c>
      <c r="F71" s="91">
        <v>44811</v>
      </c>
      <c r="G71" s="90" t="s">
        <v>2680</v>
      </c>
      <c r="H71" s="90" t="s">
        <v>2708</v>
      </c>
      <c r="I71" s="90" t="s">
        <v>929</v>
      </c>
      <c r="J71" s="90" t="s">
        <v>678</v>
      </c>
      <c r="K71" s="93">
        <v>1410.19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44814</v>
      </c>
      <c r="G72" s="90" t="s">
        <v>2681</v>
      </c>
      <c r="H72" s="90" t="s">
        <v>2708</v>
      </c>
      <c r="I72" s="90" t="s">
        <v>929</v>
      </c>
      <c r="J72" s="90" t="s">
        <v>678</v>
      </c>
      <c r="K72" s="93">
        <v>3769.05</v>
      </c>
    </row>
    <row r="73" spans="1:11" ht="15" customHeight="1" x14ac:dyDescent="0.4">
      <c r="A73" s="90"/>
      <c r="B73" s="90"/>
      <c r="C73" s="90"/>
      <c r="D73" s="90"/>
      <c r="E73" s="90" t="s">
        <v>653</v>
      </c>
      <c r="F73" s="91">
        <v>44822</v>
      </c>
      <c r="G73" s="90" t="s">
        <v>2682</v>
      </c>
      <c r="H73" s="90" t="s">
        <v>743</v>
      </c>
      <c r="I73" s="90" t="s">
        <v>930</v>
      </c>
      <c r="J73" s="90" t="s">
        <v>678</v>
      </c>
      <c r="K73" s="93">
        <v>3082.99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44823</v>
      </c>
      <c r="G74" s="90" t="s">
        <v>2683</v>
      </c>
      <c r="H74" s="90" t="s">
        <v>925</v>
      </c>
      <c r="I74" s="90" t="s">
        <v>931</v>
      </c>
      <c r="J74" s="90" t="s">
        <v>678</v>
      </c>
      <c r="K74" s="93">
        <v>3080.65</v>
      </c>
    </row>
    <row r="75" spans="1:11" ht="15" customHeight="1" x14ac:dyDescent="0.4">
      <c r="A75" s="90"/>
      <c r="B75" s="90"/>
      <c r="C75" s="90"/>
      <c r="D75" s="90"/>
      <c r="E75" s="90" t="s">
        <v>653</v>
      </c>
      <c r="F75" s="91">
        <v>44824</v>
      </c>
      <c r="G75" s="90" t="s">
        <v>2684</v>
      </c>
      <c r="H75" s="90" t="s">
        <v>2706</v>
      </c>
      <c r="I75" s="90" t="s">
        <v>927</v>
      </c>
      <c r="J75" s="90" t="s">
        <v>678</v>
      </c>
      <c r="K75" s="93">
        <v>1465</v>
      </c>
    </row>
    <row r="76" spans="1:11" ht="15" customHeight="1" x14ac:dyDescent="0.4">
      <c r="A76" s="90"/>
      <c r="B76" s="90"/>
      <c r="C76" s="90"/>
      <c r="D76" s="90"/>
      <c r="E76" s="90" t="s">
        <v>653</v>
      </c>
      <c r="F76" s="91">
        <v>44830</v>
      </c>
      <c r="G76" s="90" t="s">
        <v>2204</v>
      </c>
      <c r="H76" s="90" t="s">
        <v>2707</v>
      </c>
      <c r="I76" s="90" t="s">
        <v>932</v>
      </c>
      <c r="J76" s="90" t="s">
        <v>678</v>
      </c>
      <c r="K76" s="93">
        <v>434.39</v>
      </c>
    </row>
    <row r="77" spans="1:11" ht="15" customHeight="1" x14ac:dyDescent="0.4">
      <c r="A77" s="90"/>
      <c r="B77" s="90"/>
      <c r="C77" s="90"/>
      <c r="D77" s="90"/>
      <c r="E77" s="90" t="s">
        <v>653</v>
      </c>
      <c r="F77" s="91">
        <v>44833</v>
      </c>
      <c r="G77" s="90" t="s">
        <v>2140</v>
      </c>
      <c r="H77" s="90" t="s">
        <v>926</v>
      </c>
      <c r="I77" s="90" t="s">
        <v>933</v>
      </c>
      <c r="J77" s="90" t="s">
        <v>678</v>
      </c>
      <c r="K77" s="93">
        <v>5615.58</v>
      </c>
    </row>
    <row r="78" spans="1:11" ht="15" customHeight="1" x14ac:dyDescent="0.4">
      <c r="A78" s="90"/>
      <c r="B78" s="90"/>
      <c r="C78" s="90"/>
      <c r="D78" s="90"/>
      <c r="E78" s="90" t="s">
        <v>653</v>
      </c>
      <c r="F78" s="91">
        <v>44833</v>
      </c>
      <c r="G78" s="90" t="s">
        <v>2685</v>
      </c>
      <c r="H78" s="90" t="s">
        <v>926</v>
      </c>
      <c r="I78" s="90" t="s">
        <v>934</v>
      </c>
      <c r="J78" s="90" t="s">
        <v>678</v>
      </c>
      <c r="K78" s="93">
        <v>237.64</v>
      </c>
    </row>
    <row r="79" spans="1:11" ht="15" customHeight="1" x14ac:dyDescent="0.4">
      <c r="A79" s="90"/>
      <c r="B79" s="90"/>
      <c r="C79" s="90"/>
      <c r="D79" s="90"/>
      <c r="E79" s="90" t="s">
        <v>653</v>
      </c>
      <c r="F79" s="91">
        <v>44841</v>
      </c>
      <c r="G79" s="90" t="s">
        <v>2686</v>
      </c>
      <c r="H79" s="90" t="s">
        <v>2708</v>
      </c>
      <c r="I79" s="90" t="s">
        <v>929</v>
      </c>
      <c r="J79" s="90" t="s">
        <v>678</v>
      </c>
      <c r="K79" s="93">
        <v>1410.19</v>
      </c>
    </row>
    <row r="80" spans="1:11" ht="15" customHeight="1" x14ac:dyDescent="0.4">
      <c r="A80" s="90"/>
      <c r="B80" s="90"/>
      <c r="C80" s="90"/>
      <c r="D80" s="90"/>
      <c r="E80" s="90" t="s">
        <v>653</v>
      </c>
      <c r="F80" s="91">
        <v>44841</v>
      </c>
      <c r="G80" s="90" t="s">
        <v>2687</v>
      </c>
      <c r="H80" s="90" t="s">
        <v>2708</v>
      </c>
      <c r="I80" s="90" t="s">
        <v>929</v>
      </c>
      <c r="J80" s="90" t="s">
        <v>678</v>
      </c>
      <c r="K80" s="93">
        <v>3769.05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44851</v>
      </c>
      <c r="G81" s="90" t="s">
        <v>2688</v>
      </c>
      <c r="H81" s="90" t="s">
        <v>2706</v>
      </c>
      <c r="I81" s="90" t="s">
        <v>927</v>
      </c>
      <c r="J81" s="90" t="s">
        <v>678</v>
      </c>
      <c r="K81" s="93">
        <v>1465</v>
      </c>
    </row>
    <row r="82" spans="1:11" ht="15" customHeight="1" x14ac:dyDescent="0.4">
      <c r="A82" s="90"/>
      <c r="B82" s="90"/>
      <c r="C82" s="90"/>
      <c r="D82" s="90"/>
      <c r="E82" s="90" t="s">
        <v>653</v>
      </c>
      <c r="F82" s="91">
        <v>44852</v>
      </c>
      <c r="G82" s="90" t="s">
        <v>2689</v>
      </c>
      <c r="H82" s="90" t="s">
        <v>743</v>
      </c>
      <c r="I82" s="90" t="s">
        <v>930</v>
      </c>
      <c r="J82" s="90" t="s">
        <v>678</v>
      </c>
      <c r="K82" s="93">
        <v>3109.53</v>
      </c>
    </row>
    <row r="83" spans="1:11" ht="15" customHeight="1" x14ac:dyDescent="0.4">
      <c r="A83" s="90"/>
      <c r="B83" s="90"/>
      <c r="C83" s="90"/>
      <c r="D83" s="90"/>
      <c r="E83" s="90" t="s">
        <v>653</v>
      </c>
      <c r="F83" s="91">
        <v>44853</v>
      </c>
      <c r="G83" s="90" t="s">
        <v>2690</v>
      </c>
      <c r="H83" s="90" t="s">
        <v>925</v>
      </c>
      <c r="I83" s="90" t="s">
        <v>931</v>
      </c>
      <c r="J83" s="90" t="s">
        <v>678</v>
      </c>
      <c r="K83" s="93">
        <v>2968.85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44860</v>
      </c>
      <c r="G84" s="90" t="s">
        <v>2691</v>
      </c>
      <c r="H84" s="90" t="s">
        <v>2707</v>
      </c>
      <c r="I84" s="90" t="s">
        <v>932</v>
      </c>
      <c r="J84" s="90" t="s">
        <v>678</v>
      </c>
      <c r="K84" s="93">
        <v>434.39</v>
      </c>
    </row>
    <row r="85" spans="1:11" ht="15" customHeight="1" x14ac:dyDescent="0.4">
      <c r="A85" s="90"/>
      <c r="B85" s="90"/>
      <c r="C85" s="90"/>
      <c r="D85" s="90"/>
      <c r="E85" s="90" t="s">
        <v>653</v>
      </c>
      <c r="F85" s="91">
        <v>44861</v>
      </c>
      <c r="G85" s="90" t="s">
        <v>2204</v>
      </c>
      <c r="H85" s="90" t="s">
        <v>926</v>
      </c>
      <c r="I85" s="90" t="s">
        <v>933</v>
      </c>
      <c r="J85" s="90" t="s">
        <v>678</v>
      </c>
      <c r="K85" s="93">
        <v>5413.44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44861</v>
      </c>
      <c r="G86" s="90" t="s">
        <v>2692</v>
      </c>
      <c r="H86" s="90" t="s">
        <v>926</v>
      </c>
      <c r="I86" s="90" t="s">
        <v>934</v>
      </c>
      <c r="J86" s="90" t="s">
        <v>678</v>
      </c>
      <c r="K86" s="93">
        <v>237.64</v>
      </c>
    </row>
    <row r="87" spans="1:11" ht="15" customHeight="1" x14ac:dyDescent="0.4">
      <c r="A87" s="90"/>
      <c r="B87" s="90"/>
      <c r="C87" s="90"/>
      <c r="D87" s="90"/>
      <c r="E87" s="90" t="s">
        <v>653</v>
      </c>
      <c r="F87" s="91">
        <v>44872</v>
      </c>
      <c r="G87" s="90" t="s">
        <v>2693</v>
      </c>
      <c r="H87" s="90" t="s">
        <v>2708</v>
      </c>
      <c r="I87" s="90" t="s">
        <v>929</v>
      </c>
      <c r="J87" s="90" t="s">
        <v>678</v>
      </c>
      <c r="K87" s="93">
        <v>1410.19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44875</v>
      </c>
      <c r="G88" s="90" t="s">
        <v>2694</v>
      </c>
      <c r="H88" s="90" t="s">
        <v>2708</v>
      </c>
      <c r="I88" s="90" t="s">
        <v>929</v>
      </c>
      <c r="J88" s="90" t="s">
        <v>678</v>
      </c>
      <c r="K88" s="93">
        <v>3769.05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44880</v>
      </c>
      <c r="G89" s="90" t="s">
        <v>2695</v>
      </c>
      <c r="H89" s="90" t="s">
        <v>2706</v>
      </c>
      <c r="I89" s="90" t="s">
        <v>927</v>
      </c>
      <c r="J89" s="90" t="s">
        <v>678</v>
      </c>
      <c r="K89" s="93">
        <v>1465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44883</v>
      </c>
      <c r="G90" s="90" t="s">
        <v>2696</v>
      </c>
      <c r="H90" s="90" t="s">
        <v>743</v>
      </c>
      <c r="I90" s="90" t="s">
        <v>930</v>
      </c>
      <c r="J90" s="90" t="s">
        <v>678</v>
      </c>
      <c r="K90" s="93">
        <v>3168.63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44884</v>
      </c>
      <c r="G91" s="90" t="s">
        <v>2697</v>
      </c>
      <c r="H91" s="90" t="s">
        <v>925</v>
      </c>
      <c r="I91" s="90" t="s">
        <v>931</v>
      </c>
      <c r="J91" s="90" t="s">
        <v>678</v>
      </c>
      <c r="K91" s="93">
        <v>3036.19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44891</v>
      </c>
      <c r="G92" s="90" t="s">
        <v>2698</v>
      </c>
      <c r="H92" s="90" t="s">
        <v>2707</v>
      </c>
      <c r="I92" s="90" t="s">
        <v>932</v>
      </c>
      <c r="J92" s="90" t="s">
        <v>678</v>
      </c>
      <c r="K92" s="93">
        <v>434.39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44894</v>
      </c>
      <c r="G93" s="90" t="s">
        <v>2699</v>
      </c>
      <c r="H93" s="90" t="s">
        <v>926</v>
      </c>
      <c r="I93" s="90" t="s">
        <v>934</v>
      </c>
      <c r="J93" s="90" t="s">
        <v>678</v>
      </c>
      <c r="K93" s="93">
        <v>237.64</v>
      </c>
    </row>
    <row r="94" spans="1:11" ht="15" customHeight="1" x14ac:dyDescent="0.4">
      <c r="A94" s="90"/>
      <c r="B94" s="90"/>
      <c r="C94" s="90"/>
      <c r="D94" s="90"/>
      <c r="E94" s="90" t="s">
        <v>653</v>
      </c>
      <c r="F94" s="91">
        <v>44894</v>
      </c>
      <c r="G94" s="90" t="s">
        <v>2214</v>
      </c>
      <c r="H94" s="90" t="s">
        <v>926</v>
      </c>
      <c r="I94" s="90" t="s">
        <v>933</v>
      </c>
      <c r="J94" s="90" t="s">
        <v>678</v>
      </c>
      <c r="K94" s="93">
        <v>5100.12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44902</v>
      </c>
      <c r="G95" s="90" t="s">
        <v>2700</v>
      </c>
      <c r="H95" s="90" t="s">
        <v>2708</v>
      </c>
      <c r="I95" s="90" t="s">
        <v>929</v>
      </c>
      <c r="J95" s="90" t="s">
        <v>678</v>
      </c>
      <c r="K95" s="93">
        <v>1410.19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44905</v>
      </c>
      <c r="G96" s="90" t="s">
        <v>2701</v>
      </c>
      <c r="H96" s="90" t="s">
        <v>2708</v>
      </c>
      <c r="I96" s="90" t="s">
        <v>929</v>
      </c>
      <c r="J96" s="90" t="s">
        <v>678</v>
      </c>
      <c r="K96" s="93">
        <v>3769.05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44910</v>
      </c>
      <c r="G97" s="90" t="s">
        <v>2702</v>
      </c>
      <c r="H97" s="90" t="s">
        <v>2706</v>
      </c>
      <c r="I97" s="90" t="s">
        <v>927</v>
      </c>
      <c r="J97" s="90" t="s">
        <v>678</v>
      </c>
      <c r="K97" s="93">
        <v>1465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44913</v>
      </c>
      <c r="G98" s="90" t="s">
        <v>2703</v>
      </c>
      <c r="H98" s="90" t="s">
        <v>743</v>
      </c>
      <c r="I98" s="90" t="s">
        <v>930</v>
      </c>
      <c r="J98" s="90" t="s">
        <v>678</v>
      </c>
      <c r="K98" s="93">
        <v>3180.61</v>
      </c>
    </row>
    <row r="99" spans="1:11" ht="15" customHeight="1" x14ac:dyDescent="0.4">
      <c r="A99" s="90"/>
      <c r="B99" s="90"/>
      <c r="C99" s="90"/>
      <c r="D99" s="90"/>
      <c r="E99" s="90" t="s">
        <v>653</v>
      </c>
      <c r="F99" s="91">
        <v>44913</v>
      </c>
      <c r="G99" s="90" t="s">
        <v>1783</v>
      </c>
      <c r="H99" s="90" t="s">
        <v>926</v>
      </c>
      <c r="I99" s="90" t="s">
        <v>933</v>
      </c>
      <c r="J99" s="90" t="s">
        <v>678</v>
      </c>
      <c r="K99" s="93">
        <v>5550.27</v>
      </c>
    </row>
    <row r="100" spans="1:11" ht="15" customHeight="1" x14ac:dyDescent="0.4">
      <c r="A100" s="90"/>
      <c r="B100" s="90"/>
      <c r="C100" s="90"/>
      <c r="D100" s="90"/>
      <c r="E100" s="90" t="s">
        <v>653</v>
      </c>
      <c r="F100" s="91">
        <v>44914</v>
      </c>
      <c r="G100" s="90" t="s">
        <v>2704</v>
      </c>
      <c r="H100" s="90" t="s">
        <v>925</v>
      </c>
      <c r="I100" s="90" t="s">
        <v>931</v>
      </c>
      <c r="J100" s="90" t="s">
        <v>678</v>
      </c>
      <c r="K100" s="93">
        <v>3199.1</v>
      </c>
    </row>
    <row r="101" spans="1:11" ht="15" customHeight="1" thickBot="1" x14ac:dyDescent="0.45">
      <c r="A101" s="90"/>
      <c r="B101" s="90"/>
      <c r="C101" s="90"/>
      <c r="D101" s="90"/>
      <c r="E101" s="90" t="s">
        <v>653</v>
      </c>
      <c r="F101" s="91">
        <v>44914</v>
      </c>
      <c r="G101" s="90" t="s">
        <v>2705</v>
      </c>
      <c r="H101" s="90" t="s">
        <v>926</v>
      </c>
      <c r="I101" s="90" t="s">
        <v>934</v>
      </c>
      <c r="J101" s="90" t="s">
        <v>678</v>
      </c>
      <c r="K101" s="445">
        <v>237.64</v>
      </c>
    </row>
    <row r="102" spans="1:11" ht="15" customHeight="1" thickBot="1" x14ac:dyDescent="0.45">
      <c r="A102" s="90"/>
      <c r="B102" s="90"/>
      <c r="C102" s="90" t="s">
        <v>908</v>
      </c>
      <c r="D102" s="90"/>
      <c r="E102" s="90"/>
      <c r="F102" s="91"/>
      <c r="G102" s="90"/>
      <c r="H102" s="90"/>
      <c r="I102" s="90"/>
      <c r="J102" s="90"/>
      <c r="K102" s="446">
        <f>ROUND(SUM(K3:K101),5)</f>
        <v>219417.79</v>
      </c>
    </row>
    <row r="103" spans="1:11" ht="15" customHeight="1" thickBot="1" x14ac:dyDescent="0.45">
      <c r="A103" s="90"/>
      <c r="B103" s="90" t="s">
        <v>754</v>
      </c>
      <c r="C103" s="90"/>
      <c r="D103" s="90"/>
      <c r="E103" s="90"/>
      <c r="F103" s="91"/>
      <c r="G103" s="90"/>
      <c r="H103" s="90"/>
      <c r="I103" s="90"/>
      <c r="J103" s="90"/>
      <c r="K103" s="446">
        <f>K102</f>
        <v>219417.79</v>
      </c>
    </row>
    <row r="104" spans="1:11" ht="15" customHeight="1" thickBot="1" x14ac:dyDescent="0.45">
      <c r="A104" s="90" t="s">
        <v>158</v>
      </c>
      <c r="B104" s="90"/>
      <c r="C104" s="90"/>
      <c r="D104" s="90"/>
      <c r="E104" s="90"/>
      <c r="F104" s="91"/>
      <c r="G104" s="90"/>
      <c r="H104" s="90"/>
      <c r="I104" s="90"/>
      <c r="J104" s="90"/>
      <c r="K104" s="447">
        <f>K103</f>
        <v>219417.79</v>
      </c>
    </row>
    <row r="105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8:37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70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7045" r:id="rId4" name="FILTER"/>
      </mc:Fallback>
    </mc:AlternateContent>
    <mc:AlternateContent xmlns:mc="http://schemas.openxmlformats.org/markup-compatibility/2006">
      <mc:Choice Requires="x14">
        <control shapeId="8704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7046" r:id="rId6" name="HEADER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L188"/>
  <sheetViews>
    <sheetView workbookViewId="0">
      <pane xSplit="3" ySplit="1" topLeftCell="D154" activePane="bottomRight" state="frozenSplit"/>
      <selection pane="topRight" activeCell="D1" sqref="D1"/>
      <selection pane="bottomLeft" activeCell="A2" sqref="A2"/>
      <selection pane="bottomRight" activeCell="K186" sqref="K186"/>
    </sheetView>
  </sheetViews>
  <sheetFormatPr defaultColWidth="14.3828125" defaultRowHeight="15" customHeight="1" x14ac:dyDescent="0.4"/>
  <cols>
    <col min="1" max="2" width="3" customWidth="1"/>
    <col min="3" max="3" width="39.53515625" customWidth="1"/>
    <col min="4" max="4" width="2.3046875" customWidth="1"/>
    <col min="5" max="5" width="17.69140625" bestFit="1" customWidth="1"/>
    <col min="6" max="6" width="10.69140625" bestFit="1" customWidth="1"/>
    <col min="7" max="7" width="18.84375" bestFit="1" customWidth="1"/>
    <col min="8" max="10" width="30.69140625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936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938</v>
      </c>
      <c r="H4" s="90" t="s">
        <v>729</v>
      </c>
      <c r="I4" s="90" t="s">
        <v>966</v>
      </c>
      <c r="J4" s="90" t="s">
        <v>678</v>
      </c>
      <c r="K4" s="93">
        <v>2930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44562</v>
      </c>
      <c r="G5" s="90" t="s">
        <v>939</v>
      </c>
      <c r="H5" s="90" t="s">
        <v>959</v>
      </c>
      <c r="I5" s="90" t="s">
        <v>967</v>
      </c>
      <c r="J5" s="90" t="s">
        <v>678</v>
      </c>
      <c r="K5" s="93">
        <v>1104.17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44562</v>
      </c>
      <c r="G6" s="90" t="s">
        <v>940</v>
      </c>
      <c r="H6" s="90" t="s">
        <v>960</v>
      </c>
      <c r="I6" s="90" t="s">
        <v>968</v>
      </c>
      <c r="J6" s="90" t="s">
        <v>678</v>
      </c>
      <c r="K6" s="93">
        <v>139.91999999999999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44562</v>
      </c>
      <c r="G7" s="90" t="s">
        <v>941</v>
      </c>
      <c r="H7" s="90" t="s">
        <v>961</v>
      </c>
      <c r="I7" s="90" t="s">
        <v>969</v>
      </c>
      <c r="J7" s="90" t="s">
        <v>678</v>
      </c>
      <c r="K7" s="93">
        <v>813.75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44566</v>
      </c>
      <c r="G8" s="90" t="s">
        <v>942</v>
      </c>
      <c r="H8" s="90" t="s">
        <v>962</v>
      </c>
      <c r="I8" s="90" t="s">
        <v>970</v>
      </c>
      <c r="J8" s="90" t="s">
        <v>678</v>
      </c>
      <c r="K8" s="93">
        <v>234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44570</v>
      </c>
      <c r="G9" s="90" t="s">
        <v>943</v>
      </c>
      <c r="H9" s="90" t="s">
        <v>744</v>
      </c>
      <c r="I9" s="90" t="s">
        <v>971</v>
      </c>
      <c r="J9" s="90" t="s">
        <v>678</v>
      </c>
      <c r="K9" s="93">
        <v>40.65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44571</v>
      </c>
      <c r="G10" s="90" t="s">
        <v>944</v>
      </c>
      <c r="H10" s="90" t="s">
        <v>961</v>
      </c>
      <c r="I10" s="90" t="s">
        <v>972</v>
      </c>
      <c r="J10" s="90" t="s">
        <v>678</v>
      </c>
      <c r="K10" s="93">
        <v>82.85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44573</v>
      </c>
      <c r="G11" s="90" t="s">
        <v>945</v>
      </c>
      <c r="H11" s="90" t="s">
        <v>963</v>
      </c>
      <c r="I11" s="90" t="s">
        <v>973</v>
      </c>
      <c r="J11" s="90" t="s">
        <v>678</v>
      </c>
      <c r="K11" s="93">
        <v>126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44573</v>
      </c>
      <c r="G12" s="90" t="s">
        <v>945</v>
      </c>
      <c r="H12" s="90" t="s">
        <v>963</v>
      </c>
      <c r="I12" s="90" t="s">
        <v>974</v>
      </c>
      <c r="J12" s="90" t="s">
        <v>678</v>
      </c>
      <c r="K12" s="93">
        <v>18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44582</v>
      </c>
      <c r="G13" s="90" t="s">
        <v>946</v>
      </c>
      <c r="H13" s="90" t="s">
        <v>744</v>
      </c>
      <c r="I13" s="90" t="s">
        <v>975</v>
      </c>
      <c r="J13" s="90" t="s">
        <v>678</v>
      </c>
      <c r="K13" s="93">
        <v>285</v>
      </c>
    </row>
    <row r="14" spans="1:11" ht="14.6" x14ac:dyDescent="0.4">
      <c r="A14" s="90"/>
      <c r="B14" s="90"/>
      <c r="C14" s="90"/>
      <c r="D14" s="90"/>
      <c r="E14" s="90" t="s">
        <v>652</v>
      </c>
      <c r="F14" s="91">
        <v>44588</v>
      </c>
      <c r="G14" s="90" t="s">
        <v>947</v>
      </c>
      <c r="H14" s="90" t="s">
        <v>744</v>
      </c>
      <c r="I14" s="90" t="s">
        <v>976</v>
      </c>
      <c r="J14" s="90" t="s">
        <v>678</v>
      </c>
      <c r="K14" s="93">
        <v>-974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44592</v>
      </c>
      <c r="G15" s="90" t="s">
        <v>948</v>
      </c>
      <c r="H15" s="90" t="s">
        <v>964</v>
      </c>
      <c r="I15" s="90" t="s">
        <v>977</v>
      </c>
      <c r="J15" s="90" t="s">
        <v>678</v>
      </c>
      <c r="K15" s="93">
        <v>398.44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44592</v>
      </c>
      <c r="G16" s="90" t="s">
        <v>949</v>
      </c>
      <c r="H16" s="90" t="s">
        <v>965</v>
      </c>
      <c r="I16" s="90" t="s">
        <v>978</v>
      </c>
      <c r="J16" s="90" t="s">
        <v>678</v>
      </c>
      <c r="K16" s="93">
        <v>250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44592</v>
      </c>
      <c r="G17" s="90" t="s">
        <v>949</v>
      </c>
      <c r="H17" s="90" t="s">
        <v>965</v>
      </c>
      <c r="I17" s="90" t="s">
        <v>979</v>
      </c>
      <c r="J17" s="90" t="s">
        <v>678</v>
      </c>
      <c r="K17" s="93">
        <v>14.53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44593</v>
      </c>
      <c r="G18" s="90" t="s">
        <v>950</v>
      </c>
      <c r="H18" s="90" t="s">
        <v>959</v>
      </c>
      <c r="I18" s="90" t="s">
        <v>967</v>
      </c>
      <c r="J18" s="90" t="s">
        <v>678</v>
      </c>
      <c r="K18" s="93">
        <v>1104.17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44593</v>
      </c>
      <c r="G19" s="90" t="s">
        <v>951</v>
      </c>
      <c r="H19" s="90" t="s">
        <v>961</v>
      </c>
      <c r="I19" s="90" t="s">
        <v>969</v>
      </c>
      <c r="J19" s="90" t="s">
        <v>678</v>
      </c>
      <c r="K19" s="93">
        <v>813.75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44593</v>
      </c>
      <c r="G20" s="90" t="s">
        <v>2709</v>
      </c>
      <c r="H20" s="90" t="s">
        <v>729</v>
      </c>
      <c r="I20" s="90" t="s">
        <v>966</v>
      </c>
      <c r="J20" s="90" t="s">
        <v>678</v>
      </c>
      <c r="K20" s="93">
        <v>2930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44604</v>
      </c>
      <c r="G21" s="90" t="s">
        <v>952</v>
      </c>
      <c r="H21" s="90" t="s">
        <v>964</v>
      </c>
      <c r="I21" s="90" t="s">
        <v>980</v>
      </c>
      <c r="J21" s="90" t="s">
        <v>678</v>
      </c>
      <c r="K21" s="93">
        <v>876.52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44616</v>
      </c>
      <c r="G22" s="90" t="s">
        <v>2710</v>
      </c>
      <c r="H22" s="90" t="s">
        <v>2814</v>
      </c>
      <c r="I22" s="90" t="s">
        <v>2826</v>
      </c>
      <c r="J22" s="90" t="s">
        <v>678</v>
      </c>
      <c r="K22" s="93">
        <v>430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44620</v>
      </c>
      <c r="G23" s="90" t="s">
        <v>953</v>
      </c>
      <c r="H23" s="90" t="s">
        <v>965</v>
      </c>
      <c r="I23" s="90" t="s">
        <v>978</v>
      </c>
      <c r="J23" s="90" t="s">
        <v>678</v>
      </c>
      <c r="K23" s="93">
        <v>250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44620</v>
      </c>
      <c r="G24" s="90" t="s">
        <v>953</v>
      </c>
      <c r="H24" s="90" t="s">
        <v>965</v>
      </c>
      <c r="I24" s="90" t="s">
        <v>981</v>
      </c>
      <c r="J24" s="90" t="s">
        <v>678</v>
      </c>
      <c r="K24" s="93">
        <v>13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44621</v>
      </c>
      <c r="G25" s="90" t="s">
        <v>954</v>
      </c>
      <c r="H25" s="90" t="s">
        <v>959</v>
      </c>
      <c r="I25" s="90" t="s">
        <v>967</v>
      </c>
      <c r="J25" s="90" t="s">
        <v>678</v>
      </c>
      <c r="K25" s="93">
        <v>1104.17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44621</v>
      </c>
      <c r="G26" s="90" t="s">
        <v>955</v>
      </c>
      <c r="H26" s="90" t="s">
        <v>729</v>
      </c>
      <c r="I26" s="90" t="s">
        <v>966</v>
      </c>
      <c r="J26" s="90" t="s">
        <v>678</v>
      </c>
      <c r="K26" s="93">
        <v>3025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44621</v>
      </c>
      <c r="G27" s="90" t="s">
        <v>956</v>
      </c>
      <c r="H27" s="90" t="s">
        <v>961</v>
      </c>
      <c r="I27" s="90" t="s">
        <v>969</v>
      </c>
      <c r="J27" s="90" t="s">
        <v>678</v>
      </c>
      <c r="K27" s="93">
        <v>813.75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44627</v>
      </c>
      <c r="G28" s="90" t="s">
        <v>957</v>
      </c>
      <c r="H28" s="90" t="s">
        <v>744</v>
      </c>
      <c r="I28" s="90" t="s">
        <v>982</v>
      </c>
      <c r="J28" s="90" t="s">
        <v>678</v>
      </c>
      <c r="K28" s="93">
        <v>26.22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44629</v>
      </c>
      <c r="G29" s="90" t="s">
        <v>958</v>
      </c>
      <c r="H29" s="90" t="s">
        <v>963</v>
      </c>
      <c r="I29" s="90" t="s">
        <v>973</v>
      </c>
      <c r="J29" s="90" t="s">
        <v>678</v>
      </c>
      <c r="K29" s="93">
        <v>126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44629</v>
      </c>
      <c r="G30" s="90" t="s">
        <v>958</v>
      </c>
      <c r="H30" s="90" t="s">
        <v>963</v>
      </c>
      <c r="I30" s="90" t="s">
        <v>974</v>
      </c>
      <c r="J30" s="90" t="s">
        <v>678</v>
      </c>
      <c r="K30" s="93">
        <v>18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44634</v>
      </c>
      <c r="G31" s="90" t="s">
        <v>1336</v>
      </c>
      <c r="H31" s="90" t="s">
        <v>959</v>
      </c>
      <c r="I31" s="90" t="s">
        <v>1357</v>
      </c>
      <c r="J31" s="90" t="s">
        <v>678</v>
      </c>
      <c r="K31" s="93">
        <v>1068.2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44634</v>
      </c>
      <c r="G32" s="90" t="s">
        <v>1337</v>
      </c>
      <c r="H32" s="90" t="s">
        <v>959</v>
      </c>
      <c r="I32" s="90" t="s">
        <v>1357</v>
      </c>
      <c r="J32" s="90" t="s">
        <v>678</v>
      </c>
      <c r="K32" s="93">
        <v>842.11</v>
      </c>
    </row>
    <row r="33" spans="1:11" ht="14.6" x14ac:dyDescent="0.4">
      <c r="A33" s="90"/>
      <c r="B33" s="90"/>
      <c r="C33" s="90"/>
      <c r="D33" s="90"/>
      <c r="E33" s="90" t="s">
        <v>653</v>
      </c>
      <c r="F33" s="91">
        <v>44637</v>
      </c>
      <c r="G33" s="90" t="s">
        <v>2711</v>
      </c>
      <c r="H33" s="90" t="s">
        <v>2814</v>
      </c>
      <c r="I33" s="90" t="s">
        <v>2827</v>
      </c>
      <c r="J33" s="90" t="s">
        <v>678</v>
      </c>
      <c r="K33" s="93">
        <v>105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44641</v>
      </c>
      <c r="G34" s="90" t="s">
        <v>1338</v>
      </c>
      <c r="H34" s="90" t="s">
        <v>744</v>
      </c>
      <c r="I34" s="90" t="s">
        <v>1358</v>
      </c>
      <c r="J34" s="90" t="s">
        <v>678</v>
      </c>
      <c r="K34" s="93">
        <v>78.84</v>
      </c>
    </row>
    <row r="35" spans="1:11" ht="14.6" x14ac:dyDescent="0.4">
      <c r="A35" s="90"/>
      <c r="B35" s="90"/>
      <c r="C35" s="90"/>
      <c r="D35" s="90"/>
      <c r="E35" s="90" t="s">
        <v>731</v>
      </c>
      <c r="F35" s="91">
        <v>44641</v>
      </c>
      <c r="G35" s="90" t="s">
        <v>1339</v>
      </c>
      <c r="H35" s="90" t="s">
        <v>1352</v>
      </c>
      <c r="I35" s="90" t="s">
        <v>1359</v>
      </c>
      <c r="J35" s="90" t="s">
        <v>735</v>
      </c>
      <c r="K35" s="93">
        <v>450</v>
      </c>
    </row>
    <row r="36" spans="1:11" ht="14.6" x14ac:dyDescent="0.4">
      <c r="A36" s="90"/>
      <c r="B36" s="90"/>
      <c r="C36" s="90"/>
      <c r="D36" s="90"/>
      <c r="E36" s="90" t="s">
        <v>653</v>
      </c>
      <c r="F36" s="91">
        <v>44643</v>
      </c>
      <c r="G36" s="90" t="s">
        <v>1340</v>
      </c>
      <c r="H36" s="90" t="s">
        <v>1353</v>
      </c>
      <c r="I36" s="90" t="s">
        <v>1360</v>
      </c>
      <c r="J36" s="90" t="s">
        <v>678</v>
      </c>
      <c r="K36" s="93">
        <v>1710.75</v>
      </c>
    </row>
    <row r="37" spans="1:11" ht="14.6" x14ac:dyDescent="0.4">
      <c r="A37" s="90"/>
      <c r="B37" s="90"/>
      <c r="C37" s="90"/>
      <c r="D37" s="90"/>
      <c r="E37" s="90" t="s">
        <v>653</v>
      </c>
      <c r="F37" s="91">
        <v>44644</v>
      </c>
      <c r="G37" s="90" t="s">
        <v>1341</v>
      </c>
      <c r="H37" s="90" t="s">
        <v>1354</v>
      </c>
      <c r="I37" s="90" t="s">
        <v>1361</v>
      </c>
      <c r="J37" s="90" t="s">
        <v>678</v>
      </c>
      <c r="K37" s="93">
        <v>1491.85</v>
      </c>
    </row>
    <row r="38" spans="1:11" ht="14.6" x14ac:dyDescent="0.4">
      <c r="A38" s="90"/>
      <c r="B38" s="90"/>
      <c r="C38" s="90"/>
      <c r="D38" s="90"/>
      <c r="E38" s="90" t="s">
        <v>731</v>
      </c>
      <c r="F38" s="91">
        <v>44644</v>
      </c>
      <c r="G38" s="90" t="s">
        <v>1342</v>
      </c>
      <c r="H38" s="90" t="s">
        <v>1280</v>
      </c>
      <c r="I38" s="90" t="s">
        <v>1362</v>
      </c>
      <c r="J38" s="90" t="s">
        <v>735</v>
      </c>
      <c r="K38" s="93">
        <v>14.99</v>
      </c>
    </row>
    <row r="39" spans="1:11" ht="14.6" x14ac:dyDescent="0.4">
      <c r="A39" s="90"/>
      <c r="B39" s="90"/>
      <c r="C39" s="90"/>
      <c r="D39" s="90"/>
      <c r="E39" s="90" t="s">
        <v>731</v>
      </c>
      <c r="F39" s="91">
        <v>44644</v>
      </c>
      <c r="G39" s="90" t="s">
        <v>1342</v>
      </c>
      <c r="H39" s="90" t="s">
        <v>1280</v>
      </c>
      <c r="I39" s="90" t="s">
        <v>1363</v>
      </c>
      <c r="J39" s="90" t="s">
        <v>735</v>
      </c>
      <c r="K39" s="93">
        <v>3.69</v>
      </c>
    </row>
    <row r="40" spans="1:11" ht="14.6" x14ac:dyDescent="0.4">
      <c r="A40" s="90"/>
      <c r="B40" s="90"/>
      <c r="C40" s="90"/>
      <c r="D40" s="90"/>
      <c r="E40" s="90" t="s">
        <v>731</v>
      </c>
      <c r="F40" s="91">
        <v>44644</v>
      </c>
      <c r="G40" s="90" t="s">
        <v>1342</v>
      </c>
      <c r="H40" s="90" t="s">
        <v>1280</v>
      </c>
      <c r="I40" s="90" t="s">
        <v>1364</v>
      </c>
      <c r="J40" s="90" t="s">
        <v>735</v>
      </c>
      <c r="K40" s="93">
        <v>2.29</v>
      </c>
    </row>
    <row r="41" spans="1:11" ht="14.6" x14ac:dyDescent="0.4">
      <c r="A41" s="90"/>
      <c r="B41" s="90"/>
      <c r="C41" s="90"/>
      <c r="D41" s="90"/>
      <c r="E41" s="90" t="s">
        <v>731</v>
      </c>
      <c r="F41" s="91">
        <v>44644</v>
      </c>
      <c r="G41" s="90" t="s">
        <v>2712</v>
      </c>
      <c r="H41" s="90" t="s">
        <v>2815</v>
      </c>
      <c r="I41" s="90" t="s">
        <v>2828</v>
      </c>
      <c r="J41" s="90" t="s">
        <v>2873</v>
      </c>
      <c r="K41" s="93">
        <v>177.32</v>
      </c>
    </row>
    <row r="42" spans="1:11" ht="14.6" x14ac:dyDescent="0.4">
      <c r="A42" s="90"/>
      <c r="B42" s="90"/>
      <c r="C42" s="90"/>
      <c r="D42" s="90"/>
      <c r="E42" s="90" t="s">
        <v>731</v>
      </c>
      <c r="F42" s="91">
        <v>44645</v>
      </c>
      <c r="G42" s="90" t="s">
        <v>1343</v>
      </c>
      <c r="H42" s="90" t="s">
        <v>1280</v>
      </c>
      <c r="I42" s="90" t="s">
        <v>1365</v>
      </c>
      <c r="J42" s="90" t="s">
        <v>735</v>
      </c>
      <c r="K42" s="93">
        <v>5.78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44649</v>
      </c>
      <c r="G43" s="90" t="s">
        <v>1344</v>
      </c>
      <c r="H43" s="90" t="s">
        <v>964</v>
      </c>
      <c r="I43" s="90" t="s">
        <v>1366</v>
      </c>
      <c r="J43" s="90" t="s">
        <v>678</v>
      </c>
      <c r="K43" s="93">
        <v>498.18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44651</v>
      </c>
      <c r="G44" s="90" t="s">
        <v>1345</v>
      </c>
      <c r="H44" s="90" t="s">
        <v>965</v>
      </c>
      <c r="I44" s="90" t="s">
        <v>978</v>
      </c>
      <c r="J44" s="90" t="s">
        <v>678</v>
      </c>
      <c r="K44" s="93">
        <v>250</v>
      </c>
    </row>
    <row r="45" spans="1:11" ht="14.6" x14ac:dyDescent="0.4">
      <c r="A45" s="90"/>
      <c r="B45" s="90"/>
      <c r="C45" s="90"/>
      <c r="D45" s="90"/>
      <c r="E45" s="90" t="s">
        <v>653</v>
      </c>
      <c r="F45" s="91">
        <v>44651</v>
      </c>
      <c r="G45" s="90" t="s">
        <v>1345</v>
      </c>
      <c r="H45" s="90" t="s">
        <v>965</v>
      </c>
      <c r="I45" s="90" t="s">
        <v>981</v>
      </c>
      <c r="J45" s="90" t="s">
        <v>678</v>
      </c>
      <c r="K45" s="93">
        <v>78</v>
      </c>
    </row>
    <row r="46" spans="1:11" ht="14.6" x14ac:dyDescent="0.4">
      <c r="A46" s="90"/>
      <c r="B46" s="90"/>
      <c r="C46" s="90"/>
      <c r="D46" s="90"/>
      <c r="E46" s="90" t="s">
        <v>653</v>
      </c>
      <c r="F46" s="91">
        <v>44652</v>
      </c>
      <c r="G46" s="90" t="s">
        <v>1346</v>
      </c>
      <c r="H46" s="90" t="s">
        <v>960</v>
      </c>
      <c r="I46" s="90" t="s">
        <v>968</v>
      </c>
      <c r="J46" s="90" t="s">
        <v>678</v>
      </c>
      <c r="K46" s="93">
        <v>139.91999999999999</v>
      </c>
    </row>
    <row r="47" spans="1:11" ht="14.6" x14ac:dyDescent="0.4">
      <c r="A47" s="90"/>
      <c r="B47" s="90"/>
      <c r="C47" s="90"/>
      <c r="D47" s="90"/>
      <c r="E47" s="90" t="s">
        <v>653</v>
      </c>
      <c r="F47" s="91">
        <v>44652</v>
      </c>
      <c r="G47" s="90" t="s">
        <v>1347</v>
      </c>
      <c r="H47" s="90" t="s">
        <v>959</v>
      </c>
      <c r="I47" s="90" t="s">
        <v>967</v>
      </c>
      <c r="J47" s="90" t="s">
        <v>678</v>
      </c>
      <c r="K47" s="93">
        <v>1104.17</v>
      </c>
    </row>
    <row r="48" spans="1:11" ht="14.6" x14ac:dyDescent="0.4">
      <c r="A48" s="90"/>
      <c r="B48" s="90"/>
      <c r="C48" s="90"/>
      <c r="D48" s="90"/>
      <c r="E48" s="90" t="s">
        <v>653</v>
      </c>
      <c r="F48" s="91">
        <v>44652</v>
      </c>
      <c r="G48" s="90" t="s">
        <v>1348</v>
      </c>
      <c r="H48" s="90" t="s">
        <v>729</v>
      </c>
      <c r="I48" s="90" t="s">
        <v>966</v>
      </c>
      <c r="J48" s="90" t="s">
        <v>678</v>
      </c>
      <c r="K48" s="93">
        <v>3025</v>
      </c>
    </row>
    <row r="49" spans="1:11" ht="14.6" x14ac:dyDescent="0.4">
      <c r="A49" s="90"/>
      <c r="B49" s="90"/>
      <c r="C49" s="90"/>
      <c r="D49" s="90"/>
      <c r="E49" s="90" t="s">
        <v>653</v>
      </c>
      <c r="F49" s="91">
        <v>44652</v>
      </c>
      <c r="G49" s="90" t="s">
        <v>1349</v>
      </c>
      <c r="H49" s="90" t="s">
        <v>961</v>
      </c>
      <c r="I49" s="90" t="s">
        <v>969</v>
      </c>
      <c r="J49" s="90" t="s">
        <v>678</v>
      </c>
      <c r="K49" s="93">
        <v>813.75</v>
      </c>
    </row>
    <row r="50" spans="1:11" ht="14.6" x14ac:dyDescent="0.4">
      <c r="A50" s="90"/>
      <c r="B50" s="90"/>
      <c r="C50" s="90"/>
      <c r="D50" s="90"/>
      <c r="E50" s="90" t="s">
        <v>653</v>
      </c>
      <c r="F50" s="91">
        <v>44652</v>
      </c>
      <c r="G50" s="90" t="s">
        <v>2713</v>
      </c>
      <c r="H50" s="90" t="s">
        <v>961</v>
      </c>
      <c r="I50" s="90" t="s">
        <v>2829</v>
      </c>
      <c r="J50" s="90" t="s">
        <v>678</v>
      </c>
      <c r="K50" s="93">
        <v>417</v>
      </c>
    </row>
    <row r="51" spans="1:11" ht="14.6" x14ac:dyDescent="0.4">
      <c r="A51" s="90"/>
      <c r="B51" s="90"/>
      <c r="C51" s="90"/>
      <c r="D51" s="90"/>
      <c r="E51" s="90" t="s">
        <v>653</v>
      </c>
      <c r="F51" s="91">
        <v>44653</v>
      </c>
      <c r="G51" s="90" t="s">
        <v>2714</v>
      </c>
      <c r="H51" s="90" t="s">
        <v>2816</v>
      </c>
      <c r="I51" s="90" t="s">
        <v>2830</v>
      </c>
      <c r="J51" s="90" t="s">
        <v>678</v>
      </c>
      <c r="K51" s="93">
        <v>5696.1</v>
      </c>
    </row>
    <row r="52" spans="1:11" ht="14.6" x14ac:dyDescent="0.4">
      <c r="A52" s="90"/>
      <c r="B52" s="90"/>
      <c r="C52" s="90"/>
      <c r="D52" s="90"/>
      <c r="E52" s="90" t="s">
        <v>653</v>
      </c>
      <c r="F52" s="91">
        <v>44656</v>
      </c>
      <c r="G52" s="90" t="s">
        <v>1332</v>
      </c>
      <c r="H52" s="90" t="s">
        <v>744</v>
      </c>
      <c r="I52" s="90" t="s">
        <v>1367</v>
      </c>
      <c r="J52" s="90" t="s">
        <v>678</v>
      </c>
      <c r="K52" s="93">
        <v>49.98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44657</v>
      </c>
      <c r="G53" s="90" t="s">
        <v>2715</v>
      </c>
      <c r="H53" s="90" t="s">
        <v>729</v>
      </c>
      <c r="I53" s="90" t="s">
        <v>2831</v>
      </c>
      <c r="J53" s="90" t="s">
        <v>678</v>
      </c>
      <c r="K53" s="93">
        <v>1575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44658</v>
      </c>
      <c r="G54" s="90" t="s">
        <v>2716</v>
      </c>
      <c r="H54" s="90" t="s">
        <v>2814</v>
      </c>
      <c r="I54" s="90" t="s">
        <v>2826</v>
      </c>
      <c r="J54" s="90" t="s">
        <v>678</v>
      </c>
      <c r="K54" s="93">
        <v>430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44662</v>
      </c>
      <c r="G55" s="90" t="s">
        <v>1350</v>
      </c>
      <c r="H55" s="90" t="s">
        <v>1355</v>
      </c>
      <c r="I55" s="90" t="s">
        <v>1368</v>
      </c>
      <c r="J55" s="90" t="s">
        <v>678</v>
      </c>
      <c r="K55" s="93">
        <v>192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44662</v>
      </c>
      <c r="G56" s="90" t="s">
        <v>1351</v>
      </c>
      <c r="H56" s="90" t="s">
        <v>1356</v>
      </c>
      <c r="I56" s="90" t="s">
        <v>1369</v>
      </c>
      <c r="J56" s="90" t="s">
        <v>678</v>
      </c>
      <c r="K56" s="93">
        <v>111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44662</v>
      </c>
      <c r="G57" s="90" t="s">
        <v>2717</v>
      </c>
      <c r="H57" s="90" t="s">
        <v>959</v>
      </c>
      <c r="I57" s="90" t="s">
        <v>1357</v>
      </c>
      <c r="J57" s="90" t="s">
        <v>678</v>
      </c>
      <c r="K57" s="93">
        <v>385</v>
      </c>
    </row>
    <row r="58" spans="1:11" ht="15" customHeight="1" x14ac:dyDescent="0.4">
      <c r="A58" s="90"/>
      <c r="B58" s="90"/>
      <c r="C58" s="90"/>
      <c r="D58" s="90"/>
      <c r="E58" s="90" t="s">
        <v>653</v>
      </c>
      <c r="F58" s="91">
        <v>44666</v>
      </c>
      <c r="G58" s="90" t="s">
        <v>2718</v>
      </c>
      <c r="H58" s="90" t="s">
        <v>1354</v>
      </c>
      <c r="I58" s="90" t="s">
        <v>2832</v>
      </c>
      <c r="J58" s="90" t="s">
        <v>678</v>
      </c>
      <c r="K58" s="93">
        <v>3456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44666</v>
      </c>
      <c r="G59" s="90" t="s">
        <v>2718</v>
      </c>
      <c r="H59" s="90" t="s">
        <v>1354</v>
      </c>
      <c r="I59" s="90" t="s">
        <v>2833</v>
      </c>
      <c r="J59" s="90" t="s">
        <v>678</v>
      </c>
      <c r="K59" s="93">
        <v>375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44668</v>
      </c>
      <c r="G60" s="90" t="s">
        <v>2719</v>
      </c>
      <c r="H60" s="90" t="s">
        <v>2817</v>
      </c>
      <c r="I60" s="90" t="s">
        <v>2834</v>
      </c>
      <c r="J60" s="90" t="s">
        <v>678</v>
      </c>
      <c r="K60" s="93">
        <v>7565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44673</v>
      </c>
      <c r="G61" s="90" t="s">
        <v>2720</v>
      </c>
      <c r="H61" s="90" t="s">
        <v>961</v>
      </c>
      <c r="I61" s="90" t="s">
        <v>2835</v>
      </c>
      <c r="J61" s="90" t="s">
        <v>678</v>
      </c>
      <c r="K61" s="93">
        <v>1776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44677</v>
      </c>
      <c r="G62" s="90" t="s">
        <v>1420</v>
      </c>
      <c r="H62" s="90" t="s">
        <v>2818</v>
      </c>
      <c r="I62" s="90" t="s">
        <v>2836</v>
      </c>
      <c r="J62" s="90" t="s">
        <v>678</v>
      </c>
      <c r="K62" s="93">
        <v>975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44678</v>
      </c>
      <c r="G63" s="90" t="s">
        <v>2721</v>
      </c>
      <c r="H63" s="90" t="s">
        <v>2814</v>
      </c>
      <c r="I63" s="90" t="s">
        <v>2827</v>
      </c>
      <c r="J63" s="90" t="s">
        <v>678</v>
      </c>
      <c r="K63" s="93">
        <v>105</v>
      </c>
    </row>
    <row r="64" spans="1:11" ht="15" customHeight="1" x14ac:dyDescent="0.4">
      <c r="A64" s="90"/>
      <c r="B64" s="90"/>
      <c r="C64" s="90"/>
      <c r="D64" s="90"/>
      <c r="E64" s="90" t="s">
        <v>653</v>
      </c>
      <c r="F64" s="91">
        <v>44681</v>
      </c>
      <c r="G64" s="90" t="s">
        <v>2722</v>
      </c>
      <c r="H64" s="90" t="s">
        <v>965</v>
      </c>
      <c r="I64" s="90" t="s">
        <v>978</v>
      </c>
      <c r="J64" s="90" t="s">
        <v>678</v>
      </c>
      <c r="K64" s="93">
        <v>325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44681</v>
      </c>
      <c r="G65" s="90" t="s">
        <v>2722</v>
      </c>
      <c r="H65" s="90" t="s">
        <v>965</v>
      </c>
      <c r="I65" s="90" t="s">
        <v>981</v>
      </c>
      <c r="J65" s="90" t="s">
        <v>678</v>
      </c>
      <c r="K65" s="93">
        <v>39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44682</v>
      </c>
      <c r="G66" s="90" t="s">
        <v>2723</v>
      </c>
      <c r="H66" s="90" t="s">
        <v>959</v>
      </c>
      <c r="I66" s="90" t="s">
        <v>967</v>
      </c>
      <c r="J66" s="90" t="s">
        <v>678</v>
      </c>
      <c r="K66" s="93">
        <v>1104.17</v>
      </c>
    </row>
    <row r="67" spans="1:11" ht="15" customHeight="1" x14ac:dyDescent="0.4">
      <c r="A67" s="90"/>
      <c r="B67" s="90"/>
      <c r="C67" s="90"/>
      <c r="D67" s="90"/>
      <c r="E67" s="90" t="s">
        <v>653</v>
      </c>
      <c r="F67" s="91">
        <v>44682</v>
      </c>
      <c r="G67" s="90" t="s">
        <v>2724</v>
      </c>
      <c r="H67" s="90" t="s">
        <v>961</v>
      </c>
      <c r="I67" s="90" t="s">
        <v>969</v>
      </c>
      <c r="J67" s="90" t="s">
        <v>678</v>
      </c>
      <c r="K67" s="93">
        <v>813.75</v>
      </c>
    </row>
    <row r="68" spans="1:11" ht="15" customHeight="1" x14ac:dyDescent="0.4">
      <c r="A68" s="90"/>
      <c r="B68" s="90"/>
      <c r="C68" s="90"/>
      <c r="D68" s="90"/>
      <c r="E68" s="90" t="s">
        <v>653</v>
      </c>
      <c r="F68" s="91">
        <v>44682</v>
      </c>
      <c r="G68" s="90" t="s">
        <v>2724</v>
      </c>
      <c r="H68" s="90" t="s">
        <v>961</v>
      </c>
      <c r="I68" s="90" t="s">
        <v>2837</v>
      </c>
      <c r="J68" s="90" t="s">
        <v>678</v>
      </c>
      <c r="K68" s="93">
        <v>44.76</v>
      </c>
    </row>
    <row r="69" spans="1:11" ht="15" customHeight="1" x14ac:dyDescent="0.4">
      <c r="A69" s="90"/>
      <c r="B69" s="90"/>
      <c r="C69" s="90"/>
      <c r="D69" s="90"/>
      <c r="E69" s="90" t="s">
        <v>653</v>
      </c>
      <c r="F69" s="91">
        <v>44682</v>
      </c>
      <c r="G69" s="90" t="s">
        <v>2725</v>
      </c>
      <c r="H69" s="90" t="s">
        <v>729</v>
      </c>
      <c r="I69" s="90" t="s">
        <v>966</v>
      </c>
      <c r="J69" s="90" t="s">
        <v>678</v>
      </c>
      <c r="K69" s="93">
        <v>3025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44682</v>
      </c>
      <c r="G70" s="90" t="s">
        <v>2726</v>
      </c>
      <c r="H70" s="90" t="s">
        <v>961</v>
      </c>
      <c r="I70" s="90" t="s">
        <v>2838</v>
      </c>
      <c r="J70" s="90" t="s">
        <v>678</v>
      </c>
      <c r="K70" s="93">
        <v>197</v>
      </c>
    </row>
    <row r="71" spans="1:11" ht="15" customHeight="1" x14ac:dyDescent="0.4">
      <c r="A71" s="90"/>
      <c r="B71" s="90"/>
      <c r="C71" s="90"/>
      <c r="D71" s="90"/>
      <c r="E71" s="90" t="s">
        <v>653</v>
      </c>
      <c r="F71" s="91">
        <v>44688</v>
      </c>
      <c r="G71" s="90" t="s">
        <v>2727</v>
      </c>
      <c r="H71" s="90" t="s">
        <v>2816</v>
      </c>
      <c r="I71" s="90" t="s">
        <v>2839</v>
      </c>
      <c r="J71" s="90" t="s">
        <v>678</v>
      </c>
      <c r="K71" s="93">
        <v>1729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44688</v>
      </c>
      <c r="G72" s="90" t="s">
        <v>2727</v>
      </c>
      <c r="H72" s="90" t="s">
        <v>2816</v>
      </c>
      <c r="I72" s="90" t="s">
        <v>2840</v>
      </c>
      <c r="J72" s="90" t="s">
        <v>678</v>
      </c>
      <c r="K72" s="93">
        <v>1080</v>
      </c>
    </row>
    <row r="73" spans="1:11" ht="15" customHeight="1" x14ac:dyDescent="0.4">
      <c r="A73" s="90"/>
      <c r="B73" s="90"/>
      <c r="C73" s="90"/>
      <c r="D73" s="90"/>
      <c r="E73" s="90" t="s">
        <v>653</v>
      </c>
      <c r="F73" s="91">
        <v>44691</v>
      </c>
      <c r="G73" s="90" t="s">
        <v>2728</v>
      </c>
      <c r="H73" s="90" t="s">
        <v>744</v>
      </c>
      <c r="I73" s="90" t="s">
        <v>982</v>
      </c>
      <c r="J73" s="90" t="s">
        <v>678</v>
      </c>
      <c r="K73" s="93">
        <v>48.59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44691</v>
      </c>
      <c r="G74" s="90" t="s">
        <v>2729</v>
      </c>
      <c r="H74" s="90" t="s">
        <v>963</v>
      </c>
      <c r="I74" s="90" t="s">
        <v>973</v>
      </c>
      <c r="J74" s="90" t="s">
        <v>678</v>
      </c>
      <c r="K74" s="93">
        <v>126</v>
      </c>
    </row>
    <row r="75" spans="1:11" ht="15" customHeight="1" x14ac:dyDescent="0.4">
      <c r="A75" s="90"/>
      <c r="B75" s="90"/>
      <c r="C75" s="90"/>
      <c r="D75" s="90"/>
      <c r="E75" s="90" t="s">
        <v>653</v>
      </c>
      <c r="F75" s="91">
        <v>44691</v>
      </c>
      <c r="G75" s="90" t="s">
        <v>2729</v>
      </c>
      <c r="H75" s="90" t="s">
        <v>963</v>
      </c>
      <c r="I75" s="90" t="s">
        <v>974</v>
      </c>
      <c r="J75" s="90" t="s">
        <v>678</v>
      </c>
      <c r="K75" s="93">
        <v>18</v>
      </c>
    </row>
    <row r="76" spans="1:11" ht="15" customHeight="1" x14ac:dyDescent="0.4">
      <c r="A76" s="90"/>
      <c r="B76" s="90"/>
      <c r="C76" s="90"/>
      <c r="D76" s="90"/>
      <c r="E76" s="90" t="s">
        <v>653</v>
      </c>
      <c r="F76" s="91">
        <v>44694</v>
      </c>
      <c r="G76" s="90" t="s">
        <v>2730</v>
      </c>
      <c r="H76" s="90" t="s">
        <v>2814</v>
      </c>
      <c r="I76" s="90" t="s">
        <v>2841</v>
      </c>
      <c r="J76" s="90" t="s">
        <v>678</v>
      </c>
      <c r="K76" s="93">
        <v>750</v>
      </c>
    </row>
    <row r="77" spans="1:11" ht="15" customHeight="1" x14ac:dyDescent="0.4">
      <c r="A77" s="90"/>
      <c r="B77" s="90"/>
      <c r="C77" s="90"/>
      <c r="D77" s="90"/>
      <c r="E77" s="90" t="s">
        <v>653</v>
      </c>
      <c r="F77" s="91">
        <v>44694</v>
      </c>
      <c r="G77" s="90" t="s">
        <v>2731</v>
      </c>
      <c r="H77" s="90" t="s">
        <v>2814</v>
      </c>
      <c r="I77" s="90" t="s">
        <v>2841</v>
      </c>
      <c r="J77" s="90" t="s">
        <v>678</v>
      </c>
      <c r="K77" s="93">
        <v>998</v>
      </c>
    </row>
    <row r="78" spans="1:11" ht="15" customHeight="1" x14ac:dyDescent="0.4">
      <c r="A78" s="90"/>
      <c r="B78" s="90"/>
      <c r="C78" s="90"/>
      <c r="D78" s="90"/>
      <c r="E78" s="90" t="s">
        <v>653</v>
      </c>
      <c r="F78" s="91">
        <v>44698</v>
      </c>
      <c r="G78" s="90" t="s">
        <v>2732</v>
      </c>
      <c r="H78" s="90" t="s">
        <v>959</v>
      </c>
      <c r="I78" s="90" t="s">
        <v>1357</v>
      </c>
      <c r="J78" s="90" t="s">
        <v>678</v>
      </c>
      <c r="K78" s="93">
        <v>1454.34</v>
      </c>
    </row>
    <row r="79" spans="1:11" ht="15" customHeight="1" x14ac:dyDescent="0.4">
      <c r="A79" s="90"/>
      <c r="B79" s="90"/>
      <c r="C79" s="90"/>
      <c r="D79" s="90"/>
      <c r="E79" s="90" t="s">
        <v>653</v>
      </c>
      <c r="F79" s="91">
        <v>44700</v>
      </c>
      <c r="G79" s="90" t="s">
        <v>2042</v>
      </c>
      <c r="H79" s="90" t="s">
        <v>2817</v>
      </c>
      <c r="I79" s="90" t="s">
        <v>2834</v>
      </c>
      <c r="J79" s="90" t="s">
        <v>678</v>
      </c>
      <c r="K79" s="93">
        <v>2070</v>
      </c>
    </row>
    <row r="80" spans="1:11" ht="15" customHeight="1" x14ac:dyDescent="0.4">
      <c r="A80" s="90"/>
      <c r="B80" s="90"/>
      <c r="C80" s="90"/>
      <c r="D80" s="90"/>
      <c r="E80" s="90" t="s">
        <v>653</v>
      </c>
      <c r="F80" s="91">
        <v>44701</v>
      </c>
      <c r="G80" s="90" t="s">
        <v>2733</v>
      </c>
      <c r="H80" s="90" t="s">
        <v>2814</v>
      </c>
      <c r="I80" s="90" t="s">
        <v>2842</v>
      </c>
      <c r="J80" s="90" t="s">
        <v>678</v>
      </c>
      <c r="K80" s="93">
        <v>3174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44712</v>
      </c>
      <c r="G81" s="90" t="s">
        <v>2734</v>
      </c>
      <c r="H81" s="90" t="s">
        <v>959</v>
      </c>
      <c r="I81" s="90" t="s">
        <v>1357</v>
      </c>
      <c r="J81" s="90" t="s">
        <v>678</v>
      </c>
      <c r="K81" s="93">
        <v>1465.51</v>
      </c>
    </row>
    <row r="82" spans="1:11" ht="15" customHeight="1" x14ac:dyDescent="0.4">
      <c r="A82" s="90"/>
      <c r="B82" s="90"/>
      <c r="C82" s="90"/>
      <c r="D82" s="90"/>
      <c r="E82" s="90" t="s">
        <v>731</v>
      </c>
      <c r="F82" s="91">
        <v>44712</v>
      </c>
      <c r="G82" s="90" t="s">
        <v>2735</v>
      </c>
      <c r="H82" s="90" t="s">
        <v>1280</v>
      </c>
      <c r="I82" s="90" t="s">
        <v>258</v>
      </c>
      <c r="J82" s="90" t="s">
        <v>735</v>
      </c>
      <c r="K82" s="93">
        <v>0</v>
      </c>
    </row>
    <row r="83" spans="1:11" ht="15" customHeight="1" x14ac:dyDescent="0.4">
      <c r="A83" s="90"/>
      <c r="B83" s="90"/>
      <c r="C83" s="90"/>
      <c r="D83" s="90"/>
      <c r="E83" s="90" t="s">
        <v>731</v>
      </c>
      <c r="F83" s="91">
        <v>44712</v>
      </c>
      <c r="G83" s="90" t="s">
        <v>2735</v>
      </c>
      <c r="H83" s="90" t="s">
        <v>1280</v>
      </c>
      <c r="I83" s="90" t="s">
        <v>2843</v>
      </c>
      <c r="J83" s="90" t="s">
        <v>735</v>
      </c>
      <c r="K83" s="93">
        <v>149.99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44712</v>
      </c>
      <c r="G84" s="90" t="s">
        <v>2736</v>
      </c>
      <c r="H84" s="90" t="s">
        <v>965</v>
      </c>
      <c r="I84" s="90" t="s">
        <v>978</v>
      </c>
      <c r="J84" s="90" t="s">
        <v>678</v>
      </c>
      <c r="K84" s="93">
        <v>325</v>
      </c>
    </row>
    <row r="85" spans="1:11" ht="15" customHeight="1" x14ac:dyDescent="0.4">
      <c r="A85" s="90"/>
      <c r="B85" s="90"/>
      <c r="C85" s="90"/>
      <c r="D85" s="90"/>
      <c r="E85" s="90" t="s">
        <v>653</v>
      </c>
      <c r="F85" s="91">
        <v>44712</v>
      </c>
      <c r="G85" s="90" t="s">
        <v>2736</v>
      </c>
      <c r="H85" s="90" t="s">
        <v>965</v>
      </c>
      <c r="I85" s="90" t="s">
        <v>981</v>
      </c>
      <c r="J85" s="90" t="s">
        <v>678</v>
      </c>
      <c r="K85" s="93">
        <v>39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44713</v>
      </c>
      <c r="G86" s="90" t="s">
        <v>2737</v>
      </c>
      <c r="H86" s="90" t="s">
        <v>959</v>
      </c>
      <c r="I86" s="90" t="s">
        <v>967</v>
      </c>
      <c r="J86" s="90" t="s">
        <v>678</v>
      </c>
      <c r="K86" s="93">
        <v>1104.17</v>
      </c>
    </row>
    <row r="87" spans="1:11" ht="15" customHeight="1" x14ac:dyDescent="0.4">
      <c r="A87" s="90"/>
      <c r="B87" s="90"/>
      <c r="C87" s="90"/>
      <c r="D87" s="90"/>
      <c r="E87" s="90" t="s">
        <v>653</v>
      </c>
      <c r="F87" s="91">
        <v>44713</v>
      </c>
      <c r="G87" s="90" t="s">
        <v>2738</v>
      </c>
      <c r="H87" s="90" t="s">
        <v>729</v>
      </c>
      <c r="I87" s="90" t="s">
        <v>966</v>
      </c>
      <c r="J87" s="90" t="s">
        <v>678</v>
      </c>
      <c r="K87" s="93">
        <v>3025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44713</v>
      </c>
      <c r="G88" s="90" t="s">
        <v>2739</v>
      </c>
      <c r="H88" s="90" t="s">
        <v>2819</v>
      </c>
      <c r="I88" s="90" t="s">
        <v>2844</v>
      </c>
      <c r="J88" s="90" t="s">
        <v>678</v>
      </c>
      <c r="K88" s="93">
        <v>3900.59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44713</v>
      </c>
      <c r="G89" s="90" t="s">
        <v>2739</v>
      </c>
      <c r="H89" s="90" t="s">
        <v>2819</v>
      </c>
      <c r="I89" s="90" t="s">
        <v>2845</v>
      </c>
      <c r="J89" s="90" t="s">
        <v>678</v>
      </c>
      <c r="K89" s="93">
        <v>-117.02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44713</v>
      </c>
      <c r="G90" s="90" t="s">
        <v>2740</v>
      </c>
      <c r="H90" s="90" t="s">
        <v>961</v>
      </c>
      <c r="I90" s="90" t="s">
        <v>969</v>
      </c>
      <c r="J90" s="90" t="s">
        <v>678</v>
      </c>
      <c r="K90" s="93">
        <v>813.75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44722</v>
      </c>
      <c r="G91" s="90" t="s">
        <v>2741</v>
      </c>
      <c r="H91" s="90" t="s">
        <v>2820</v>
      </c>
      <c r="I91" s="90" t="s">
        <v>2846</v>
      </c>
      <c r="J91" s="90" t="s">
        <v>678</v>
      </c>
      <c r="K91" s="93">
        <v>370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44725</v>
      </c>
      <c r="G92" s="90" t="s">
        <v>2742</v>
      </c>
      <c r="H92" s="90" t="s">
        <v>962</v>
      </c>
      <c r="I92" s="90" t="s">
        <v>970</v>
      </c>
      <c r="J92" s="90" t="s">
        <v>678</v>
      </c>
      <c r="K92" s="93">
        <v>814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44729</v>
      </c>
      <c r="G93" s="90" t="s">
        <v>2743</v>
      </c>
      <c r="H93" s="90" t="s">
        <v>959</v>
      </c>
      <c r="I93" s="90" t="s">
        <v>1357</v>
      </c>
      <c r="J93" s="90" t="s">
        <v>678</v>
      </c>
      <c r="K93" s="93">
        <v>320</v>
      </c>
    </row>
    <row r="94" spans="1:11" ht="15" customHeight="1" x14ac:dyDescent="0.4">
      <c r="A94" s="90"/>
      <c r="B94" s="90"/>
      <c r="C94" s="90"/>
      <c r="D94" s="90"/>
      <c r="E94" s="90" t="s">
        <v>653</v>
      </c>
      <c r="F94" s="91">
        <v>44732</v>
      </c>
      <c r="G94" s="90" t="s">
        <v>2744</v>
      </c>
      <c r="H94" s="90" t="s">
        <v>959</v>
      </c>
      <c r="I94" s="90" t="s">
        <v>1357</v>
      </c>
      <c r="J94" s="90" t="s">
        <v>678</v>
      </c>
      <c r="K94" s="93">
        <v>1697.78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44732</v>
      </c>
      <c r="G95" s="90" t="s">
        <v>2745</v>
      </c>
      <c r="H95" s="90" t="s">
        <v>959</v>
      </c>
      <c r="I95" s="90" t="s">
        <v>1357</v>
      </c>
      <c r="J95" s="90" t="s">
        <v>678</v>
      </c>
      <c r="K95" s="93">
        <v>991.01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44735</v>
      </c>
      <c r="G96" s="90" t="s">
        <v>2746</v>
      </c>
      <c r="H96" s="90" t="s">
        <v>960</v>
      </c>
      <c r="I96" s="90" t="s">
        <v>968</v>
      </c>
      <c r="J96" s="90" t="s">
        <v>678</v>
      </c>
      <c r="K96" s="93">
        <v>139.91999999999999</v>
      </c>
    </row>
    <row r="97" spans="1:12" ht="15" customHeight="1" x14ac:dyDescent="0.4">
      <c r="A97" s="90"/>
      <c r="B97" s="90"/>
      <c r="C97" s="90"/>
      <c r="D97" s="90"/>
      <c r="E97" s="90" t="s">
        <v>653</v>
      </c>
      <c r="F97" s="91">
        <v>44739</v>
      </c>
      <c r="G97" s="90" t="s">
        <v>2747</v>
      </c>
      <c r="H97" s="90" t="s">
        <v>962</v>
      </c>
      <c r="I97" s="90" t="s">
        <v>970</v>
      </c>
      <c r="J97" s="90" t="s">
        <v>678</v>
      </c>
      <c r="K97" s="93">
        <v>549</v>
      </c>
    </row>
    <row r="98" spans="1:12" ht="15" customHeight="1" x14ac:dyDescent="0.4">
      <c r="A98" s="90"/>
      <c r="B98" s="90"/>
      <c r="C98" s="90"/>
      <c r="D98" s="90"/>
      <c r="E98" s="90" t="s">
        <v>653</v>
      </c>
      <c r="F98" s="91">
        <v>44741</v>
      </c>
      <c r="G98" s="90" t="s">
        <v>2748</v>
      </c>
      <c r="H98" s="90" t="s">
        <v>744</v>
      </c>
      <c r="I98" s="90" t="s">
        <v>2847</v>
      </c>
      <c r="J98" s="90" t="s">
        <v>678</v>
      </c>
      <c r="K98" s="93">
        <v>48.59</v>
      </c>
    </row>
    <row r="99" spans="1:12" ht="15" customHeight="1" x14ac:dyDescent="0.4">
      <c r="A99" s="90"/>
      <c r="B99" s="90"/>
      <c r="C99" s="90"/>
      <c r="D99" s="90"/>
      <c r="E99" s="90" t="s">
        <v>653</v>
      </c>
      <c r="F99" s="91">
        <v>44742</v>
      </c>
      <c r="G99" s="90" t="s">
        <v>2749</v>
      </c>
      <c r="H99" s="90" t="s">
        <v>965</v>
      </c>
      <c r="I99" s="90" t="s">
        <v>978</v>
      </c>
      <c r="J99" s="90" t="s">
        <v>678</v>
      </c>
      <c r="K99" s="93">
        <v>325</v>
      </c>
    </row>
    <row r="100" spans="1:12" ht="15" customHeight="1" x14ac:dyDescent="0.4">
      <c r="A100" s="90"/>
      <c r="B100" s="90"/>
      <c r="C100" s="90"/>
      <c r="D100" s="90"/>
      <c r="E100" s="90" t="s">
        <v>653</v>
      </c>
      <c r="F100" s="91">
        <v>44742</v>
      </c>
      <c r="G100" s="90" t="s">
        <v>2749</v>
      </c>
      <c r="H100" s="90" t="s">
        <v>965</v>
      </c>
      <c r="I100" s="90" t="s">
        <v>981</v>
      </c>
      <c r="J100" s="90" t="s">
        <v>678</v>
      </c>
      <c r="K100" s="93">
        <v>39</v>
      </c>
    </row>
    <row r="101" spans="1:12" ht="15" customHeight="1" x14ac:dyDescent="0.4">
      <c r="A101" s="90"/>
      <c r="B101" s="90"/>
      <c r="C101" s="90"/>
      <c r="D101" s="90"/>
      <c r="E101" s="90" t="s">
        <v>653</v>
      </c>
      <c r="F101" s="91">
        <v>44743</v>
      </c>
      <c r="G101" s="90" t="s">
        <v>2750</v>
      </c>
      <c r="H101" s="90" t="s">
        <v>959</v>
      </c>
      <c r="I101" s="90" t="s">
        <v>967</v>
      </c>
      <c r="J101" s="90" t="s">
        <v>678</v>
      </c>
      <c r="K101" s="93">
        <v>1104.17</v>
      </c>
    </row>
    <row r="102" spans="1:12" ht="15" customHeight="1" x14ac:dyDescent="0.4">
      <c r="A102" s="90"/>
      <c r="B102" s="90"/>
      <c r="C102" s="90"/>
      <c r="D102" s="90"/>
      <c r="E102" s="90" t="s">
        <v>653</v>
      </c>
      <c r="F102" s="91">
        <v>44743</v>
      </c>
      <c r="G102" s="90" t="s">
        <v>2751</v>
      </c>
      <c r="H102" s="90" t="s">
        <v>729</v>
      </c>
      <c r="I102" s="90" t="s">
        <v>966</v>
      </c>
      <c r="J102" s="90" t="s">
        <v>678</v>
      </c>
      <c r="K102" s="93">
        <v>3025</v>
      </c>
    </row>
    <row r="103" spans="1:12" ht="15" customHeight="1" x14ac:dyDescent="0.4">
      <c r="A103" s="90"/>
      <c r="B103" s="90"/>
      <c r="C103" s="90"/>
      <c r="D103" s="90"/>
      <c r="E103" s="90" t="s">
        <v>653</v>
      </c>
      <c r="F103" s="91">
        <v>44743</v>
      </c>
      <c r="G103" s="90" t="s">
        <v>2752</v>
      </c>
      <c r="H103" s="90" t="s">
        <v>961</v>
      </c>
      <c r="I103" s="90" t="s">
        <v>969</v>
      </c>
      <c r="J103" s="90" t="s">
        <v>678</v>
      </c>
      <c r="K103" s="93">
        <v>813.75</v>
      </c>
    </row>
    <row r="104" spans="1:12" ht="15" customHeight="1" x14ac:dyDescent="0.4">
      <c r="A104" s="90"/>
      <c r="B104" s="90"/>
      <c r="C104" s="90"/>
      <c r="D104" s="90"/>
      <c r="E104" s="90" t="s">
        <v>653</v>
      </c>
      <c r="F104" s="91">
        <v>44743</v>
      </c>
      <c r="G104" s="90" t="s">
        <v>2752</v>
      </c>
      <c r="H104" s="90" t="s">
        <v>961</v>
      </c>
      <c r="I104" s="90" t="s">
        <v>2837</v>
      </c>
      <c r="J104" s="90" t="s">
        <v>678</v>
      </c>
      <c r="K104" s="93">
        <v>44.76</v>
      </c>
    </row>
    <row r="105" spans="1:12" ht="15" customHeight="1" x14ac:dyDescent="0.4">
      <c r="A105" s="90"/>
      <c r="B105" s="90"/>
      <c r="C105" s="90"/>
      <c r="D105" s="90"/>
      <c r="E105" s="90" t="s">
        <v>653</v>
      </c>
      <c r="F105" s="91">
        <v>44750</v>
      </c>
      <c r="G105" s="90" t="s">
        <v>2753</v>
      </c>
      <c r="H105" s="90" t="s">
        <v>963</v>
      </c>
      <c r="I105" s="90" t="s">
        <v>973</v>
      </c>
      <c r="J105" s="90" t="s">
        <v>678</v>
      </c>
      <c r="K105" s="93">
        <v>126</v>
      </c>
    </row>
    <row r="106" spans="1:12" ht="15" customHeight="1" x14ac:dyDescent="0.4">
      <c r="A106" s="90"/>
      <c r="B106" s="90"/>
      <c r="C106" s="90"/>
      <c r="D106" s="90"/>
      <c r="E106" s="90" t="s">
        <v>653</v>
      </c>
      <c r="F106" s="91">
        <v>44750</v>
      </c>
      <c r="G106" s="90" t="s">
        <v>2753</v>
      </c>
      <c r="H106" s="90" t="s">
        <v>963</v>
      </c>
      <c r="I106" s="90" t="s">
        <v>974</v>
      </c>
      <c r="J106" s="90" t="s">
        <v>678</v>
      </c>
      <c r="K106" s="93">
        <v>18</v>
      </c>
    </row>
    <row r="107" spans="1:12" ht="15" customHeight="1" x14ac:dyDescent="0.4">
      <c r="A107" s="90"/>
      <c r="B107" s="90"/>
      <c r="C107" s="90"/>
      <c r="D107" s="90"/>
      <c r="E107" s="90" t="s">
        <v>653</v>
      </c>
      <c r="F107" s="91">
        <v>44767</v>
      </c>
      <c r="G107" s="90" t="s">
        <v>2754</v>
      </c>
      <c r="H107" s="90" t="s">
        <v>2814</v>
      </c>
      <c r="I107" s="90" t="s">
        <v>2827</v>
      </c>
      <c r="J107" s="90" t="s">
        <v>678</v>
      </c>
      <c r="K107" s="93">
        <v>105</v>
      </c>
    </row>
    <row r="108" spans="1:12" ht="15" customHeight="1" x14ac:dyDescent="0.4">
      <c r="A108" s="90"/>
      <c r="B108" s="90"/>
      <c r="C108" s="90"/>
      <c r="D108" s="90"/>
      <c r="E108" s="90" t="s">
        <v>653</v>
      </c>
      <c r="F108" s="91">
        <v>44773</v>
      </c>
      <c r="G108" s="90" t="s">
        <v>2755</v>
      </c>
      <c r="H108" s="90" t="s">
        <v>965</v>
      </c>
      <c r="I108" s="90" t="s">
        <v>978</v>
      </c>
      <c r="J108" s="90" t="s">
        <v>678</v>
      </c>
      <c r="K108" s="93">
        <v>325</v>
      </c>
    </row>
    <row r="109" spans="1:12" ht="15" customHeight="1" x14ac:dyDescent="0.4">
      <c r="A109" s="90"/>
      <c r="B109" s="90"/>
      <c r="C109" s="90"/>
      <c r="D109" s="90"/>
      <c r="E109" s="90" t="s">
        <v>653</v>
      </c>
      <c r="F109" s="91">
        <v>44773</v>
      </c>
      <c r="G109" s="90" t="s">
        <v>2755</v>
      </c>
      <c r="H109" s="90" t="s">
        <v>965</v>
      </c>
      <c r="I109" s="90" t="s">
        <v>981</v>
      </c>
      <c r="J109" s="90" t="s">
        <v>678</v>
      </c>
      <c r="K109" s="93">
        <v>39</v>
      </c>
    </row>
    <row r="110" spans="1:12" ht="15" customHeight="1" x14ac:dyDescent="0.4">
      <c r="A110" s="90"/>
      <c r="B110" s="90"/>
      <c r="C110" s="90"/>
      <c r="D110" s="90"/>
      <c r="E110" s="90" t="s">
        <v>653</v>
      </c>
      <c r="F110" s="91">
        <v>44773</v>
      </c>
      <c r="G110" s="90" t="s">
        <v>2756</v>
      </c>
      <c r="H110" s="90" t="s">
        <v>959</v>
      </c>
      <c r="I110" s="90" t="s">
        <v>2848</v>
      </c>
      <c r="J110" s="90" t="s">
        <v>678</v>
      </c>
      <c r="L110" s="93">
        <v>16273.13</v>
      </c>
    </row>
    <row r="111" spans="1:12" ht="15" customHeight="1" x14ac:dyDescent="0.4">
      <c r="A111" s="90"/>
      <c r="B111" s="90"/>
      <c r="C111" s="90"/>
      <c r="D111" s="90"/>
      <c r="E111" s="90" t="s">
        <v>653</v>
      </c>
      <c r="F111" s="91">
        <v>44774</v>
      </c>
      <c r="G111" s="90" t="s">
        <v>2757</v>
      </c>
      <c r="H111" s="90" t="s">
        <v>959</v>
      </c>
      <c r="I111" s="90" t="s">
        <v>967</v>
      </c>
      <c r="J111" s="90" t="s">
        <v>678</v>
      </c>
      <c r="K111" s="93">
        <v>1104.17</v>
      </c>
    </row>
    <row r="112" spans="1:12" ht="15" customHeight="1" x14ac:dyDescent="0.4">
      <c r="A112" s="90"/>
      <c r="B112" s="90"/>
      <c r="C112" s="90"/>
      <c r="D112" s="90"/>
      <c r="E112" s="90" t="s">
        <v>653</v>
      </c>
      <c r="F112" s="91">
        <v>44774</v>
      </c>
      <c r="G112" s="90" t="s">
        <v>2758</v>
      </c>
      <c r="H112" s="90" t="s">
        <v>729</v>
      </c>
      <c r="I112" s="90" t="s">
        <v>966</v>
      </c>
      <c r="J112" s="90" t="s">
        <v>678</v>
      </c>
      <c r="K112" s="93">
        <v>3025</v>
      </c>
    </row>
    <row r="113" spans="1:12" ht="15" customHeight="1" x14ac:dyDescent="0.4">
      <c r="A113" s="90"/>
      <c r="B113" s="90"/>
      <c r="C113" s="90"/>
      <c r="D113" s="90"/>
      <c r="E113" s="90" t="s">
        <v>653</v>
      </c>
      <c r="F113" s="91">
        <v>44774</v>
      </c>
      <c r="G113" s="90" t="s">
        <v>2759</v>
      </c>
      <c r="H113" s="90" t="s">
        <v>2821</v>
      </c>
      <c r="I113" s="90" t="s">
        <v>2849</v>
      </c>
      <c r="J113" s="90" t="s">
        <v>678</v>
      </c>
      <c r="L113" s="93">
        <v>68091</v>
      </c>
    </row>
    <row r="114" spans="1:12" ht="15" customHeight="1" x14ac:dyDescent="0.4">
      <c r="A114" s="90"/>
      <c r="B114" s="90"/>
      <c r="C114" s="90"/>
      <c r="D114" s="90"/>
      <c r="E114" s="90" t="s">
        <v>653</v>
      </c>
      <c r="F114" s="91">
        <v>44774</v>
      </c>
      <c r="G114" s="90" t="s">
        <v>2760</v>
      </c>
      <c r="H114" s="90" t="s">
        <v>961</v>
      </c>
      <c r="I114" s="90" t="s">
        <v>969</v>
      </c>
      <c r="J114" s="90" t="s">
        <v>678</v>
      </c>
      <c r="K114" s="93">
        <v>813.75</v>
      </c>
    </row>
    <row r="115" spans="1:12" ht="15" customHeight="1" x14ac:dyDescent="0.4">
      <c r="A115" s="90"/>
      <c r="B115" s="90"/>
      <c r="C115" s="90"/>
      <c r="D115" s="90"/>
      <c r="E115" s="90" t="s">
        <v>653</v>
      </c>
      <c r="F115" s="91">
        <v>44774</v>
      </c>
      <c r="G115" s="90" t="s">
        <v>2760</v>
      </c>
      <c r="H115" s="90" t="s">
        <v>961</v>
      </c>
      <c r="I115" s="90" t="s">
        <v>2837</v>
      </c>
      <c r="J115" s="90" t="s">
        <v>678</v>
      </c>
      <c r="K115" s="93">
        <v>44.76</v>
      </c>
    </row>
    <row r="116" spans="1:12" ht="15" customHeight="1" x14ac:dyDescent="0.4">
      <c r="A116" s="90"/>
      <c r="B116" s="90"/>
      <c r="C116" s="90"/>
      <c r="D116" s="90"/>
      <c r="E116" s="90" t="s">
        <v>653</v>
      </c>
      <c r="F116" s="91">
        <v>44783</v>
      </c>
      <c r="G116" s="90" t="s">
        <v>2761</v>
      </c>
      <c r="H116" s="90" t="s">
        <v>2821</v>
      </c>
      <c r="I116" s="90" t="s">
        <v>2850</v>
      </c>
      <c r="J116" s="90" t="s">
        <v>678</v>
      </c>
      <c r="L116" s="93">
        <v>34045.5</v>
      </c>
    </row>
    <row r="117" spans="1:12" ht="15" customHeight="1" x14ac:dyDescent="0.4">
      <c r="A117" s="90"/>
      <c r="B117" s="90"/>
      <c r="C117" s="90"/>
      <c r="D117" s="90"/>
      <c r="E117" s="90" t="s">
        <v>653</v>
      </c>
      <c r="F117" s="91">
        <v>44783</v>
      </c>
      <c r="G117" s="90" t="s">
        <v>2761</v>
      </c>
      <c r="H117" s="90" t="s">
        <v>2821</v>
      </c>
      <c r="I117" s="90" t="s">
        <v>2851</v>
      </c>
      <c r="J117" s="90" t="s">
        <v>678</v>
      </c>
      <c r="L117" s="93">
        <v>593.5</v>
      </c>
    </row>
    <row r="118" spans="1:12" ht="15" customHeight="1" x14ac:dyDescent="0.4">
      <c r="A118" s="90"/>
      <c r="B118" s="90"/>
      <c r="C118" s="90"/>
      <c r="D118" s="90"/>
      <c r="E118" s="90" t="s">
        <v>653</v>
      </c>
      <c r="F118" s="91">
        <v>44783</v>
      </c>
      <c r="G118" s="90" t="s">
        <v>2214</v>
      </c>
      <c r="H118" s="90" t="s">
        <v>2819</v>
      </c>
      <c r="I118" s="90" t="s">
        <v>2852</v>
      </c>
      <c r="J118" s="90" t="s">
        <v>678</v>
      </c>
      <c r="K118" s="93">
        <v>600</v>
      </c>
    </row>
    <row r="119" spans="1:12" ht="15" customHeight="1" x14ac:dyDescent="0.4">
      <c r="A119" s="90"/>
      <c r="B119" s="90"/>
      <c r="C119" s="90"/>
      <c r="D119" s="90"/>
      <c r="E119" s="90" t="s">
        <v>653</v>
      </c>
      <c r="F119" s="91">
        <v>44784</v>
      </c>
      <c r="G119" s="90" t="s">
        <v>2762</v>
      </c>
      <c r="H119" s="90" t="s">
        <v>959</v>
      </c>
      <c r="I119" s="90" t="s">
        <v>1357</v>
      </c>
      <c r="J119" s="90" t="s">
        <v>678</v>
      </c>
      <c r="K119" s="93">
        <v>280</v>
      </c>
    </row>
    <row r="120" spans="1:12" ht="15" customHeight="1" x14ac:dyDescent="0.4">
      <c r="A120" s="90"/>
      <c r="B120" s="90"/>
      <c r="C120" s="90"/>
      <c r="D120" s="90"/>
      <c r="E120" s="90" t="s">
        <v>653</v>
      </c>
      <c r="F120" s="91">
        <v>44791</v>
      </c>
      <c r="G120" s="90" t="s">
        <v>2763</v>
      </c>
      <c r="H120" s="90" t="s">
        <v>2822</v>
      </c>
      <c r="I120" s="90" t="s">
        <v>2853</v>
      </c>
      <c r="J120" s="90" t="s">
        <v>678</v>
      </c>
      <c r="K120" s="93">
        <v>760</v>
      </c>
    </row>
    <row r="121" spans="1:12" ht="15" customHeight="1" x14ac:dyDescent="0.4">
      <c r="A121" s="90"/>
      <c r="B121" s="90"/>
      <c r="C121" s="90"/>
      <c r="D121" s="90"/>
      <c r="E121" s="90" t="s">
        <v>653</v>
      </c>
      <c r="F121" s="91">
        <v>44798</v>
      </c>
      <c r="G121" s="90" t="s">
        <v>2764</v>
      </c>
      <c r="H121" s="90" t="s">
        <v>744</v>
      </c>
      <c r="I121" s="90" t="s">
        <v>2854</v>
      </c>
      <c r="J121" s="90" t="s">
        <v>678</v>
      </c>
      <c r="K121" s="93">
        <v>105</v>
      </c>
    </row>
    <row r="122" spans="1:12" ht="15" customHeight="1" x14ac:dyDescent="0.4">
      <c r="A122" s="90"/>
      <c r="B122" s="90"/>
      <c r="C122" s="90"/>
      <c r="D122" s="90"/>
      <c r="E122" s="90" t="s">
        <v>653</v>
      </c>
      <c r="F122" s="91">
        <v>44804</v>
      </c>
      <c r="G122" s="90" t="s">
        <v>2765</v>
      </c>
      <c r="H122" s="90" t="s">
        <v>2820</v>
      </c>
      <c r="I122" s="90" t="s">
        <v>2846</v>
      </c>
      <c r="J122" s="90" t="s">
        <v>678</v>
      </c>
      <c r="K122" s="93">
        <v>226.2</v>
      </c>
    </row>
    <row r="123" spans="1:12" ht="15" customHeight="1" x14ac:dyDescent="0.4">
      <c r="A123" s="90"/>
      <c r="B123" s="90"/>
      <c r="C123" s="90"/>
      <c r="D123" s="90"/>
      <c r="E123" s="90" t="s">
        <v>653</v>
      </c>
      <c r="F123" s="91">
        <v>44804</v>
      </c>
      <c r="G123" s="90" t="s">
        <v>2766</v>
      </c>
      <c r="H123" s="90" t="s">
        <v>965</v>
      </c>
      <c r="I123" s="90" t="s">
        <v>978</v>
      </c>
      <c r="J123" s="90" t="s">
        <v>678</v>
      </c>
      <c r="K123" s="93">
        <v>325</v>
      </c>
    </row>
    <row r="124" spans="1:12" ht="15" customHeight="1" x14ac:dyDescent="0.4">
      <c r="A124" s="90"/>
      <c r="B124" s="90"/>
      <c r="C124" s="90"/>
      <c r="D124" s="90"/>
      <c r="E124" s="90" t="s">
        <v>653</v>
      </c>
      <c r="F124" s="91">
        <v>44804</v>
      </c>
      <c r="G124" s="90" t="s">
        <v>2766</v>
      </c>
      <c r="H124" s="90" t="s">
        <v>965</v>
      </c>
      <c r="I124" s="90" t="s">
        <v>981</v>
      </c>
      <c r="J124" s="90" t="s">
        <v>678</v>
      </c>
      <c r="K124" s="93">
        <v>39</v>
      </c>
    </row>
    <row r="125" spans="1:12" ht="15" customHeight="1" x14ac:dyDescent="0.4">
      <c r="A125" s="90"/>
      <c r="B125" s="90"/>
      <c r="C125" s="90"/>
      <c r="D125" s="90"/>
      <c r="E125" s="90" t="s">
        <v>653</v>
      </c>
      <c r="F125" s="91">
        <v>44805</v>
      </c>
      <c r="G125" s="90" t="s">
        <v>2767</v>
      </c>
      <c r="H125" s="90" t="s">
        <v>729</v>
      </c>
      <c r="I125" s="90" t="s">
        <v>966</v>
      </c>
      <c r="J125" s="90" t="s">
        <v>678</v>
      </c>
      <c r="K125" s="93">
        <v>3025</v>
      </c>
    </row>
    <row r="126" spans="1:12" ht="15" customHeight="1" x14ac:dyDescent="0.4">
      <c r="A126" s="90"/>
      <c r="B126" s="90"/>
      <c r="C126" s="90"/>
      <c r="D126" s="90"/>
      <c r="E126" s="90" t="s">
        <v>653</v>
      </c>
      <c r="F126" s="91">
        <v>44805</v>
      </c>
      <c r="G126" s="90" t="s">
        <v>2768</v>
      </c>
      <c r="H126" s="90" t="s">
        <v>961</v>
      </c>
      <c r="I126" s="90" t="s">
        <v>969</v>
      </c>
      <c r="J126" s="90" t="s">
        <v>678</v>
      </c>
      <c r="K126" s="93">
        <v>813.75</v>
      </c>
    </row>
    <row r="127" spans="1:12" ht="15" customHeight="1" x14ac:dyDescent="0.4">
      <c r="A127" s="90"/>
      <c r="B127" s="90"/>
      <c r="C127" s="90"/>
      <c r="D127" s="90"/>
      <c r="E127" s="90" t="s">
        <v>653</v>
      </c>
      <c r="F127" s="91">
        <v>44805</v>
      </c>
      <c r="G127" s="90" t="s">
        <v>2768</v>
      </c>
      <c r="H127" s="90" t="s">
        <v>961</v>
      </c>
      <c r="I127" s="90" t="s">
        <v>2837</v>
      </c>
      <c r="J127" s="90" t="s">
        <v>678</v>
      </c>
      <c r="K127" s="93">
        <v>44.76</v>
      </c>
    </row>
    <row r="128" spans="1:12" ht="15" customHeight="1" x14ac:dyDescent="0.4">
      <c r="A128" s="90"/>
      <c r="B128" s="90"/>
      <c r="C128" s="90"/>
      <c r="D128" s="90"/>
      <c r="E128" s="90" t="s">
        <v>653</v>
      </c>
      <c r="F128" s="91">
        <v>44805</v>
      </c>
      <c r="G128" s="90" t="s">
        <v>2769</v>
      </c>
      <c r="H128" s="90" t="s">
        <v>962</v>
      </c>
      <c r="I128" s="90" t="s">
        <v>970</v>
      </c>
      <c r="J128" s="90" t="s">
        <v>678</v>
      </c>
      <c r="K128" s="93">
        <v>374</v>
      </c>
    </row>
    <row r="129" spans="1:12" ht="15" customHeight="1" x14ac:dyDescent="0.4">
      <c r="A129" s="90"/>
      <c r="B129" s="90"/>
      <c r="C129" s="90"/>
      <c r="D129" s="90"/>
      <c r="E129" s="90" t="s">
        <v>653</v>
      </c>
      <c r="F129" s="91">
        <v>44809</v>
      </c>
      <c r="G129" s="90" t="s">
        <v>2008</v>
      </c>
      <c r="H129" s="90" t="s">
        <v>744</v>
      </c>
      <c r="I129" s="90" t="s">
        <v>2855</v>
      </c>
      <c r="J129" s="90" t="s">
        <v>678</v>
      </c>
      <c r="K129" s="93">
        <v>255.61</v>
      </c>
    </row>
    <row r="130" spans="1:12" ht="15" customHeight="1" x14ac:dyDescent="0.4">
      <c r="A130" s="90"/>
      <c r="B130" s="90"/>
      <c r="C130" s="90"/>
      <c r="D130" s="90"/>
      <c r="E130" s="90" t="s">
        <v>653</v>
      </c>
      <c r="F130" s="91">
        <v>44812</v>
      </c>
      <c r="G130" s="90" t="s">
        <v>2770</v>
      </c>
      <c r="H130" s="90" t="s">
        <v>963</v>
      </c>
      <c r="I130" s="90" t="s">
        <v>973</v>
      </c>
      <c r="J130" s="90" t="s">
        <v>678</v>
      </c>
      <c r="K130" s="93">
        <v>126</v>
      </c>
    </row>
    <row r="131" spans="1:12" ht="15" customHeight="1" x14ac:dyDescent="0.4">
      <c r="A131" s="90"/>
      <c r="B131" s="90"/>
      <c r="C131" s="90"/>
      <c r="D131" s="90"/>
      <c r="E131" s="90" t="s">
        <v>653</v>
      </c>
      <c r="F131" s="91">
        <v>44812</v>
      </c>
      <c r="G131" s="90" t="s">
        <v>2770</v>
      </c>
      <c r="H131" s="90" t="s">
        <v>963</v>
      </c>
      <c r="I131" s="90" t="s">
        <v>974</v>
      </c>
      <c r="J131" s="90" t="s">
        <v>678</v>
      </c>
      <c r="K131" s="93">
        <v>18</v>
      </c>
    </row>
    <row r="132" spans="1:12" ht="15" customHeight="1" x14ac:dyDescent="0.4">
      <c r="A132" s="90"/>
      <c r="B132" s="90"/>
      <c r="C132" s="90"/>
      <c r="D132" s="90"/>
      <c r="E132" s="90" t="s">
        <v>653</v>
      </c>
      <c r="F132" s="91">
        <v>44812</v>
      </c>
      <c r="G132" s="90" t="s">
        <v>2771</v>
      </c>
      <c r="H132" s="90" t="s">
        <v>961</v>
      </c>
      <c r="I132" s="90" t="s">
        <v>2856</v>
      </c>
      <c r="J132" s="90" t="s">
        <v>678</v>
      </c>
      <c r="K132" s="93">
        <v>165</v>
      </c>
    </row>
    <row r="133" spans="1:12" ht="15" customHeight="1" x14ac:dyDescent="0.4">
      <c r="A133" s="90"/>
      <c r="B133" s="90"/>
      <c r="C133" s="90"/>
      <c r="D133" s="90"/>
      <c r="E133" s="90" t="s">
        <v>653</v>
      </c>
      <c r="F133" s="91">
        <v>44817</v>
      </c>
      <c r="G133" s="90" t="s">
        <v>2772</v>
      </c>
      <c r="H133" s="90" t="s">
        <v>962</v>
      </c>
      <c r="I133" s="90" t="s">
        <v>970</v>
      </c>
      <c r="J133" s="90" t="s">
        <v>678</v>
      </c>
      <c r="K133" s="93">
        <v>159</v>
      </c>
    </row>
    <row r="134" spans="1:12" ht="15" customHeight="1" x14ac:dyDescent="0.4">
      <c r="A134" s="90"/>
      <c r="B134" s="90"/>
      <c r="C134" s="90"/>
      <c r="D134" s="90"/>
      <c r="E134" s="90" t="s">
        <v>653</v>
      </c>
      <c r="F134" s="91">
        <v>44823</v>
      </c>
      <c r="G134" s="90" t="s">
        <v>2773</v>
      </c>
      <c r="H134" s="90" t="s">
        <v>1353</v>
      </c>
      <c r="I134" s="90" t="s">
        <v>2857</v>
      </c>
      <c r="J134" s="90" t="s">
        <v>678</v>
      </c>
      <c r="L134" s="93">
        <v>12722.32</v>
      </c>
    </row>
    <row r="135" spans="1:12" ht="15" customHeight="1" x14ac:dyDescent="0.4">
      <c r="A135" s="90"/>
      <c r="B135" s="90"/>
      <c r="C135" s="90"/>
      <c r="D135" s="90"/>
      <c r="E135" s="90" t="s">
        <v>653</v>
      </c>
      <c r="F135" s="91">
        <v>44823</v>
      </c>
      <c r="G135" s="90" t="s">
        <v>2774</v>
      </c>
      <c r="H135" s="90" t="s">
        <v>961</v>
      </c>
      <c r="I135" s="90" t="s">
        <v>2858</v>
      </c>
      <c r="J135" s="90" t="s">
        <v>678</v>
      </c>
      <c r="K135" s="93">
        <v>232</v>
      </c>
    </row>
    <row r="136" spans="1:12" ht="15" customHeight="1" x14ac:dyDescent="0.4">
      <c r="A136" s="90"/>
      <c r="B136" s="90"/>
      <c r="C136" s="90"/>
      <c r="D136" s="90"/>
      <c r="E136" s="90" t="s">
        <v>653</v>
      </c>
      <c r="F136" s="91">
        <v>44823</v>
      </c>
      <c r="G136" s="90" t="s">
        <v>2775</v>
      </c>
      <c r="H136" s="90" t="s">
        <v>959</v>
      </c>
      <c r="I136" s="90" t="s">
        <v>1357</v>
      </c>
      <c r="J136" s="90" t="s">
        <v>678</v>
      </c>
      <c r="K136" s="93">
        <v>1891.4</v>
      </c>
    </row>
    <row r="137" spans="1:12" ht="15" customHeight="1" x14ac:dyDescent="0.4">
      <c r="A137" s="90"/>
      <c r="B137" s="90"/>
      <c r="C137" s="90"/>
      <c r="D137" s="90"/>
      <c r="E137" s="90" t="s">
        <v>731</v>
      </c>
      <c r="F137" s="91">
        <v>44827</v>
      </c>
      <c r="G137" s="90" t="s">
        <v>2776</v>
      </c>
      <c r="H137" s="90" t="s">
        <v>2823</v>
      </c>
      <c r="I137" s="90" t="s">
        <v>2859</v>
      </c>
      <c r="J137" s="90" t="s">
        <v>735</v>
      </c>
      <c r="K137" s="93">
        <v>99</v>
      </c>
    </row>
    <row r="138" spans="1:12" ht="15" customHeight="1" x14ac:dyDescent="0.4">
      <c r="A138" s="90"/>
      <c r="B138" s="90"/>
      <c r="C138" s="90"/>
      <c r="D138" s="90"/>
      <c r="E138" s="90" t="s">
        <v>653</v>
      </c>
      <c r="F138" s="91">
        <v>44830</v>
      </c>
      <c r="G138" s="90" t="s">
        <v>2777</v>
      </c>
      <c r="H138" s="90" t="s">
        <v>729</v>
      </c>
      <c r="I138" s="90" t="s">
        <v>2860</v>
      </c>
      <c r="J138" s="90" t="s">
        <v>678</v>
      </c>
      <c r="K138" s="93">
        <v>95</v>
      </c>
    </row>
    <row r="139" spans="1:12" ht="15" customHeight="1" x14ac:dyDescent="0.4">
      <c r="A139" s="90"/>
      <c r="B139" s="90"/>
      <c r="C139" s="90"/>
      <c r="D139" s="90"/>
      <c r="E139" s="90" t="s">
        <v>653</v>
      </c>
      <c r="F139" s="91">
        <v>44834</v>
      </c>
      <c r="G139" s="90" t="s">
        <v>2778</v>
      </c>
      <c r="H139" s="90" t="s">
        <v>965</v>
      </c>
      <c r="I139" s="90" t="s">
        <v>978</v>
      </c>
      <c r="J139" s="90" t="s">
        <v>678</v>
      </c>
      <c r="K139" s="93">
        <v>325</v>
      </c>
    </row>
    <row r="140" spans="1:12" ht="15" customHeight="1" x14ac:dyDescent="0.4">
      <c r="A140" s="90"/>
      <c r="B140" s="90"/>
      <c r="C140" s="90"/>
      <c r="D140" s="90"/>
      <c r="E140" s="90" t="s">
        <v>653</v>
      </c>
      <c r="F140" s="91">
        <v>44834</v>
      </c>
      <c r="G140" s="90" t="s">
        <v>2778</v>
      </c>
      <c r="H140" s="90" t="s">
        <v>965</v>
      </c>
      <c r="I140" s="90" t="s">
        <v>981</v>
      </c>
      <c r="J140" s="90" t="s">
        <v>678</v>
      </c>
      <c r="K140" s="93">
        <v>39</v>
      </c>
    </row>
    <row r="141" spans="1:12" ht="15" customHeight="1" x14ac:dyDescent="0.4">
      <c r="A141" s="90"/>
      <c r="B141" s="90"/>
      <c r="C141" s="90"/>
      <c r="D141" s="90"/>
      <c r="E141" s="90" t="s">
        <v>653</v>
      </c>
      <c r="F141" s="91">
        <v>44834</v>
      </c>
      <c r="G141" s="90" t="s">
        <v>2779</v>
      </c>
      <c r="H141" s="90" t="s">
        <v>2814</v>
      </c>
      <c r="I141" s="90" t="s">
        <v>2827</v>
      </c>
      <c r="J141" s="90" t="s">
        <v>678</v>
      </c>
      <c r="K141" s="93">
        <v>105</v>
      </c>
    </row>
    <row r="142" spans="1:12" ht="15" customHeight="1" x14ac:dyDescent="0.4">
      <c r="A142" s="90"/>
      <c r="B142" s="90"/>
      <c r="C142" s="90"/>
      <c r="D142" s="90"/>
      <c r="E142" s="90" t="s">
        <v>653</v>
      </c>
      <c r="F142" s="91">
        <v>44835</v>
      </c>
      <c r="G142" s="90" t="s">
        <v>2780</v>
      </c>
      <c r="H142" s="90" t="s">
        <v>960</v>
      </c>
      <c r="I142" s="90" t="s">
        <v>968</v>
      </c>
      <c r="J142" s="90" t="s">
        <v>678</v>
      </c>
      <c r="K142" s="93">
        <v>139.91999999999999</v>
      </c>
    </row>
    <row r="143" spans="1:12" ht="15" customHeight="1" x14ac:dyDescent="0.4">
      <c r="A143" s="90"/>
      <c r="B143" s="90"/>
      <c r="C143" s="90"/>
      <c r="D143" s="90"/>
      <c r="E143" s="90" t="s">
        <v>653</v>
      </c>
      <c r="F143" s="91">
        <v>44835</v>
      </c>
      <c r="G143" s="90" t="s">
        <v>2781</v>
      </c>
      <c r="H143" s="90" t="s">
        <v>729</v>
      </c>
      <c r="I143" s="90" t="s">
        <v>966</v>
      </c>
      <c r="J143" s="90" t="s">
        <v>678</v>
      </c>
      <c r="K143" s="93">
        <v>3025</v>
      </c>
    </row>
    <row r="144" spans="1:12" ht="15" customHeight="1" x14ac:dyDescent="0.4">
      <c r="A144" s="90"/>
      <c r="B144" s="90"/>
      <c r="C144" s="90"/>
      <c r="D144" s="90"/>
      <c r="E144" s="90" t="s">
        <v>653</v>
      </c>
      <c r="F144" s="91">
        <v>44835</v>
      </c>
      <c r="G144" s="90" t="s">
        <v>2782</v>
      </c>
      <c r="H144" s="90" t="s">
        <v>961</v>
      </c>
      <c r="I144" s="90" t="s">
        <v>969</v>
      </c>
      <c r="J144" s="90" t="s">
        <v>678</v>
      </c>
      <c r="K144" s="93">
        <v>813.75</v>
      </c>
    </row>
    <row r="145" spans="1:12" ht="15" customHeight="1" x14ac:dyDescent="0.4">
      <c r="A145" s="90"/>
      <c r="B145" s="90"/>
      <c r="C145" s="90"/>
      <c r="D145" s="90"/>
      <c r="E145" s="90" t="s">
        <v>653</v>
      </c>
      <c r="F145" s="91">
        <v>44835</v>
      </c>
      <c r="G145" s="90" t="s">
        <v>2782</v>
      </c>
      <c r="H145" s="90" t="s">
        <v>961</v>
      </c>
      <c r="I145" s="90" t="s">
        <v>2837</v>
      </c>
      <c r="J145" s="90" t="s">
        <v>678</v>
      </c>
      <c r="K145" s="93">
        <v>32.549999999999997</v>
      </c>
    </row>
    <row r="146" spans="1:12" ht="15" customHeight="1" x14ac:dyDescent="0.4">
      <c r="A146" s="90"/>
      <c r="B146" s="90"/>
      <c r="C146" s="90"/>
      <c r="D146" s="90"/>
      <c r="E146" s="90" t="s">
        <v>653</v>
      </c>
      <c r="F146" s="91">
        <v>44840</v>
      </c>
      <c r="G146" s="90" t="s">
        <v>2783</v>
      </c>
      <c r="H146" s="90" t="s">
        <v>962</v>
      </c>
      <c r="I146" s="90" t="s">
        <v>970</v>
      </c>
      <c r="J146" s="90" t="s">
        <v>678</v>
      </c>
      <c r="K146" s="93">
        <v>299</v>
      </c>
    </row>
    <row r="147" spans="1:12" ht="15" customHeight="1" x14ac:dyDescent="0.4">
      <c r="A147" s="90"/>
      <c r="B147" s="90"/>
      <c r="C147" s="90"/>
      <c r="D147" s="90"/>
      <c r="E147" s="90" t="s">
        <v>653</v>
      </c>
      <c r="F147" s="91">
        <v>44840</v>
      </c>
      <c r="G147" s="90" t="s">
        <v>2784</v>
      </c>
      <c r="H147" s="90" t="s">
        <v>961</v>
      </c>
      <c r="I147" s="90" t="s">
        <v>2861</v>
      </c>
      <c r="J147" s="90" t="s">
        <v>678</v>
      </c>
      <c r="K147" s="93">
        <v>260</v>
      </c>
    </row>
    <row r="148" spans="1:12" ht="15" customHeight="1" x14ac:dyDescent="0.4">
      <c r="A148" s="90"/>
      <c r="B148" s="90"/>
      <c r="C148" s="90"/>
      <c r="D148" s="90"/>
      <c r="E148" s="90" t="s">
        <v>653</v>
      </c>
      <c r="F148" s="91">
        <v>44844</v>
      </c>
      <c r="G148" s="90" t="s">
        <v>2785</v>
      </c>
      <c r="H148" s="90" t="s">
        <v>1353</v>
      </c>
      <c r="I148" s="90" t="s">
        <v>2857</v>
      </c>
      <c r="J148" s="90" t="s">
        <v>678</v>
      </c>
      <c r="L148" s="93">
        <v>1757.44</v>
      </c>
    </row>
    <row r="149" spans="1:12" ht="15" customHeight="1" x14ac:dyDescent="0.4">
      <c r="A149" s="90"/>
      <c r="B149" s="90"/>
      <c r="C149" s="90"/>
      <c r="D149" s="90"/>
      <c r="E149" s="90" t="s">
        <v>731</v>
      </c>
      <c r="F149" s="91">
        <v>44845</v>
      </c>
      <c r="G149" s="90" t="s">
        <v>2786</v>
      </c>
      <c r="H149" s="90" t="s">
        <v>1280</v>
      </c>
      <c r="I149" s="90" t="s">
        <v>1365</v>
      </c>
      <c r="J149" s="90" t="s">
        <v>735</v>
      </c>
      <c r="K149" s="93">
        <v>7.78</v>
      </c>
    </row>
    <row r="150" spans="1:12" ht="15" customHeight="1" x14ac:dyDescent="0.4">
      <c r="A150" s="90"/>
      <c r="B150" s="90"/>
      <c r="C150" s="90"/>
      <c r="D150" s="90"/>
      <c r="E150" s="90" t="s">
        <v>653</v>
      </c>
      <c r="F150" s="91">
        <v>44847</v>
      </c>
      <c r="G150" s="90" t="s">
        <v>2787</v>
      </c>
      <c r="H150" s="90" t="s">
        <v>959</v>
      </c>
      <c r="I150" s="90" t="s">
        <v>967</v>
      </c>
      <c r="J150" s="90" t="s">
        <v>678</v>
      </c>
      <c r="K150" s="93">
        <v>2208.3000000000002</v>
      </c>
    </row>
    <row r="151" spans="1:12" ht="15" customHeight="1" x14ac:dyDescent="0.4">
      <c r="A151" s="90"/>
      <c r="B151" s="90"/>
      <c r="C151" s="90"/>
      <c r="D151" s="90"/>
      <c r="E151" s="90" t="s">
        <v>653</v>
      </c>
      <c r="F151" s="91">
        <v>44848</v>
      </c>
      <c r="G151" s="90" t="s">
        <v>2788</v>
      </c>
      <c r="H151" s="90" t="s">
        <v>1353</v>
      </c>
      <c r="I151" s="90" t="s">
        <v>2857</v>
      </c>
      <c r="J151" s="90" t="s">
        <v>678</v>
      </c>
      <c r="L151" s="93">
        <v>1001.67</v>
      </c>
    </row>
    <row r="152" spans="1:12" ht="15" customHeight="1" x14ac:dyDescent="0.4">
      <c r="A152" s="90"/>
      <c r="B152" s="90"/>
      <c r="C152" s="90"/>
      <c r="D152" s="90"/>
      <c r="E152" s="90" t="s">
        <v>653</v>
      </c>
      <c r="F152" s="91">
        <v>44851</v>
      </c>
      <c r="G152" s="90" t="s">
        <v>2789</v>
      </c>
      <c r="H152" s="90" t="s">
        <v>2818</v>
      </c>
      <c r="I152" s="90" t="s">
        <v>2836</v>
      </c>
      <c r="J152" s="90" t="s">
        <v>678</v>
      </c>
      <c r="K152" s="93">
        <v>1175</v>
      </c>
    </row>
    <row r="153" spans="1:12" ht="15" customHeight="1" x14ac:dyDescent="0.4">
      <c r="A153" s="90"/>
      <c r="B153" s="90"/>
      <c r="C153" s="90"/>
      <c r="D153" s="90"/>
      <c r="E153" s="90" t="s">
        <v>653</v>
      </c>
      <c r="F153" s="91">
        <v>44853</v>
      </c>
      <c r="G153" s="90" t="s">
        <v>2790</v>
      </c>
      <c r="H153" s="90" t="s">
        <v>744</v>
      </c>
      <c r="I153" s="90" t="s">
        <v>2862</v>
      </c>
      <c r="J153" s="90" t="s">
        <v>678</v>
      </c>
      <c r="K153" s="93">
        <v>62.39</v>
      </c>
    </row>
    <row r="154" spans="1:12" ht="15" customHeight="1" x14ac:dyDescent="0.4">
      <c r="A154" s="90"/>
      <c r="B154" s="90"/>
      <c r="C154" s="90"/>
      <c r="D154" s="90"/>
      <c r="E154" s="90" t="s">
        <v>653</v>
      </c>
      <c r="F154" s="91">
        <v>44853</v>
      </c>
      <c r="G154" s="90" t="s">
        <v>2791</v>
      </c>
      <c r="H154" s="90" t="s">
        <v>2817</v>
      </c>
      <c r="I154" s="90" t="s">
        <v>2834</v>
      </c>
      <c r="J154" s="90" t="s">
        <v>678</v>
      </c>
      <c r="K154" s="93">
        <v>1490</v>
      </c>
    </row>
    <row r="155" spans="1:12" ht="15" customHeight="1" x14ac:dyDescent="0.4">
      <c r="A155" s="90"/>
      <c r="B155" s="90"/>
      <c r="C155" s="90"/>
      <c r="D155" s="90"/>
      <c r="E155" s="90" t="s">
        <v>653</v>
      </c>
      <c r="F155" s="91">
        <v>44859</v>
      </c>
      <c r="G155" s="90" t="s">
        <v>2792</v>
      </c>
      <c r="H155" s="90" t="s">
        <v>2824</v>
      </c>
      <c r="I155" s="90" t="s">
        <v>2863</v>
      </c>
      <c r="J155" s="90" t="s">
        <v>678</v>
      </c>
      <c r="L155" s="93">
        <v>619</v>
      </c>
    </row>
    <row r="156" spans="1:12" ht="15" customHeight="1" x14ac:dyDescent="0.4">
      <c r="A156" s="90"/>
      <c r="B156" s="90"/>
      <c r="C156" s="90"/>
      <c r="D156" s="90"/>
      <c r="E156" s="90" t="s">
        <v>653</v>
      </c>
      <c r="F156" s="91">
        <v>44862</v>
      </c>
      <c r="G156" s="90" t="s">
        <v>2793</v>
      </c>
      <c r="H156" s="90" t="s">
        <v>959</v>
      </c>
      <c r="I156" s="90" t="s">
        <v>1357</v>
      </c>
      <c r="J156" s="90" t="s">
        <v>678</v>
      </c>
      <c r="K156" s="93">
        <v>410</v>
      </c>
    </row>
    <row r="157" spans="1:12" ht="15" customHeight="1" x14ac:dyDescent="0.4">
      <c r="A157" s="90"/>
      <c r="B157" s="90"/>
      <c r="C157" s="90"/>
      <c r="D157" s="90"/>
      <c r="E157" s="90" t="s">
        <v>653</v>
      </c>
      <c r="F157" s="91">
        <v>44862</v>
      </c>
      <c r="G157" s="90" t="s">
        <v>2794</v>
      </c>
      <c r="H157" s="90" t="s">
        <v>2818</v>
      </c>
      <c r="I157" s="90" t="s">
        <v>2836</v>
      </c>
      <c r="J157" s="90" t="s">
        <v>678</v>
      </c>
      <c r="K157" s="93">
        <v>262.5</v>
      </c>
    </row>
    <row r="158" spans="1:12" ht="15" customHeight="1" x14ac:dyDescent="0.4">
      <c r="A158" s="90"/>
      <c r="B158" s="90"/>
      <c r="C158" s="90"/>
      <c r="D158" s="90"/>
      <c r="E158" s="90" t="s">
        <v>653</v>
      </c>
      <c r="F158" s="91">
        <v>44865</v>
      </c>
      <c r="G158" s="90" t="s">
        <v>2795</v>
      </c>
      <c r="H158" s="90" t="s">
        <v>965</v>
      </c>
      <c r="I158" s="90" t="s">
        <v>978</v>
      </c>
      <c r="J158" s="90" t="s">
        <v>678</v>
      </c>
      <c r="K158" s="93">
        <v>325</v>
      </c>
    </row>
    <row r="159" spans="1:12" ht="15" customHeight="1" x14ac:dyDescent="0.4">
      <c r="A159" s="90"/>
      <c r="B159" s="90"/>
      <c r="C159" s="90"/>
      <c r="D159" s="90"/>
      <c r="E159" s="90" t="s">
        <v>653</v>
      </c>
      <c r="F159" s="91">
        <v>44865</v>
      </c>
      <c r="G159" s="90" t="s">
        <v>2795</v>
      </c>
      <c r="H159" s="90" t="s">
        <v>965</v>
      </c>
      <c r="I159" s="90" t="s">
        <v>981</v>
      </c>
      <c r="J159" s="90" t="s">
        <v>678</v>
      </c>
      <c r="K159" s="93">
        <v>52</v>
      </c>
    </row>
    <row r="160" spans="1:12" ht="15" customHeight="1" x14ac:dyDescent="0.4">
      <c r="A160" s="90"/>
      <c r="B160" s="90"/>
      <c r="C160" s="90"/>
      <c r="D160" s="90"/>
      <c r="E160" s="90" t="s">
        <v>653</v>
      </c>
      <c r="F160" s="91">
        <v>44865</v>
      </c>
      <c r="G160" s="90" t="s">
        <v>2796</v>
      </c>
      <c r="H160" s="90" t="s">
        <v>1353</v>
      </c>
      <c r="I160" s="90" t="s">
        <v>2864</v>
      </c>
      <c r="J160" s="90" t="s">
        <v>678</v>
      </c>
      <c r="L160" s="93">
        <v>548.6</v>
      </c>
    </row>
    <row r="161" spans="1:11" ht="15" customHeight="1" x14ac:dyDescent="0.4">
      <c r="A161" s="90"/>
      <c r="B161" s="90"/>
      <c r="C161" s="90"/>
      <c r="D161" s="90"/>
      <c r="E161" s="90" t="s">
        <v>653</v>
      </c>
      <c r="F161" s="91">
        <v>44866</v>
      </c>
      <c r="G161" s="90" t="s">
        <v>1982</v>
      </c>
      <c r="H161" s="90" t="s">
        <v>744</v>
      </c>
      <c r="I161" s="90" t="s">
        <v>2865</v>
      </c>
      <c r="J161" s="90" t="s">
        <v>678</v>
      </c>
      <c r="K161" s="93">
        <v>32.22</v>
      </c>
    </row>
    <row r="162" spans="1:11" ht="15" customHeight="1" x14ac:dyDescent="0.4">
      <c r="A162" s="90"/>
      <c r="B162" s="90"/>
      <c r="C162" s="90"/>
      <c r="D162" s="90"/>
      <c r="E162" s="90" t="s">
        <v>653</v>
      </c>
      <c r="F162" s="91">
        <v>44866</v>
      </c>
      <c r="G162" s="90" t="s">
        <v>2797</v>
      </c>
      <c r="H162" s="90" t="s">
        <v>959</v>
      </c>
      <c r="I162" s="90" t="s">
        <v>967</v>
      </c>
      <c r="J162" s="90" t="s">
        <v>678</v>
      </c>
      <c r="K162" s="93">
        <v>1104.17</v>
      </c>
    </row>
    <row r="163" spans="1:11" ht="15" customHeight="1" x14ac:dyDescent="0.4">
      <c r="A163" s="90"/>
      <c r="B163" s="90"/>
      <c r="C163" s="90"/>
      <c r="D163" s="90"/>
      <c r="E163" s="90" t="s">
        <v>653</v>
      </c>
      <c r="F163" s="91">
        <v>44866</v>
      </c>
      <c r="G163" s="90" t="s">
        <v>2798</v>
      </c>
      <c r="H163" s="90" t="s">
        <v>729</v>
      </c>
      <c r="I163" s="90" t="s">
        <v>966</v>
      </c>
      <c r="J163" s="90" t="s">
        <v>678</v>
      </c>
      <c r="K163" s="93">
        <v>3025</v>
      </c>
    </row>
    <row r="164" spans="1:11" ht="15" customHeight="1" x14ac:dyDescent="0.4">
      <c r="A164" s="90"/>
      <c r="B164" s="90"/>
      <c r="C164" s="90"/>
      <c r="D164" s="90"/>
      <c r="E164" s="90" t="s">
        <v>653</v>
      </c>
      <c r="F164" s="91">
        <v>44866</v>
      </c>
      <c r="G164" s="90" t="s">
        <v>2799</v>
      </c>
      <c r="H164" s="90" t="s">
        <v>961</v>
      </c>
      <c r="I164" s="90" t="s">
        <v>969</v>
      </c>
      <c r="J164" s="90" t="s">
        <v>678</v>
      </c>
      <c r="K164" s="93">
        <v>813.75</v>
      </c>
    </row>
    <row r="165" spans="1:11" ht="15" customHeight="1" x14ac:dyDescent="0.4">
      <c r="A165" s="90"/>
      <c r="B165" s="90"/>
      <c r="C165" s="90"/>
      <c r="D165" s="90"/>
      <c r="E165" s="90" t="s">
        <v>653</v>
      </c>
      <c r="F165" s="91">
        <v>44866</v>
      </c>
      <c r="G165" s="90" t="s">
        <v>2799</v>
      </c>
      <c r="H165" s="90" t="s">
        <v>961</v>
      </c>
      <c r="I165" s="90" t="s">
        <v>2837</v>
      </c>
      <c r="J165" s="90" t="s">
        <v>678</v>
      </c>
      <c r="K165" s="93">
        <v>32.549999999999997</v>
      </c>
    </row>
    <row r="166" spans="1:11" ht="15" customHeight="1" x14ac:dyDescent="0.4">
      <c r="A166" s="90"/>
      <c r="B166" s="90"/>
      <c r="C166" s="90"/>
      <c r="D166" s="90"/>
      <c r="E166" s="90" t="s">
        <v>653</v>
      </c>
      <c r="F166" s="91">
        <v>44869</v>
      </c>
      <c r="G166" s="90" t="s">
        <v>2800</v>
      </c>
      <c r="H166" s="90" t="s">
        <v>964</v>
      </c>
      <c r="I166" s="90" t="s">
        <v>2866</v>
      </c>
      <c r="J166" s="90" t="s">
        <v>678</v>
      </c>
      <c r="K166" s="93">
        <v>583.20000000000005</v>
      </c>
    </row>
    <row r="167" spans="1:11" ht="15" customHeight="1" x14ac:dyDescent="0.4">
      <c r="A167" s="90"/>
      <c r="B167" s="90"/>
      <c r="C167" s="90"/>
      <c r="D167" s="90"/>
      <c r="E167" s="90" t="s">
        <v>653</v>
      </c>
      <c r="F167" s="91">
        <v>44874</v>
      </c>
      <c r="G167" s="90" t="s">
        <v>2801</v>
      </c>
      <c r="H167" s="90" t="s">
        <v>963</v>
      </c>
      <c r="I167" s="90" t="s">
        <v>973</v>
      </c>
      <c r="J167" s="90" t="s">
        <v>678</v>
      </c>
      <c r="K167" s="93">
        <v>126</v>
      </c>
    </row>
    <row r="168" spans="1:11" ht="15" customHeight="1" x14ac:dyDescent="0.4">
      <c r="A168" s="90"/>
      <c r="B168" s="90"/>
      <c r="C168" s="90"/>
      <c r="D168" s="90"/>
      <c r="E168" s="90" t="s">
        <v>653</v>
      </c>
      <c r="F168" s="91">
        <v>44874</v>
      </c>
      <c r="G168" s="90" t="s">
        <v>2801</v>
      </c>
      <c r="H168" s="90" t="s">
        <v>963</v>
      </c>
      <c r="I168" s="90" t="s">
        <v>974</v>
      </c>
      <c r="J168" s="90" t="s">
        <v>678</v>
      </c>
      <c r="K168" s="93">
        <v>18</v>
      </c>
    </row>
    <row r="169" spans="1:11" ht="15" customHeight="1" x14ac:dyDescent="0.4">
      <c r="A169" s="90"/>
      <c r="B169" s="90"/>
      <c r="C169" s="90"/>
      <c r="D169" s="90"/>
      <c r="E169" s="90" t="s">
        <v>653</v>
      </c>
      <c r="F169" s="91">
        <v>44880</v>
      </c>
      <c r="G169" s="90" t="s">
        <v>2214</v>
      </c>
      <c r="H169" s="90" t="s">
        <v>802</v>
      </c>
      <c r="I169" s="90" t="s">
        <v>2867</v>
      </c>
      <c r="J169" s="90" t="s">
        <v>678</v>
      </c>
      <c r="K169" s="93">
        <v>20</v>
      </c>
    </row>
    <row r="170" spans="1:11" ht="15" customHeight="1" x14ac:dyDescent="0.4">
      <c r="A170" s="90"/>
      <c r="B170" s="90"/>
      <c r="C170" s="90"/>
      <c r="D170" s="90"/>
      <c r="E170" s="90" t="s">
        <v>653</v>
      </c>
      <c r="F170" s="91">
        <v>44895</v>
      </c>
      <c r="G170" s="90" t="s">
        <v>2802</v>
      </c>
      <c r="H170" s="90" t="s">
        <v>965</v>
      </c>
      <c r="I170" s="90" t="s">
        <v>978</v>
      </c>
      <c r="J170" s="90" t="s">
        <v>678</v>
      </c>
      <c r="K170" s="93">
        <v>325</v>
      </c>
    </row>
    <row r="171" spans="1:11" ht="15" customHeight="1" x14ac:dyDescent="0.4">
      <c r="A171" s="90"/>
      <c r="B171" s="90"/>
      <c r="C171" s="90"/>
      <c r="D171" s="90"/>
      <c r="E171" s="90" t="s">
        <v>653</v>
      </c>
      <c r="F171" s="91">
        <v>44895</v>
      </c>
      <c r="G171" s="90" t="s">
        <v>2802</v>
      </c>
      <c r="H171" s="90" t="s">
        <v>965</v>
      </c>
      <c r="I171" s="90" t="s">
        <v>981</v>
      </c>
      <c r="J171" s="90" t="s">
        <v>678</v>
      </c>
      <c r="K171" s="93">
        <v>39</v>
      </c>
    </row>
    <row r="172" spans="1:11" ht="15" customHeight="1" x14ac:dyDescent="0.4">
      <c r="A172" s="90"/>
      <c r="B172" s="90"/>
      <c r="C172" s="90"/>
      <c r="D172" s="90"/>
      <c r="E172" s="90" t="s">
        <v>653</v>
      </c>
      <c r="F172" s="91">
        <v>44896</v>
      </c>
      <c r="G172" s="90" t="s">
        <v>2803</v>
      </c>
      <c r="H172" s="90" t="s">
        <v>959</v>
      </c>
      <c r="I172" s="90" t="s">
        <v>967</v>
      </c>
      <c r="J172" s="90" t="s">
        <v>678</v>
      </c>
      <c r="K172" s="93">
        <v>1104.17</v>
      </c>
    </row>
    <row r="173" spans="1:11" ht="15" customHeight="1" x14ac:dyDescent="0.4">
      <c r="A173" s="90"/>
      <c r="B173" s="90"/>
      <c r="C173" s="90"/>
      <c r="D173" s="90"/>
      <c r="E173" s="90" t="s">
        <v>653</v>
      </c>
      <c r="F173" s="91">
        <v>44896</v>
      </c>
      <c r="G173" s="90" t="s">
        <v>2804</v>
      </c>
      <c r="H173" s="90" t="s">
        <v>729</v>
      </c>
      <c r="I173" s="90" t="s">
        <v>966</v>
      </c>
      <c r="J173" s="90" t="s">
        <v>678</v>
      </c>
      <c r="K173" s="93">
        <v>3025</v>
      </c>
    </row>
    <row r="174" spans="1:11" ht="15" customHeight="1" x14ac:dyDescent="0.4">
      <c r="A174" s="90"/>
      <c r="B174" s="90"/>
      <c r="C174" s="90"/>
      <c r="D174" s="90"/>
      <c r="E174" s="90" t="s">
        <v>653</v>
      </c>
      <c r="F174" s="91">
        <v>44896</v>
      </c>
      <c r="G174" s="90" t="s">
        <v>2805</v>
      </c>
      <c r="H174" s="90" t="s">
        <v>961</v>
      </c>
      <c r="I174" s="90" t="s">
        <v>969</v>
      </c>
      <c r="J174" s="90" t="s">
        <v>678</v>
      </c>
      <c r="K174" s="93">
        <v>813.75</v>
      </c>
    </row>
    <row r="175" spans="1:11" ht="15" customHeight="1" x14ac:dyDescent="0.4">
      <c r="A175" s="90"/>
      <c r="B175" s="90"/>
      <c r="C175" s="90"/>
      <c r="D175" s="90"/>
      <c r="E175" s="90" t="s">
        <v>653</v>
      </c>
      <c r="F175" s="91">
        <v>44896</v>
      </c>
      <c r="G175" s="90" t="s">
        <v>2805</v>
      </c>
      <c r="H175" s="90" t="s">
        <v>961</v>
      </c>
      <c r="I175" s="90" t="s">
        <v>2837</v>
      </c>
      <c r="J175" s="90" t="s">
        <v>678</v>
      </c>
      <c r="K175" s="93">
        <v>32.549999999999997</v>
      </c>
    </row>
    <row r="176" spans="1:11" ht="15" customHeight="1" x14ac:dyDescent="0.4">
      <c r="A176" s="90"/>
      <c r="B176" s="90"/>
      <c r="C176" s="90"/>
      <c r="D176" s="90"/>
      <c r="E176" s="90" t="s">
        <v>653</v>
      </c>
      <c r="F176" s="91">
        <v>44898</v>
      </c>
      <c r="G176" s="90" t="s">
        <v>2806</v>
      </c>
      <c r="H176" s="90" t="s">
        <v>744</v>
      </c>
      <c r="I176" s="90" t="s">
        <v>2868</v>
      </c>
      <c r="J176" s="90" t="s">
        <v>678</v>
      </c>
      <c r="K176" s="93">
        <v>88.98</v>
      </c>
    </row>
    <row r="177" spans="1:11" ht="15" customHeight="1" x14ac:dyDescent="0.4">
      <c r="A177" s="90"/>
      <c r="B177" s="90"/>
      <c r="C177" s="90"/>
      <c r="D177" s="90"/>
      <c r="E177" s="90" t="s">
        <v>653</v>
      </c>
      <c r="F177" s="91">
        <v>44902</v>
      </c>
      <c r="G177" s="90" t="s">
        <v>2807</v>
      </c>
      <c r="H177" s="90" t="s">
        <v>964</v>
      </c>
      <c r="I177" s="90" t="s">
        <v>2869</v>
      </c>
      <c r="J177" s="90" t="s">
        <v>678</v>
      </c>
      <c r="K177" s="93">
        <v>840.58</v>
      </c>
    </row>
    <row r="178" spans="1:11" ht="15" customHeight="1" x14ac:dyDescent="0.4">
      <c r="A178" s="90"/>
      <c r="B178" s="90"/>
      <c r="C178" s="90"/>
      <c r="D178" s="90"/>
      <c r="E178" s="90" t="s">
        <v>653</v>
      </c>
      <c r="F178" s="91">
        <v>44908</v>
      </c>
      <c r="G178" s="90" t="s">
        <v>2808</v>
      </c>
      <c r="H178" s="90" t="s">
        <v>744</v>
      </c>
      <c r="I178" s="90" t="s">
        <v>2870</v>
      </c>
      <c r="J178" s="90" t="s">
        <v>678</v>
      </c>
      <c r="K178" s="93">
        <v>62.39</v>
      </c>
    </row>
    <row r="179" spans="1:11" ht="15" customHeight="1" x14ac:dyDescent="0.4">
      <c r="A179" s="90"/>
      <c r="B179" s="90"/>
      <c r="C179" s="90"/>
      <c r="D179" s="90"/>
      <c r="E179" s="90" t="s">
        <v>653</v>
      </c>
      <c r="F179" s="91">
        <v>44908</v>
      </c>
      <c r="G179" s="90" t="s">
        <v>2809</v>
      </c>
      <c r="H179" s="90" t="s">
        <v>744</v>
      </c>
      <c r="I179" s="90" t="s">
        <v>2870</v>
      </c>
      <c r="J179" s="90" t="s">
        <v>678</v>
      </c>
      <c r="K179" s="93">
        <v>38.96</v>
      </c>
    </row>
    <row r="180" spans="1:11" ht="15" customHeight="1" x14ac:dyDescent="0.4">
      <c r="A180" s="90"/>
      <c r="B180" s="90"/>
      <c r="C180" s="90"/>
      <c r="D180" s="90"/>
      <c r="E180" s="90" t="s">
        <v>653</v>
      </c>
      <c r="F180" s="91">
        <v>44910</v>
      </c>
      <c r="G180" s="90" t="s">
        <v>2810</v>
      </c>
      <c r="H180" s="90" t="s">
        <v>961</v>
      </c>
      <c r="I180" s="90" t="s">
        <v>2861</v>
      </c>
      <c r="J180" s="90" t="s">
        <v>678</v>
      </c>
      <c r="K180" s="93">
        <v>265</v>
      </c>
    </row>
    <row r="181" spans="1:11" ht="15" customHeight="1" x14ac:dyDescent="0.4">
      <c r="A181" s="90"/>
      <c r="B181" s="90"/>
      <c r="C181" s="90"/>
      <c r="D181" s="90"/>
      <c r="E181" s="90" t="s">
        <v>653</v>
      </c>
      <c r="F181" s="91">
        <v>44911</v>
      </c>
      <c r="G181" s="90" t="s">
        <v>2811</v>
      </c>
      <c r="H181" s="90" t="s">
        <v>2818</v>
      </c>
      <c r="I181" s="90" t="s">
        <v>2871</v>
      </c>
      <c r="J181" s="90" t="s">
        <v>678</v>
      </c>
      <c r="K181" s="93">
        <v>450</v>
      </c>
    </row>
    <row r="182" spans="1:11" ht="15" customHeight="1" x14ac:dyDescent="0.4">
      <c r="A182" s="90"/>
      <c r="B182" s="90"/>
      <c r="C182" s="90"/>
      <c r="D182" s="90"/>
      <c r="E182" s="90" t="s">
        <v>653</v>
      </c>
      <c r="F182" s="91">
        <v>44914</v>
      </c>
      <c r="G182" s="90" t="s">
        <v>2812</v>
      </c>
      <c r="H182" s="90" t="s">
        <v>2825</v>
      </c>
      <c r="I182" s="90" t="s">
        <v>2872</v>
      </c>
      <c r="J182" s="90" t="s">
        <v>678</v>
      </c>
      <c r="K182" s="93">
        <v>411.5</v>
      </c>
    </row>
    <row r="183" spans="1:11" ht="15" customHeight="1" x14ac:dyDescent="0.4">
      <c r="A183" s="90"/>
      <c r="B183" s="90"/>
      <c r="C183" s="90"/>
      <c r="D183" s="90"/>
      <c r="E183" s="90" t="s">
        <v>653</v>
      </c>
      <c r="F183" s="91">
        <v>44926</v>
      </c>
      <c r="G183" s="90" t="s">
        <v>2813</v>
      </c>
      <c r="H183" s="90" t="s">
        <v>965</v>
      </c>
      <c r="I183" s="90" t="s">
        <v>978</v>
      </c>
      <c r="J183" s="90" t="s">
        <v>678</v>
      </c>
      <c r="K183" s="93">
        <v>325</v>
      </c>
    </row>
    <row r="184" spans="1:11" ht="15" customHeight="1" thickBot="1" x14ac:dyDescent="0.45">
      <c r="A184" s="90"/>
      <c r="B184" s="90"/>
      <c r="C184" s="90"/>
      <c r="D184" s="90"/>
      <c r="E184" s="90" t="s">
        <v>653</v>
      </c>
      <c r="F184" s="91">
        <v>44926</v>
      </c>
      <c r="G184" s="90" t="s">
        <v>2813</v>
      </c>
      <c r="H184" s="90" t="s">
        <v>965</v>
      </c>
      <c r="I184" s="90" t="s">
        <v>981</v>
      </c>
      <c r="J184" s="90" t="s">
        <v>678</v>
      </c>
      <c r="K184" s="445">
        <v>13</v>
      </c>
    </row>
    <row r="185" spans="1:11" ht="15" customHeight="1" thickBot="1" x14ac:dyDescent="0.45">
      <c r="A185" s="90"/>
      <c r="B185" s="90"/>
      <c r="C185" s="90" t="s">
        <v>937</v>
      </c>
      <c r="D185" s="90"/>
      <c r="E185" s="90"/>
      <c r="F185" s="91"/>
      <c r="G185" s="90"/>
      <c r="H185" s="90"/>
      <c r="I185" s="90"/>
      <c r="J185" s="90"/>
      <c r="K185" s="446">
        <f>ROUND(SUM(K3:K184),5)</f>
        <v>129802.75</v>
      </c>
    </row>
    <row r="186" spans="1:11" ht="15" customHeight="1" thickBot="1" x14ac:dyDescent="0.45">
      <c r="A186" s="90"/>
      <c r="B186" s="90" t="s">
        <v>754</v>
      </c>
      <c r="C186" s="90"/>
      <c r="D186" s="90"/>
      <c r="E186" s="90"/>
      <c r="F186" s="91"/>
      <c r="G186" s="90"/>
      <c r="H186" s="90"/>
      <c r="I186" s="90"/>
      <c r="J186" s="90"/>
      <c r="K186" s="446">
        <f>K185</f>
        <v>129802.75</v>
      </c>
    </row>
    <row r="187" spans="1:11" ht="15" customHeight="1" thickBot="1" x14ac:dyDescent="0.45">
      <c r="A187" s="90" t="s">
        <v>158</v>
      </c>
      <c r="B187" s="90"/>
      <c r="C187" s="90"/>
      <c r="D187" s="90"/>
      <c r="E187" s="90"/>
      <c r="F187" s="91"/>
      <c r="G187" s="90"/>
      <c r="H187" s="90"/>
      <c r="I187" s="90"/>
      <c r="J187" s="90"/>
      <c r="K187" s="447">
        <f>K186</f>
        <v>129802.75</v>
      </c>
    </row>
    <row r="188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8:46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547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5477" r:id="rId4" name="FILTER"/>
      </mc:Fallback>
    </mc:AlternateContent>
    <mc:AlternateContent xmlns:mc="http://schemas.openxmlformats.org/markup-compatibility/2006">
      <mc:Choice Requires="x14">
        <control shapeId="10547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5478" r:id="rId6" name="HEADER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K3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5.3046875" bestFit="1" customWidth="1"/>
    <col min="6" max="6" width="10.69140625" bestFit="1" customWidth="1"/>
    <col min="7" max="7" width="7.53515625" bestFit="1" customWidth="1"/>
    <col min="8" max="8" width="15.53515625" bestFit="1" customWidth="1"/>
    <col min="9" max="9" width="22.69140625" bestFit="1" customWidth="1"/>
    <col min="10" max="10" width="22.304687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983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44581</v>
      </c>
      <c r="G4" s="90" t="s">
        <v>768</v>
      </c>
      <c r="H4" s="90" t="s">
        <v>986</v>
      </c>
      <c r="I4" s="90" t="s">
        <v>987</v>
      </c>
      <c r="J4" s="90" t="s">
        <v>678</v>
      </c>
      <c r="K4" s="93">
        <v>850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44581</v>
      </c>
      <c r="G5" s="90" t="s">
        <v>768</v>
      </c>
      <c r="H5" s="90" t="s">
        <v>986</v>
      </c>
      <c r="I5" s="90" t="s">
        <v>988</v>
      </c>
      <c r="J5" s="90" t="s">
        <v>678</v>
      </c>
      <c r="K5" s="93">
        <v>150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44594</v>
      </c>
      <c r="G6" s="90" t="s">
        <v>664</v>
      </c>
      <c r="H6" s="90" t="s">
        <v>986</v>
      </c>
      <c r="I6" s="90" t="s">
        <v>987</v>
      </c>
      <c r="J6" s="90" t="s">
        <v>678</v>
      </c>
      <c r="K6" s="93">
        <v>850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44594</v>
      </c>
      <c r="G7" s="90" t="s">
        <v>664</v>
      </c>
      <c r="H7" s="90" t="s">
        <v>986</v>
      </c>
      <c r="I7" s="90" t="s">
        <v>988</v>
      </c>
      <c r="J7" s="90" t="s">
        <v>678</v>
      </c>
      <c r="K7" s="93">
        <v>150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44635</v>
      </c>
      <c r="G8" s="90" t="s">
        <v>985</v>
      </c>
      <c r="H8" s="90" t="s">
        <v>986</v>
      </c>
      <c r="I8" s="90" t="s">
        <v>987</v>
      </c>
      <c r="J8" s="90" t="s">
        <v>678</v>
      </c>
      <c r="K8" s="93">
        <v>850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44635</v>
      </c>
      <c r="G9" s="90" t="s">
        <v>985</v>
      </c>
      <c r="H9" s="90" t="s">
        <v>986</v>
      </c>
      <c r="I9" s="90" t="s">
        <v>988</v>
      </c>
      <c r="J9" s="90" t="s">
        <v>678</v>
      </c>
      <c r="K9" s="93">
        <v>150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44663</v>
      </c>
      <c r="G10" s="90" t="s">
        <v>1420</v>
      </c>
      <c r="H10" s="90" t="s">
        <v>986</v>
      </c>
      <c r="I10" s="90" t="s">
        <v>987</v>
      </c>
      <c r="J10" s="90" t="s">
        <v>678</v>
      </c>
      <c r="K10" s="93">
        <v>900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44663</v>
      </c>
      <c r="G11" s="90" t="s">
        <v>1420</v>
      </c>
      <c r="H11" s="90" t="s">
        <v>986</v>
      </c>
      <c r="I11" s="90" t="s">
        <v>988</v>
      </c>
      <c r="J11" s="90" t="s">
        <v>678</v>
      </c>
      <c r="K11" s="93">
        <v>200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44682</v>
      </c>
      <c r="G12" s="90" t="s">
        <v>2042</v>
      </c>
      <c r="H12" s="90" t="s">
        <v>986</v>
      </c>
      <c r="I12" s="90" t="s">
        <v>987</v>
      </c>
      <c r="J12" s="90" t="s">
        <v>678</v>
      </c>
      <c r="K12" s="93">
        <v>900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44682</v>
      </c>
      <c r="G13" s="90" t="s">
        <v>2042</v>
      </c>
      <c r="H13" s="90" t="s">
        <v>986</v>
      </c>
      <c r="I13" s="90" t="s">
        <v>988</v>
      </c>
      <c r="J13" s="90" t="s">
        <v>678</v>
      </c>
      <c r="K13" s="93">
        <v>200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44719</v>
      </c>
      <c r="G14" s="90" t="s">
        <v>2660</v>
      </c>
      <c r="H14" s="90" t="s">
        <v>986</v>
      </c>
      <c r="I14" s="90" t="s">
        <v>987</v>
      </c>
      <c r="J14" s="90" t="s">
        <v>678</v>
      </c>
      <c r="K14" s="93">
        <v>900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44719</v>
      </c>
      <c r="G15" s="90" t="s">
        <v>2660</v>
      </c>
      <c r="H15" s="90" t="s">
        <v>986</v>
      </c>
      <c r="I15" s="90" t="s">
        <v>988</v>
      </c>
      <c r="J15" s="90" t="s">
        <v>678</v>
      </c>
      <c r="K15" s="93">
        <v>200</v>
      </c>
    </row>
    <row r="16" spans="1:11" ht="15" customHeight="1" x14ac:dyDescent="0.4">
      <c r="A16" s="90"/>
      <c r="B16" s="90"/>
      <c r="C16" s="90"/>
      <c r="D16" s="90"/>
      <c r="E16" s="90" t="s">
        <v>653</v>
      </c>
      <c r="F16" s="91">
        <v>44749</v>
      </c>
      <c r="G16" s="90" t="s">
        <v>1381</v>
      </c>
      <c r="H16" s="90" t="s">
        <v>986</v>
      </c>
      <c r="I16" s="90" t="s">
        <v>987</v>
      </c>
      <c r="J16" s="90" t="s">
        <v>678</v>
      </c>
      <c r="K16" s="93">
        <v>900</v>
      </c>
    </row>
    <row r="17" spans="1:11" ht="15" customHeight="1" x14ac:dyDescent="0.4">
      <c r="A17" s="90"/>
      <c r="B17" s="90"/>
      <c r="C17" s="90"/>
      <c r="D17" s="90"/>
      <c r="E17" s="90" t="s">
        <v>653</v>
      </c>
      <c r="F17" s="91">
        <v>44749</v>
      </c>
      <c r="G17" s="90" t="s">
        <v>1381</v>
      </c>
      <c r="H17" s="90" t="s">
        <v>986</v>
      </c>
      <c r="I17" s="90" t="s">
        <v>988</v>
      </c>
      <c r="J17" s="90" t="s">
        <v>678</v>
      </c>
      <c r="K17" s="93">
        <v>200</v>
      </c>
    </row>
    <row r="18" spans="1:11" ht="15" customHeight="1" x14ac:dyDescent="0.4">
      <c r="A18" s="90"/>
      <c r="B18" s="90"/>
      <c r="C18" s="90"/>
      <c r="D18" s="90"/>
      <c r="E18" s="90" t="s">
        <v>653</v>
      </c>
      <c r="F18" s="91">
        <v>44776</v>
      </c>
      <c r="G18" s="90" t="s">
        <v>2061</v>
      </c>
      <c r="H18" s="90" t="s">
        <v>986</v>
      </c>
      <c r="I18" s="90" t="s">
        <v>987</v>
      </c>
      <c r="J18" s="90" t="s">
        <v>678</v>
      </c>
      <c r="K18" s="93">
        <v>900</v>
      </c>
    </row>
    <row r="19" spans="1:11" ht="15" customHeight="1" x14ac:dyDescent="0.4">
      <c r="A19" s="90"/>
      <c r="B19" s="90"/>
      <c r="C19" s="90"/>
      <c r="D19" s="90"/>
      <c r="E19" s="90" t="s">
        <v>653</v>
      </c>
      <c r="F19" s="91">
        <v>44776</v>
      </c>
      <c r="G19" s="90" t="s">
        <v>2061</v>
      </c>
      <c r="H19" s="90" t="s">
        <v>986</v>
      </c>
      <c r="I19" s="90" t="s">
        <v>988</v>
      </c>
      <c r="J19" s="90" t="s">
        <v>678</v>
      </c>
      <c r="K19" s="93">
        <v>200</v>
      </c>
    </row>
    <row r="20" spans="1:11" ht="15" customHeight="1" x14ac:dyDescent="0.4">
      <c r="A20" s="90"/>
      <c r="B20" s="90"/>
      <c r="C20" s="90"/>
      <c r="D20" s="90"/>
      <c r="E20" s="90" t="s">
        <v>653</v>
      </c>
      <c r="F20" s="91">
        <v>44798</v>
      </c>
      <c r="G20" s="90" t="s">
        <v>2140</v>
      </c>
      <c r="H20" s="90" t="s">
        <v>986</v>
      </c>
      <c r="I20" s="90" t="s">
        <v>987</v>
      </c>
      <c r="J20" s="90" t="s">
        <v>678</v>
      </c>
      <c r="K20" s="93">
        <v>900</v>
      </c>
    </row>
    <row r="21" spans="1:11" ht="15" customHeight="1" x14ac:dyDescent="0.4">
      <c r="A21" s="90"/>
      <c r="B21" s="90"/>
      <c r="C21" s="90"/>
      <c r="D21" s="90"/>
      <c r="E21" s="90" t="s">
        <v>653</v>
      </c>
      <c r="F21" s="91">
        <v>44798</v>
      </c>
      <c r="G21" s="90" t="s">
        <v>2140</v>
      </c>
      <c r="H21" s="90" t="s">
        <v>986</v>
      </c>
      <c r="I21" s="90" t="s">
        <v>988</v>
      </c>
      <c r="J21" s="90" t="s">
        <v>678</v>
      </c>
      <c r="K21" s="93">
        <v>200</v>
      </c>
    </row>
    <row r="22" spans="1:11" ht="15" customHeight="1" x14ac:dyDescent="0.4">
      <c r="A22" s="90"/>
      <c r="B22" s="90"/>
      <c r="C22" s="90"/>
      <c r="D22" s="90"/>
      <c r="E22" s="90" t="s">
        <v>653</v>
      </c>
      <c r="F22" s="91">
        <v>44846</v>
      </c>
      <c r="G22" s="90" t="s">
        <v>2204</v>
      </c>
      <c r="H22" s="90" t="s">
        <v>986</v>
      </c>
      <c r="I22" s="90" t="s">
        <v>987</v>
      </c>
      <c r="J22" s="90" t="s">
        <v>678</v>
      </c>
      <c r="K22" s="93">
        <v>900</v>
      </c>
    </row>
    <row r="23" spans="1:11" ht="15" customHeight="1" x14ac:dyDescent="0.4">
      <c r="A23" s="90"/>
      <c r="B23" s="90"/>
      <c r="C23" s="90"/>
      <c r="D23" s="90"/>
      <c r="E23" s="90" t="s">
        <v>653</v>
      </c>
      <c r="F23" s="91">
        <v>44846</v>
      </c>
      <c r="G23" s="90" t="s">
        <v>2204</v>
      </c>
      <c r="H23" s="90" t="s">
        <v>986</v>
      </c>
      <c r="I23" s="90" t="s">
        <v>988</v>
      </c>
      <c r="J23" s="90" t="s">
        <v>678</v>
      </c>
      <c r="K23" s="93">
        <v>200</v>
      </c>
    </row>
    <row r="24" spans="1:11" ht="15" customHeight="1" x14ac:dyDescent="0.4">
      <c r="A24" s="90"/>
      <c r="B24" s="90"/>
      <c r="C24" s="90"/>
      <c r="D24" s="90"/>
      <c r="E24" s="90" t="s">
        <v>653</v>
      </c>
      <c r="F24" s="91">
        <v>44874</v>
      </c>
      <c r="G24" s="90" t="s">
        <v>2214</v>
      </c>
      <c r="H24" s="90" t="s">
        <v>986</v>
      </c>
      <c r="I24" s="90" t="s">
        <v>987</v>
      </c>
      <c r="J24" s="90" t="s">
        <v>678</v>
      </c>
      <c r="K24" s="93">
        <v>900</v>
      </c>
    </row>
    <row r="25" spans="1:11" ht="15" customHeight="1" x14ac:dyDescent="0.4">
      <c r="A25" s="90"/>
      <c r="B25" s="90"/>
      <c r="C25" s="90"/>
      <c r="D25" s="90"/>
      <c r="E25" s="90" t="s">
        <v>653</v>
      </c>
      <c r="F25" s="91">
        <v>44874</v>
      </c>
      <c r="G25" s="90" t="s">
        <v>2214</v>
      </c>
      <c r="H25" s="90" t="s">
        <v>986</v>
      </c>
      <c r="I25" s="90" t="s">
        <v>988</v>
      </c>
      <c r="J25" s="90" t="s">
        <v>678</v>
      </c>
      <c r="K25" s="93">
        <v>200</v>
      </c>
    </row>
    <row r="26" spans="1:11" ht="15" customHeight="1" x14ac:dyDescent="0.4">
      <c r="A26" s="90"/>
      <c r="B26" s="90"/>
      <c r="C26" s="90"/>
      <c r="D26" s="90"/>
      <c r="E26" s="90" t="s">
        <v>653</v>
      </c>
      <c r="F26" s="91">
        <v>44901</v>
      </c>
      <c r="G26" s="90" t="s">
        <v>1783</v>
      </c>
      <c r="H26" s="90" t="s">
        <v>986</v>
      </c>
      <c r="I26" s="90" t="s">
        <v>987</v>
      </c>
      <c r="J26" s="90" t="s">
        <v>678</v>
      </c>
      <c r="K26" s="93">
        <v>580.65</v>
      </c>
    </row>
    <row r="27" spans="1:11" ht="15" customHeight="1" x14ac:dyDescent="0.4">
      <c r="A27" s="90"/>
      <c r="B27" s="90"/>
      <c r="C27" s="90"/>
      <c r="D27" s="90"/>
      <c r="E27" s="90" t="s">
        <v>653</v>
      </c>
      <c r="F27" s="91">
        <v>44901</v>
      </c>
      <c r="G27" s="90" t="s">
        <v>1783</v>
      </c>
      <c r="H27" s="90" t="s">
        <v>986</v>
      </c>
      <c r="I27" s="90" t="s">
        <v>988</v>
      </c>
      <c r="J27" s="90" t="s">
        <v>678</v>
      </c>
      <c r="K27" s="93">
        <v>129.03</v>
      </c>
    </row>
    <row r="28" spans="1:11" ht="15" customHeight="1" x14ac:dyDescent="0.4">
      <c r="A28" s="90"/>
      <c r="B28" s="90"/>
      <c r="C28" s="90"/>
      <c r="D28" s="90"/>
      <c r="E28" s="90" t="s">
        <v>653</v>
      </c>
      <c r="F28" s="91">
        <v>44901</v>
      </c>
      <c r="G28" s="90" t="s">
        <v>1783</v>
      </c>
      <c r="H28" s="90" t="s">
        <v>2874</v>
      </c>
      <c r="I28" s="90" t="s">
        <v>987</v>
      </c>
      <c r="J28" s="90" t="s">
        <v>678</v>
      </c>
      <c r="K28" s="93">
        <v>319.35000000000002</v>
      </c>
    </row>
    <row r="29" spans="1:11" ht="15" customHeight="1" thickBot="1" x14ac:dyDescent="0.45">
      <c r="A29" s="90"/>
      <c r="B29" s="90"/>
      <c r="C29" s="90"/>
      <c r="D29" s="90"/>
      <c r="E29" s="90" t="s">
        <v>653</v>
      </c>
      <c r="F29" s="91">
        <v>44901</v>
      </c>
      <c r="G29" s="90" t="s">
        <v>1783</v>
      </c>
      <c r="H29" s="90" t="s">
        <v>2874</v>
      </c>
      <c r="I29" s="90" t="s">
        <v>988</v>
      </c>
      <c r="J29" s="90" t="s">
        <v>678</v>
      </c>
      <c r="K29" s="445">
        <v>70.97</v>
      </c>
    </row>
    <row r="30" spans="1:11" ht="15" customHeight="1" thickBot="1" x14ac:dyDescent="0.45">
      <c r="A30" s="90"/>
      <c r="B30" s="90"/>
      <c r="C30" s="90" t="s">
        <v>984</v>
      </c>
      <c r="D30" s="90"/>
      <c r="E30" s="90"/>
      <c r="F30" s="91"/>
      <c r="G30" s="90"/>
      <c r="H30" s="90"/>
      <c r="I30" s="90"/>
      <c r="J30" s="90"/>
      <c r="K30" s="446">
        <f>ROUND(SUM(K3:K29),5)</f>
        <v>12900</v>
      </c>
    </row>
    <row r="31" spans="1:11" ht="15" customHeight="1" thickBot="1" x14ac:dyDescent="0.45">
      <c r="A31" s="90"/>
      <c r="B31" s="90" t="s">
        <v>754</v>
      </c>
      <c r="C31" s="90"/>
      <c r="D31" s="90"/>
      <c r="E31" s="90"/>
      <c r="F31" s="91"/>
      <c r="G31" s="90"/>
      <c r="H31" s="90"/>
      <c r="I31" s="90"/>
      <c r="J31" s="90"/>
      <c r="K31" s="446">
        <f>K30</f>
        <v>12900</v>
      </c>
    </row>
    <row r="32" spans="1:11" ht="15" customHeight="1" thickBot="1" x14ac:dyDescent="0.45">
      <c r="A32" s="90" t="s">
        <v>158</v>
      </c>
      <c r="B32" s="90"/>
      <c r="C32" s="90"/>
      <c r="D32" s="90"/>
      <c r="E32" s="90"/>
      <c r="F32" s="91"/>
      <c r="G32" s="90"/>
      <c r="H32" s="90"/>
      <c r="I32" s="90"/>
      <c r="J32" s="90"/>
      <c r="K32" s="447">
        <f>K31</f>
        <v>12900</v>
      </c>
    </row>
    <row r="33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9:50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571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5717" r:id="rId4" name="FILTER"/>
      </mc:Fallback>
    </mc:AlternateContent>
    <mc:AlternateContent xmlns:mc="http://schemas.openxmlformats.org/markup-compatibility/2006">
      <mc:Choice Requires="x14">
        <control shapeId="11571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5718" r:id="rId6" name="HEADER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1"/>
  <dimension ref="A1:K35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K33" sqref="K33"/>
    </sheetView>
  </sheetViews>
  <sheetFormatPr defaultColWidth="14.3828125" defaultRowHeight="15" customHeight="1" x14ac:dyDescent="0.4"/>
  <cols>
    <col min="1" max="2" width="3" customWidth="1"/>
    <col min="3" max="3" width="36.69140625" customWidth="1"/>
    <col min="4" max="4" width="2.3046875" customWidth="1"/>
    <col min="5" max="5" width="17.69140625" bestFit="1" customWidth="1"/>
    <col min="6" max="6" width="10.69140625" bestFit="1" customWidth="1"/>
    <col min="7" max="7" width="16.53515625" bestFit="1" customWidth="1"/>
    <col min="8" max="9" width="30.69140625" customWidth="1"/>
    <col min="10" max="10" width="27.3828125" bestFit="1" customWidth="1"/>
    <col min="11" max="11" width="8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989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44570</v>
      </c>
      <c r="G4" s="90" t="s">
        <v>761</v>
      </c>
      <c r="H4" s="90" t="s">
        <v>799</v>
      </c>
      <c r="I4" s="90" t="s">
        <v>1004</v>
      </c>
      <c r="J4" s="90" t="s">
        <v>678</v>
      </c>
      <c r="K4" s="93">
        <v>450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44570</v>
      </c>
      <c r="G5" s="90" t="s">
        <v>761</v>
      </c>
      <c r="H5" s="90" t="s">
        <v>799</v>
      </c>
      <c r="I5" s="90" t="s">
        <v>1005</v>
      </c>
      <c r="J5" s="90" t="s">
        <v>678</v>
      </c>
      <c r="K5" s="93">
        <v>450</v>
      </c>
    </row>
    <row r="6" spans="1:11" ht="14.6" x14ac:dyDescent="0.4">
      <c r="A6" s="90"/>
      <c r="B6" s="90"/>
      <c r="C6" s="90"/>
      <c r="D6" s="90"/>
      <c r="E6" s="90" t="s">
        <v>731</v>
      </c>
      <c r="F6" s="91">
        <v>44573</v>
      </c>
      <c r="G6" s="90" t="s">
        <v>991</v>
      </c>
      <c r="H6" s="90" t="s">
        <v>999</v>
      </c>
      <c r="I6" s="90" t="s">
        <v>1006</v>
      </c>
      <c r="J6" s="90" t="s">
        <v>888</v>
      </c>
      <c r="K6" s="93">
        <v>82</v>
      </c>
    </row>
    <row r="7" spans="1:11" ht="14.6" x14ac:dyDescent="0.4">
      <c r="A7" s="90"/>
      <c r="B7" s="90"/>
      <c r="C7" s="90"/>
      <c r="D7" s="90"/>
      <c r="E7" s="90" t="s">
        <v>731</v>
      </c>
      <c r="F7" s="91">
        <v>44573</v>
      </c>
      <c r="G7" s="90" t="s">
        <v>992</v>
      </c>
      <c r="H7" s="90" t="s">
        <v>1000</v>
      </c>
      <c r="I7" s="90" t="s">
        <v>1007</v>
      </c>
      <c r="J7" s="90" t="s">
        <v>735</v>
      </c>
      <c r="K7" s="93">
        <v>42</v>
      </c>
    </row>
    <row r="8" spans="1:11" ht="14.6" x14ac:dyDescent="0.4">
      <c r="A8" s="90"/>
      <c r="B8" s="90"/>
      <c r="C8" s="90"/>
      <c r="D8" s="90"/>
      <c r="E8" s="90" t="s">
        <v>731</v>
      </c>
      <c r="F8" s="91">
        <v>44574</v>
      </c>
      <c r="G8" s="90" t="s">
        <v>993</v>
      </c>
      <c r="H8" s="90" t="s">
        <v>1001</v>
      </c>
      <c r="I8" s="90" t="s">
        <v>1008</v>
      </c>
      <c r="J8" s="90" t="s">
        <v>888</v>
      </c>
      <c r="K8" s="93">
        <v>73.680000000000007</v>
      </c>
    </row>
    <row r="9" spans="1:11" ht="14.6" x14ac:dyDescent="0.4">
      <c r="A9" s="90"/>
      <c r="B9" s="90"/>
      <c r="C9" s="90"/>
      <c r="D9" s="90"/>
      <c r="E9" s="90" t="s">
        <v>731</v>
      </c>
      <c r="F9" s="91">
        <v>44586</v>
      </c>
      <c r="G9" s="90" t="s">
        <v>994</v>
      </c>
      <c r="H9" s="90" t="s">
        <v>1002</v>
      </c>
      <c r="I9" s="90" t="s">
        <v>1009</v>
      </c>
      <c r="J9" s="90" t="s">
        <v>735</v>
      </c>
      <c r="K9" s="93">
        <v>138.6</v>
      </c>
    </row>
    <row r="10" spans="1:11" ht="14.6" x14ac:dyDescent="0.4">
      <c r="A10" s="90"/>
      <c r="B10" s="90"/>
      <c r="C10" s="90"/>
      <c r="D10" s="90"/>
      <c r="E10" s="90" t="s">
        <v>731</v>
      </c>
      <c r="F10" s="91">
        <v>44587</v>
      </c>
      <c r="G10" s="90" t="s">
        <v>995</v>
      </c>
      <c r="H10" s="90" t="s">
        <v>799</v>
      </c>
      <c r="I10" s="90" t="s">
        <v>1010</v>
      </c>
      <c r="J10" s="90" t="s">
        <v>735</v>
      </c>
      <c r="K10" s="93">
        <v>550</v>
      </c>
    </row>
    <row r="11" spans="1:11" ht="14.6" x14ac:dyDescent="0.4">
      <c r="A11" s="90"/>
      <c r="B11" s="90"/>
      <c r="C11" s="90"/>
      <c r="D11" s="90"/>
      <c r="E11" s="90" t="s">
        <v>731</v>
      </c>
      <c r="F11" s="91">
        <v>44601</v>
      </c>
      <c r="G11" s="90" t="s">
        <v>996</v>
      </c>
      <c r="H11" s="90" t="s">
        <v>812</v>
      </c>
      <c r="I11" s="90" t="s">
        <v>1011</v>
      </c>
      <c r="J11" s="90" t="s">
        <v>888</v>
      </c>
      <c r="K11" s="93">
        <v>272.63</v>
      </c>
    </row>
    <row r="12" spans="1:11" ht="14.6" x14ac:dyDescent="0.4">
      <c r="A12" s="90"/>
      <c r="B12" s="90"/>
      <c r="C12" s="90"/>
      <c r="D12" s="90"/>
      <c r="E12" s="90" t="s">
        <v>731</v>
      </c>
      <c r="F12" s="91">
        <v>44601</v>
      </c>
      <c r="G12" s="90" t="s">
        <v>997</v>
      </c>
      <c r="H12" s="90" t="s">
        <v>812</v>
      </c>
      <c r="I12" s="90" t="s">
        <v>1012</v>
      </c>
      <c r="J12" s="90" t="s">
        <v>888</v>
      </c>
      <c r="K12" s="93">
        <v>71.45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44616</v>
      </c>
      <c r="G13" s="90" t="s">
        <v>998</v>
      </c>
      <c r="H13" s="90" t="s">
        <v>1003</v>
      </c>
      <c r="I13" s="90" t="s">
        <v>1013</v>
      </c>
      <c r="J13" s="90" t="s">
        <v>678</v>
      </c>
      <c r="K13" s="93">
        <v>19.61</v>
      </c>
    </row>
    <row r="14" spans="1:11" ht="14.6" x14ac:dyDescent="0.4">
      <c r="A14" s="90"/>
      <c r="B14" s="90"/>
      <c r="C14" s="90"/>
      <c r="D14" s="90"/>
      <c r="E14" s="90" t="s">
        <v>731</v>
      </c>
      <c r="F14" s="91">
        <v>44673</v>
      </c>
      <c r="G14" s="90" t="s">
        <v>2875</v>
      </c>
      <c r="H14" s="90" t="s">
        <v>2890</v>
      </c>
      <c r="I14" s="90" t="s">
        <v>2894</v>
      </c>
      <c r="J14" s="90" t="s">
        <v>888</v>
      </c>
      <c r="K14" s="93">
        <v>58.87</v>
      </c>
    </row>
    <row r="15" spans="1:11" ht="14.6" x14ac:dyDescent="0.4">
      <c r="A15" s="90"/>
      <c r="B15" s="90"/>
      <c r="C15" s="90"/>
      <c r="D15" s="90"/>
      <c r="E15" s="90" t="s">
        <v>731</v>
      </c>
      <c r="F15" s="91">
        <v>44676</v>
      </c>
      <c r="G15" s="90" t="s">
        <v>2876</v>
      </c>
      <c r="H15" s="90" t="s">
        <v>2290</v>
      </c>
      <c r="I15" s="90" t="s">
        <v>2895</v>
      </c>
      <c r="J15" s="90" t="s">
        <v>888</v>
      </c>
      <c r="K15" s="93">
        <v>44</v>
      </c>
    </row>
    <row r="16" spans="1:11" ht="14.6" x14ac:dyDescent="0.4">
      <c r="A16" s="90"/>
      <c r="B16" s="90"/>
      <c r="C16" s="90"/>
      <c r="D16" s="90"/>
      <c r="E16" s="90" t="s">
        <v>731</v>
      </c>
      <c r="F16" s="91">
        <v>44677</v>
      </c>
      <c r="G16" s="90" t="s">
        <v>2877</v>
      </c>
      <c r="H16" s="90" t="s">
        <v>809</v>
      </c>
      <c r="I16" s="90" t="s">
        <v>2896</v>
      </c>
      <c r="J16" s="90" t="s">
        <v>888</v>
      </c>
      <c r="K16" s="93">
        <v>45</v>
      </c>
    </row>
    <row r="17" spans="1:11" ht="14.6" x14ac:dyDescent="0.4">
      <c r="A17" s="90"/>
      <c r="B17" s="90"/>
      <c r="C17" s="90"/>
      <c r="D17" s="90"/>
      <c r="E17" s="90" t="s">
        <v>731</v>
      </c>
      <c r="F17" s="91">
        <v>44678</v>
      </c>
      <c r="G17" s="90" t="s">
        <v>2878</v>
      </c>
      <c r="H17" s="90" t="s">
        <v>2891</v>
      </c>
      <c r="I17" s="90" t="s">
        <v>2897</v>
      </c>
      <c r="J17" s="90" t="s">
        <v>735</v>
      </c>
      <c r="K17" s="93">
        <v>157.69</v>
      </c>
    </row>
    <row r="18" spans="1:11" ht="15" customHeight="1" x14ac:dyDescent="0.4">
      <c r="A18" s="90"/>
      <c r="B18" s="90"/>
      <c r="C18" s="90"/>
      <c r="D18" s="90"/>
      <c r="E18" s="90" t="s">
        <v>731</v>
      </c>
      <c r="F18" s="91">
        <v>44679</v>
      </c>
      <c r="G18" s="90" t="s">
        <v>2879</v>
      </c>
      <c r="H18" s="90" t="s">
        <v>2892</v>
      </c>
      <c r="I18" s="90" t="s">
        <v>2898</v>
      </c>
      <c r="J18" s="90" t="s">
        <v>888</v>
      </c>
      <c r="K18" s="93">
        <v>29.29</v>
      </c>
    </row>
    <row r="19" spans="1:11" ht="15" customHeight="1" x14ac:dyDescent="0.4">
      <c r="A19" s="90"/>
      <c r="B19" s="90"/>
      <c r="C19" s="90"/>
      <c r="D19" s="90"/>
      <c r="E19" s="90" t="s">
        <v>653</v>
      </c>
      <c r="F19" s="91">
        <v>44720</v>
      </c>
      <c r="G19" s="90" t="s">
        <v>664</v>
      </c>
      <c r="H19" s="90" t="s">
        <v>2893</v>
      </c>
      <c r="I19" s="90" t="s">
        <v>2899</v>
      </c>
      <c r="J19" s="90" t="s">
        <v>678</v>
      </c>
      <c r="K19" s="93">
        <v>1113.6500000000001</v>
      </c>
    </row>
    <row r="20" spans="1:11" ht="15" customHeight="1" x14ac:dyDescent="0.4">
      <c r="A20" s="90"/>
      <c r="B20" s="90"/>
      <c r="C20" s="90"/>
      <c r="D20" s="90"/>
      <c r="E20" s="90" t="s">
        <v>653</v>
      </c>
      <c r="F20" s="91">
        <v>44733</v>
      </c>
      <c r="G20" s="90" t="s">
        <v>1426</v>
      </c>
      <c r="H20" s="90" t="s">
        <v>1719</v>
      </c>
      <c r="I20" s="90" t="s">
        <v>2900</v>
      </c>
      <c r="J20" s="90" t="s">
        <v>678</v>
      </c>
      <c r="K20" s="93">
        <v>520</v>
      </c>
    </row>
    <row r="21" spans="1:11" ht="15" customHeight="1" x14ac:dyDescent="0.4">
      <c r="A21" s="90"/>
      <c r="B21" s="90"/>
      <c r="C21" s="90"/>
      <c r="D21" s="90"/>
      <c r="E21" s="90" t="s">
        <v>731</v>
      </c>
      <c r="F21" s="91">
        <v>44739</v>
      </c>
      <c r="G21" s="90" t="s">
        <v>2880</v>
      </c>
      <c r="H21" s="90" t="s">
        <v>2295</v>
      </c>
      <c r="I21" s="90" t="s">
        <v>2901</v>
      </c>
      <c r="J21" s="90" t="s">
        <v>735</v>
      </c>
      <c r="K21" s="93">
        <v>34.549999999999997</v>
      </c>
    </row>
    <row r="22" spans="1:11" ht="15" customHeight="1" x14ac:dyDescent="0.4">
      <c r="A22" s="90"/>
      <c r="B22" s="90"/>
      <c r="C22" s="90"/>
      <c r="D22" s="90"/>
      <c r="E22" s="90" t="s">
        <v>731</v>
      </c>
      <c r="F22" s="91">
        <v>44760</v>
      </c>
      <c r="G22" s="90" t="s">
        <v>2881</v>
      </c>
      <c r="H22" s="90" t="s">
        <v>999</v>
      </c>
      <c r="I22" s="90" t="s">
        <v>2902</v>
      </c>
      <c r="J22" s="90" t="s">
        <v>888</v>
      </c>
      <c r="K22" s="93">
        <v>70</v>
      </c>
    </row>
    <row r="23" spans="1:11" ht="15" customHeight="1" x14ac:dyDescent="0.4">
      <c r="A23" s="90"/>
      <c r="B23" s="90"/>
      <c r="C23" s="90"/>
      <c r="D23" s="90"/>
      <c r="E23" s="90" t="s">
        <v>731</v>
      </c>
      <c r="F23" s="91">
        <v>44763</v>
      </c>
      <c r="G23" s="90" t="s">
        <v>2882</v>
      </c>
      <c r="H23" s="90" t="s">
        <v>809</v>
      </c>
      <c r="I23" s="90" t="s">
        <v>2903</v>
      </c>
      <c r="J23" s="90" t="s">
        <v>888</v>
      </c>
      <c r="K23" s="93">
        <v>60</v>
      </c>
    </row>
    <row r="24" spans="1:11" ht="15" customHeight="1" x14ac:dyDescent="0.4">
      <c r="A24" s="90"/>
      <c r="B24" s="90"/>
      <c r="C24" s="90"/>
      <c r="D24" s="90"/>
      <c r="E24" s="90" t="s">
        <v>731</v>
      </c>
      <c r="F24" s="91">
        <v>44767</v>
      </c>
      <c r="G24" s="90" t="s">
        <v>2883</v>
      </c>
      <c r="H24" s="90" t="s">
        <v>1718</v>
      </c>
      <c r="I24" s="90" t="s">
        <v>2904</v>
      </c>
      <c r="J24" s="90" t="s">
        <v>888</v>
      </c>
      <c r="K24" s="93">
        <v>21.65</v>
      </c>
    </row>
    <row r="25" spans="1:11" ht="15" customHeight="1" x14ac:dyDescent="0.4">
      <c r="A25" s="90"/>
      <c r="B25" s="90"/>
      <c r="C25" s="90"/>
      <c r="D25" s="90"/>
      <c r="E25" s="90" t="s">
        <v>731</v>
      </c>
      <c r="F25" s="91">
        <v>44768</v>
      </c>
      <c r="G25" s="90" t="s">
        <v>2884</v>
      </c>
      <c r="H25" s="90" t="s">
        <v>999</v>
      </c>
      <c r="I25" s="90" t="s">
        <v>2905</v>
      </c>
      <c r="J25" s="90" t="s">
        <v>888</v>
      </c>
      <c r="K25" s="93">
        <v>67</v>
      </c>
    </row>
    <row r="26" spans="1:11" ht="15" customHeight="1" x14ac:dyDescent="0.4">
      <c r="A26" s="90"/>
      <c r="B26" s="90"/>
      <c r="C26" s="90"/>
      <c r="D26" s="90"/>
      <c r="E26" s="90" t="s">
        <v>731</v>
      </c>
      <c r="F26" s="91">
        <v>44811</v>
      </c>
      <c r="G26" s="90" t="s">
        <v>2885</v>
      </c>
      <c r="H26" s="90" t="s">
        <v>2891</v>
      </c>
      <c r="I26" s="90" t="s">
        <v>2906</v>
      </c>
      <c r="J26" s="90" t="s">
        <v>735</v>
      </c>
      <c r="K26" s="93">
        <v>211.03</v>
      </c>
    </row>
    <row r="27" spans="1:11" ht="15" customHeight="1" x14ac:dyDescent="0.4">
      <c r="A27" s="90"/>
      <c r="B27" s="90"/>
      <c r="C27" s="90"/>
      <c r="D27" s="90"/>
      <c r="E27" s="90" t="s">
        <v>653</v>
      </c>
      <c r="F27" s="91">
        <v>44865</v>
      </c>
      <c r="G27" s="90" t="s">
        <v>2886</v>
      </c>
      <c r="H27" s="90" t="s">
        <v>744</v>
      </c>
      <c r="I27" s="90" t="s">
        <v>2907</v>
      </c>
      <c r="J27" s="90" t="s">
        <v>678</v>
      </c>
      <c r="K27" s="93">
        <v>111.09</v>
      </c>
    </row>
    <row r="28" spans="1:11" ht="15" customHeight="1" x14ac:dyDescent="0.4">
      <c r="A28" s="90"/>
      <c r="B28" s="90"/>
      <c r="C28" s="90"/>
      <c r="D28" s="90"/>
      <c r="E28" s="90" t="s">
        <v>731</v>
      </c>
      <c r="F28" s="91">
        <v>44867</v>
      </c>
      <c r="G28" s="90" t="s">
        <v>2887</v>
      </c>
      <c r="H28" s="90" t="s">
        <v>2302</v>
      </c>
      <c r="I28" s="90" t="s">
        <v>2908</v>
      </c>
      <c r="J28" s="90" t="s">
        <v>735</v>
      </c>
      <c r="K28" s="93">
        <v>40</v>
      </c>
    </row>
    <row r="29" spans="1:11" ht="14.6" x14ac:dyDescent="0.4">
      <c r="A29" s="90"/>
      <c r="B29" s="90"/>
      <c r="C29" s="90"/>
      <c r="D29" s="90"/>
      <c r="E29" s="90" t="s">
        <v>731</v>
      </c>
      <c r="F29" s="91">
        <v>44881</v>
      </c>
      <c r="G29" s="90" t="s">
        <v>2227</v>
      </c>
      <c r="H29" s="90" t="s">
        <v>2299</v>
      </c>
      <c r="I29" s="90" t="s">
        <v>2570</v>
      </c>
      <c r="J29" s="90" t="s">
        <v>888</v>
      </c>
      <c r="K29" s="93">
        <v>20.059999999999999</v>
      </c>
    </row>
    <row r="30" spans="1:11" ht="15" customHeight="1" x14ac:dyDescent="0.4">
      <c r="A30" s="90"/>
      <c r="B30" s="90"/>
      <c r="C30" s="90"/>
      <c r="D30" s="90"/>
      <c r="E30" s="90" t="s">
        <v>731</v>
      </c>
      <c r="F30" s="91">
        <v>44881</v>
      </c>
      <c r="G30" s="90" t="s">
        <v>2888</v>
      </c>
      <c r="H30" s="90" t="s">
        <v>999</v>
      </c>
      <c r="I30" s="90" t="s">
        <v>2909</v>
      </c>
      <c r="J30" s="90" t="s">
        <v>888</v>
      </c>
      <c r="K30" s="93">
        <v>53.95</v>
      </c>
    </row>
    <row r="31" spans="1:11" ht="15" customHeight="1" thickBot="1" x14ac:dyDescent="0.45">
      <c r="A31" s="90"/>
      <c r="B31" s="90"/>
      <c r="C31" s="90"/>
      <c r="D31" s="90"/>
      <c r="E31" s="90" t="s">
        <v>731</v>
      </c>
      <c r="F31" s="91">
        <v>44881</v>
      </c>
      <c r="G31" s="90" t="s">
        <v>2889</v>
      </c>
      <c r="H31" s="90" t="s">
        <v>2302</v>
      </c>
      <c r="I31" s="90" t="s">
        <v>2910</v>
      </c>
      <c r="J31" s="90" t="s">
        <v>888</v>
      </c>
      <c r="K31" s="445">
        <v>20</v>
      </c>
    </row>
    <row r="32" spans="1:11" ht="15" customHeight="1" thickBot="1" x14ac:dyDescent="0.45">
      <c r="A32" s="90"/>
      <c r="B32" s="90"/>
      <c r="C32" s="90" t="s">
        <v>990</v>
      </c>
      <c r="D32" s="90"/>
      <c r="E32" s="90"/>
      <c r="F32" s="91"/>
      <c r="G32" s="90"/>
      <c r="H32" s="90"/>
      <c r="I32" s="90"/>
      <c r="J32" s="90"/>
      <c r="K32" s="446">
        <f>ROUND(SUM(K3:K31),5)</f>
        <v>4827.8</v>
      </c>
    </row>
    <row r="33" spans="1:11" ht="15" customHeight="1" thickBot="1" x14ac:dyDescent="0.45">
      <c r="A33" s="90"/>
      <c r="B33" s="90" t="s">
        <v>754</v>
      </c>
      <c r="C33" s="90"/>
      <c r="D33" s="90"/>
      <c r="E33" s="90"/>
      <c r="F33" s="91"/>
      <c r="G33" s="90"/>
      <c r="H33" s="90"/>
      <c r="I33" s="90"/>
      <c r="J33" s="90"/>
      <c r="K33" s="446">
        <f>K32</f>
        <v>4827.8</v>
      </c>
    </row>
    <row r="34" spans="1:11" ht="15" customHeight="1" thickBot="1" x14ac:dyDescent="0.45">
      <c r="A34" s="90" t="s">
        <v>158</v>
      </c>
      <c r="B34" s="90"/>
      <c r="C34" s="90"/>
      <c r="D34" s="90"/>
      <c r="E34" s="90"/>
      <c r="F34" s="91"/>
      <c r="G34" s="90"/>
      <c r="H34" s="90"/>
      <c r="I34" s="90"/>
      <c r="J34" s="90"/>
      <c r="K34" s="447">
        <f>K33</f>
        <v>4827.8</v>
      </c>
    </row>
    <row r="35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9:53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649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6499" r:id="rId4" name="FILTER"/>
      </mc:Fallback>
    </mc:AlternateContent>
    <mc:AlternateContent xmlns:mc="http://schemas.openxmlformats.org/markup-compatibility/2006">
      <mc:Choice Requires="x14">
        <control shapeId="10650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6500" r:id="rId6" name="HEADER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"/>
  <dimension ref="A1:K66"/>
  <sheetViews>
    <sheetView workbookViewId="0">
      <pane xSplit="3" ySplit="1" topLeftCell="D37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17.69140625" bestFit="1" customWidth="1"/>
    <col min="6" max="6" width="10.69140625" bestFit="1" customWidth="1"/>
    <col min="7" max="7" width="15.69140625" bestFit="1" customWidth="1"/>
    <col min="8" max="8" width="28.84375" bestFit="1" customWidth="1"/>
    <col min="9" max="9" width="30.69140625" customWidth="1"/>
    <col min="10" max="10" width="27.382812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1014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44566</v>
      </c>
      <c r="G4" s="90" t="s">
        <v>1016</v>
      </c>
      <c r="H4" s="90" t="s">
        <v>1029</v>
      </c>
      <c r="I4" s="90" t="s">
        <v>1042</v>
      </c>
      <c r="J4" s="90" t="s">
        <v>678</v>
      </c>
      <c r="K4" s="93">
        <v>3082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44568</v>
      </c>
      <c r="G5" s="90" t="s">
        <v>1017</v>
      </c>
      <c r="H5" s="90" t="s">
        <v>1030</v>
      </c>
      <c r="I5" s="90" t="s">
        <v>1043</v>
      </c>
      <c r="J5" s="90" t="s">
        <v>678</v>
      </c>
      <c r="K5" s="93">
        <v>150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44568</v>
      </c>
      <c r="G6" s="90" t="s">
        <v>1018</v>
      </c>
      <c r="H6" s="90" t="s">
        <v>1031</v>
      </c>
      <c r="I6" s="90" t="s">
        <v>1055</v>
      </c>
      <c r="J6" s="90" t="s">
        <v>678</v>
      </c>
      <c r="K6" s="93">
        <v>757.2</v>
      </c>
    </row>
    <row r="7" spans="1:11" ht="14.6" x14ac:dyDescent="0.4">
      <c r="A7" s="90"/>
      <c r="B7" s="90"/>
      <c r="C7" s="90"/>
      <c r="D7" s="90"/>
      <c r="E7" s="90" t="s">
        <v>731</v>
      </c>
      <c r="F7" s="91">
        <v>44570</v>
      </c>
      <c r="G7" s="90"/>
      <c r="H7" s="90" t="s">
        <v>1032</v>
      </c>
      <c r="I7" s="90" t="s">
        <v>1044</v>
      </c>
      <c r="J7" s="90" t="s">
        <v>735</v>
      </c>
      <c r="K7" s="93">
        <v>14.99</v>
      </c>
    </row>
    <row r="8" spans="1:11" ht="14.6" x14ac:dyDescent="0.4">
      <c r="A8" s="90"/>
      <c r="B8" s="90"/>
      <c r="C8" s="90"/>
      <c r="D8" s="90"/>
      <c r="E8" s="90" t="s">
        <v>731</v>
      </c>
      <c r="F8" s="91">
        <v>44580</v>
      </c>
      <c r="G8" s="90" t="s">
        <v>1019</v>
      </c>
      <c r="H8" s="90" t="s">
        <v>1033</v>
      </c>
      <c r="I8" s="90" t="s">
        <v>1045</v>
      </c>
      <c r="J8" s="90" t="s">
        <v>735</v>
      </c>
      <c r="K8" s="93">
        <v>164.95</v>
      </c>
    </row>
    <row r="9" spans="1:11" ht="14.6" x14ac:dyDescent="0.4">
      <c r="A9" s="90"/>
      <c r="B9" s="90"/>
      <c r="C9" s="90"/>
      <c r="D9" s="90"/>
      <c r="E9" s="90" t="s">
        <v>731</v>
      </c>
      <c r="F9" s="91">
        <v>44580</v>
      </c>
      <c r="G9" s="90" t="s">
        <v>1019</v>
      </c>
      <c r="H9" s="90" t="s">
        <v>1034</v>
      </c>
      <c r="I9" s="90" t="s">
        <v>1046</v>
      </c>
      <c r="J9" s="90" t="s">
        <v>735</v>
      </c>
      <c r="K9" s="93">
        <v>129</v>
      </c>
    </row>
    <row r="10" spans="1:11" ht="14.6" x14ac:dyDescent="0.4">
      <c r="A10" s="90"/>
      <c r="B10" s="90"/>
      <c r="C10" s="90"/>
      <c r="D10" s="90"/>
      <c r="E10" s="90" t="s">
        <v>731</v>
      </c>
      <c r="F10" s="91">
        <v>44580</v>
      </c>
      <c r="G10" s="90" t="s">
        <v>1019</v>
      </c>
      <c r="H10" s="90" t="s">
        <v>1035</v>
      </c>
      <c r="I10" s="90" t="s">
        <v>1047</v>
      </c>
      <c r="J10" s="90" t="s">
        <v>735</v>
      </c>
      <c r="K10" s="93">
        <v>250</v>
      </c>
    </row>
    <row r="11" spans="1:11" ht="14.6" x14ac:dyDescent="0.4">
      <c r="A11" s="90"/>
      <c r="B11" s="90"/>
      <c r="C11" s="90"/>
      <c r="D11" s="90"/>
      <c r="E11" s="90" t="s">
        <v>731</v>
      </c>
      <c r="F11" s="91">
        <v>44580</v>
      </c>
      <c r="G11" s="90" t="s">
        <v>1019</v>
      </c>
      <c r="H11" s="90" t="s">
        <v>1036</v>
      </c>
      <c r="I11" s="90" t="s">
        <v>1048</v>
      </c>
      <c r="J11" s="90" t="s">
        <v>735</v>
      </c>
      <c r="K11" s="93">
        <v>545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44581</v>
      </c>
      <c r="G12" s="90" t="s">
        <v>1020</v>
      </c>
      <c r="H12" s="90" t="s">
        <v>1037</v>
      </c>
      <c r="I12" s="90" t="s">
        <v>1049</v>
      </c>
      <c r="J12" s="90" t="s">
        <v>678</v>
      </c>
      <c r="K12" s="93">
        <v>7130</v>
      </c>
    </row>
    <row r="13" spans="1:11" ht="14.6" x14ac:dyDescent="0.4">
      <c r="A13" s="90"/>
      <c r="B13" s="90"/>
      <c r="C13" s="90"/>
      <c r="D13" s="90"/>
      <c r="E13" s="90" t="s">
        <v>731</v>
      </c>
      <c r="F13" s="91">
        <v>44594</v>
      </c>
      <c r="G13" s="90" t="s">
        <v>1021</v>
      </c>
      <c r="H13" s="90" t="s">
        <v>1030</v>
      </c>
      <c r="I13" s="90" t="s">
        <v>1043</v>
      </c>
      <c r="J13" s="90" t="s">
        <v>735</v>
      </c>
      <c r="K13" s="93">
        <v>150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44595</v>
      </c>
      <c r="G14" s="90" t="s">
        <v>1022</v>
      </c>
      <c r="H14" s="90" t="s">
        <v>1029</v>
      </c>
      <c r="I14" s="90" t="s">
        <v>1042</v>
      </c>
      <c r="J14" s="90" t="s">
        <v>678</v>
      </c>
      <c r="K14" s="93">
        <v>3082</v>
      </c>
    </row>
    <row r="15" spans="1:11" ht="14.6" x14ac:dyDescent="0.4">
      <c r="A15" s="90"/>
      <c r="B15" s="90"/>
      <c r="C15" s="90"/>
      <c r="D15" s="90"/>
      <c r="E15" s="90" t="s">
        <v>731</v>
      </c>
      <c r="F15" s="91">
        <v>44601</v>
      </c>
      <c r="G15" s="90"/>
      <c r="H15" s="90" t="s">
        <v>1032</v>
      </c>
      <c r="I15" s="90" t="s">
        <v>1044</v>
      </c>
      <c r="J15" s="90" t="s">
        <v>735</v>
      </c>
      <c r="K15" s="93">
        <v>15.86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44606</v>
      </c>
      <c r="G16" s="90" t="s">
        <v>1023</v>
      </c>
      <c r="H16" s="90" t="s">
        <v>1038</v>
      </c>
      <c r="I16" s="90" t="s">
        <v>1050</v>
      </c>
      <c r="J16" s="90" t="s">
        <v>678</v>
      </c>
      <c r="K16" s="93">
        <v>550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44606</v>
      </c>
      <c r="G17" s="90" t="s">
        <v>1023</v>
      </c>
      <c r="H17" s="90" t="s">
        <v>1038</v>
      </c>
      <c r="I17" s="90" t="s">
        <v>1051</v>
      </c>
      <c r="J17" s="90" t="s">
        <v>678</v>
      </c>
      <c r="K17" s="93">
        <v>30</v>
      </c>
    </row>
    <row r="18" spans="1:11" ht="14.6" x14ac:dyDescent="0.4">
      <c r="A18" s="90"/>
      <c r="B18" s="90"/>
      <c r="C18" s="90"/>
      <c r="D18" s="90"/>
      <c r="E18" s="90" t="s">
        <v>731</v>
      </c>
      <c r="F18" s="91">
        <v>44607</v>
      </c>
      <c r="G18" s="90" t="s">
        <v>1421</v>
      </c>
      <c r="H18" s="90" t="s">
        <v>1033</v>
      </c>
      <c r="I18" s="90" t="s">
        <v>1429</v>
      </c>
      <c r="J18" s="90" t="s">
        <v>735</v>
      </c>
      <c r="K18" s="93">
        <v>254.95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44620</v>
      </c>
      <c r="G19" s="90" t="s">
        <v>1024</v>
      </c>
      <c r="H19" s="90" t="s">
        <v>1039</v>
      </c>
      <c r="I19" s="90" t="s">
        <v>1052</v>
      </c>
      <c r="J19" s="90" t="s">
        <v>678</v>
      </c>
      <c r="K19" s="93">
        <v>2250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44621</v>
      </c>
      <c r="G20" s="90" t="s">
        <v>1025</v>
      </c>
      <c r="H20" s="90" t="s">
        <v>1040</v>
      </c>
      <c r="I20" s="90" t="s">
        <v>1053</v>
      </c>
      <c r="J20" s="90" t="s">
        <v>678</v>
      </c>
      <c r="K20" s="93">
        <v>35428.800000000003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44627</v>
      </c>
      <c r="G21" s="90" t="s">
        <v>1026</v>
      </c>
      <c r="H21" s="90" t="s">
        <v>1030</v>
      </c>
      <c r="I21" s="90" t="s">
        <v>1043</v>
      </c>
      <c r="J21" s="90" t="s">
        <v>678</v>
      </c>
      <c r="K21" s="93">
        <v>150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44628</v>
      </c>
      <c r="G22" s="90" t="s">
        <v>1027</v>
      </c>
      <c r="H22" s="90" t="s">
        <v>1029</v>
      </c>
      <c r="I22" s="90" t="s">
        <v>1042</v>
      </c>
      <c r="J22" s="90" t="s">
        <v>678</v>
      </c>
      <c r="K22" s="93">
        <v>3082</v>
      </c>
    </row>
    <row r="23" spans="1:11" ht="14.6" x14ac:dyDescent="0.4">
      <c r="A23" s="90"/>
      <c r="B23" s="90"/>
      <c r="C23" s="90"/>
      <c r="D23" s="90"/>
      <c r="E23" s="90" t="s">
        <v>731</v>
      </c>
      <c r="F23" s="91">
        <v>44629</v>
      </c>
      <c r="G23" s="90"/>
      <c r="H23" s="90" t="s">
        <v>1032</v>
      </c>
      <c r="I23" s="90" t="s">
        <v>1044</v>
      </c>
      <c r="J23" s="90" t="s">
        <v>735</v>
      </c>
      <c r="K23" s="93">
        <v>15.86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44634</v>
      </c>
      <c r="G24" s="90" t="s">
        <v>1028</v>
      </c>
      <c r="H24" s="90" t="s">
        <v>1041</v>
      </c>
      <c r="I24" s="90" t="s">
        <v>1054</v>
      </c>
      <c r="J24" s="90" t="s">
        <v>678</v>
      </c>
      <c r="K24" s="93">
        <v>4900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44645</v>
      </c>
      <c r="G25" s="90" t="s">
        <v>1422</v>
      </c>
      <c r="H25" s="90" t="s">
        <v>337</v>
      </c>
      <c r="I25" s="90" t="s">
        <v>1430</v>
      </c>
      <c r="J25" s="90" t="s">
        <v>678</v>
      </c>
      <c r="K25" s="93">
        <v>199</v>
      </c>
    </row>
    <row r="26" spans="1:11" ht="14.6" x14ac:dyDescent="0.4">
      <c r="A26" s="90"/>
      <c r="B26" s="90"/>
      <c r="C26" s="90"/>
      <c r="D26" s="90"/>
      <c r="E26" s="90" t="s">
        <v>731</v>
      </c>
      <c r="F26" s="91">
        <v>44648</v>
      </c>
      <c r="G26" s="90" t="s">
        <v>1423</v>
      </c>
      <c r="H26" s="90" t="s">
        <v>1427</v>
      </c>
      <c r="I26" s="90" t="s">
        <v>1431</v>
      </c>
      <c r="J26" s="90" t="s">
        <v>735</v>
      </c>
      <c r="K26" s="93">
        <v>250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44657</v>
      </c>
      <c r="G27" s="90" t="s">
        <v>1424</v>
      </c>
      <c r="H27" s="90" t="s">
        <v>1029</v>
      </c>
      <c r="I27" s="90" t="s">
        <v>1042</v>
      </c>
      <c r="J27" s="90" t="s">
        <v>678</v>
      </c>
      <c r="K27" s="93">
        <v>3082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44658</v>
      </c>
      <c r="G28" s="90" t="s">
        <v>1425</v>
      </c>
      <c r="H28" s="90" t="s">
        <v>1030</v>
      </c>
      <c r="I28" s="90" t="s">
        <v>1043</v>
      </c>
      <c r="J28" s="90" t="s">
        <v>678</v>
      </c>
      <c r="K28" s="93">
        <v>150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44659</v>
      </c>
      <c r="G29" s="90" t="s">
        <v>1426</v>
      </c>
      <c r="H29" s="90" t="s">
        <v>1428</v>
      </c>
      <c r="I29" s="90" t="s">
        <v>1432</v>
      </c>
      <c r="J29" s="90" t="s">
        <v>678</v>
      </c>
      <c r="K29" s="93">
        <v>1350</v>
      </c>
    </row>
    <row r="30" spans="1:11" ht="14.6" x14ac:dyDescent="0.4">
      <c r="A30" s="90"/>
      <c r="B30" s="90"/>
      <c r="C30" s="90"/>
      <c r="D30" s="90"/>
      <c r="E30" s="90" t="s">
        <v>731</v>
      </c>
      <c r="F30" s="91">
        <v>44660</v>
      </c>
      <c r="G30" s="90"/>
      <c r="H30" s="90" t="s">
        <v>1032</v>
      </c>
      <c r="I30" s="90" t="s">
        <v>1044</v>
      </c>
      <c r="J30" s="90" t="s">
        <v>735</v>
      </c>
      <c r="K30" s="93">
        <v>15.86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44677</v>
      </c>
      <c r="G31" s="90" t="s">
        <v>2911</v>
      </c>
      <c r="H31" s="90" t="s">
        <v>1030</v>
      </c>
      <c r="I31" s="90" t="s">
        <v>1043</v>
      </c>
      <c r="J31" s="90" t="s">
        <v>678</v>
      </c>
      <c r="K31" s="93">
        <v>150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44677</v>
      </c>
      <c r="G32" s="90" t="s">
        <v>2912</v>
      </c>
      <c r="H32" s="90" t="s">
        <v>1029</v>
      </c>
      <c r="I32" s="90" t="s">
        <v>1042</v>
      </c>
      <c r="J32" s="90" t="s">
        <v>678</v>
      </c>
      <c r="K32" s="93">
        <v>3082</v>
      </c>
    </row>
    <row r="33" spans="1:11" ht="14.6" x14ac:dyDescent="0.4">
      <c r="A33" s="90"/>
      <c r="B33" s="90"/>
      <c r="C33" s="90"/>
      <c r="D33" s="90"/>
      <c r="E33" s="90" t="s">
        <v>653</v>
      </c>
      <c r="F33" s="91">
        <v>44687</v>
      </c>
      <c r="G33" s="90" t="s">
        <v>2913</v>
      </c>
      <c r="H33" s="90" t="s">
        <v>799</v>
      </c>
      <c r="I33" s="90" t="s">
        <v>2935</v>
      </c>
      <c r="J33" s="90" t="s">
        <v>678</v>
      </c>
      <c r="K33" s="93">
        <v>67.5</v>
      </c>
    </row>
    <row r="34" spans="1:11" ht="14.6" x14ac:dyDescent="0.4">
      <c r="A34" s="90"/>
      <c r="B34" s="90"/>
      <c r="C34" s="90"/>
      <c r="D34" s="90"/>
      <c r="E34" s="90" t="s">
        <v>652</v>
      </c>
      <c r="F34" s="91">
        <v>44688</v>
      </c>
      <c r="G34" s="90" t="s">
        <v>1019</v>
      </c>
      <c r="H34" s="90" t="s">
        <v>799</v>
      </c>
      <c r="I34" s="90" t="s">
        <v>2936</v>
      </c>
      <c r="J34" s="90" t="s">
        <v>678</v>
      </c>
      <c r="K34" s="93">
        <v>-50</v>
      </c>
    </row>
    <row r="35" spans="1:11" ht="15" customHeight="1" x14ac:dyDescent="0.4">
      <c r="A35" s="90"/>
      <c r="B35" s="90"/>
      <c r="C35" s="90"/>
      <c r="D35" s="90"/>
      <c r="E35" s="90" t="s">
        <v>731</v>
      </c>
      <c r="F35" s="91">
        <v>44690</v>
      </c>
      <c r="G35" s="90"/>
      <c r="H35" s="90" t="s">
        <v>1032</v>
      </c>
      <c r="I35" s="90" t="s">
        <v>1044</v>
      </c>
      <c r="J35" s="90" t="s">
        <v>735</v>
      </c>
      <c r="K35" s="93">
        <v>15.86</v>
      </c>
    </row>
    <row r="36" spans="1:11" ht="15" customHeight="1" x14ac:dyDescent="0.4">
      <c r="A36" s="90"/>
      <c r="B36" s="90"/>
      <c r="C36" s="90"/>
      <c r="D36" s="90"/>
      <c r="E36" s="90" t="s">
        <v>653</v>
      </c>
      <c r="F36" s="91">
        <v>44719</v>
      </c>
      <c r="G36" s="90" t="s">
        <v>2914</v>
      </c>
      <c r="H36" s="90" t="s">
        <v>1030</v>
      </c>
      <c r="I36" s="90" t="s">
        <v>1043</v>
      </c>
      <c r="J36" s="90" t="s">
        <v>678</v>
      </c>
      <c r="K36" s="93">
        <v>150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44720</v>
      </c>
      <c r="G37" s="90" t="s">
        <v>2915</v>
      </c>
      <c r="H37" s="90" t="s">
        <v>1029</v>
      </c>
      <c r="I37" s="90" t="s">
        <v>1042</v>
      </c>
      <c r="J37" s="90" t="s">
        <v>678</v>
      </c>
      <c r="K37" s="93">
        <v>3082</v>
      </c>
    </row>
    <row r="38" spans="1:11" ht="15" customHeight="1" x14ac:dyDescent="0.4">
      <c r="A38" s="90"/>
      <c r="B38" s="90"/>
      <c r="C38" s="90"/>
      <c r="D38" s="90"/>
      <c r="E38" s="90" t="s">
        <v>731</v>
      </c>
      <c r="F38" s="91">
        <v>44721</v>
      </c>
      <c r="G38" s="90"/>
      <c r="H38" s="90" t="s">
        <v>1032</v>
      </c>
      <c r="I38" s="90" t="s">
        <v>1044</v>
      </c>
      <c r="J38" s="90" t="s">
        <v>735</v>
      </c>
      <c r="K38" s="93">
        <v>15.86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44747</v>
      </c>
      <c r="G39" s="90" t="s">
        <v>2916</v>
      </c>
      <c r="H39" s="90" t="s">
        <v>1029</v>
      </c>
      <c r="I39" s="90" t="s">
        <v>1042</v>
      </c>
      <c r="J39" s="90" t="s">
        <v>678</v>
      </c>
      <c r="K39" s="93">
        <v>3082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44749</v>
      </c>
      <c r="G40" s="90" t="s">
        <v>2917</v>
      </c>
      <c r="H40" s="90" t="s">
        <v>1030</v>
      </c>
      <c r="I40" s="90" t="s">
        <v>1043</v>
      </c>
      <c r="J40" s="90" t="s">
        <v>678</v>
      </c>
      <c r="K40" s="93">
        <v>150</v>
      </c>
    </row>
    <row r="41" spans="1:11" ht="15" customHeight="1" x14ac:dyDescent="0.4">
      <c r="A41" s="90"/>
      <c r="B41" s="90"/>
      <c r="C41" s="90"/>
      <c r="D41" s="90"/>
      <c r="E41" s="90" t="s">
        <v>731</v>
      </c>
      <c r="F41" s="91">
        <v>44751</v>
      </c>
      <c r="G41" s="90"/>
      <c r="H41" s="90" t="s">
        <v>1032</v>
      </c>
      <c r="I41" s="90" t="s">
        <v>1044</v>
      </c>
      <c r="J41" s="90" t="s">
        <v>735</v>
      </c>
      <c r="K41" s="93">
        <v>15.86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44776</v>
      </c>
      <c r="G42" s="90" t="s">
        <v>2918</v>
      </c>
      <c r="H42" s="90" t="s">
        <v>1029</v>
      </c>
      <c r="I42" s="90" t="s">
        <v>1042</v>
      </c>
      <c r="J42" s="90" t="s">
        <v>678</v>
      </c>
      <c r="K42" s="93">
        <v>3082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44780</v>
      </c>
      <c r="G43" s="90" t="s">
        <v>2919</v>
      </c>
      <c r="H43" s="90" t="s">
        <v>1030</v>
      </c>
      <c r="I43" s="90" t="s">
        <v>1043</v>
      </c>
      <c r="J43" s="90" t="s">
        <v>678</v>
      </c>
      <c r="K43" s="93">
        <v>150</v>
      </c>
    </row>
    <row r="44" spans="1:11" ht="15" customHeight="1" x14ac:dyDescent="0.4">
      <c r="A44" s="90"/>
      <c r="B44" s="90"/>
      <c r="C44" s="90"/>
      <c r="D44" s="90"/>
      <c r="E44" s="90" t="s">
        <v>731</v>
      </c>
      <c r="F44" s="91">
        <v>44782</v>
      </c>
      <c r="G44" s="90"/>
      <c r="H44" s="90" t="s">
        <v>1032</v>
      </c>
      <c r="I44" s="90" t="s">
        <v>1044</v>
      </c>
      <c r="J44" s="90" t="s">
        <v>735</v>
      </c>
      <c r="K44" s="93">
        <v>15.86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44808</v>
      </c>
      <c r="G45" s="90" t="s">
        <v>2920</v>
      </c>
      <c r="H45" s="90" t="s">
        <v>2933</v>
      </c>
      <c r="I45" s="90" t="s">
        <v>2937</v>
      </c>
      <c r="J45" s="90" t="s">
        <v>678</v>
      </c>
      <c r="K45" s="93">
        <v>409.5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44810</v>
      </c>
      <c r="G46" s="90" t="s">
        <v>2921</v>
      </c>
      <c r="H46" s="90" t="s">
        <v>1029</v>
      </c>
      <c r="I46" s="90" t="s">
        <v>1042</v>
      </c>
      <c r="J46" s="90" t="s">
        <v>678</v>
      </c>
      <c r="K46" s="93">
        <v>3082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44811</v>
      </c>
      <c r="G47" s="90" t="s">
        <v>2922</v>
      </c>
      <c r="H47" s="90" t="s">
        <v>1030</v>
      </c>
      <c r="I47" s="90" t="s">
        <v>1043</v>
      </c>
      <c r="J47" s="90" t="s">
        <v>678</v>
      </c>
      <c r="K47" s="93">
        <v>150</v>
      </c>
    </row>
    <row r="48" spans="1:11" ht="15" customHeight="1" x14ac:dyDescent="0.4">
      <c r="A48" s="90"/>
      <c r="B48" s="90"/>
      <c r="C48" s="90"/>
      <c r="D48" s="90"/>
      <c r="E48" s="90" t="s">
        <v>731</v>
      </c>
      <c r="F48" s="91">
        <v>44813</v>
      </c>
      <c r="G48" s="90"/>
      <c r="H48" s="90" t="s">
        <v>1032</v>
      </c>
      <c r="I48" s="90" t="s">
        <v>1044</v>
      </c>
      <c r="J48" s="90" t="s">
        <v>735</v>
      </c>
      <c r="K48" s="93">
        <v>15.86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44839</v>
      </c>
      <c r="G49" s="90" t="s">
        <v>2923</v>
      </c>
      <c r="H49" s="90" t="s">
        <v>1029</v>
      </c>
      <c r="I49" s="90" t="s">
        <v>1042</v>
      </c>
      <c r="J49" s="90" t="s">
        <v>678</v>
      </c>
      <c r="K49" s="93">
        <v>3359.38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44841</v>
      </c>
      <c r="G50" s="90" t="s">
        <v>2924</v>
      </c>
      <c r="H50" s="90" t="s">
        <v>1030</v>
      </c>
      <c r="I50" s="90" t="s">
        <v>1043</v>
      </c>
      <c r="J50" s="90" t="s">
        <v>678</v>
      </c>
      <c r="K50" s="93">
        <v>150</v>
      </c>
    </row>
    <row r="51" spans="1:11" ht="15" customHeight="1" x14ac:dyDescent="0.4">
      <c r="A51" s="90"/>
      <c r="B51" s="90"/>
      <c r="C51" s="90"/>
      <c r="D51" s="90"/>
      <c r="E51" s="90" t="s">
        <v>731</v>
      </c>
      <c r="F51" s="91">
        <v>44843</v>
      </c>
      <c r="G51" s="90"/>
      <c r="H51" s="90" t="s">
        <v>1032</v>
      </c>
      <c r="I51" s="90" t="s">
        <v>1044</v>
      </c>
      <c r="J51" s="90" t="s">
        <v>735</v>
      </c>
      <c r="K51" s="93">
        <v>15.86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44847</v>
      </c>
      <c r="G52" s="90" t="s">
        <v>2925</v>
      </c>
      <c r="H52" s="90" t="s">
        <v>2934</v>
      </c>
      <c r="I52" s="90" t="s">
        <v>2938</v>
      </c>
      <c r="J52" s="90" t="s">
        <v>678</v>
      </c>
      <c r="K52" s="93">
        <v>2589.5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44867</v>
      </c>
      <c r="G53" s="90" t="s">
        <v>2926</v>
      </c>
      <c r="H53" s="90" t="s">
        <v>1029</v>
      </c>
      <c r="I53" s="90" t="s">
        <v>1042</v>
      </c>
      <c r="J53" s="90" t="s">
        <v>678</v>
      </c>
      <c r="K53" s="93">
        <v>3359.38</v>
      </c>
    </row>
    <row r="54" spans="1:11" ht="15" customHeight="1" x14ac:dyDescent="0.4">
      <c r="A54" s="90"/>
      <c r="B54" s="90"/>
      <c r="C54" s="90"/>
      <c r="D54" s="90"/>
      <c r="E54" s="90" t="s">
        <v>731</v>
      </c>
      <c r="F54" s="91">
        <v>44867</v>
      </c>
      <c r="G54" s="90" t="s">
        <v>2927</v>
      </c>
      <c r="H54" s="90" t="s">
        <v>2336</v>
      </c>
      <c r="I54" s="90" t="s">
        <v>2939</v>
      </c>
      <c r="J54" s="90" t="s">
        <v>735</v>
      </c>
      <c r="K54" s="93">
        <v>69.2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44872</v>
      </c>
      <c r="G55" s="90" t="s">
        <v>2928</v>
      </c>
      <c r="H55" s="90" t="s">
        <v>1030</v>
      </c>
      <c r="I55" s="90" t="s">
        <v>1043</v>
      </c>
      <c r="J55" s="90" t="s">
        <v>678</v>
      </c>
      <c r="K55" s="93">
        <v>150</v>
      </c>
    </row>
    <row r="56" spans="1:11" ht="15" customHeight="1" x14ac:dyDescent="0.4">
      <c r="A56" s="90"/>
      <c r="B56" s="90"/>
      <c r="C56" s="90"/>
      <c r="D56" s="90"/>
      <c r="E56" s="90" t="s">
        <v>731</v>
      </c>
      <c r="F56" s="91">
        <v>44874</v>
      </c>
      <c r="G56" s="90"/>
      <c r="H56" s="90" t="s">
        <v>1032</v>
      </c>
      <c r="I56" s="90" t="s">
        <v>1044</v>
      </c>
      <c r="J56" s="90" t="s">
        <v>735</v>
      </c>
      <c r="K56" s="93">
        <v>15.86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44874</v>
      </c>
      <c r="G57" s="90" t="s">
        <v>2929</v>
      </c>
      <c r="H57" s="90" t="s">
        <v>1031</v>
      </c>
      <c r="I57" s="90" t="s">
        <v>2940</v>
      </c>
      <c r="J57" s="90" t="s">
        <v>678</v>
      </c>
      <c r="K57" s="93">
        <v>475.95</v>
      </c>
    </row>
    <row r="58" spans="1:11" ht="15" customHeight="1" x14ac:dyDescent="0.4">
      <c r="A58" s="90"/>
      <c r="B58" s="90"/>
      <c r="C58" s="90"/>
      <c r="D58" s="90"/>
      <c r="E58" s="90" t="s">
        <v>731</v>
      </c>
      <c r="F58" s="91">
        <v>44894</v>
      </c>
      <c r="G58" s="90" t="s">
        <v>2930</v>
      </c>
      <c r="H58" s="90" t="s">
        <v>2933</v>
      </c>
      <c r="I58" s="90" t="s">
        <v>2941</v>
      </c>
      <c r="J58" s="90" t="s">
        <v>735</v>
      </c>
      <c r="K58" s="93">
        <v>52.5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44900</v>
      </c>
      <c r="G59" s="90" t="s">
        <v>1783</v>
      </c>
      <c r="H59" s="90" t="s">
        <v>1029</v>
      </c>
      <c r="I59" s="90" t="s">
        <v>1042</v>
      </c>
      <c r="J59" s="90" t="s">
        <v>678</v>
      </c>
      <c r="K59" s="93">
        <v>3359.38</v>
      </c>
    </row>
    <row r="60" spans="1:11" ht="15" customHeight="1" x14ac:dyDescent="0.4">
      <c r="A60" s="90"/>
      <c r="B60" s="90"/>
      <c r="C60" s="90"/>
      <c r="D60" s="90"/>
      <c r="E60" s="90" t="s">
        <v>731</v>
      </c>
      <c r="F60" s="91">
        <v>44900</v>
      </c>
      <c r="G60" s="90" t="s">
        <v>2931</v>
      </c>
      <c r="H60" s="90" t="s">
        <v>340</v>
      </c>
      <c r="I60" s="90" t="s">
        <v>2942</v>
      </c>
      <c r="J60" s="90" t="s">
        <v>735</v>
      </c>
      <c r="K60" s="93">
        <v>140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44902</v>
      </c>
      <c r="G61" s="90" t="s">
        <v>2932</v>
      </c>
      <c r="H61" s="90" t="s">
        <v>1030</v>
      </c>
      <c r="I61" s="90" t="s">
        <v>1043</v>
      </c>
      <c r="J61" s="90" t="s">
        <v>678</v>
      </c>
      <c r="K61" s="93">
        <v>150</v>
      </c>
    </row>
    <row r="62" spans="1:11" ht="15" customHeight="1" thickBot="1" x14ac:dyDescent="0.45">
      <c r="A62" s="90"/>
      <c r="B62" s="90"/>
      <c r="C62" s="90"/>
      <c r="D62" s="90"/>
      <c r="E62" s="90" t="s">
        <v>731</v>
      </c>
      <c r="F62" s="91">
        <v>44904</v>
      </c>
      <c r="G62" s="90"/>
      <c r="H62" s="90" t="s">
        <v>1032</v>
      </c>
      <c r="I62" s="90" t="s">
        <v>1044</v>
      </c>
      <c r="J62" s="90" t="s">
        <v>735</v>
      </c>
      <c r="K62" s="445">
        <v>15.86</v>
      </c>
    </row>
    <row r="63" spans="1:11" ht="15" customHeight="1" thickBot="1" x14ac:dyDescent="0.45">
      <c r="A63" s="90"/>
      <c r="B63" s="90"/>
      <c r="C63" s="90" t="s">
        <v>1015</v>
      </c>
      <c r="D63" s="90"/>
      <c r="E63" s="90"/>
      <c r="F63" s="91"/>
      <c r="G63" s="90"/>
      <c r="H63" s="90"/>
      <c r="I63" s="90"/>
      <c r="J63" s="90"/>
      <c r="K63" s="446">
        <f>ROUND(SUM(K3:K62),5)</f>
        <v>97748.64</v>
      </c>
    </row>
    <row r="64" spans="1:11" ht="15" customHeight="1" thickBot="1" x14ac:dyDescent="0.45">
      <c r="A64" s="90"/>
      <c r="B64" s="90" t="s">
        <v>754</v>
      </c>
      <c r="C64" s="90"/>
      <c r="D64" s="90"/>
      <c r="E64" s="90"/>
      <c r="F64" s="91"/>
      <c r="G64" s="90"/>
      <c r="H64" s="90"/>
      <c r="I64" s="90"/>
      <c r="J64" s="90"/>
      <c r="K64" s="446">
        <f>K63</f>
        <v>97748.64</v>
      </c>
    </row>
    <row r="65" spans="1:11" ht="15" customHeight="1" thickBot="1" x14ac:dyDescent="0.45">
      <c r="A65" s="90" t="s">
        <v>158</v>
      </c>
      <c r="B65" s="90"/>
      <c r="C65" s="90"/>
      <c r="D65" s="90"/>
      <c r="E65" s="90"/>
      <c r="F65" s="91"/>
      <c r="G65" s="90"/>
      <c r="H65" s="90"/>
      <c r="I65" s="90"/>
      <c r="J65" s="90"/>
      <c r="K65" s="447">
        <f>K64</f>
        <v>97748.64</v>
      </c>
    </row>
    <row r="66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10:04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75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7525" r:id="rId4" name="FILTER"/>
      </mc:Fallback>
    </mc:AlternateContent>
    <mc:AlternateContent xmlns:mc="http://schemas.openxmlformats.org/markup-compatibility/2006">
      <mc:Choice Requires="x14">
        <control shapeId="1075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7526" r:id="rId6" name="HEADER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"/>
  <dimension ref="A1:K209"/>
  <sheetViews>
    <sheetView workbookViewId="0">
      <pane xSplit="3" ySplit="1" topLeftCell="D172" activePane="bottomRight" state="frozenSplit"/>
      <selection pane="topRight" activeCell="D1" sqref="D1"/>
      <selection pane="bottomLeft" activeCell="A2" sqref="A2"/>
      <selection pane="bottomRight" activeCell="I202" sqref="I202"/>
    </sheetView>
  </sheetViews>
  <sheetFormatPr defaultColWidth="14.3828125" defaultRowHeight="15" customHeight="1" x14ac:dyDescent="0.4"/>
  <cols>
    <col min="1" max="2" width="3" customWidth="1"/>
    <col min="3" max="3" width="37.3828125" customWidth="1"/>
    <col min="4" max="4" width="2.3046875" customWidth="1"/>
    <col min="5" max="5" width="17.69140625" bestFit="1" customWidth="1"/>
    <col min="6" max="6" width="10.69140625" bestFit="1" customWidth="1"/>
    <col min="7" max="7" width="16.3828125" bestFit="1" customWidth="1"/>
    <col min="8" max="9" width="30.69140625" customWidth="1"/>
    <col min="10" max="10" width="27.382812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1056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1058</v>
      </c>
      <c r="H4" s="90" t="s">
        <v>1092</v>
      </c>
      <c r="I4" s="90" t="s">
        <v>1108</v>
      </c>
      <c r="J4" s="90" t="s">
        <v>678</v>
      </c>
      <c r="K4" s="93">
        <v>5000</v>
      </c>
    </row>
    <row r="5" spans="1:11" ht="14.6" x14ac:dyDescent="0.4">
      <c r="A5" s="90"/>
      <c r="B5" s="90"/>
      <c r="C5" s="90"/>
      <c r="D5" s="90"/>
      <c r="E5" s="90" t="s">
        <v>731</v>
      </c>
      <c r="F5" s="91">
        <v>44566</v>
      </c>
      <c r="G5" s="90" t="s">
        <v>1059</v>
      </c>
      <c r="H5" s="90" t="s">
        <v>1093</v>
      </c>
      <c r="I5" s="90" t="s">
        <v>1109</v>
      </c>
      <c r="J5" s="90" t="s">
        <v>735</v>
      </c>
      <c r="K5" s="93">
        <v>228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44568</v>
      </c>
      <c r="G6" s="90" t="s">
        <v>1060</v>
      </c>
      <c r="H6" s="90" t="s">
        <v>374</v>
      </c>
      <c r="I6" s="90" t="s">
        <v>1110</v>
      </c>
      <c r="J6" s="90" t="s">
        <v>678</v>
      </c>
      <c r="K6" s="93">
        <v>16800</v>
      </c>
    </row>
    <row r="7" spans="1:11" ht="14.6" x14ac:dyDescent="0.4">
      <c r="A7" s="90"/>
      <c r="B7" s="90"/>
      <c r="C7" s="90"/>
      <c r="D7" s="90"/>
      <c r="E7" s="90" t="s">
        <v>731</v>
      </c>
      <c r="F7" s="91">
        <v>44568</v>
      </c>
      <c r="G7" s="90" t="s">
        <v>1061</v>
      </c>
      <c r="H7" s="90" t="s">
        <v>1094</v>
      </c>
      <c r="I7" s="90" t="s">
        <v>1111</v>
      </c>
      <c r="J7" s="90" t="s">
        <v>735</v>
      </c>
      <c r="K7" s="93">
        <v>54.99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44572</v>
      </c>
      <c r="G8" s="90" t="s">
        <v>1062</v>
      </c>
      <c r="H8" s="90" t="s">
        <v>1095</v>
      </c>
      <c r="I8" s="90" t="s">
        <v>1112</v>
      </c>
      <c r="J8" s="90" t="s">
        <v>678</v>
      </c>
      <c r="K8" s="93">
        <v>1000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44573</v>
      </c>
      <c r="G9" s="90" t="s">
        <v>1063</v>
      </c>
      <c r="H9" s="90" t="s">
        <v>1096</v>
      </c>
      <c r="I9" s="90" t="s">
        <v>1113</v>
      </c>
      <c r="J9" s="90" t="s">
        <v>678</v>
      </c>
      <c r="K9" s="93">
        <v>45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44585</v>
      </c>
      <c r="G10" s="90" t="s">
        <v>1064</v>
      </c>
      <c r="H10" s="90" t="s">
        <v>1097</v>
      </c>
      <c r="I10" s="90" t="s">
        <v>1114</v>
      </c>
      <c r="J10" s="90" t="s">
        <v>678</v>
      </c>
      <c r="K10" s="93">
        <v>3165</v>
      </c>
    </row>
    <row r="11" spans="1:11" ht="14.6" x14ac:dyDescent="0.4">
      <c r="A11" s="90"/>
      <c r="B11" s="90"/>
      <c r="C11" s="90"/>
      <c r="D11" s="90"/>
      <c r="E11" s="90" t="s">
        <v>731</v>
      </c>
      <c r="F11" s="91">
        <v>44586</v>
      </c>
      <c r="G11" s="90" t="s">
        <v>1065</v>
      </c>
      <c r="H11" s="90" t="s">
        <v>1094</v>
      </c>
      <c r="I11" s="90" t="s">
        <v>1115</v>
      </c>
      <c r="J11" s="90" t="s">
        <v>735</v>
      </c>
      <c r="K11" s="93">
        <v>54.99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44587</v>
      </c>
      <c r="G12" s="90" t="s">
        <v>1066</v>
      </c>
      <c r="H12" s="90" t="s">
        <v>1098</v>
      </c>
      <c r="I12" s="90" t="s">
        <v>1116</v>
      </c>
      <c r="J12" s="90" t="s">
        <v>678</v>
      </c>
      <c r="K12" s="93">
        <v>70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44587</v>
      </c>
      <c r="G13" s="90" t="s">
        <v>1066</v>
      </c>
      <c r="H13" s="90" t="s">
        <v>1098</v>
      </c>
      <c r="I13" s="90" t="s">
        <v>1117</v>
      </c>
      <c r="J13" s="90" t="s">
        <v>678</v>
      </c>
      <c r="K13" s="93">
        <v>80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44587</v>
      </c>
      <c r="G14" s="90" t="s">
        <v>1067</v>
      </c>
      <c r="H14" s="90" t="s">
        <v>1099</v>
      </c>
      <c r="I14" s="90" t="s">
        <v>1118</v>
      </c>
      <c r="J14" s="90" t="s">
        <v>678</v>
      </c>
      <c r="K14" s="93">
        <v>2312.5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44588</v>
      </c>
      <c r="G15" s="90" t="s">
        <v>1068</v>
      </c>
      <c r="H15" s="90" t="s">
        <v>1100</v>
      </c>
      <c r="I15" s="90" t="s">
        <v>1119</v>
      </c>
      <c r="J15" s="90" t="s">
        <v>678</v>
      </c>
      <c r="K15" s="93">
        <v>450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44588</v>
      </c>
      <c r="G16" s="90" t="s">
        <v>1069</v>
      </c>
      <c r="H16" s="90" t="s">
        <v>1101</v>
      </c>
      <c r="I16" s="90" t="s">
        <v>1120</v>
      </c>
      <c r="J16" s="90" t="s">
        <v>678</v>
      </c>
      <c r="K16" s="93">
        <v>450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44589</v>
      </c>
      <c r="G17" s="90" t="s">
        <v>1070</v>
      </c>
      <c r="H17" s="90" t="s">
        <v>1097</v>
      </c>
      <c r="I17" s="90" t="s">
        <v>1121</v>
      </c>
      <c r="J17" s="90" t="s">
        <v>678</v>
      </c>
      <c r="K17" s="93">
        <v>9000</v>
      </c>
    </row>
    <row r="18" spans="1:11" ht="14.6" x14ac:dyDescent="0.4">
      <c r="A18" s="90"/>
      <c r="B18" s="90"/>
      <c r="C18" s="90"/>
      <c r="D18" s="90"/>
      <c r="E18" s="90" t="s">
        <v>731</v>
      </c>
      <c r="F18" s="91">
        <v>44589</v>
      </c>
      <c r="G18" s="90" t="s">
        <v>1071</v>
      </c>
      <c r="H18" s="90" t="s">
        <v>1094</v>
      </c>
      <c r="I18" s="90" t="s">
        <v>1122</v>
      </c>
      <c r="J18" s="90" t="s">
        <v>735</v>
      </c>
      <c r="K18" s="93">
        <v>94.98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44590</v>
      </c>
      <c r="G19" s="90" t="s">
        <v>1072</v>
      </c>
      <c r="H19" s="90" t="s">
        <v>1092</v>
      </c>
      <c r="I19" s="90" t="s">
        <v>1108</v>
      </c>
      <c r="J19" s="90" t="s">
        <v>678</v>
      </c>
      <c r="K19" s="93">
        <v>5000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44592</v>
      </c>
      <c r="G20" s="90" t="s">
        <v>1073</v>
      </c>
      <c r="H20" s="90" t="s">
        <v>1102</v>
      </c>
      <c r="I20" s="90" t="s">
        <v>1123</v>
      </c>
      <c r="J20" s="90" t="s">
        <v>678</v>
      </c>
      <c r="K20" s="93">
        <v>8236.75</v>
      </c>
    </row>
    <row r="21" spans="1:11" ht="14.6" x14ac:dyDescent="0.4">
      <c r="A21" s="90"/>
      <c r="B21" s="90"/>
      <c r="C21" s="90"/>
      <c r="D21" s="90"/>
      <c r="E21" s="90" t="s">
        <v>755</v>
      </c>
      <c r="F21" s="91">
        <v>44592</v>
      </c>
      <c r="G21" s="90" t="s">
        <v>1074</v>
      </c>
      <c r="H21" s="90" t="s">
        <v>1094</v>
      </c>
      <c r="I21" s="90" t="s">
        <v>1124</v>
      </c>
      <c r="J21" s="90" t="s">
        <v>735</v>
      </c>
      <c r="K21" s="93">
        <v>-14.99</v>
      </c>
    </row>
    <row r="22" spans="1:11" ht="14.6" x14ac:dyDescent="0.4">
      <c r="A22" s="90"/>
      <c r="B22" s="90"/>
      <c r="C22" s="90"/>
      <c r="D22" s="90"/>
      <c r="E22" s="90" t="s">
        <v>731</v>
      </c>
      <c r="F22" s="91">
        <v>44592</v>
      </c>
      <c r="G22" s="90" t="s">
        <v>1075</v>
      </c>
      <c r="H22" s="90" t="s">
        <v>1094</v>
      </c>
      <c r="I22" s="90" t="s">
        <v>1125</v>
      </c>
      <c r="J22" s="90" t="s">
        <v>735</v>
      </c>
      <c r="K22" s="93">
        <v>104.5</v>
      </c>
    </row>
    <row r="23" spans="1:11" ht="14.6" x14ac:dyDescent="0.4">
      <c r="A23" s="90"/>
      <c r="B23" s="90"/>
      <c r="C23" s="90"/>
      <c r="D23" s="90"/>
      <c r="E23" s="90" t="s">
        <v>731</v>
      </c>
      <c r="F23" s="91">
        <v>44592</v>
      </c>
      <c r="G23" s="90" t="s">
        <v>1076</v>
      </c>
      <c r="H23" s="90" t="s">
        <v>1094</v>
      </c>
      <c r="I23" s="90" t="s">
        <v>1122</v>
      </c>
      <c r="J23" s="90" t="s">
        <v>735</v>
      </c>
      <c r="K23" s="93">
        <v>34.15</v>
      </c>
    </row>
    <row r="24" spans="1:11" ht="14.6" x14ac:dyDescent="0.4">
      <c r="A24" s="90"/>
      <c r="B24" s="90"/>
      <c r="C24" s="90"/>
      <c r="D24" s="90"/>
      <c r="E24" s="90" t="s">
        <v>731</v>
      </c>
      <c r="F24" s="91">
        <v>44592</v>
      </c>
      <c r="G24" s="90" t="s">
        <v>1077</v>
      </c>
      <c r="H24" s="90" t="s">
        <v>1094</v>
      </c>
      <c r="I24" s="90" t="s">
        <v>1126</v>
      </c>
      <c r="J24" s="90" t="s">
        <v>735</v>
      </c>
      <c r="K24" s="93">
        <v>94.98</v>
      </c>
    </row>
    <row r="25" spans="1:11" ht="14.6" x14ac:dyDescent="0.4">
      <c r="A25" s="90"/>
      <c r="B25" s="90"/>
      <c r="C25" s="90"/>
      <c r="D25" s="90"/>
      <c r="E25" s="90" t="s">
        <v>731</v>
      </c>
      <c r="F25" s="91">
        <v>44592</v>
      </c>
      <c r="G25" s="90" t="s">
        <v>1078</v>
      </c>
      <c r="H25" s="90" t="s">
        <v>1094</v>
      </c>
      <c r="I25" s="90" t="s">
        <v>1122</v>
      </c>
      <c r="J25" s="90" t="s">
        <v>735</v>
      </c>
      <c r="K25" s="93">
        <v>12.5</v>
      </c>
    </row>
    <row r="26" spans="1:11" ht="14.6" x14ac:dyDescent="0.4">
      <c r="A26" s="90"/>
      <c r="B26" s="90"/>
      <c r="C26" s="90"/>
      <c r="D26" s="90"/>
      <c r="E26" s="90" t="s">
        <v>731</v>
      </c>
      <c r="F26" s="91">
        <v>44594</v>
      </c>
      <c r="G26" s="90" t="s">
        <v>1079</v>
      </c>
      <c r="H26" s="90" t="s">
        <v>1093</v>
      </c>
      <c r="I26" s="90" t="s">
        <v>1109</v>
      </c>
      <c r="J26" s="90" t="s">
        <v>735</v>
      </c>
      <c r="K26" s="93">
        <v>228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44602</v>
      </c>
      <c r="G27" s="90" t="s">
        <v>1080</v>
      </c>
      <c r="H27" s="90" t="s">
        <v>1096</v>
      </c>
      <c r="I27" s="90" t="s">
        <v>1127</v>
      </c>
      <c r="J27" s="90" t="s">
        <v>678</v>
      </c>
      <c r="K27" s="93">
        <v>45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44602</v>
      </c>
      <c r="G28" s="90" t="s">
        <v>1080</v>
      </c>
      <c r="H28" s="90" t="s">
        <v>1096</v>
      </c>
      <c r="I28" s="90" t="s">
        <v>1128</v>
      </c>
      <c r="J28" s="90" t="s">
        <v>678</v>
      </c>
      <c r="K28" s="93">
        <v>45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44602</v>
      </c>
      <c r="G29" s="90" t="s">
        <v>1080</v>
      </c>
      <c r="H29" s="90" t="s">
        <v>1096</v>
      </c>
      <c r="I29" s="90" t="s">
        <v>1129</v>
      </c>
      <c r="J29" s="90" t="s">
        <v>678</v>
      </c>
      <c r="K29" s="93">
        <v>45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44602</v>
      </c>
      <c r="G30" s="90" t="s">
        <v>1080</v>
      </c>
      <c r="H30" s="90" t="s">
        <v>1096</v>
      </c>
      <c r="I30" s="90" t="s">
        <v>1130</v>
      </c>
      <c r="J30" s="90" t="s">
        <v>678</v>
      </c>
      <c r="K30" s="93">
        <v>45</v>
      </c>
    </row>
    <row r="31" spans="1:11" ht="14.6" x14ac:dyDescent="0.4">
      <c r="A31" s="90"/>
      <c r="B31" s="90"/>
      <c r="C31" s="90"/>
      <c r="D31" s="90"/>
      <c r="E31" s="90" t="s">
        <v>731</v>
      </c>
      <c r="F31" s="91">
        <v>44608</v>
      </c>
      <c r="G31" s="90" t="s">
        <v>1433</v>
      </c>
      <c r="H31" s="90" t="s">
        <v>1094</v>
      </c>
      <c r="I31" s="90" t="s">
        <v>1469</v>
      </c>
      <c r="J31" s="90" t="s">
        <v>735</v>
      </c>
      <c r="K31" s="93">
        <v>21</v>
      </c>
    </row>
    <row r="32" spans="1:11" ht="14.6" x14ac:dyDescent="0.4">
      <c r="A32" s="90"/>
      <c r="B32" s="90"/>
      <c r="C32" s="90"/>
      <c r="D32" s="90"/>
      <c r="E32" s="90" t="s">
        <v>731</v>
      </c>
      <c r="F32" s="91">
        <v>44608</v>
      </c>
      <c r="G32" s="90" t="s">
        <v>1434</v>
      </c>
      <c r="H32" s="90" t="s">
        <v>1094</v>
      </c>
      <c r="I32" s="90" t="s">
        <v>1470</v>
      </c>
      <c r="J32" s="90" t="s">
        <v>735</v>
      </c>
      <c r="K32" s="93">
        <v>79.989999999999995</v>
      </c>
    </row>
    <row r="33" spans="1:11" ht="14.6" x14ac:dyDescent="0.4">
      <c r="A33" s="90"/>
      <c r="B33" s="90"/>
      <c r="C33" s="90"/>
      <c r="D33" s="90"/>
      <c r="E33" s="90" t="s">
        <v>731</v>
      </c>
      <c r="F33" s="91">
        <v>44608</v>
      </c>
      <c r="G33" s="90" t="s">
        <v>1435</v>
      </c>
      <c r="H33" s="90" t="s">
        <v>1094</v>
      </c>
      <c r="I33" s="90" t="s">
        <v>1471</v>
      </c>
      <c r="J33" s="90" t="s">
        <v>735</v>
      </c>
      <c r="K33" s="93">
        <v>79.989999999999995</v>
      </c>
    </row>
    <row r="34" spans="1:11" ht="14.6" x14ac:dyDescent="0.4">
      <c r="A34" s="90"/>
      <c r="B34" s="90"/>
      <c r="C34" s="90"/>
      <c r="D34" s="90"/>
      <c r="E34" s="90" t="s">
        <v>731</v>
      </c>
      <c r="F34" s="91">
        <v>44608</v>
      </c>
      <c r="G34" s="90" t="s">
        <v>1436</v>
      </c>
      <c r="H34" s="90" t="s">
        <v>1094</v>
      </c>
      <c r="I34" s="90" t="s">
        <v>1472</v>
      </c>
      <c r="J34" s="90" t="s">
        <v>735</v>
      </c>
      <c r="K34" s="93">
        <v>79.989999999999995</v>
      </c>
    </row>
    <row r="35" spans="1:11" ht="14.6" x14ac:dyDescent="0.4">
      <c r="A35" s="90"/>
      <c r="B35" s="90"/>
      <c r="C35" s="90"/>
      <c r="D35" s="90"/>
      <c r="E35" s="90" t="s">
        <v>731</v>
      </c>
      <c r="F35" s="91">
        <v>44608</v>
      </c>
      <c r="G35" s="90" t="s">
        <v>1437</v>
      </c>
      <c r="H35" s="90" t="s">
        <v>1094</v>
      </c>
      <c r="I35" s="90" t="s">
        <v>1473</v>
      </c>
      <c r="J35" s="90" t="s">
        <v>735</v>
      </c>
      <c r="K35" s="93">
        <v>79.989999999999995</v>
      </c>
    </row>
    <row r="36" spans="1:11" ht="14.6" x14ac:dyDescent="0.4">
      <c r="A36" s="90"/>
      <c r="B36" s="90"/>
      <c r="C36" s="90"/>
      <c r="D36" s="90"/>
      <c r="E36" s="90" t="s">
        <v>731</v>
      </c>
      <c r="F36" s="91">
        <v>44610</v>
      </c>
      <c r="G36" s="90" t="s">
        <v>1438</v>
      </c>
      <c r="H36" s="90" t="s">
        <v>1094</v>
      </c>
      <c r="I36" s="90" t="s">
        <v>1474</v>
      </c>
      <c r="J36" s="90" t="s">
        <v>735</v>
      </c>
      <c r="K36" s="93">
        <v>34.15</v>
      </c>
    </row>
    <row r="37" spans="1:11" ht="14.6" x14ac:dyDescent="0.4">
      <c r="A37" s="90"/>
      <c r="B37" s="90"/>
      <c r="C37" s="90"/>
      <c r="D37" s="90"/>
      <c r="E37" s="90" t="s">
        <v>653</v>
      </c>
      <c r="F37" s="91">
        <v>44620</v>
      </c>
      <c r="G37" s="90" t="s">
        <v>1081</v>
      </c>
      <c r="H37" s="90" t="s">
        <v>1103</v>
      </c>
      <c r="I37" s="90" t="s">
        <v>1131</v>
      </c>
      <c r="J37" s="90" t="s">
        <v>678</v>
      </c>
      <c r="K37" s="93">
        <v>740.25</v>
      </c>
    </row>
    <row r="38" spans="1:11" ht="14.6" x14ac:dyDescent="0.4">
      <c r="A38" s="90"/>
      <c r="B38" s="90"/>
      <c r="C38" s="90"/>
      <c r="D38" s="90"/>
      <c r="E38" s="90" t="s">
        <v>653</v>
      </c>
      <c r="F38" s="91">
        <v>44620</v>
      </c>
      <c r="G38" s="90" t="s">
        <v>1082</v>
      </c>
      <c r="H38" s="90" t="s">
        <v>1104</v>
      </c>
      <c r="I38" s="90" t="s">
        <v>1132</v>
      </c>
      <c r="J38" s="90" t="s">
        <v>678</v>
      </c>
      <c r="K38" s="93">
        <v>213660</v>
      </c>
    </row>
    <row r="39" spans="1:11" ht="14.6" x14ac:dyDescent="0.4">
      <c r="A39" s="90"/>
      <c r="B39" s="90"/>
      <c r="C39" s="90"/>
      <c r="D39" s="90"/>
      <c r="E39" s="90" t="s">
        <v>653</v>
      </c>
      <c r="F39" s="91">
        <v>44620</v>
      </c>
      <c r="G39" s="90" t="s">
        <v>1082</v>
      </c>
      <c r="H39" s="90" t="s">
        <v>1104</v>
      </c>
      <c r="I39" s="90" t="s">
        <v>1133</v>
      </c>
      <c r="J39" s="90" t="s">
        <v>678</v>
      </c>
      <c r="K39" s="93">
        <v>700</v>
      </c>
    </row>
    <row r="40" spans="1:11" ht="14.6" x14ac:dyDescent="0.4">
      <c r="A40" s="90"/>
      <c r="B40" s="90"/>
      <c r="C40" s="90"/>
      <c r="D40" s="90"/>
      <c r="E40" s="90" t="s">
        <v>653</v>
      </c>
      <c r="F40" s="91">
        <v>44620</v>
      </c>
      <c r="G40" s="90" t="s">
        <v>1082</v>
      </c>
      <c r="H40" s="90" t="s">
        <v>1104</v>
      </c>
      <c r="I40" s="90" t="s">
        <v>1134</v>
      </c>
      <c r="J40" s="90" t="s">
        <v>678</v>
      </c>
      <c r="K40" s="93">
        <v>2499</v>
      </c>
    </row>
    <row r="41" spans="1:11" ht="14.6" x14ac:dyDescent="0.4">
      <c r="A41" s="90"/>
      <c r="B41" s="90"/>
      <c r="C41" s="90"/>
      <c r="D41" s="90"/>
      <c r="E41" s="90" t="s">
        <v>755</v>
      </c>
      <c r="F41" s="91">
        <v>44620</v>
      </c>
      <c r="G41" s="90" t="s">
        <v>1439</v>
      </c>
      <c r="H41" s="90" t="s">
        <v>1094</v>
      </c>
      <c r="I41" s="90" t="s">
        <v>1475</v>
      </c>
      <c r="J41" s="90" t="s">
        <v>735</v>
      </c>
      <c r="K41" s="93">
        <v>-14.99</v>
      </c>
    </row>
    <row r="42" spans="1:11" ht="14.6" x14ac:dyDescent="0.4">
      <c r="A42" s="90"/>
      <c r="B42" s="90"/>
      <c r="C42" s="90"/>
      <c r="D42" s="90"/>
      <c r="E42" s="90" t="s">
        <v>731</v>
      </c>
      <c r="F42" s="91">
        <v>44620</v>
      </c>
      <c r="G42" s="90" t="s">
        <v>1440</v>
      </c>
      <c r="H42" s="90" t="s">
        <v>1093</v>
      </c>
      <c r="I42" s="90" t="s">
        <v>1476</v>
      </c>
      <c r="J42" s="90" t="s">
        <v>735</v>
      </c>
      <c r="K42" s="93">
        <v>228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44621</v>
      </c>
      <c r="G43" s="90" t="s">
        <v>1083</v>
      </c>
      <c r="H43" s="90" t="s">
        <v>1095</v>
      </c>
      <c r="I43" s="90" t="s">
        <v>1135</v>
      </c>
      <c r="J43" s="90" t="s">
        <v>678</v>
      </c>
      <c r="K43" s="93">
        <v>450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44621</v>
      </c>
      <c r="G44" s="90" t="s">
        <v>1084</v>
      </c>
      <c r="H44" s="90" t="s">
        <v>1105</v>
      </c>
      <c r="I44" s="90" t="s">
        <v>1136</v>
      </c>
      <c r="J44" s="90" t="s">
        <v>678</v>
      </c>
      <c r="K44" s="93">
        <v>1000</v>
      </c>
    </row>
    <row r="45" spans="1:11" ht="14.6" x14ac:dyDescent="0.4">
      <c r="A45" s="90"/>
      <c r="B45" s="90"/>
      <c r="C45" s="90"/>
      <c r="D45" s="90"/>
      <c r="E45" s="90" t="s">
        <v>653</v>
      </c>
      <c r="F45" s="91">
        <v>44621</v>
      </c>
      <c r="G45" s="90" t="s">
        <v>1085</v>
      </c>
      <c r="H45" s="90" t="s">
        <v>1092</v>
      </c>
      <c r="I45" s="90" t="s">
        <v>1108</v>
      </c>
      <c r="J45" s="90" t="s">
        <v>678</v>
      </c>
      <c r="K45" s="93">
        <v>5000</v>
      </c>
    </row>
    <row r="46" spans="1:11" ht="14.6" x14ac:dyDescent="0.4">
      <c r="A46" s="90"/>
      <c r="B46" s="90"/>
      <c r="C46" s="90"/>
      <c r="D46" s="90"/>
      <c r="E46" s="90" t="s">
        <v>653</v>
      </c>
      <c r="F46" s="91">
        <v>44622</v>
      </c>
      <c r="G46" s="90" t="s">
        <v>1086</v>
      </c>
      <c r="H46" s="90" t="s">
        <v>1102</v>
      </c>
      <c r="I46" s="90" t="s">
        <v>1137</v>
      </c>
      <c r="J46" s="90" t="s">
        <v>678</v>
      </c>
      <c r="K46" s="93">
        <v>10438.5</v>
      </c>
    </row>
    <row r="47" spans="1:11" ht="14.6" x14ac:dyDescent="0.4">
      <c r="A47" s="90"/>
      <c r="B47" s="90"/>
      <c r="C47" s="90"/>
      <c r="D47" s="90"/>
      <c r="E47" s="90" t="s">
        <v>653</v>
      </c>
      <c r="F47" s="91">
        <v>44622</v>
      </c>
      <c r="G47" s="90" t="s">
        <v>1086</v>
      </c>
      <c r="H47" s="90" t="s">
        <v>1102</v>
      </c>
      <c r="I47" s="90" t="s">
        <v>1137</v>
      </c>
      <c r="J47" s="90" t="s">
        <v>678</v>
      </c>
      <c r="K47" s="93">
        <v>1548</v>
      </c>
    </row>
    <row r="48" spans="1:11" ht="14.6" x14ac:dyDescent="0.4">
      <c r="A48" s="90"/>
      <c r="B48" s="90"/>
      <c r="C48" s="90"/>
      <c r="D48" s="90"/>
      <c r="E48" s="90" t="s">
        <v>653</v>
      </c>
      <c r="F48" s="91">
        <v>44626</v>
      </c>
      <c r="G48" s="90" t="s">
        <v>1087</v>
      </c>
      <c r="H48" s="90" t="s">
        <v>1106</v>
      </c>
      <c r="I48" s="90" t="s">
        <v>1138</v>
      </c>
      <c r="J48" s="90" t="s">
        <v>678</v>
      </c>
      <c r="K48" s="93">
        <v>495</v>
      </c>
    </row>
    <row r="49" spans="1:11" ht="14.6" x14ac:dyDescent="0.4">
      <c r="A49" s="90"/>
      <c r="B49" s="90"/>
      <c r="C49" s="90"/>
      <c r="D49" s="90"/>
      <c r="E49" s="90" t="s">
        <v>653</v>
      </c>
      <c r="F49" s="91">
        <v>44628</v>
      </c>
      <c r="G49" s="90" t="s">
        <v>1088</v>
      </c>
      <c r="H49" s="90" t="s">
        <v>1107</v>
      </c>
      <c r="I49" s="90" t="s">
        <v>1139</v>
      </c>
      <c r="J49" s="90" t="s">
        <v>678</v>
      </c>
      <c r="K49" s="93">
        <v>1000</v>
      </c>
    </row>
    <row r="50" spans="1:11" ht="14.6" x14ac:dyDescent="0.4">
      <c r="A50" s="90"/>
      <c r="B50" s="90"/>
      <c r="C50" s="90"/>
      <c r="D50" s="90"/>
      <c r="E50" s="90" t="s">
        <v>653</v>
      </c>
      <c r="F50" s="91">
        <v>44630</v>
      </c>
      <c r="G50" s="90" t="s">
        <v>1089</v>
      </c>
      <c r="H50" s="90" t="s">
        <v>374</v>
      </c>
      <c r="I50" s="90" t="s">
        <v>1140</v>
      </c>
      <c r="J50" s="90" t="s">
        <v>678</v>
      </c>
      <c r="K50" s="93">
        <v>5500</v>
      </c>
    </row>
    <row r="51" spans="1:11" ht="14.6" x14ac:dyDescent="0.4">
      <c r="A51" s="90"/>
      <c r="B51" s="90"/>
      <c r="C51" s="90"/>
      <c r="D51" s="90"/>
      <c r="E51" s="90" t="s">
        <v>731</v>
      </c>
      <c r="F51" s="91">
        <v>44630</v>
      </c>
      <c r="G51" s="90" t="s">
        <v>1441</v>
      </c>
      <c r="H51" s="90" t="s">
        <v>1094</v>
      </c>
      <c r="I51" s="90" t="s">
        <v>1477</v>
      </c>
      <c r="J51" s="90" t="s">
        <v>735</v>
      </c>
      <c r="K51" s="93">
        <v>79.989999999999995</v>
      </c>
    </row>
    <row r="52" spans="1:11" ht="14.6" x14ac:dyDescent="0.4">
      <c r="A52" s="90"/>
      <c r="B52" s="90"/>
      <c r="C52" s="90"/>
      <c r="D52" s="90"/>
      <c r="E52" s="90" t="s">
        <v>653</v>
      </c>
      <c r="F52" s="91">
        <v>44634</v>
      </c>
      <c r="G52" s="90" t="s">
        <v>1090</v>
      </c>
      <c r="H52" s="90" t="s">
        <v>1095</v>
      </c>
      <c r="I52" s="90" t="s">
        <v>1141</v>
      </c>
      <c r="J52" s="90" t="s">
        <v>678</v>
      </c>
      <c r="K52" s="93">
        <v>450</v>
      </c>
    </row>
    <row r="53" spans="1:11" ht="14.6" x14ac:dyDescent="0.4">
      <c r="A53" s="90"/>
      <c r="B53" s="90"/>
      <c r="C53" s="90"/>
      <c r="D53" s="90"/>
      <c r="E53" s="90" t="s">
        <v>653</v>
      </c>
      <c r="F53" s="91">
        <v>44634</v>
      </c>
      <c r="G53" s="90" t="s">
        <v>1091</v>
      </c>
      <c r="H53" s="90" t="s">
        <v>1095</v>
      </c>
      <c r="I53" s="90" t="s">
        <v>1142</v>
      </c>
      <c r="J53" s="90" t="s">
        <v>678</v>
      </c>
      <c r="K53" s="93">
        <v>450</v>
      </c>
    </row>
    <row r="54" spans="1:11" ht="14.6" x14ac:dyDescent="0.4">
      <c r="A54" s="90"/>
      <c r="B54" s="90"/>
      <c r="C54" s="90"/>
      <c r="D54" s="90"/>
      <c r="E54" s="90" t="s">
        <v>755</v>
      </c>
      <c r="F54" s="91">
        <v>44634</v>
      </c>
      <c r="G54" s="90" t="s">
        <v>2943</v>
      </c>
      <c r="H54" s="90" t="s">
        <v>1094</v>
      </c>
      <c r="I54" s="90" t="s">
        <v>3062</v>
      </c>
      <c r="J54" s="90" t="s">
        <v>735</v>
      </c>
      <c r="K54" s="93">
        <v>-14.99</v>
      </c>
    </row>
    <row r="55" spans="1:11" ht="14.6" x14ac:dyDescent="0.4">
      <c r="A55" s="90"/>
      <c r="B55" s="90"/>
      <c r="C55" s="90"/>
      <c r="D55" s="90"/>
      <c r="E55" s="90" t="s">
        <v>653</v>
      </c>
      <c r="F55" s="91">
        <v>44635</v>
      </c>
      <c r="G55" s="90" t="s">
        <v>1442</v>
      </c>
      <c r="H55" s="90" t="s">
        <v>1096</v>
      </c>
      <c r="I55" s="90" t="s">
        <v>1478</v>
      </c>
      <c r="J55" s="90" t="s">
        <v>678</v>
      </c>
      <c r="K55" s="93">
        <v>45</v>
      </c>
    </row>
    <row r="56" spans="1:11" ht="14.6" x14ac:dyDescent="0.4">
      <c r="A56" s="90"/>
      <c r="B56" s="90"/>
      <c r="C56" s="90"/>
      <c r="D56" s="90"/>
      <c r="E56" s="90" t="s">
        <v>653</v>
      </c>
      <c r="F56" s="91">
        <v>44635</v>
      </c>
      <c r="G56" s="90" t="s">
        <v>1442</v>
      </c>
      <c r="H56" s="90" t="s">
        <v>1096</v>
      </c>
      <c r="I56" s="90" t="s">
        <v>1479</v>
      </c>
      <c r="J56" s="90" t="s">
        <v>678</v>
      </c>
      <c r="K56" s="93">
        <v>45</v>
      </c>
    </row>
    <row r="57" spans="1:11" ht="14.6" x14ac:dyDescent="0.4">
      <c r="A57" s="90"/>
      <c r="B57" s="90"/>
      <c r="C57" s="90"/>
      <c r="D57" s="90"/>
      <c r="E57" s="90" t="s">
        <v>653</v>
      </c>
      <c r="F57" s="91">
        <v>44635</v>
      </c>
      <c r="G57" s="90" t="s">
        <v>1442</v>
      </c>
      <c r="H57" s="90" t="s">
        <v>1096</v>
      </c>
      <c r="I57" s="90" t="s">
        <v>1480</v>
      </c>
      <c r="J57" s="90" t="s">
        <v>678</v>
      </c>
      <c r="K57" s="93">
        <v>45</v>
      </c>
    </row>
    <row r="58" spans="1:11" ht="14.6" x14ac:dyDescent="0.4">
      <c r="A58" s="90"/>
      <c r="B58" s="90"/>
      <c r="C58" s="90"/>
      <c r="D58" s="90"/>
      <c r="E58" s="90" t="s">
        <v>653</v>
      </c>
      <c r="F58" s="91">
        <v>44635</v>
      </c>
      <c r="G58" s="90" t="s">
        <v>1442</v>
      </c>
      <c r="H58" s="90" t="s">
        <v>1096</v>
      </c>
      <c r="I58" s="90" t="s">
        <v>1481</v>
      </c>
      <c r="J58" s="90" t="s">
        <v>678</v>
      </c>
      <c r="K58" s="93">
        <v>45</v>
      </c>
    </row>
    <row r="59" spans="1:11" ht="14.6" x14ac:dyDescent="0.4">
      <c r="A59" s="90"/>
      <c r="B59" s="90"/>
      <c r="C59" s="90"/>
      <c r="D59" s="90"/>
      <c r="E59" s="90" t="s">
        <v>731</v>
      </c>
      <c r="F59" s="91">
        <v>44641</v>
      </c>
      <c r="G59" s="90" t="s">
        <v>1443</v>
      </c>
      <c r="H59" s="90" t="s">
        <v>1094</v>
      </c>
      <c r="I59" s="90" t="s">
        <v>1482</v>
      </c>
      <c r="J59" s="90" t="s">
        <v>735</v>
      </c>
      <c r="K59" s="93">
        <v>20.5</v>
      </c>
    </row>
    <row r="60" spans="1:11" ht="14.6" x14ac:dyDescent="0.4">
      <c r="A60" s="90"/>
      <c r="B60" s="90"/>
      <c r="C60" s="90"/>
      <c r="D60" s="90"/>
      <c r="E60" s="90" t="s">
        <v>653</v>
      </c>
      <c r="F60" s="91">
        <v>44643</v>
      </c>
      <c r="G60" s="90" t="s">
        <v>1444</v>
      </c>
      <c r="H60" s="90" t="s">
        <v>1098</v>
      </c>
      <c r="I60" s="90" t="s">
        <v>1116</v>
      </c>
      <c r="J60" s="90" t="s">
        <v>678</v>
      </c>
      <c r="K60" s="93">
        <v>70</v>
      </c>
    </row>
    <row r="61" spans="1:11" ht="14.6" x14ac:dyDescent="0.4">
      <c r="A61" s="90"/>
      <c r="B61" s="90"/>
      <c r="C61" s="90"/>
      <c r="D61" s="90"/>
      <c r="E61" s="90" t="s">
        <v>653</v>
      </c>
      <c r="F61" s="91">
        <v>44648</v>
      </c>
      <c r="G61" s="90" t="s">
        <v>1445</v>
      </c>
      <c r="H61" s="90" t="s">
        <v>1092</v>
      </c>
      <c r="I61" s="90" t="s">
        <v>1108</v>
      </c>
      <c r="J61" s="90" t="s">
        <v>678</v>
      </c>
      <c r="K61" s="93">
        <v>5000</v>
      </c>
    </row>
    <row r="62" spans="1:11" ht="14.6" x14ac:dyDescent="0.4">
      <c r="A62" s="90"/>
      <c r="B62" s="90"/>
      <c r="C62" s="90"/>
      <c r="D62" s="90"/>
      <c r="E62" s="90" t="s">
        <v>653</v>
      </c>
      <c r="F62" s="91">
        <v>44650</v>
      </c>
      <c r="G62" s="90" t="s">
        <v>1446</v>
      </c>
      <c r="H62" s="90" t="s">
        <v>374</v>
      </c>
      <c r="I62" s="90" t="s">
        <v>1140</v>
      </c>
      <c r="J62" s="90" t="s">
        <v>678</v>
      </c>
      <c r="K62" s="93">
        <v>5500</v>
      </c>
    </row>
    <row r="63" spans="1:11" ht="14.6" x14ac:dyDescent="0.4">
      <c r="A63" s="90"/>
      <c r="B63" s="90"/>
      <c r="C63" s="90"/>
      <c r="D63" s="90"/>
      <c r="E63" s="90" t="s">
        <v>653</v>
      </c>
      <c r="F63" s="91">
        <v>44651</v>
      </c>
      <c r="G63" s="90" t="s">
        <v>1447</v>
      </c>
      <c r="H63" s="90" t="s">
        <v>1103</v>
      </c>
      <c r="I63" s="90" t="s">
        <v>1131</v>
      </c>
      <c r="J63" s="90" t="s">
        <v>678</v>
      </c>
      <c r="K63" s="93">
        <v>277.5</v>
      </c>
    </row>
    <row r="64" spans="1:11" ht="14.6" x14ac:dyDescent="0.4">
      <c r="A64" s="90"/>
      <c r="B64" s="90"/>
      <c r="C64" s="90"/>
      <c r="D64" s="90"/>
      <c r="E64" s="90" t="s">
        <v>653</v>
      </c>
      <c r="F64" s="91">
        <v>44651</v>
      </c>
      <c r="G64" s="90" t="s">
        <v>1448</v>
      </c>
      <c r="H64" s="90" t="s">
        <v>1102</v>
      </c>
      <c r="I64" s="90" t="s">
        <v>1137</v>
      </c>
      <c r="J64" s="90" t="s">
        <v>678</v>
      </c>
      <c r="K64" s="93">
        <v>10529.78</v>
      </c>
    </row>
    <row r="65" spans="1:11" ht="14.6" x14ac:dyDescent="0.4">
      <c r="A65" s="90"/>
      <c r="B65" s="90"/>
      <c r="C65" s="90"/>
      <c r="D65" s="90"/>
      <c r="E65" s="90" t="s">
        <v>653</v>
      </c>
      <c r="F65" s="91">
        <v>44651</v>
      </c>
      <c r="G65" s="90" t="s">
        <v>1448</v>
      </c>
      <c r="H65" s="90" t="s">
        <v>1102</v>
      </c>
      <c r="I65" s="90" t="s">
        <v>1137</v>
      </c>
      <c r="J65" s="90" t="s">
        <v>678</v>
      </c>
      <c r="K65" s="93">
        <v>526.75</v>
      </c>
    </row>
    <row r="66" spans="1:11" ht="14.6" x14ac:dyDescent="0.4">
      <c r="A66" s="90"/>
      <c r="B66" s="90"/>
      <c r="C66" s="90"/>
      <c r="D66" s="90"/>
      <c r="E66" s="90" t="s">
        <v>653</v>
      </c>
      <c r="F66" s="91">
        <v>44651</v>
      </c>
      <c r="G66" s="90" t="s">
        <v>1449</v>
      </c>
      <c r="H66" s="90" t="s">
        <v>1104</v>
      </c>
      <c r="I66" s="90" t="s">
        <v>1483</v>
      </c>
      <c r="J66" s="90" t="s">
        <v>678</v>
      </c>
      <c r="K66" s="93">
        <v>77364.63</v>
      </c>
    </row>
    <row r="67" spans="1:11" ht="14.6" x14ac:dyDescent="0.4">
      <c r="A67" s="90"/>
      <c r="B67" s="90"/>
      <c r="C67" s="90"/>
      <c r="D67" s="90"/>
      <c r="E67" s="90" t="s">
        <v>653</v>
      </c>
      <c r="F67" s="91">
        <v>44651</v>
      </c>
      <c r="G67" s="90" t="s">
        <v>1449</v>
      </c>
      <c r="H67" s="90" t="s">
        <v>1104</v>
      </c>
      <c r="I67" s="90" t="s">
        <v>1484</v>
      </c>
      <c r="J67" s="90" t="s">
        <v>678</v>
      </c>
      <c r="K67" s="93">
        <v>1000</v>
      </c>
    </row>
    <row r="68" spans="1:11" ht="14.6" x14ac:dyDescent="0.4">
      <c r="A68" s="90"/>
      <c r="B68" s="90"/>
      <c r="C68" s="90"/>
      <c r="D68" s="90"/>
      <c r="E68" s="90" t="s">
        <v>653</v>
      </c>
      <c r="F68" s="91">
        <v>44651</v>
      </c>
      <c r="G68" s="90" t="s">
        <v>1450</v>
      </c>
      <c r="H68" s="90" t="s">
        <v>1462</v>
      </c>
      <c r="I68" s="90" t="s">
        <v>1485</v>
      </c>
      <c r="J68" s="90" t="s">
        <v>678</v>
      </c>
      <c r="K68" s="93">
        <v>1072</v>
      </c>
    </row>
    <row r="69" spans="1:11" ht="14.6" x14ac:dyDescent="0.4">
      <c r="A69" s="90"/>
      <c r="B69" s="90"/>
      <c r="C69" s="90"/>
      <c r="D69" s="90"/>
      <c r="E69" s="90" t="s">
        <v>653</v>
      </c>
      <c r="F69" s="91">
        <v>44652</v>
      </c>
      <c r="G69" s="90" t="s">
        <v>1451</v>
      </c>
      <c r="H69" s="90" t="s">
        <v>1463</v>
      </c>
      <c r="I69" s="90" t="s">
        <v>1486</v>
      </c>
      <c r="J69" s="90" t="s">
        <v>678</v>
      </c>
      <c r="K69" s="93">
        <v>19500</v>
      </c>
    </row>
    <row r="70" spans="1:11" ht="14.6" x14ac:dyDescent="0.4">
      <c r="A70" s="90"/>
      <c r="B70" s="90"/>
      <c r="C70" s="90"/>
      <c r="D70" s="90"/>
      <c r="E70" s="90" t="s">
        <v>653</v>
      </c>
      <c r="F70" s="91">
        <v>44655</v>
      </c>
      <c r="G70" s="90" t="s">
        <v>1452</v>
      </c>
      <c r="H70" s="90" t="s">
        <v>1464</v>
      </c>
      <c r="I70" s="90" t="s">
        <v>1487</v>
      </c>
      <c r="J70" s="90" t="s">
        <v>678</v>
      </c>
      <c r="K70" s="93">
        <v>3200</v>
      </c>
    </row>
    <row r="71" spans="1:11" ht="14.6" x14ac:dyDescent="0.4">
      <c r="A71" s="90"/>
      <c r="B71" s="90"/>
      <c r="C71" s="90"/>
      <c r="D71" s="90"/>
      <c r="E71" s="90" t="s">
        <v>731</v>
      </c>
      <c r="F71" s="91">
        <v>44655</v>
      </c>
      <c r="G71" s="90" t="s">
        <v>1453</v>
      </c>
      <c r="H71" s="90" t="s">
        <v>1093</v>
      </c>
      <c r="I71" s="90" t="s">
        <v>1476</v>
      </c>
      <c r="J71" s="90" t="s">
        <v>735</v>
      </c>
      <c r="K71" s="93">
        <v>228</v>
      </c>
    </row>
    <row r="72" spans="1:11" ht="14.6" x14ac:dyDescent="0.4">
      <c r="A72" s="90"/>
      <c r="B72" s="90"/>
      <c r="C72" s="90"/>
      <c r="D72" s="90"/>
      <c r="E72" s="90" t="s">
        <v>653</v>
      </c>
      <c r="F72" s="91">
        <v>44656</v>
      </c>
      <c r="G72" s="90" t="s">
        <v>1454</v>
      </c>
      <c r="H72" s="90" t="s">
        <v>1095</v>
      </c>
      <c r="I72" s="90" t="s">
        <v>1488</v>
      </c>
      <c r="J72" s="90" t="s">
        <v>678</v>
      </c>
      <c r="K72" s="93">
        <v>1000</v>
      </c>
    </row>
    <row r="73" spans="1:11" ht="14.6" x14ac:dyDescent="0.4">
      <c r="A73" s="90"/>
      <c r="B73" s="90"/>
      <c r="C73" s="90"/>
      <c r="D73" s="90"/>
      <c r="E73" s="90" t="s">
        <v>653</v>
      </c>
      <c r="F73" s="91">
        <v>44658</v>
      </c>
      <c r="G73" s="90" t="s">
        <v>1455</v>
      </c>
      <c r="H73" s="90" t="s">
        <v>1465</v>
      </c>
      <c r="I73" s="90" t="s">
        <v>1489</v>
      </c>
      <c r="J73" s="90" t="s">
        <v>678</v>
      </c>
      <c r="K73" s="93">
        <v>450</v>
      </c>
    </row>
    <row r="74" spans="1:11" ht="14.6" x14ac:dyDescent="0.4">
      <c r="A74" s="90"/>
      <c r="B74" s="90"/>
      <c r="C74" s="90"/>
      <c r="D74" s="90"/>
      <c r="E74" s="90" t="s">
        <v>653</v>
      </c>
      <c r="F74" s="91">
        <v>44659</v>
      </c>
      <c r="G74" s="90" t="s">
        <v>1456</v>
      </c>
      <c r="H74" s="90" t="s">
        <v>1096</v>
      </c>
      <c r="I74" s="90" t="s">
        <v>1490</v>
      </c>
      <c r="J74" s="90" t="s">
        <v>678</v>
      </c>
      <c r="K74" s="93">
        <v>45</v>
      </c>
    </row>
    <row r="75" spans="1:11" ht="14.6" x14ac:dyDescent="0.4">
      <c r="A75" s="90"/>
      <c r="B75" s="90"/>
      <c r="C75" s="90"/>
      <c r="D75" s="90"/>
      <c r="E75" s="90" t="s">
        <v>653</v>
      </c>
      <c r="F75" s="91">
        <v>44659</v>
      </c>
      <c r="G75" s="90" t="s">
        <v>1456</v>
      </c>
      <c r="H75" s="90" t="s">
        <v>1096</v>
      </c>
      <c r="I75" s="90" t="s">
        <v>1491</v>
      </c>
      <c r="J75" s="90" t="s">
        <v>678</v>
      </c>
      <c r="K75" s="93">
        <v>45</v>
      </c>
    </row>
    <row r="76" spans="1:11" ht="14.6" x14ac:dyDescent="0.4">
      <c r="A76" s="90"/>
      <c r="B76" s="90"/>
      <c r="C76" s="90"/>
      <c r="D76" s="90"/>
      <c r="E76" s="90" t="s">
        <v>653</v>
      </c>
      <c r="F76" s="91">
        <v>44663</v>
      </c>
      <c r="G76" s="90" t="s">
        <v>1457</v>
      </c>
      <c r="H76" s="90" t="s">
        <v>1466</v>
      </c>
      <c r="I76" s="90" t="s">
        <v>1492</v>
      </c>
      <c r="J76" s="90" t="s">
        <v>678</v>
      </c>
      <c r="K76" s="93">
        <v>750</v>
      </c>
    </row>
    <row r="77" spans="1:11" ht="14.6" x14ac:dyDescent="0.4">
      <c r="A77" s="90"/>
      <c r="B77" s="90"/>
      <c r="C77" s="90"/>
      <c r="D77" s="90"/>
      <c r="E77" s="90" t="s">
        <v>653</v>
      </c>
      <c r="F77" s="91">
        <v>44663</v>
      </c>
      <c r="G77" s="90" t="s">
        <v>1458</v>
      </c>
      <c r="H77" s="90" t="s">
        <v>1467</v>
      </c>
      <c r="I77" s="90" t="s">
        <v>1493</v>
      </c>
      <c r="J77" s="90" t="s">
        <v>678</v>
      </c>
      <c r="K77" s="93">
        <v>750</v>
      </c>
    </row>
    <row r="78" spans="1:11" ht="14.6" x14ac:dyDescent="0.4">
      <c r="A78" s="90"/>
      <c r="B78" s="90"/>
      <c r="C78" s="90"/>
      <c r="D78" s="90"/>
      <c r="E78" s="90" t="s">
        <v>653</v>
      </c>
      <c r="F78" s="91">
        <v>44663</v>
      </c>
      <c r="G78" s="90" t="s">
        <v>1459</v>
      </c>
      <c r="H78" s="90" t="s">
        <v>1468</v>
      </c>
      <c r="I78" s="90" t="s">
        <v>1494</v>
      </c>
      <c r="J78" s="90" t="s">
        <v>678</v>
      </c>
      <c r="K78" s="93">
        <v>750</v>
      </c>
    </row>
    <row r="79" spans="1:11" ht="14.6" x14ac:dyDescent="0.4">
      <c r="A79" s="90"/>
      <c r="B79" s="90"/>
      <c r="C79" s="90"/>
      <c r="D79" s="90"/>
      <c r="E79" s="90" t="s">
        <v>653</v>
      </c>
      <c r="F79" s="91">
        <v>44663</v>
      </c>
      <c r="G79" s="90" t="s">
        <v>1460</v>
      </c>
      <c r="H79" s="90" t="s">
        <v>1095</v>
      </c>
      <c r="I79" s="90" t="s">
        <v>1495</v>
      </c>
      <c r="J79" s="90" t="s">
        <v>678</v>
      </c>
      <c r="K79" s="93">
        <v>1000</v>
      </c>
    </row>
    <row r="80" spans="1:11" ht="14.6" x14ac:dyDescent="0.4">
      <c r="A80" s="90"/>
      <c r="B80" s="90"/>
      <c r="C80" s="90"/>
      <c r="D80" s="90"/>
      <c r="E80" s="90" t="s">
        <v>653</v>
      </c>
      <c r="F80" s="91">
        <v>44663</v>
      </c>
      <c r="G80" s="90" t="s">
        <v>2944</v>
      </c>
      <c r="H80" s="90" t="s">
        <v>1106</v>
      </c>
      <c r="I80" s="90" t="s">
        <v>1138</v>
      </c>
      <c r="J80" s="90" t="s">
        <v>678</v>
      </c>
      <c r="K80" s="93">
        <v>481.25</v>
      </c>
    </row>
    <row r="81" spans="1:11" ht="14.6" x14ac:dyDescent="0.4">
      <c r="A81" s="90"/>
      <c r="B81" s="90"/>
      <c r="C81" s="90"/>
      <c r="D81" s="90"/>
      <c r="E81" s="90" t="s">
        <v>731</v>
      </c>
      <c r="F81" s="91">
        <v>44664</v>
      </c>
      <c r="G81" s="90" t="s">
        <v>1461</v>
      </c>
      <c r="H81" s="90" t="s">
        <v>1094</v>
      </c>
      <c r="I81" s="90" t="s">
        <v>1496</v>
      </c>
      <c r="J81" s="90" t="s">
        <v>735</v>
      </c>
      <c r="K81" s="93">
        <v>79.989999999999995</v>
      </c>
    </row>
    <row r="82" spans="1:11" ht="14.6" x14ac:dyDescent="0.4">
      <c r="A82" s="90"/>
      <c r="B82" s="90"/>
      <c r="C82" s="90"/>
      <c r="D82" s="90"/>
      <c r="E82" s="90" t="s">
        <v>653</v>
      </c>
      <c r="F82" s="91">
        <v>44665</v>
      </c>
      <c r="G82" s="90" t="s">
        <v>2945</v>
      </c>
      <c r="H82" s="90" t="s">
        <v>3051</v>
      </c>
      <c r="I82" s="90" t="s">
        <v>3063</v>
      </c>
      <c r="J82" s="90" t="s">
        <v>678</v>
      </c>
      <c r="K82" s="93">
        <v>600</v>
      </c>
    </row>
    <row r="83" spans="1:11" ht="14.6" x14ac:dyDescent="0.4">
      <c r="A83" s="90"/>
      <c r="B83" s="90"/>
      <c r="C83" s="90"/>
      <c r="D83" s="90"/>
      <c r="E83" s="90" t="s">
        <v>653</v>
      </c>
      <c r="F83" s="91">
        <v>44669</v>
      </c>
      <c r="G83" s="90" t="s">
        <v>2946</v>
      </c>
      <c r="H83" s="90" t="s">
        <v>3052</v>
      </c>
      <c r="I83" s="90" t="s">
        <v>3064</v>
      </c>
      <c r="J83" s="90" t="s">
        <v>678</v>
      </c>
      <c r="K83" s="93">
        <v>800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44670</v>
      </c>
      <c r="G84" s="90" t="s">
        <v>2947</v>
      </c>
      <c r="H84" s="90" t="s">
        <v>3052</v>
      </c>
      <c r="I84" s="90" t="s">
        <v>3065</v>
      </c>
      <c r="J84" s="90" t="s">
        <v>678</v>
      </c>
      <c r="K84" s="93">
        <v>800</v>
      </c>
    </row>
    <row r="85" spans="1:11" ht="15" customHeight="1" x14ac:dyDescent="0.4">
      <c r="A85" s="90"/>
      <c r="B85" s="90"/>
      <c r="C85" s="90"/>
      <c r="D85" s="90"/>
      <c r="E85" s="90" t="s">
        <v>731</v>
      </c>
      <c r="F85" s="91">
        <v>44670</v>
      </c>
      <c r="G85" s="90" t="s">
        <v>2948</v>
      </c>
      <c r="H85" s="90" t="s">
        <v>1094</v>
      </c>
      <c r="I85" s="90" t="s">
        <v>1496</v>
      </c>
      <c r="J85" s="90" t="s">
        <v>735</v>
      </c>
      <c r="K85" s="93">
        <v>25.5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44671</v>
      </c>
      <c r="G86" s="90" t="s">
        <v>2949</v>
      </c>
      <c r="H86" s="90" t="s">
        <v>1092</v>
      </c>
      <c r="I86" s="90" t="s">
        <v>1108</v>
      </c>
      <c r="J86" s="90" t="s">
        <v>678</v>
      </c>
      <c r="K86" s="93">
        <v>5000</v>
      </c>
    </row>
    <row r="87" spans="1:11" ht="15" customHeight="1" x14ac:dyDescent="0.4">
      <c r="A87" s="90"/>
      <c r="B87" s="90"/>
      <c r="C87" s="90"/>
      <c r="D87" s="90"/>
      <c r="E87" s="90" t="s">
        <v>731</v>
      </c>
      <c r="F87" s="91">
        <v>44672</v>
      </c>
      <c r="G87" s="90" t="s">
        <v>2950</v>
      </c>
      <c r="H87" s="90" t="s">
        <v>3053</v>
      </c>
      <c r="I87" s="90" t="s">
        <v>3066</v>
      </c>
      <c r="J87" s="90" t="s">
        <v>735</v>
      </c>
      <c r="K87" s="93">
        <v>1000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44679</v>
      </c>
      <c r="G88" s="90" t="s">
        <v>2951</v>
      </c>
      <c r="H88" s="90" t="s">
        <v>1102</v>
      </c>
      <c r="I88" s="90" t="s">
        <v>3067</v>
      </c>
      <c r="J88" s="90" t="s">
        <v>678</v>
      </c>
      <c r="K88" s="93">
        <v>10429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44679</v>
      </c>
      <c r="G89" s="90" t="s">
        <v>2951</v>
      </c>
      <c r="H89" s="90" t="s">
        <v>1102</v>
      </c>
      <c r="I89" s="90" t="s">
        <v>3068</v>
      </c>
      <c r="J89" s="90" t="s">
        <v>678</v>
      </c>
      <c r="K89" s="93">
        <v>774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44679</v>
      </c>
      <c r="G90" s="90" t="s">
        <v>2951</v>
      </c>
      <c r="H90" s="90" t="s">
        <v>1102</v>
      </c>
      <c r="I90" s="90" t="s">
        <v>3069</v>
      </c>
      <c r="J90" s="90" t="s">
        <v>678</v>
      </c>
      <c r="K90" s="93">
        <v>408.5</v>
      </c>
    </row>
    <row r="91" spans="1:11" ht="15" customHeight="1" x14ac:dyDescent="0.4">
      <c r="A91" s="90"/>
      <c r="B91" s="90"/>
      <c r="C91" s="90"/>
      <c r="D91" s="90"/>
      <c r="E91" s="90" t="s">
        <v>755</v>
      </c>
      <c r="F91" s="91">
        <v>44679</v>
      </c>
      <c r="G91" s="90" t="s">
        <v>2952</v>
      </c>
      <c r="H91" s="90" t="s">
        <v>1094</v>
      </c>
      <c r="I91" s="90" t="s">
        <v>1124</v>
      </c>
      <c r="J91" s="90" t="s">
        <v>735</v>
      </c>
      <c r="K91" s="93">
        <v>-14.99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44681</v>
      </c>
      <c r="G92" s="90" t="s">
        <v>2953</v>
      </c>
      <c r="H92" s="90" t="s">
        <v>1103</v>
      </c>
      <c r="I92" s="90" t="s">
        <v>1131</v>
      </c>
      <c r="J92" s="90" t="s">
        <v>678</v>
      </c>
      <c r="K92" s="93">
        <v>555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44681</v>
      </c>
      <c r="G93" s="90" t="s">
        <v>2954</v>
      </c>
      <c r="H93" s="90" t="s">
        <v>1462</v>
      </c>
      <c r="I93" s="90" t="s">
        <v>1485</v>
      </c>
      <c r="J93" s="90" t="s">
        <v>678</v>
      </c>
      <c r="K93" s="93">
        <v>10112</v>
      </c>
    </row>
    <row r="94" spans="1:11" ht="15" customHeight="1" x14ac:dyDescent="0.4">
      <c r="A94" s="90"/>
      <c r="B94" s="90"/>
      <c r="C94" s="90"/>
      <c r="D94" s="90"/>
      <c r="E94" s="90" t="s">
        <v>731</v>
      </c>
      <c r="F94" s="91">
        <v>44684</v>
      </c>
      <c r="G94" s="90" t="s">
        <v>2955</v>
      </c>
      <c r="H94" s="90" t="s">
        <v>1093</v>
      </c>
      <c r="I94" s="90" t="s">
        <v>1476</v>
      </c>
      <c r="J94" s="90" t="s">
        <v>735</v>
      </c>
      <c r="K94" s="93">
        <v>228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44685</v>
      </c>
      <c r="G95" s="90" t="s">
        <v>2956</v>
      </c>
      <c r="H95" s="90" t="s">
        <v>374</v>
      </c>
      <c r="I95" s="90" t="s">
        <v>1140</v>
      </c>
      <c r="J95" s="90" t="s">
        <v>678</v>
      </c>
      <c r="K95" s="93">
        <v>2000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44690</v>
      </c>
      <c r="G96" s="90" t="s">
        <v>2957</v>
      </c>
      <c r="H96" s="90" t="s">
        <v>374</v>
      </c>
      <c r="I96" s="90" t="s">
        <v>1140</v>
      </c>
      <c r="J96" s="90" t="s">
        <v>678</v>
      </c>
      <c r="K96" s="93">
        <v>500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44691</v>
      </c>
      <c r="G97" s="90" t="s">
        <v>2958</v>
      </c>
      <c r="H97" s="90" t="s">
        <v>3052</v>
      </c>
      <c r="I97" s="90" t="s">
        <v>3070</v>
      </c>
      <c r="J97" s="90" t="s">
        <v>678</v>
      </c>
      <c r="K97" s="93">
        <v>400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44692</v>
      </c>
      <c r="G98" s="90" t="s">
        <v>2959</v>
      </c>
      <c r="H98" s="90" t="s">
        <v>3052</v>
      </c>
      <c r="I98" s="90" t="s">
        <v>3071</v>
      </c>
      <c r="J98" s="90" t="s">
        <v>678</v>
      </c>
      <c r="K98" s="93">
        <v>400</v>
      </c>
    </row>
    <row r="99" spans="1:11" ht="15" customHeight="1" x14ac:dyDescent="0.4">
      <c r="A99" s="90"/>
      <c r="B99" s="90"/>
      <c r="C99" s="90"/>
      <c r="D99" s="90"/>
      <c r="E99" s="90" t="s">
        <v>653</v>
      </c>
      <c r="F99" s="91">
        <v>44693</v>
      </c>
      <c r="G99" s="90" t="s">
        <v>2960</v>
      </c>
      <c r="H99" s="90" t="s">
        <v>3054</v>
      </c>
      <c r="I99" s="90" t="s">
        <v>3072</v>
      </c>
      <c r="J99" s="90" t="s">
        <v>678</v>
      </c>
      <c r="K99" s="93">
        <v>450</v>
      </c>
    </row>
    <row r="100" spans="1:11" ht="15" customHeight="1" x14ac:dyDescent="0.4">
      <c r="A100" s="90"/>
      <c r="B100" s="90"/>
      <c r="C100" s="90"/>
      <c r="D100" s="90"/>
      <c r="E100" s="90" t="s">
        <v>653</v>
      </c>
      <c r="F100" s="91">
        <v>44693</v>
      </c>
      <c r="G100" s="90" t="s">
        <v>2961</v>
      </c>
      <c r="H100" s="90" t="s">
        <v>3055</v>
      </c>
      <c r="I100" s="90" t="s">
        <v>3073</v>
      </c>
      <c r="J100" s="90" t="s">
        <v>678</v>
      </c>
      <c r="K100" s="93">
        <v>450</v>
      </c>
    </row>
    <row r="101" spans="1:11" ht="15" customHeight="1" x14ac:dyDescent="0.4">
      <c r="A101" s="90"/>
      <c r="B101" s="90"/>
      <c r="C101" s="90"/>
      <c r="D101" s="90"/>
      <c r="E101" s="90" t="s">
        <v>653</v>
      </c>
      <c r="F101" s="91">
        <v>44699</v>
      </c>
      <c r="G101" s="90" t="s">
        <v>2962</v>
      </c>
      <c r="H101" s="90" t="s">
        <v>1098</v>
      </c>
      <c r="I101" s="90" t="s">
        <v>1116</v>
      </c>
      <c r="J101" s="90" t="s">
        <v>678</v>
      </c>
      <c r="K101" s="93">
        <v>70</v>
      </c>
    </row>
    <row r="102" spans="1:11" ht="15" customHeight="1" x14ac:dyDescent="0.4">
      <c r="A102" s="90"/>
      <c r="B102" s="90"/>
      <c r="C102" s="90"/>
      <c r="D102" s="90"/>
      <c r="E102" s="90" t="s">
        <v>653</v>
      </c>
      <c r="F102" s="91">
        <v>44704</v>
      </c>
      <c r="G102" s="90" t="s">
        <v>2963</v>
      </c>
      <c r="H102" s="90" t="s">
        <v>1463</v>
      </c>
      <c r="I102" s="90" t="s">
        <v>1486</v>
      </c>
      <c r="J102" s="90" t="s">
        <v>678</v>
      </c>
      <c r="K102" s="93">
        <v>19500</v>
      </c>
    </row>
    <row r="103" spans="1:11" ht="15" customHeight="1" x14ac:dyDescent="0.4">
      <c r="A103" s="90"/>
      <c r="B103" s="90"/>
      <c r="C103" s="90"/>
      <c r="D103" s="90"/>
      <c r="E103" s="90" t="s">
        <v>653</v>
      </c>
      <c r="F103" s="91">
        <v>44705</v>
      </c>
      <c r="G103" s="90" t="s">
        <v>2964</v>
      </c>
      <c r="H103" s="90" t="s">
        <v>3056</v>
      </c>
      <c r="I103" s="90" t="s">
        <v>3074</v>
      </c>
      <c r="J103" s="90" t="s">
        <v>678</v>
      </c>
      <c r="K103" s="93">
        <v>750</v>
      </c>
    </row>
    <row r="104" spans="1:11" ht="15" customHeight="1" x14ac:dyDescent="0.4">
      <c r="A104" s="90"/>
      <c r="B104" s="90"/>
      <c r="C104" s="90"/>
      <c r="D104" s="90"/>
      <c r="E104" s="90" t="s">
        <v>653</v>
      </c>
      <c r="F104" s="91">
        <v>44706</v>
      </c>
      <c r="G104" s="90" t="s">
        <v>2965</v>
      </c>
      <c r="H104" s="90" t="s">
        <v>1092</v>
      </c>
      <c r="I104" s="90" t="s">
        <v>1108</v>
      </c>
      <c r="J104" s="90" t="s">
        <v>678</v>
      </c>
      <c r="K104" s="93">
        <v>5000</v>
      </c>
    </row>
    <row r="105" spans="1:11" ht="15" customHeight="1" x14ac:dyDescent="0.4">
      <c r="A105" s="90"/>
      <c r="B105" s="90"/>
      <c r="C105" s="90"/>
      <c r="D105" s="90"/>
      <c r="E105" s="90" t="s">
        <v>653</v>
      </c>
      <c r="F105" s="91">
        <v>44706</v>
      </c>
      <c r="G105" s="90" t="s">
        <v>2966</v>
      </c>
      <c r="H105" s="90" t="s">
        <v>1102</v>
      </c>
      <c r="I105" s="90" t="s">
        <v>3075</v>
      </c>
      <c r="J105" s="90" t="s">
        <v>678</v>
      </c>
      <c r="K105" s="93">
        <v>13547.5</v>
      </c>
    </row>
    <row r="106" spans="1:11" ht="15" customHeight="1" x14ac:dyDescent="0.4">
      <c r="A106" s="90"/>
      <c r="B106" s="90"/>
      <c r="C106" s="90"/>
      <c r="D106" s="90"/>
      <c r="E106" s="90" t="s">
        <v>653</v>
      </c>
      <c r="F106" s="91">
        <v>44706</v>
      </c>
      <c r="G106" s="90" t="s">
        <v>2966</v>
      </c>
      <c r="H106" s="90" t="s">
        <v>1102</v>
      </c>
      <c r="I106" s="90" t="s">
        <v>3076</v>
      </c>
      <c r="J106" s="90" t="s">
        <v>678</v>
      </c>
      <c r="K106" s="93">
        <v>1988.75</v>
      </c>
    </row>
    <row r="107" spans="1:11" ht="15" customHeight="1" x14ac:dyDescent="0.4">
      <c r="A107" s="90"/>
      <c r="B107" s="90"/>
      <c r="C107" s="90"/>
      <c r="D107" s="90"/>
      <c r="E107" s="90" t="s">
        <v>653</v>
      </c>
      <c r="F107" s="91">
        <v>44707</v>
      </c>
      <c r="G107" s="90" t="s">
        <v>2967</v>
      </c>
      <c r="H107" s="90" t="s">
        <v>1253</v>
      </c>
      <c r="I107" s="90" t="s">
        <v>3077</v>
      </c>
      <c r="J107" s="90" t="s">
        <v>678</v>
      </c>
      <c r="K107" s="93">
        <v>500</v>
      </c>
    </row>
    <row r="108" spans="1:11" ht="15" customHeight="1" x14ac:dyDescent="0.4">
      <c r="A108" s="90"/>
      <c r="B108" s="90"/>
      <c r="C108" s="90"/>
      <c r="D108" s="90"/>
      <c r="E108" s="90" t="s">
        <v>653</v>
      </c>
      <c r="F108" s="91">
        <v>44712</v>
      </c>
      <c r="G108" s="90" t="s">
        <v>2968</v>
      </c>
      <c r="H108" s="90" t="s">
        <v>1462</v>
      </c>
      <c r="I108" s="90" t="s">
        <v>1485</v>
      </c>
      <c r="J108" s="90" t="s">
        <v>678</v>
      </c>
      <c r="K108" s="93">
        <v>11256</v>
      </c>
    </row>
    <row r="109" spans="1:11" ht="15" customHeight="1" x14ac:dyDescent="0.4">
      <c r="A109" s="90"/>
      <c r="B109" s="90"/>
      <c r="C109" s="90"/>
      <c r="D109" s="90"/>
      <c r="E109" s="90" t="s">
        <v>731</v>
      </c>
      <c r="F109" s="91">
        <v>44712</v>
      </c>
      <c r="G109" s="90" t="s">
        <v>2969</v>
      </c>
      <c r="H109" s="90" t="s">
        <v>1093</v>
      </c>
      <c r="I109" s="90" t="s">
        <v>1476</v>
      </c>
      <c r="J109" s="90" t="s">
        <v>735</v>
      </c>
      <c r="K109" s="93">
        <v>228</v>
      </c>
    </row>
    <row r="110" spans="1:11" ht="15" customHeight="1" x14ac:dyDescent="0.4">
      <c r="A110" s="90"/>
      <c r="B110" s="90"/>
      <c r="C110" s="90"/>
      <c r="D110" s="90"/>
      <c r="E110" s="90" t="s">
        <v>731</v>
      </c>
      <c r="F110" s="91">
        <v>44713</v>
      </c>
      <c r="G110" s="90" t="s">
        <v>2970</v>
      </c>
      <c r="H110" s="90" t="s">
        <v>1094</v>
      </c>
      <c r="I110" s="90" t="s">
        <v>3078</v>
      </c>
      <c r="J110" s="90" t="s">
        <v>735</v>
      </c>
      <c r="K110" s="93">
        <v>6.5</v>
      </c>
    </row>
    <row r="111" spans="1:11" ht="15" customHeight="1" x14ac:dyDescent="0.4">
      <c r="A111" s="90"/>
      <c r="B111" s="90"/>
      <c r="C111" s="90"/>
      <c r="D111" s="90"/>
      <c r="E111" s="90" t="s">
        <v>731</v>
      </c>
      <c r="F111" s="91">
        <v>44713</v>
      </c>
      <c r="G111" s="90" t="s">
        <v>2971</v>
      </c>
      <c r="H111" s="90" t="s">
        <v>1094</v>
      </c>
      <c r="I111" s="90" t="s">
        <v>3078</v>
      </c>
      <c r="J111" s="90" t="s">
        <v>735</v>
      </c>
      <c r="K111" s="93">
        <v>94.98</v>
      </c>
    </row>
    <row r="112" spans="1:11" ht="15" customHeight="1" x14ac:dyDescent="0.4">
      <c r="A112" s="90"/>
      <c r="B112" s="90"/>
      <c r="C112" s="90"/>
      <c r="D112" s="90"/>
      <c r="E112" s="90" t="s">
        <v>653</v>
      </c>
      <c r="F112" s="91">
        <v>44727</v>
      </c>
      <c r="G112" s="90" t="s">
        <v>2972</v>
      </c>
      <c r="H112" s="90" t="s">
        <v>1096</v>
      </c>
      <c r="I112" s="90" t="s">
        <v>3079</v>
      </c>
      <c r="J112" s="90" t="s">
        <v>678</v>
      </c>
      <c r="K112" s="93">
        <v>45</v>
      </c>
    </row>
    <row r="113" spans="1:11" ht="15" customHeight="1" x14ac:dyDescent="0.4">
      <c r="A113" s="90"/>
      <c r="B113" s="90"/>
      <c r="C113" s="90"/>
      <c r="D113" s="90"/>
      <c r="E113" s="90" t="s">
        <v>653</v>
      </c>
      <c r="F113" s="91">
        <v>44733</v>
      </c>
      <c r="G113" s="90" t="s">
        <v>2973</v>
      </c>
      <c r="H113" s="90" t="s">
        <v>1097</v>
      </c>
      <c r="I113" s="90" t="s">
        <v>3080</v>
      </c>
      <c r="J113" s="90" t="s">
        <v>678</v>
      </c>
      <c r="K113" s="93">
        <v>3600</v>
      </c>
    </row>
    <row r="114" spans="1:11" ht="15" customHeight="1" x14ac:dyDescent="0.4">
      <c r="A114" s="90"/>
      <c r="B114" s="90"/>
      <c r="C114" s="90"/>
      <c r="D114" s="90"/>
      <c r="E114" s="90" t="s">
        <v>653</v>
      </c>
      <c r="F114" s="91">
        <v>44734</v>
      </c>
      <c r="G114" s="90" t="s">
        <v>2974</v>
      </c>
      <c r="H114" s="90" t="s">
        <v>1102</v>
      </c>
      <c r="I114" s="90" t="s">
        <v>3081</v>
      </c>
      <c r="J114" s="90" t="s">
        <v>678</v>
      </c>
      <c r="K114" s="93">
        <v>9319.19</v>
      </c>
    </row>
    <row r="115" spans="1:11" ht="15" customHeight="1" x14ac:dyDescent="0.4">
      <c r="A115" s="90"/>
      <c r="B115" s="90"/>
      <c r="C115" s="90"/>
      <c r="D115" s="90"/>
      <c r="E115" s="90" t="s">
        <v>653</v>
      </c>
      <c r="F115" s="91">
        <v>44734</v>
      </c>
      <c r="G115" s="90" t="s">
        <v>2974</v>
      </c>
      <c r="H115" s="90" t="s">
        <v>1102</v>
      </c>
      <c r="I115" s="90" t="s">
        <v>3076</v>
      </c>
      <c r="J115" s="90" t="s">
        <v>678</v>
      </c>
      <c r="K115" s="93">
        <v>215</v>
      </c>
    </row>
    <row r="116" spans="1:11" ht="15" customHeight="1" x14ac:dyDescent="0.4">
      <c r="A116" s="90"/>
      <c r="B116" s="90"/>
      <c r="C116" s="90"/>
      <c r="D116" s="90"/>
      <c r="E116" s="90" t="s">
        <v>653</v>
      </c>
      <c r="F116" s="91">
        <v>44734</v>
      </c>
      <c r="G116" s="90" t="s">
        <v>2975</v>
      </c>
      <c r="H116" s="90" t="s">
        <v>801</v>
      </c>
      <c r="I116" s="90" t="s">
        <v>3136</v>
      </c>
      <c r="J116" s="90" t="s">
        <v>678</v>
      </c>
      <c r="K116" s="93">
        <v>8190</v>
      </c>
    </row>
    <row r="117" spans="1:11" ht="15" customHeight="1" x14ac:dyDescent="0.4">
      <c r="A117" s="90"/>
      <c r="B117" s="90"/>
      <c r="C117" s="90"/>
      <c r="D117" s="90"/>
      <c r="E117" s="90" t="s">
        <v>731</v>
      </c>
      <c r="F117" s="91">
        <v>44735</v>
      </c>
      <c r="G117" s="90" t="s">
        <v>2976</v>
      </c>
      <c r="H117" s="90" t="s">
        <v>1094</v>
      </c>
      <c r="I117" s="90" t="s">
        <v>3082</v>
      </c>
      <c r="J117" s="90" t="s">
        <v>735</v>
      </c>
      <c r="K117" s="93">
        <v>94.98</v>
      </c>
    </row>
    <row r="118" spans="1:11" ht="15" customHeight="1" x14ac:dyDescent="0.4">
      <c r="A118" s="90"/>
      <c r="B118" s="90"/>
      <c r="C118" s="90"/>
      <c r="D118" s="90"/>
      <c r="E118" s="90" t="s">
        <v>755</v>
      </c>
      <c r="F118" s="91">
        <v>44735</v>
      </c>
      <c r="G118" s="90" t="s">
        <v>2976</v>
      </c>
      <c r="H118" s="90" t="s">
        <v>1094</v>
      </c>
      <c r="I118" s="90" t="s">
        <v>3137</v>
      </c>
      <c r="J118" s="90" t="s">
        <v>735</v>
      </c>
      <c r="K118" s="93">
        <v>-14.99</v>
      </c>
    </row>
    <row r="119" spans="1:11" ht="15" customHeight="1" x14ac:dyDescent="0.4">
      <c r="A119" s="90"/>
      <c r="B119" s="90"/>
      <c r="C119" s="90"/>
      <c r="D119" s="90"/>
      <c r="E119" s="90" t="s">
        <v>731</v>
      </c>
      <c r="F119" s="91">
        <v>44738</v>
      </c>
      <c r="G119" s="90" t="s">
        <v>2977</v>
      </c>
      <c r="H119" s="90" t="s">
        <v>1094</v>
      </c>
      <c r="I119" s="90" t="s">
        <v>3083</v>
      </c>
      <c r="J119" s="90" t="s">
        <v>735</v>
      </c>
      <c r="K119" s="93">
        <v>27.5</v>
      </c>
    </row>
    <row r="120" spans="1:11" ht="15" customHeight="1" x14ac:dyDescent="0.4">
      <c r="A120" s="90"/>
      <c r="B120" s="90"/>
      <c r="C120" s="90"/>
      <c r="D120" s="90"/>
      <c r="E120" s="90" t="s">
        <v>755</v>
      </c>
      <c r="F120" s="91">
        <v>44739</v>
      </c>
      <c r="G120" s="90" t="s">
        <v>2978</v>
      </c>
      <c r="H120" s="90" t="s">
        <v>1094</v>
      </c>
      <c r="I120" s="90" t="s">
        <v>3084</v>
      </c>
      <c r="J120" s="90" t="s">
        <v>735</v>
      </c>
      <c r="K120" s="93">
        <v>-14.99</v>
      </c>
    </row>
    <row r="121" spans="1:11" ht="15" customHeight="1" x14ac:dyDescent="0.4">
      <c r="A121" s="90"/>
      <c r="B121" s="90"/>
      <c r="C121" s="90"/>
      <c r="D121" s="90"/>
      <c r="E121" s="90" t="s">
        <v>731</v>
      </c>
      <c r="F121" s="91">
        <v>44739</v>
      </c>
      <c r="G121" s="90" t="s">
        <v>2978</v>
      </c>
      <c r="H121" s="90" t="s">
        <v>1094</v>
      </c>
      <c r="I121" s="90" t="s">
        <v>3085</v>
      </c>
      <c r="J121" s="90" t="s">
        <v>735</v>
      </c>
      <c r="K121" s="93">
        <v>94.98</v>
      </c>
    </row>
    <row r="122" spans="1:11" ht="15" customHeight="1" x14ac:dyDescent="0.4">
      <c r="A122" s="90"/>
      <c r="B122" s="90"/>
      <c r="C122" s="90"/>
      <c r="D122" s="90"/>
      <c r="E122" s="90" t="s">
        <v>653</v>
      </c>
      <c r="F122" s="91">
        <v>44740</v>
      </c>
      <c r="G122" s="90" t="s">
        <v>2979</v>
      </c>
      <c r="H122" s="90" t="s">
        <v>1092</v>
      </c>
      <c r="I122" s="90" t="s">
        <v>1108</v>
      </c>
      <c r="J122" s="90" t="s">
        <v>678</v>
      </c>
      <c r="K122" s="93">
        <v>5000</v>
      </c>
    </row>
    <row r="123" spans="1:11" ht="15" customHeight="1" x14ac:dyDescent="0.4">
      <c r="A123" s="90"/>
      <c r="B123" s="90"/>
      <c r="C123" s="90"/>
      <c r="D123" s="90"/>
      <c r="E123" s="90" t="s">
        <v>731</v>
      </c>
      <c r="F123" s="91">
        <v>44740</v>
      </c>
      <c r="G123" s="90" t="s">
        <v>2980</v>
      </c>
      <c r="H123" s="90" t="s">
        <v>1094</v>
      </c>
      <c r="I123" s="90" t="s">
        <v>3086</v>
      </c>
      <c r="J123" s="90" t="s">
        <v>735</v>
      </c>
      <c r="K123" s="93">
        <v>27.5</v>
      </c>
    </row>
    <row r="124" spans="1:11" ht="15" customHeight="1" x14ac:dyDescent="0.4">
      <c r="A124" s="90"/>
      <c r="B124" s="90"/>
      <c r="C124" s="90"/>
      <c r="D124" s="90"/>
      <c r="E124" s="90" t="s">
        <v>653</v>
      </c>
      <c r="F124" s="91">
        <v>44742</v>
      </c>
      <c r="G124" s="90" t="s">
        <v>2981</v>
      </c>
      <c r="H124" s="90" t="s">
        <v>1462</v>
      </c>
      <c r="I124" s="90" t="s">
        <v>1485</v>
      </c>
      <c r="J124" s="90" t="s">
        <v>678</v>
      </c>
      <c r="K124" s="93">
        <v>10232</v>
      </c>
    </row>
    <row r="125" spans="1:11" ht="15" customHeight="1" x14ac:dyDescent="0.4">
      <c r="A125" s="90"/>
      <c r="B125" s="90"/>
      <c r="C125" s="90"/>
      <c r="D125" s="90"/>
      <c r="E125" s="90" t="s">
        <v>653</v>
      </c>
      <c r="F125" s="91">
        <v>44742</v>
      </c>
      <c r="G125" s="90" t="s">
        <v>2982</v>
      </c>
      <c r="H125" s="90" t="s">
        <v>1103</v>
      </c>
      <c r="I125" s="90" t="s">
        <v>1131</v>
      </c>
      <c r="J125" s="90" t="s">
        <v>678</v>
      </c>
      <c r="K125" s="93">
        <v>185</v>
      </c>
    </row>
    <row r="126" spans="1:11" ht="15" customHeight="1" x14ac:dyDescent="0.4">
      <c r="A126" s="90"/>
      <c r="B126" s="90"/>
      <c r="C126" s="90"/>
      <c r="D126" s="90"/>
      <c r="E126" s="90" t="s">
        <v>731</v>
      </c>
      <c r="F126" s="91">
        <v>44742</v>
      </c>
      <c r="G126" s="90" t="s">
        <v>2983</v>
      </c>
      <c r="H126" s="90" t="s">
        <v>1093</v>
      </c>
      <c r="I126" s="90" t="s">
        <v>3087</v>
      </c>
      <c r="J126" s="90" t="s">
        <v>735</v>
      </c>
      <c r="K126" s="93">
        <v>228</v>
      </c>
    </row>
    <row r="127" spans="1:11" ht="15" customHeight="1" x14ac:dyDescent="0.4">
      <c r="A127" s="90"/>
      <c r="B127" s="90"/>
      <c r="C127" s="90"/>
      <c r="D127" s="90"/>
      <c r="E127" s="90" t="s">
        <v>653</v>
      </c>
      <c r="F127" s="91">
        <v>44753</v>
      </c>
      <c r="G127" s="90" t="s">
        <v>2984</v>
      </c>
      <c r="H127" s="90" t="s">
        <v>1096</v>
      </c>
      <c r="I127" s="90" t="s">
        <v>3088</v>
      </c>
      <c r="J127" s="90" t="s">
        <v>678</v>
      </c>
      <c r="K127" s="93">
        <v>45</v>
      </c>
    </row>
    <row r="128" spans="1:11" ht="15" customHeight="1" x14ac:dyDescent="0.4">
      <c r="A128" s="90"/>
      <c r="B128" s="90"/>
      <c r="C128" s="90"/>
      <c r="D128" s="90"/>
      <c r="E128" s="90" t="s">
        <v>653</v>
      </c>
      <c r="F128" s="91">
        <v>44753</v>
      </c>
      <c r="G128" s="90" t="s">
        <v>2984</v>
      </c>
      <c r="H128" s="90" t="s">
        <v>1096</v>
      </c>
      <c r="I128" s="90" t="s">
        <v>3089</v>
      </c>
      <c r="J128" s="90" t="s">
        <v>678</v>
      </c>
      <c r="K128" s="93">
        <v>45</v>
      </c>
    </row>
    <row r="129" spans="1:11" ht="15" customHeight="1" x14ac:dyDescent="0.4">
      <c r="A129" s="90"/>
      <c r="B129" s="90"/>
      <c r="C129" s="90"/>
      <c r="D129" s="90"/>
      <c r="E129" s="90" t="s">
        <v>653</v>
      </c>
      <c r="F129" s="91">
        <v>44753</v>
      </c>
      <c r="G129" s="90" t="s">
        <v>2984</v>
      </c>
      <c r="H129" s="90" t="s">
        <v>1096</v>
      </c>
      <c r="I129" s="90" t="s">
        <v>3090</v>
      </c>
      <c r="J129" s="90" t="s">
        <v>678</v>
      </c>
      <c r="K129" s="93">
        <v>45</v>
      </c>
    </row>
    <row r="130" spans="1:11" ht="15" customHeight="1" x14ac:dyDescent="0.4">
      <c r="A130" s="90"/>
      <c r="B130" s="90"/>
      <c r="C130" s="90"/>
      <c r="D130" s="90"/>
      <c r="E130" s="90" t="s">
        <v>653</v>
      </c>
      <c r="F130" s="91">
        <v>44755</v>
      </c>
      <c r="G130" s="90" t="s">
        <v>2985</v>
      </c>
      <c r="H130" s="90" t="s">
        <v>1098</v>
      </c>
      <c r="I130" s="90" t="s">
        <v>1116</v>
      </c>
      <c r="J130" s="90" t="s">
        <v>678</v>
      </c>
      <c r="K130" s="93">
        <v>70</v>
      </c>
    </row>
    <row r="131" spans="1:11" ht="15" customHeight="1" x14ac:dyDescent="0.4">
      <c r="A131" s="90"/>
      <c r="B131" s="90"/>
      <c r="C131" s="90"/>
      <c r="D131" s="90"/>
      <c r="E131" s="90" t="s">
        <v>653</v>
      </c>
      <c r="F131" s="91">
        <v>44771</v>
      </c>
      <c r="G131" s="90" t="s">
        <v>2986</v>
      </c>
      <c r="H131" s="90" t="s">
        <v>1102</v>
      </c>
      <c r="I131" s="90" t="s">
        <v>3091</v>
      </c>
      <c r="J131" s="90" t="s">
        <v>678</v>
      </c>
      <c r="K131" s="93">
        <v>12653.63</v>
      </c>
    </row>
    <row r="132" spans="1:11" ht="15" customHeight="1" x14ac:dyDescent="0.4">
      <c r="A132" s="90"/>
      <c r="B132" s="90"/>
      <c r="C132" s="90"/>
      <c r="D132" s="90"/>
      <c r="E132" s="90" t="s">
        <v>653</v>
      </c>
      <c r="F132" s="91">
        <v>44771</v>
      </c>
      <c r="G132" s="90" t="s">
        <v>2986</v>
      </c>
      <c r="H132" s="90" t="s">
        <v>1102</v>
      </c>
      <c r="I132" s="90" t="s">
        <v>3092</v>
      </c>
      <c r="J132" s="90" t="s">
        <v>678</v>
      </c>
      <c r="K132" s="93">
        <v>2312</v>
      </c>
    </row>
    <row r="133" spans="1:11" ht="15" customHeight="1" x14ac:dyDescent="0.4">
      <c r="A133" s="90"/>
      <c r="B133" s="90"/>
      <c r="C133" s="90"/>
      <c r="D133" s="90"/>
      <c r="E133" s="90" t="s">
        <v>653</v>
      </c>
      <c r="F133" s="91">
        <v>44773</v>
      </c>
      <c r="G133" s="90" t="s">
        <v>2987</v>
      </c>
      <c r="H133" s="90" t="s">
        <v>1462</v>
      </c>
      <c r="I133" s="90" t="s">
        <v>1485</v>
      </c>
      <c r="J133" s="90" t="s">
        <v>678</v>
      </c>
      <c r="K133" s="93">
        <v>2680</v>
      </c>
    </row>
    <row r="134" spans="1:11" ht="15" customHeight="1" x14ac:dyDescent="0.4">
      <c r="A134" s="90"/>
      <c r="B134" s="90"/>
      <c r="C134" s="90"/>
      <c r="D134" s="90"/>
      <c r="E134" s="90" t="s">
        <v>653</v>
      </c>
      <c r="F134" s="91">
        <v>44773</v>
      </c>
      <c r="G134" s="90" t="s">
        <v>2988</v>
      </c>
      <c r="H134" s="90" t="s">
        <v>3057</v>
      </c>
      <c r="I134" s="90" t="s">
        <v>3093</v>
      </c>
      <c r="J134" s="90" t="s">
        <v>678</v>
      </c>
      <c r="K134" s="93">
        <v>11931.25</v>
      </c>
    </row>
    <row r="135" spans="1:11" ht="15" customHeight="1" x14ac:dyDescent="0.4">
      <c r="A135" s="90"/>
      <c r="B135" s="90"/>
      <c r="C135" s="90"/>
      <c r="D135" s="90"/>
      <c r="E135" s="90" t="s">
        <v>653</v>
      </c>
      <c r="F135" s="91">
        <v>44774</v>
      </c>
      <c r="G135" s="90" t="s">
        <v>2989</v>
      </c>
      <c r="H135" s="90" t="s">
        <v>1092</v>
      </c>
      <c r="I135" s="90" t="s">
        <v>1108</v>
      </c>
      <c r="J135" s="90" t="s">
        <v>678</v>
      </c>
      <c r="K135" s="93">
        <v>5000</v>
      </c>
    </row>
    <row r="136" spans="1:11" ht="15" customHeight="1" x14ac:dyDescent="0.4">
      <c r="A136" s="90"/>
      <c r="B136" s="90"/>
      <c r="C136" s="90"/>
      <c r="D136" s="90"/>
      <c r="E136" s="90" t="s">
        <v>653</v>
      </c>
      <c r="F136" s="91">
        <v>44776</v>
      </c>
      <c r="G136" s="90" t="s">
        <v>2990</v>
      </c>
      <c r="H136" s="90" t="s">
        <v>1463</v>
      </c>
      <c r="I136" s="90" t="s">
        <v>1486</v>
      </c>
      <c r="J136" s="90" t="s">
        <v>678</v>
      </c>
      <c r="K136" s="93">
        <v>19500</v>
      </c>
    </row>
    <row r="137" spans="1:11" ht="15" customHeight="1" x14ac:dyDescent="0.4">
      <c r="A137" s="90"/>
      <c r="B137" s="90"/>
      <c r="C137" s="90"/>
      <c r="D137" s="90"/>
      <c r="E137" s="90" t="s">
        <v>731</v>
      </c>
      <c r="F137" s="91">
        <v>44776</v>
      </c>
      <c r="G137" s="90" t="s">
        <v>2991</v>
      </c>
      <c r="H137" s="90" t="s">
        <v>1093</v>
      </c>
      <c r="I137" s="90" t="s">
        <v>3087</v>
      </c>
      <c r="J137" s="90" t="s">
        <v>735</v>
      </c>
      <c r="K137" s="93">
        <v>228</v>
      </c>
    </row>
    <row r="138" spans="1:11" ht="15" customHeight="1" x14ac:dyDescent="0.4">
      <c r="A138" s="90"/>
      <c r="B138" s="90"/>
      <c r="C138" s="90"/>
      <c r="D138" s="90"/>
      <c r="E138" s="90" t="s">
        <v>653</v>
      </c>
      <c r="F138" s="91">
        <v>44783</v>
      </c>
      <c r="G138" s="90" t="s">
        <v>2992</v>
      </c>
      <c r="H138" s="90" t="s">
        <v>3052</v>
      </c>
      <c r="I138" s="90" t="s">
        <v>3094</v>
      </c>
      <c r="J138" s="90" t="s">
        <v>678</v>
      </c>
      <c r="K138" s="93">
        <v>400</v>
      </c>
    </row>
    <row r="139" spans="1:11" ht="15" customHeight="1" x14ac:dyDescent="0.4">
      <c r="A139" s="90"/>
      <c r="B139" s="90"/>
      <c r="C139" s="90"/>
      <c r="D139" s="90"/>
      <c r="E139" s="90" t="s">
        <v>653</v>
      </c>
      <c r="F139" s="91">
        <v>44795</v>
      </c>
      <c r="G139" s="90" t="s">
        <v>2993</v>
      </c>
      <c r="H139" s="90" t="s">
        <v>1102</v>
      </c>
      <c r="I139" s="90" t="s">
        <v>3095</v>
      </c>
      <c r="J139" s="90" t="s">
        <v>678</v>
      </c>
      <c r="K139" s="93">
        <v>10847.61</v>
      </c>
    </row>
    <row r="140" spans="1:11" ht="15" customHeight="1" x14ac:dyDescent="0.4">
      <c r="A140" s="90"/>
      <c r="B140" s="90"/>
      <c r="C140" s="90"/>
      <c r="D140" s="90"/>
      <c r="E140" s="90" t="s">
        <v>653</v>
      </c>
      <c r="F140" s="91">
        <v>44795</v>
      </c>
      <c r="G140" s="90" t="s">
        <v>2993</v>
      </c>
      <c r="H140" s="90" t="s">
        <v>1102</v>
      </c>
      <c r="I140" s="90" t="s">
        <v>3096</v>
      </c>
      <c r="J140" s="90" t="s">
        <v>678</v>
      </c>
      <c r="K140" s="93">
        <v>1451.25</v>
      </c>
    </row>
    <row r="141" spans="1:11" ht="15" customHeight="1" x14ac:dyDescent="0.4">
      <c r="A141" s="90"/>
      <c r="B141" s="90"/>
      <c r="C141" s="90"/>
      <c r="D141" s="90"/>
      <c r="E141" s="90" t="s">
        <v>653</v>
      </c>
      <c r="F141" s="91">
        <v>44802</v>
      </c>
      <c r="G141" s="90" t="s">
        <v>2994</v>
      </c>
      <c r="H141" s="90" t="s">
        <v>3057</v>
      </c>
      <c r="I141" s="90" t="s">
        <v>3093</v>
      </c>
      <c r="J141" s="90" t="s">
        <v>678</v>
      </c>
      <c r="K141" s="93">
        <v>10112.5</v>
      </c>
    </row>
    <row r="142" spans="1:11" ht="15" customHeight="1" x14ac:dyDescent="0.4">
      <c r="A142" s="90"/>
      <c r="B142" s="90"/>
      <c r="C142" s="90"/>
      <c r="D142" s="90"/>
      <c r="E142" s="90" t="s">
        <v>653</v>
      </c>
      <c r="F142" s="91">
        <v>44803</v>
      </c>
      <c r="G142" s="90" t="s">
        <v>2995</v>
      </c>
      <c r="H142" s="90" t="s">
        <v>1092</v>
      </c>
      <c r="I142" s="90" t="s">
        <v>1108</v>
      </c>
      <c r="J142" s="90" t="s">
        <v>678</v>
      </c>
      <c r="K142" s="93">
        <v>5000</v>
      </c>
    </row>
    <row r="143" spans="1:11" ht="15" customHeight="1" x14ac:dyDescent="0.4">
      <c r="A143" s="90"/>
      <c r="B143" s="90"/>
      <c r="C143" s="90"/>
      <c r="D143" s="90"/>
      <c r="E143" s="90" t="s">
        <v>731</v>
      </c>
      <c r="F143" s="91">
        <v>44804</v>
      </c>
      <c r="G143" s="90" t="s">
        <v>2996</v>
      </c>
      <c r="H143" s="90" t="s">
        <v>1093</v>
      </c>
      <c r="I143" s="90" t="s">
        <v>3087</v>
      </c>
      <c r="J143" s="90" t="s">
        <v>735</v>
      </c>
      <c r="K143" s="93">
        <v>228</v>
      </c>
    </row>
    <row r="144" spans="1:11" ht="15" customHeight="1" x14ac:dyDescent="0.4">
      <c r="A144" s="90"/>
      <c r="B144" s="90"/>
      <c r="C144" s="90"/>
      <c r="D144" s="90"/>
      <c r="E144" s="90" t="s">
        <v>653</v>
      </c>
      <c r="F144" s="91">
        <v>44805</v>
      </c>
      <c r="G144" s="90" t="s">
        <v>2997</v>
      </c>
      <c r="H144" s="90" t="s">
        <v>3058</v>
      </c>
      <c r="I144" s="90" t="s">
        <v>3097</v>
      </c>
      <c r="J144" s="90" t="s">
        <v>678</v>
      </c>
      <c r="K144" s="93">
        <v>8900</v>
      </c>
    </row>
    <row r="145" spans="1:11" ht="15" customHeight="1" x14ac:dyDescent="0.4">
      <c r="A145" s="90"/>
      <c r="B145" s="90"/>
      <c r="C145" s="90"/>
      <c r="D145" s="90"/>
      <c r="E145" s="90" t="s">
        <v>653</v>
      </c>
      <c r="F145" s="91">
        <v>44811</v>
      </c>
      <c r="G145" s="90" t="s">
        <v>2998</v>
      </c>
      <c r="H145" s="90" t="s">
        <v>1098</v>
      </c>
      <c r="I145" s="90" t="s">
        <v>1116</v>
      </c>
      <c r="J145" s="90" t="s">
        <v>678</v>
      </c>
      <c r="K145" s="93">
        <v>170</v>
      </c>
    </row>
    <row r="146" spans="1:11" ht="15" customHeight="1" x14ac:dyDescent="0.4">
      <c r="A146" s="90"/>
      <c r="B146" s="90"/>
      <c r="C146" s="90"/>
      <c r="D146" s="90"/>
      <c r="E146" s="90" t="s">
        <v>653</v>
      </c>
      <c r="F146" s="91">
        <v>44817</v>
      </c>
      <c r="G146" s="90" t="s">
        <v>2999</v>
      </c>
      <c r="H146" s="90" t="s">
        <v>1464</v>
      </c>
      <c r="I146" s="90" t="s">
        <v>3098</v>
      </c>
      <c r="J146" s="90" t="s">
        <v>678</v>
      </c>
      <c r="K146" s="93">
        <v>3000</v>
      </c>
    </row>
    <row r="147" spans="1:11" ht="15" customHeight="1" x14ac:dyDescent="0.4">
      <c r="A147" s="90"/>
      <c r="B147" s="90"/>
      <c r="C147" s="90"/>
      <c r="D147" s="90"/>
      <c r="E147" s="90" t="s">
        <v>653</v>
      </c>
      <c r="F147" s="91">
        <v>44817</v>
      </c>
      <c r="G147" s="90" t="s">
        <v>3000</v>
      </c>
      <c r="H147" s="90" t="s">
        <v>1464</v>
      </c>
      <c r="I147" s="90" t="s">
        <v>3099</v>
      </c>
      <c r="J147" s="90" t="s">
        <v>678</v>
      </c>
      <c r="K147" s="93">
        <v>3000</v>
      </c>
    </row>
    <row r="148" spans="1:11" ht="15" customHeight="1" x14ac:dyDescent="0.4">
      <c r="A148" s="90"/>
      <c r="B148" s="90"/>
      <c r="C148" s="90"/>
      <c r="D148" s="90"/>
      <c r="E148" s="90" t="s">
        <v>653</v>
      </c>
      <c r="F148" s="91">
        <v>44817</v>
      </c>
      <c r="G148" s="90" t="s">
        <v>3001</v>
      </c>
      <c r="H148" s="90" t="s">
        <v>1464</v>
      </c>
      <c r="I148" s="90" t="s">
        <v>3100</v>
      </c>
      <c r="J148" s="90" t="s">
        <v>678</v>
      </c>
      <c r="K148" s="93">
        <v>6000</v>
      </c>
    </row>
    <row r="149" spans="1:11" ht="15" customHeight="1" x14ac:dyDescent="0.4">
      <c r="A149" s="90"/>
      <c r="B149" s="90"/>
      <c r="C149" s="90"/>
      <c r="D149" s="90"/>
      <c r="E149" s="90" t="s">
        <v>653</v>
      </c>
      <c r="F149" s="91">
        <v>44817</v>
      </c>
      <c r="G149" s="90" t="s">
        <v>3002</v>
      </c>
      <c r="H149" s="90" t="s">
        <v>1464</v>
      </c>
      <c r="I149" s="90" t="s">
        <v>3101</v>
      </c>
      <c r="J149" s="90" t="s">
        <v>678</v>
      </c>
      <c r="K149" s="93">
        <v>3000</v>
      </c>
    </row>
    <row r="150" spans="1:11" ht="15" customHeight="1" x14ac:dyDescent="0.4">
      <c r="A150" s="90"/>
      <c r="B150" s="90"/>
      <c r="C150" s="90"/>
      <c r="D150" s="90"/>
      <c r="E150" s="90" t="s">
        <v>653</v>
      </c>
      <c r="F150" s="91">
        <v>44820</v>
      </c>
      <c r="G150" s="90" t="s">
        <v>3003</v>
      </c>
      <c r="H150" s="90" t="s">
        <v>3052</v>
      </c>
      <c r="I150" s="90" t="s">
        <v>3102</v>
      </c>
      <c r="J150" s="90" t="s">
        <v>678</v>
      </c>
      <c r="K150" s="93">
        <v>400</v>
      </c>
    </row>
    <row r="151" spans="1:11" ht="15" customHeight="1" x14ac:dyDescent="0.4">
      <c r="A151" s="90"/>
      <c r="B151" s="90"/>
      <c r="C151" s="90"/>
      <c r="D151" s="90"/>
      <c r="E151" s="90" t="s">
        <v>653</v>
      </c>
      <c r="F151" s="91">
        <v>44825</v>
      </c>
      <c r="G151" s="90" t="s">
        <v>3004</v>
      </c>
      <c r="H151" s="90" t="s">
        <v>3052</v>
      </c>
      <c r="I151" s="90" t="s">
        <v>3103</v>
      </c>
      <c r="J151" s="90" t="s">
        <v>678</v>
      </c>
      <c r="K151" s="93">
        <v>400</v>
      </c>
    </row>
    <row r="152" spans="1:11" ht="15" customHeight="1" x14ac:dyDescent="0.4">
      <c r="A152" s="90"/>
      <c r="B152" s="90"/>
      <c r="C152" s="90"/>
      <c r="D152" s="90"/>
      <c r="E152" s="90" t="s">
        <v>653</v>
      </c>
      <c r="F152" s="91">
        <v>44830</v>
      </c>
      <c r="G152" s="90" t="s">
        <v>3005</v>
      </c>
      <c r="H152" s="90" t="s">
        <v>1102</v>
      </c>
      <c r="I152" s="90" t="s">
        <v>3104</v>
      </c>
      <c r="J152" s="90" t="s">
        <v>678</v>
      </c>
      <c r="K152" s="93">
        <v>21364.61</v>
      </c>
    </row>
    <row r="153" spans="1:11" ht="15" customHeight="1" x14ac:dyDescent="0.4">
      <c r="A153" s="90"/>
      <c r="B153" s="90"/>
      <c r="C153" s="90"/>
      <c r="D153" s="90"/>
      <c r="E153" s="90" t="s">
        <v>653</v>
      </c>
      <c r="F153" s="91">
        <v>44830</v>
      </c>
      <c r="G153" s="90" t="s">
        <v>3005</v>
      </c>
      <c r="H153" s="90" t="s">
        <v>1102</v>
      </c>
      <c r="I153" s="90" t="s">
        <v>3096</v>
      </c>
      <c r="J153" s="90" t="s">
        <v>678</v>
      </c>
      <c r="K153" s="93">
        <v>1755.5</v>
      </c>
    </row>
    <row r="154" spans="1:11" ht="15" customHeight="1" x14ac:dyDescent="0.4">
      <c r="A154" s="90"/>
      <c r="B154" s="90"/>
      <c r="C154" s="90"/>
      <c r="D154" s="90"/>
      <c r="E154" s="90" t="s">
        <v>653</v>
      </c>
      <c r="F154" s="91">
        <v>44832</v>
      </c>
      <c r="G154" s="90" t="s">
        <v>3006</v>
      </c>
      <c r="H154" s="90" t="s">
        <v>3051</v>
      </c>
      <c r="I154" s="90" t="s">
        <v>3105</v>
      </c>
      <c r="J154" s="90" t="s">
        <v>678</v>
      </c>
      <c r="K154" s="93">
        <v>2100</v>
      </c>
    </row>
    <row r="155" spans="1:11" ht="15" customHeight="1" x14ac:dyDescent="0.4">
      <c r="A155" s="90"/>
      <c r="B155" s="90"/>
      <c r="C155" s="90"/>
      <c r="D155" s="90"/>
      <c r="E155" s="90" t="s">
        <v>653</v>
      </c>
      <c r="F155" s="91">
        <v>44832</v>
      </c>
      <c r="G155" s="90" t="s">
        <v>3007</v>
      </c>
      <c r="H155" s="90" t="s">
        <v>3051</v>
      </c>
      <c r="I155" s="90" t="s">
        <v>3106</v>
      </c>
      <c r="J155" s="90" t="s">
        <v>678</v>
      </c>
      <c r="K155" s="93">
        <v>2400</v>
      </c>
    </row>
    <row r="156" spans="1:11" ht="15" customHeight="1" x14ac:dyDescent="0.4">
      <c r="A156" s="90"/>
      <c r="B156" s="90"/>
      <c r="C156" s="90"/>
      <c r="D156" s="90"/>
      <c r="E156" s="90" t="s">
        <v>731</v>
      </c>
      <c r="F156" s="91">
        <v>44832</v>
      </c>
      <c r="G156" s="90" t="s">
        <v>3008</v>
      </c>
      <c r="H156" s="90" t="s">
        <v>1094</v>
      </c>
      <c r="I156" s="90" t="s">
        <v>3107</v>
      </c>
      <c r="J156" s="90" t="s">
        <v>735</v>
      </c>
      <c r="K156" s="93">
        <v>94.98</v>
      </c>
    </row>
    <row r="157" spans="1:11" ht="15" customHeight="1" x14ac:dyDescent="0.4">
      <c r="A157" s="90"/>
      <c r="B157" s="90"/>
      <c r="C157" s="90"/>
      <c r="D157" s="90"/>
      <c r="E157" s="90" t="s">
        <v>731</v>
      </c>
      <c r="F157" s="91">
        <v>44833</v>
      </c>
      <c r="G157" s="90" t="s">
        <v>3009</v>
      </c>
      <c r="H157" s="90" t="s">
        <v>1094</v>
      </c>
      <c r="I157" s="90" t="s">
        <v>3108</v>
      </c>
      <c r="J157" s="90" t="s">
        <v>735</v>
      </c>
      <c r="K157" s="93">
        <v>27.8</v>
      </c>
    </row>
    <row r="158" spans="1:11" ht="15" customHeight="1" x14ac:dyDescent="0.4">
      <c r="A158" s="90"/>
      <c r="B158" s="90"/>
      <c r="C158" s="90"/>
      <c r="D158" s="90"/>
      <c r="E158" s="90" t="s">
        <v>653</v>
      </c>
      <c r="F158" s="91">
        <v>44835</v>
      </c>
      <c r="G158" s="90" t="s">
        <v>3010</v>
      </c>
      <c r="H158" s="90" t="s">
        <v>1092</v>
      </c>
      <c r="I158" s="90" t="s">
        <v>1108</v>
      </c>
      <c r="J158" s="90" t="s">
        <v>678</v>
      </c>
      <c r="K158" s="93">
        <v>5000</v>
      </c>
    </row>
    <row r="159" spans="1:11" ht="15" customHeight="1" x14ac:dyDescent="0.4">
      <c r="A159" s="90"/>
      <c r="B159" s="90"/>
      <c r="C159" s="90"/>
      <c r="D159" s="90"/>
      <c r="E159" s="90" t="s">
        <v>731</v>
      </c>
      <c r="F159" s="91">
        <v>44841</v>
      </c>
      <c r="G159" s="90" t="s">
        <v>3011</v>
      </c>
      <c r="H159" s="90" t="s">
        <v>1093</v>
      </c>
      <c r="I159" s="90" t="s">
        <v>3087</v>
      </c>
      <c r="J159" s="90" t="s">
        <v>735</v>
      </c>
      <c r="K159" s="93">
        <v>228</v>
      </c>
    </row>
    <row r="160" spans="1:11" ht="15" customHeight="1" x14ac:dyDescent="0.4">
      <c r="A160" s="90"/>
      <c r="B160" s="90"/>
      <c r="C160" s="90"/>
      <c r="D160" s="90"/>
      <c r="E160" s="90" t="s">
        <v>731</v>
      </c>
      <c r="F160" s="91">
        <v>44846</v>
      </c>
      <c r="G160" s="90" t="s">
        <v>3012</v>
      </c>
      <c r="H160" s="90" t="s">
        <v>3053</v>
      </c>
      <c r="I160" s="90" t="s">
        <v>3066</v>
      </c>
      <c r="J160" s="90" t="s">
        <v>735</v>
      </c>
      <c r="K160" s="93">
        <v>1000</v>
      </c>
    </row>
    <row r="161" spans="1:11" ht="15" customHeight="1" x14ac:dyDescent="0.4">
      <c r="A161" s="90"/>
      <c r="B161" s="90"/>
      <c r="C161" s="90"/>
      <c r="D161" s="90"/>
      <c r="E161" s="90" t="s">
        <v>731</v>
      </c>
      <c r="F161" s="91">
        <v>44846</v>
      </c>
      <c r="G161" s="90" t="s">
        <v>3013</v>
      </c>
      <c r="H161" s="90" t="s">
        <v>1094</v>
      </c>
      <c r="I161" s="90" t="s">
        <v>3109</v>
      </c>
      <c r="J161" s="90" t="s">
        <v>735</v>
      </c>
      <c r="K161" s="93">
        <v>94.98</v>
      </c>
    </row>
    <row r="162" spans="1:11" ht="15" customHeight="1" x14ac:dyDescent="0.4">
      <c r="A162" s="90"/>
      <c r="B162" s="90"/>
      <c r="C162" s="90"/>
      <c r="D162" s="90"/>
      <c r="E162" s="90" t="s">
        <v>731</v>
      </c>
      <c r="F162" s="91">
        <v>44846</v>
      </c>
      <c r="G162" s="90" t="s">
        <v>3014</v>
      </c>
      <c r="H162" s="90" t="s">
        <v>1094</v>
      </c>
      <c r="I162" s="90" t="s">
        <v>3110</v>
      </c>
      <c r="J162" s="90" t="s">
        <v>735</v>
      </c>
      <c r="K162" s="93">
        <v>79.989999999999995</v>
      </c>
    </row>
    <row r="163" spans="1:11" ht="15" customHeight="1" x14ac:dyDescent="0.4">
      <c r="A163" s="90"/>
      <c r="B163" s="90"/>
      <c r="C163" s="90"/>
      <c r="D163" s="90"/>
      <c r="E163" s="90" t="s">
        <v>731</v>
      </c>
      <c r="F163" s="91">
        <v>44846</v>
      </c>
      <c r="G163" s="90" t="s">
        <v>3015</v>
      </c>
      <c r="H163" s="90" t="s">
        <v>1094</v>
      </c>
      <c r="I163" s="90" t="s">
        <v>3111</v>
      </c>
      <c r="J163" s="90" t="s">
        <v>735</v>
      </c>
      <c r="K163" s="93">
        <v>6</v>
      </c>
    </row>
    <row r="164" spans="1:11" ht="15" customHeight="1" x14ac:dyDescent="0.4">
      <c r="A164" s="90"/>
      <c r="B164" s="90"/>
      <c r="C164" s="90"/>
      <c r="D164" s="90"/>
      <c r="E164" s="90" t="s">
        <v>731</v>
      </c>
      <c r="F164" s="91">
        <v>44847</v>
      </c>
      <c r="G164" s="90" t="s">
        <v>3016</v>
      </c>
      <c r="H164" s="90" t="s">
        <v>1094</v>
      </c>
      <c r="I164" s="90" t="s">
        <v>3112</v>
      </c>
      <c r="J164" s="90" t="s">
        <v>735</v>
      </c>
      <c r="K164" s="93">
        <v>6.5</v>
      </c>
    </row>
    <row r="165" spans="1:11" ht="15" customHeight="1" x14ac:dyDescent="0.4">
      <c r="A165" s="90"/>
      <c r="B165" s="90"/>
      <c r="C165" s="90"/>
      <c r="D165" s="90"/>
      <c r="E165" s="90" t="s">
        <v>653</v>
      </c>
      <c r="F165" s="91">
        <v>44853</v>
      </c>
      <c r="G165" s="90" t="s">
        <v>3017</v>
      </c>
      <c r="H165" s="90" t="s">
        <v>1097</v>
      </c>
      <c r="I165" s="90" t="s">
        <v>3113</v>
      </c>
      <c r="J165" s="90" t="s">
        <v>678</v>
      </c>
      <c r="K165" s="93">
        <v>15000</v>
      </c>
    </row>
    <row r="166" spans="1:11" ht="15" customHeight="1" x14ac:dyDescent="0.4">
      <c r="A166" s="90"/>
      <c r="B166" s="90"/>
      <c r="C166" s="90"/>
      <c r="D166" s="90"/>
      <c r="E166" s="90" t="s">
        <v>653</v>
      </c>
      <c r="F166" s="91">
        <v>44855</v>
      </c>
      <c r="G166" s="90" t="s">
        <v>3018</v>
      </c>
      <c r="H166" s="90" t="s">
        <v>1102</v>
      </c>
      <c r="I166" s="90" t="s">
        <v>3114</v>
      </c>
      <c r="J166" s="90" t="s">
        <v>678</v>
      </c>
      <c r="K166" s="93">
        <v>26620.959999999999</v>
      </c>
    </row>
    <row r="167" spans="1:11" ht="15" customHeight="1" x14ac:dyDescent="0.4">
      <c r="A167" s="90"/>
      <c r="B167" s="90"/>
      <c r="C167" s="90"/>
      <c r="D167" s="90"/>
      <c r="E167" s="90" t="s">
        <v>653</v>
      </c>
      <c r="F167" s="91">
        <v>44855</v>
      </c>
      <c r="G167" s="90" t="s">
        <v>3018</v>
      </c>
      <c r="H167" s="90" t="s">
        <v>1102</v>
      </c>
      <c r="I167" s="90" t="s">
        <v>3096</v>
      </c>
      <c r="J167" s="90" t="s">
        <v>678</v>
      </c>
      <c r="K167" s="93">
        <v>3400</v>
      </c>
    </row>
    <row r="168" spans="1:11" ht="15" customHeight="1" x14ac:dyDescent="0.4">
      <c r="A168" s="90"/>
      <c r="B168" s="90"/>
      <c r="C168" s="90"/>
      <c r="D168" s="90"/>
      <c r="E168" s="90" t="s">
        <v>653</v>
      </c>
      <c r="F168" s="91">
        <v>44859</v>
      </c>
      <c r="G168" s="90" t="s">
        <v>3019</v>
      </c>
      <c r="H168" s="90" t="s">
        <v>1092</v>
      </c>
      <c r="I168" s="90" t="s">
        <v>1108</v>
      </c>
      <c r="J168" s="90" t="s">
        <v>678</v>
      </c>
      <c r="K168" s="93">
        <v>5000</v>
      </c>
    </row>
    <row r="169" spans="1:11" ht="15" customHeight="1" x14ac:dyDescent="0.4">
      <c r="A169" s="90"/>
      <c r="B169" s="90"/>
      <c r="C169" s="90"/>
      <c r="D169" s="90"/>
      <c r="E169" s="90" t="s">
        <v>731</v>
      </c>
      <c r="F169" s="91">
        <v>44865</v>
      </c>
      <c r="G169" s="90" t="s">
        <v>3020</v>
      </c>
      <c r="H169" s="90" t="s">
        <v>1093</v>
      </c>
      <c r="I169" s="90" t="s">
        <v>3087</v>
      </c>
      <c r="J169" s="90" t="s">
        <v>735</v>
      </c>
      <c r="K169" s="93">
        <v>228</v>
      </c>
    </row>
    <row r="170" spans="1:11" ht="15" customHeight="1" x14ac:dyDescent="0.4">
      <c r="A170" s="90"/>
      <c r="B170" s="90"/>
      <c r="C170" s="90"/>
      <c r="D170" s="90"/>
      <c r="E170" s="90" t="s">
        <v>653</v>
      </c>
      <c r="F170" s="91">
        <v>44867</v>
      </c>
      <c r="G170" s="90" t="s">
        <v>3021</v>
      </c>
      <c r="H170" s="90" t="s">
        <v>1098</v>
      </c>
      <c r="I170" s="90" t="s">
        <v>1116</v>
      </c>
      <c r="J170" s="90" t="s">
        <v>678</v>
      </c>
      <c r="K170" s="93">
        <v>70</v>
      </c>
    </row>
    <row r="171" spans="1:11" ht="15" customHeight="1" x14ac:dyDescent="0.4">
      <c r="A171" s="90"/>
      <c r="B171" s="90"/>
      <c r="C171" s="90"/>
      <c r="D171" s="90"/>
      <c r="E171" s="90" t="s">
        <v>653</v>
      </c>
      <c r="F171" s="91">
        <v>44869</v>
      </c>
      <c r="G171" s="90" t="s">
        <v>3022</v>
      </c>
      <c r="H171" s="90" t="s">
        <v>1097</v>
      </c>
      <c r="I171" s="90" t="s">
        <v>3115</v>
      </c>
      <c r="J171" s="90" t="s">
        <v>678</v>
      </c>
      <c r="K171" s="93">
        <v>5000</v>
      </c>
    </row>
    <row r="172" spans="1:11" ht="15" customHeight="1" x14ac:dyDescent="0.4">
      <c r="A172" s="90"/>
      <c r="B172" s="90"/>
      <c r="C172" s="90"/>
      <c r="D172" s="90"/>
      <c r="E172" s="90" t="s">
        <v>653</v>
      </c>
      <c r="F172" s="91">
        <v>44869</v>
      </c>
      <c r="G172" s="90" t="s">
        <v>3023</v>
      </c>
      <c r="H172" s="90" t="s">
        <v>1464</v>
      </c>
      <c r="I172" s="90" t="s">
        <v>3116</v>
      </c>
      <c r="J172" s="90" t="s">
        <v>678</v>
      </c>
      <c r="K172" s="93">
        <v>2600</v>
      </c>
    </row>
    <row r="173" spans="1:11" ht="15" customHeight="1" x14ac:dyDescent="0.4">
      <c r="A173" s="90"/>
      <c r="B173" s="90"/>
      <c r="C173" s="90"/>
      <c r="D173" s="90"/>
      <c r="E173" s="90" t="s">
        <v>653</v>
      </c>
      <c r="F173" s="91">
        <v>44872</v>
      </c>
      <c r="G173" s="90" t="s">
        <v>3024</v>
      </c>
      <c r="H173" s="90" t="s">
        <v>1097</v>
      </c>
      <c r="I173" s="90" t="s">
        <v>3115</v>
      </c>
      <c r="J173" s="90" t="s">
        <v>678</v>
      </c>
      <c r="K173" s="93">
        <v>8500</v>
      </c>
    </row>
    <row r="174" spans="1:11" ht="15" customHeight="1" x14ac:dyDescent="0.4">
      <c r="A174" s="90"/>
      <c r="B174" s="90"/>
      <c r="C174" s="90"/>
      <c r="D174" s="90"/>
      <c r="E174" s="90" t="s">
        <v>653</v>
      </c>
      <c r="F174" s="91">
        <v>44874</v>
      </c>
      <c r="G174" s="90" t="s">
        <v>3025</v>
      </c>
      <c r="H174" s="90" t="s">
        <v>374</v>
      </c>
      <c r="I174" s="90" t="s">
        <v>1140</v>
      </c>
      <c r="J174" s="90" t="s">
        <v>678</v>
      </c>
      <c r="K174" s="93">
        <v>1375</v>
      </c>
    </row>
    <row r="175" spans="1:11" ht="15" customHeight="1" x14ac:dyDescent="0.4">
      <c r="A175" s="90"/>
      <c r="B175" s="90"/>
      <c r="C175" s="90"/>
      <c r="D175" s="90"/>
      <c r="E175" s="90" t="s">
        <v>653</v>
      </c>
      <c r="F175" s="91">
        <v>44875</v>
      </c>
      <c r="G175" s="90" t="s">
        <v>3026</v>
      </c>
      <c r="H175" s="90" t="s">
        <v>1099</v>
      </c>
      <c r="I175" s="90" t="s">
        <v>3117</v>
      </c>
      <c r="J175" s="90" t="s">
        <v>678</v>
      </c>
      <c r="K175" s="93">
        <v>1200</v>
      </c>
    </row>
    <row r="176" spans="1:11" ht="15" customHeight="1" x14ac:dyDescent="0.4">
      <c r="A176" s="90"/>
      <c r="B176" s="90"/>
      <c r="C176" s="90"/>
      <c r="D176" s="90"/>
      <c r="E176" s="90" t="s">
        <v>653</v>
      </c>
      <c r="F176" s="91">
        <v>44875</v>
      </c>
      <c r="G176" s="90" t="s">
        <v>3027</v>
      </c>
      <c r="H176" s="90" t="s">
        <v>1096</v>
      </c>
      <c r="I176" s="90" t="s">
        <v>3118</v>
      </c>
      <c r="J176" s="90" t="s">
        <v>678</v>
      </c>
      <c r="K176" s="93">
        <v>45</v>
      </c>
    </row>
    <row r="177" spans="1:11" ht="15" customHeight="1" x14ac:dyDescent="0.4">
      <c r="A177" s="90"/>
      <c r="B177" s="90"/>
      <c r="C177" s="90"/>
      <c r="D177" s="90"/>
      <c r="E177" s="90" t="s">
        <v>653</v>
      </c>
      <c r="F177" s="91">
        <v>44875</v>
      </c>
      <c r="G177" s="90" t="s">
        <v>3027</v>
      </c>
      <c r="H177" s="90" t="s">
        <v>1096</v>
      </c>
      <c r="I177" s="90" t="s">
        <v>3119</v>
      </c>
      <c r="J177" s="90" t="s">
        <v>678</v>
      </c>
      <c r="K177" s="93">
        <v>45</v>
      </c>
    </row>
    <row r="178" spans="1:11" ht="15" customHeight="1" x14ac:dyDescent="0.4">
      <c r="A178" s="90"/>
      <c r="B178" s="90"/>
      <c r="C178" s="90"/>
      <c r="D178" s="90"/>
      <c r="E178" s="90" t="s">
        <v>653</v>
      </c>
      <c r="F178" s="91">
        <v>44875</v>
      </c>
      <c r="G178" s="90" t="s">
        <v>3027</v>
      </c>
      <c r="H178" s="90" t="s">
        <v>1096</v>
      </c>
      <c r="I178" s="90" t="s">
        <v>3120</v>
      </c>
      <c r="J178" s="90" t="s">
        <v>678</v>
      </c>
      <c r="K178" s="93">
        <v>45</v>
      </c>
    </row>
    <row r="179" spans="1:11" ht="15" customHeight="1" x14ac:dyDescent="0.4">
      <c r="A179" s="90"/>
      <c r="B179" s="90"/>
      <c r="C179" s="90"/>
      <c r="D179" s="90"/>
      <c r="E179" s="90" t="s">
        <v>653</v>
      </c>
      <c r="F179" s="91">
        <v>44876</v>
      </c>
      <c r="G179" s="90" t="s">
        <v>3028</v>
      </c>
      <c r="H179" s="90" t="s">
        <v>3052</v>
      </c>
      <c r="I179" s="90" t="s">
        <v>3065</v>
      </c>
      <c r="J179" s="90" t="s">
        <v>678</v>
      </c>
      <c r="K179" s="93">
        <v>800</v>
      </c>
    </row>
    <row r="180" spans="1:11" ht="15" customHeight="1" x14ac:dyDescent="0.4">
      <c r="A180" s="90"/>
      <c r="B180" s="90"/>
      <c r="C180" s="90"/>
      <c r="D180" s="90"/>
      <c r="E180" s="90" t="s">
        <v>653</v>
      </c>
      <c r="F180" s="91">
        <v>44883</v>
      </c>
      <c r="G180" s="90" t="s">
        <v>3029</v>
      </c>
      <c r="H180" s="90" t="s">
        <v>1097</v>
      </c>
      <c r="I180" s="90" t="s">
        <v>3121</v>
      </c>
      <c r="J180" s="90" t="s">
        <v>678</v>
      </c>
      <c r="K180" s="93">
        <v>5000</v>
      </c>
    </row>
    <row r="181" spans="1:11" ht="15" customHeight="1" x14ac:dyDescent="0.4">
      <c r="A181" s="90"/>
      <c r="B181" s="90"/>
      <c r="C181" s="90"/>
      <c r="D181" s="90"/>
      <c r="E181" s="90" t="s">
        <v>653</v>
      </c>
      <c r="F181" s="91">
        <v>44893</v>
      </c>
      <c r="G181" s="90" t="s">
        <v>3030</v>
      </c>
      <c r="H181" s="90" t="s">
        <v>3059</v>
      </c>
      <c r="I181" s="90" t="s">
        <v>3122</v>
      </c>
      <c r="J181" s="90" t="s">
        <v>678</v>
      </c>
      <c r="K181" s="93">
        <v>3684.8</v>
      </c>
    </row>
    <row r="182" spans="1:11" ht="15" customHeight="1" x14ac:dyDescent="0.4">
      <c r="A182" s="90"/>
      <c r="B182" s="90"/>
      <c r="C182" s="90"/>
      <c r="D182" s="90"/>
      <c r="E182" s="90" t="s">
        <v>653</v>
      </c>
      <c r="F182" s="91">
        <v>44894</v>
      </c>
      <c r="G182" s="90" t="s">
        <v>3031</v>
      </c>
      <c r="H182" s="90" t="s">
        <v>1102</v>
      </c>
      <c r="I182" s="90" t="s">
        <v>3114</v>
      </c>
      <c r="J182" s="90" t="s">
        <v>678</v>
      </c>
      <c r="K182" s="93">
        <v>38316.239999999998</v>
      </c>
    </row>
    <row r="183" spans="1:11" ht="15" customHeight="1" x14ac:dyDescent="0.4">
      <c r="A183" s="90"/>
      <c r="B183" s="90"/>
      <c r="C183" s="90"/>
      <c r="D183" s="90"/>
      <c r="E183" s="90" t="s">
        <v>653</v>
      </c>
      <c r="F183" s="91">
        <v>44894</v>
      </c>
      <c r="G183" s="90" t="s">
        <v>3031</v>
      </c>
      <c r="H183" s="90" t="s">
        <v>1102</v>
      </c>
      <c r="I183" s="90" t="s">
        <v>3123</v>
      </c>
      <c r="J183" s="90" t="s">
        <v>678</v>
      </c>
      <c r="K183" s="93">
        <v>500</v>
      </c>
    </row>
    <row r="184" spans="1:11" ht="15" customHeight="1" x14ac:dyDescent="0.4">
      <c r="A184" s="90"/>
      <c r="B184" s="90"/>
      <c r="C184" s="90"/>
      <c r="D184" s="90"/>
      <c r="E184" s="90" t="s">
        <v>653</v>
      </c>
      <c r="F184" s="91">
        <v>44894</v>
      </c>
      <c r="G184" s="90" t="s">
        <v>3031</v>
      </c>
      <c r="H184" s="90" t="s">
        <v>1102</v>
      </c>
      <c r="I184" s="90" t="s">
        <v>3124</v>
      </c>
      <c r="J184" s="90" t="s">
        <v>678</v>
      </c>
      <c r="K184" s="93">
        <v>380</v>
      </c>
    </row>
    <row r="185" spans="1:11" ht="15" customHeight="1" x14ac:dyDescent="0.4">
      <c r="A185" s="90"/>
      <c r="B185" s="90"/>
      <c r="C185" s="90"/>
      <c r="D185" s="90"/>
      <c r="E185" s="90" t="s">
        <v>653</v>
      </c>
      <c r="F185" s="91">
        <v>44895</v>
      </c>
      <c r="G185" s="90" t="s">
        <v>3032</v>
      </c>
      <c r="H185" s="90" t="s">
        <v>1092</v>
      </c>
      <c r="I185" s="90" t="s">
        <v>1108</v>
      </c>
      <c r="J185" s="90" t="s">
        <v>678</v>
      </c>
      <c r="K185" s="93">
        <v>5000</v>
      </c>
    </row>
    <row r="186" spans="1:11" ht="15" customHeight="1" x14ac:dyDescent="0.4">
      <c r="A186" s="90"/>
      <c r="B186" s="90"/>
      <c r="C186" s="90"/>
      <c r="D186" s="90"/>
      <c r="E186" s="90" t="s">
        <v>731</v>
      </c>
      <c r="F186" s="91">
        <v>44895</v>
      </c>
      <c r="G186" s="90" t="s">
        <v>3033</v>
      </c>
      <c r="H186" s="90" t="s">
        <v>1093</v>
      </c>
      <c r="I186" s="90" t="s">
        <v>3087</v>
      </c>
      <c r="J186" s="90" t="s">
        <v>735</v>
      </c>
      <c r="K186" s="93">
        <v>228</v>
      </c>
    </row>
    <row r="187" spans="1:11" ht="15" customHeight="1" x14ac:dyDescent="0.4">
      <c r="A187" s="90"/>
      <c r="B187" s="90"/>
      <c r="C187" s="90"/>
      <c r="D187" s="90"/>
      <c r="E187" s="90" t="s">
        <v>653</v>
      </c>
      <c r="F187" s="91">
        <v>44896</v>
      </c>
      <c r="G187" s="90" t="s">
        <v>3034</v>
      </c>
      <c r="H187" s="90" t="s">
        <v>3060</v>
      </c>
      <c r="I187" s="90" t="s">
        <v>3138</v>
      </c>
      <c r="J187" s="90" t="s">
        <v>678</v>
      </c>
      <c r="K187" s="93">
        <v>1869.6</v>
      </c>
    </row>
    <row r="188" spans="1:11" ht="15" customHeight="1" x14ac:dyDescent="0.4">
      <c r="A188" s="90"/>
      <c r="B188" s="90"/>
      <c r="C188" s="90"/>
      <c r="D188" s="90"/>
      <c r="E188" s="90" t="s">
        <v>653</v>
      </c>
      <c r="F188" s="91">
        <v>44901</v>
      </c>
      <c r="G188" s="90" t="s">
        <v>3035</v>
      </c>
      <c r="H188" s="90" t="s">
        <v>1095</v>
      </c>
      <c r="I188" s="90" t="s">
        <v>3125</v>
      </c>
      <c r="J188" s="90" t="s">
        <v>678</v>
      </c>
      <c r="K188" s="93">
        <v>450</v>
      </c>
    </row>
    <row r="189" spans="1:11" ht="15" customHeight="1" x14ac:dyDescent="0.4">
      <c r="A189" s="90"/>
      <c r="B189" s="90"/>
      <c r="C189" s="90"/>
      <c r="D189" s="90"/>
      <c r="E189" s="90" t="s">
        <v>653</v>
      </c>
      <c r="F189" s="91">
        <v>44901</v>
      </c>
      <c r="G189" s="90" t="s">
        <v>3036</v>
      </c>
      <c r="H189" s="90" t="s">
        <v>1095</v>
      </c>
      <c r="I189" s="90" t="s">
        <v>3126</v>
      </c>
      <c r="J189" s="90" t="s">
        <v>678</v>
      </c>
      <c r="K189" s="93">
        <v>450</v>
      </c>
    </row>
    <row r="190" spans="1:11" ht="15" customHeight="1" x14ac:dyDescent="0.4">
      <c r="A190" s="90"/>
      <c r="B190" s="90"/>
      <c r="C190" s="90"/>
      <c r="D190" s="90"/>
      <c r="E190" s="90" t="s">
        <v>731</v>
      </c>
      <c r="F190" s="91">
        <v>44902</v>
      </c>
      <c r="G190" s="90" t="s">
        <v>3037</v>
      </c>
      <c r="H190" s="90" t="s">
        <v>1094</v>
      </c>
      <c r="I190" s="90" t="s">
        <v>3127</v>
      </c>
      <c r="J190" s="90" t="s">
        <v>735</v>
      </c>
      <c r="K190" s="93">
        <v>18.5</v>
      </c>
    </row>
    <row r="191" spans="1:11" ht="15" customHeight="1" x14ac:dyDescent="0.4">
      <c r="A191" s="90"/>
      <c r="B191" s="90"/>
      <c r="C191" s="90"/>
      <c r="D191" s="90"/>
      <c r="E191" s="90" t="s">
        <v>731</v>
      </c>
      <c r="F191" s="91">
        <v>44902</v>
      </c>
      <c r="G191" s="90" t="s">
        <v>3038</v>
      </c>
      <c r="H191" s="90" t="s">
        <v>1094</v>
      </c>
      <c r="I191" s="90" t="s">
        <v>3128</v>
      </c>
      <c r="J191" s="90" t="s">
        <v>735</v>
      </c>
      <c r="K191" s="93">
        <v>94.98</v>
      </c>
    </row>
    <row r="192" spans="1:11" ht="15" customHeight="1" x14ac:dyDescent="0.4">
      <c r="A192" s="90"/>
      <c r="B192" s="90"/>
      <c r="C192" s="90"/>
      <c r="D192" s="90"/>
      <c r="E192" s="90" t="s">
        <v>731</v>
      </c>
      <c r="F192" s="91">
        <v>44907</v>
      </c>
      <c r="G192" s="90" t="s">
        <v>3039</v>
      </c>
      <c r="H192" s="90" t="s">
        <v>3053</v>
      </c>
      <c r="I192" s="90" t="s">
        <v>3066</v>
      </c>
      <c r="J192" s="90" t="s">
        <v>735</v>
      </c>
      <c r="K192" s="93">
        <v>500</v>
      </c>
    </row>
    <row r="193" spans="1:11" ht="15" customHeight="1" x14ac:dyDescent="0.4">
      <c r="A193" s="90"/>
      <c r="B193" s="90"/>
      <c r="C193" s="90"/>
      <c r="D193" s="90"/>
      <c r="E193" s="90" t="s">
        <v>653</v>
      </c>
      <c r="F193" s="91">
        <v>44908</v>
      </c>
      <c r="G193" s="90" t="s">
        <v>3040</v>
      </c>
      <c r="H193" s="90" t="s">
        <v>1095</v>
      </c>
      <c r="I193" s="90" t="s">
        <v>3129</v>
      </c>
      <c r="J193" s="90" t="s">
        <v>678</v>
      </c>
      <c r="K193" s="93">
        <v>450</v>
      </c>
    </row>
    <row r="194" spans="1:11" ht="15" customHeight="1" x14ac:dyDescent="0.4">
      <c r="A194" s="90"/>
      <c r="B194" s="90"/>
      <c r="C194" s="90"/>
      <c r="D194" s="90"/>
      <c r="E194" s="90" t="s">
        <v>653</v>
      </c>
      <c r="F194" s="91">
        <v>44908</v>
      </c>
      <c r="G194" s="90" t="s">
        <v>3041</v>
      </c>
      <c r="H194" s="90" t="s">
        <v>1095</v>
      </c>
      <c r="I194" s="90" t="s">
        <v>3130</v>
      </c>
      <c r="J194" s="90" t="s">
        <v>678</v>
      </c>
      <c r="K194" s="93">
        <v>450</v>
      </c>
    </row>
    <row r="195" spans="1:11" ht="15" customHeight="1" x14ac:dyDescent="0.4">
      <c r="A195" s="90"/>
      <c r="B195" s="90"/>
      <c r="C195" s="90"/>
      <c r="D195" s="90"/>
      <c r="E195" s="90" t="s">
        <v>653</v>
      </c>
      <c r="F195" s="91">
        <v>44908</v>
      </c>
      <c r="G195" s="90" t="s">
        <v>3042</v>
      </c>
      <c r="H195" s="90" t="s">
        <v>1095</v>
      </c>
      <c r="I195" s="90" t="s">
        <v>3131</v>
      </c>
      <c r="J195" s="90" t="s">
        <v>678</v>
      </c>
      <c r="K195" s="93">
        <v>750</v>
      </c>
    </row>
    <row r="196" spans="1:11" ht="15" customHeight="1" x14ac:dyDescent="0.4">
      <c r="A196" s="90"/>
      <c r="B196" s="90"/>
      <c r="C196" s="90"/>
      <c r="D196" s="90"/>
      <c r="E196" s="90" t="s">
        <v>653</v>
      </c>
      <c r="F196" s="91">
        <v>44911</v>
      </c>
      <c r="G196" s="90" t="s">
        <v>3043</v>
      </c>
      <c r="H196" s="90" t="s">
        <v>3061</v>
      </c>
      <c r="I196" s="90" t="s">
        <v>3132</v>
      </c>
      <c r="J196" s="90" t="s">
        <v>678</v>
      </c>
      <c r="K196" s="93">
        <v>219.05</v>
      </c>
    </row>
    <row r="197" spans="1:11" ht="15" customHeight="1" x14ac:dyDescent="0.4">
      <c r="A197" s="90"/>
      <c r="B197" s="90"/>
      <c r="C197" s="90"/>
      <c r="D197" s="90"/>
      <c r="E197" s="90" t="s">
        <v>653</v>
      </c>
      <c r="F197" s="91">
        <v>44915</v>
      </c>
      <c r="G197" s="90" t="s">
        <v>3044</v>
      </c>
      <c r="H197" s="90" t="s">
        <v>3052</v>
      </c>
      <c r="I197" s="90" t="s">
        <v>3133</v>
      </c>
      <c r="J197" s="90" t="s">
        <v>678</v>
      </c>
      <c r="K197" s="93">
        <v>800</v>
      </c>
    </row>
    <row r="198" spans="1:11" ht="15" customHeight="1" x14ac:dyDescent="0.4">
      <c r="A198" s="90"/>
      <c r="B198" s="90"/>
      <c r="C198" s="90"/>
      <c r="D198" s="90"/>
      <c r="E198" s="90" t="s">
        <v>653</v>
      </c>
      <c r="F198" s="91">
        <v>44915</v>
      </c>
      <c r="G198" s="90" t="s">
        <v>3045</v>
      </c>
      <c r="H198" s="90" t="s">
        <v>1097</v>
      </c>
      <c r="I198" s="90" t="s">
        <v>3121</v>
      </c>
      <c r="J198" s="90" t="s">
        <v>678</v>
      </c>
      <c r="K198" s="93">
        <v>1485</v>
      </c>
    </row>
    <row r="199" spans="1:11" ht="15" customHeight="1" x14ac:dyDescent="0.4">
      <c r="A199" s="90"/>
      <c r="B199" s="90"/>
      <c r="C199" s="90"/>
      <c r="D199" s="90"/>
      <c r="E199" s="90" t="s">
        <v>653</v>
      </c>
      <c r="F199" s="91">
        <v>44917</v>
      </c>
      <c r="G199" s="90" t="s">
        <v>3046</v>
      </c>
      <c r="H199" s="90" t="s">
        <v>1095</v>
      </c>
      <c r="I199" s="90" t="s">
        <v>3134</v>
      </c>
      <c r="J199" s="90" t="s">
        <v>678</v>
      </c>
      <c r="K199" s="93">
        <v>450</v>
      </c>
    </row>
    <row r="200" spans="1:11" ht="15" customHeight="1" x14ac:dyDescent="0.4">
      <c r="A200" s="90"/>
      <c r="B200" s="90"/>
      <c r="C200" s="90"/>
      <c r="D200" s="90"/>
      <c r="E200" s="90" t="s">
        <v>653</v>
      </c>
      <c r="F200" s="91">
        <v>44923</v>
      </c>
      <c r="G200" s="90" t="s">
        <v>3047</v>
      </c>
      <c r="H200" s="90" t="s">
        <v>1098</v>
      </c>
      <c r="I200" s="90" t="s">
        <v>1116</v>
      </c>
      <c r="J200" s="90" t="s">
        <v>678</v>
      </c>
      <c r="K200" s="93">
        <v>70</v>
      </c>
    </row>
    <row r="201" spans="1:11" ht="15" customHeight="1" x14ac:dyDescent="0.4">
      <c r="A201" s="90"/>
      <c r="B201" s="90"/>
      <c r="C201" s="90"/>
      <c r="D201" s="90"/>
      <c r="E201" s="90" t="s">
        <v>653</v>
      </c>
      <c r="F201" s="91">
        <v>44926</v>
      </c>
      <c r="G201" s="90" t="s">
        <v>2944</v>
      </c>
      <c r="H201" s="90" t="s">
        <v>374</v>
      </c>
      <c r="I201" s="90" t="s">
        <v>1140</v>
      </c>
      <c r="J201" s="90" t="s">
        <v>678</v>
      </c>
      <c r="K201" s="93">
        <v>1000</v>
      </c>
    </row>
    <row r="202" spans="1:11" ht="15" customHeight="1" x14ac:dyDescent="0.4">
      <c r="A202" s="90"/>
      <c r="B202" s="90"/>
      <c r="C202" s="90"/>
      <c r="D202" s="90"/>
      <c r="E202" s="90" t="s">
        <v>653</v>
      </c>
      <c r="F202" s="91">
        <v>44926</v>
      </c>
      <c r="G202" s="90" t="s">
        <v>3048</v>
      </c>
      <c r="H202" s="90" t="s">
        <v>1097</v>
      </c>
      <c r="I202" s="90" t="s">
        <v>3121</v>
      </c>
      <c r="J202" s="90" t="s">
        <v>678</v>
      </c>
      <c r="K202" s="93">
        <v>990</v>
      </c>
    </row>
    <row r="203" spans="1:11" ht="15" customHeight="1" x14ac:dyDescent="0.4">
      <c r="A203" s="90"/>
      <c r="B203" s="90"/>
      <c r="C203" s="90"/>
      <c r="D203" s="90"/>
      <c r="E203" s="90" t="s">
        <v>653</v>
      </c>
      <c r="F203" s="91">
        <v>44926</v>
      </c>
      <c r="G203" s="90" t="s">
        <v>3048</v>
      </c>
      <c r="H203" s="90" t="s">
        <v>1097</v>
      </c>
      <c r="I203" s="90" t="s">
        <v>3121</v>
      </c>
      <c r="J203" s="90" t="s">
        <v>678</v>
      </c>
      <c r="K203" s="93">
        <v>990</v>
      </c>
    </row>
    <row r="204" spans="1:11" ht="15" customHeight="1" x14ac:dyDescent="0.4">
      <c r="A204" s="90"/>
      <c r="B204" s="90"/>
      <c r="C204" s="90"/>
      <c r="D204" s="90"/>
      <c r="E204" s="90" t="s">
        <v>653</v>
      </c>
      <c r="F204" s="91">
        <v>44926</v>
      </c>
      <c r="G204" s="90" t="s">
        <v>3049</v>
      </c>
      <c r="H204" s="90" t="s">
        <v>1096</v>
      </c>
      <c r="I204" s="90" t="s">
        <v>3135</v>
      </c>
      <c r="J204" s="90" t="s">
        <v>678</v>
      </c>
      <c r="K204" s="93">
        <v>45</v>
      </c>
    </row>
    <row r="205" spans="1:11" ht="15" customHeight="1" thickBot="1" x14ac:dyDescent="0.45">
      <c r="A205" s="90"/>
      <c r="B205" s="90"/>
      <c r="C205" s="90"/>
      <c r="D205" s="90"/>
      <c r="E205" s="90" t="s">
        <v>731</v>
      </c>
      <c r="F205" s="91">
        <v>44926</v>
      </c>
      <c r="G205" s="90" t="s">
        <v>3050</v>
      </c>
      <c r="H205" s="90" t="s">
        <v>1093</v>
      </c>
      <c r="I205" s="90" t="s">
        <v>3087</v>
      </c>
      <c r="J205" s="90" t="s">
        <v>735</v>
      </c>
      <c r="K205" s="445">
        <v>228</v>
      </c>
    </row>
    <row r="206" spans="1:11" ht="15" customHeight="1" thickBot="1" x14ac:dyDescent="0.45">
      <c r="A206" s="90"/>
      <c r="B206" s="90"/>
      <c r="C206" s="90" t="s">
        <v>1057</v>
      </c>
      <c r="D206" s="90"/>
      <c r="E206" s="90"/>
      <c r="F206" s="91"/>
      <c r="G206" s="90"/>
      <c r="H206" s="90"/>
      <c r="I206" s="90"/>
      <c r="J206" s="90"/>
      <c r="K206" s="446">
        <v>828099.26</v>
      </c>
    </row>
    <row r="207" spans="1:11" ht="15" customHeight="1" thickBot="1" x14ac:dyDescent="0.45">
      <c r="A207" s="90"/>
      <c r="B207" s="90" t="s">
        <v>754</v>
      </c>
      <c r="C207" s="90"/>
      <c r="D207" s="90"/>
      <c r="E207" s="90"/>
      <c r="F207" s="91"/>
      <c r="G207" s="90"/>
      <c r="H207" s="90"/>
      <c r="I207" s="90"/>
      <c r="J207" s="90"/>
      <c r="K207" s="446">
        <f>K206</f>
        <v>828099.26</v>
      </c>
    </row>
    <row r="208" spans="1:11" ht="15" customHeight="1" thickBot="1" x14ac:dyDescent="0.45">
      <c r="A208" s="90" t="s">
        <v>158</v>
      </c>
      <c r="B208" s="90"/>
      <c r="C208" s="90"/>
      <c r="D208" s="90"/>
      <c r="E208" s="90"/>
      <c r="F208" s="91"/>
      <c r="G208" s="90"/>
      <c r="H208" s="90"/>
      <c r="I208" s="90"/>
      <c r="J208" s="90"/>
      <c r="K208" s="447">
        <f>K207</f>
        <v>828099.26</v>
      </c>
    </row>
    <row r="209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10:09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85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8549" r:id="rId4" name="FILTER"/>
      </mc:Fallback>
    </mc:AlternateContent>
    <mc:AlternateContent xmlns:mc="http://schemas.openxmlformats.org/markup-compatibility/2006">
      <mc:Choice Requires="x14">
        <control shapeId="1085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8550" r:id="rId6" name="HEADER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/>
  <dimension ref="A1:K77"/>
  <sheetViews>
    <sheetView workbookViewId="0">
      <pane xSplit="3" ySplit="1" topLeftCell="D52" activePane="bottomRight" state="frozenSplit"/>
      <selection pane="topRight" activeCell="D1" sqref="D1"/>
      <selection pane="bottomLeft" activeCell="A2" sqref="A2"/>
      <selection pane="bottomRight" activeCell="H79" sqref="H79"/>
    </sheetView>
  </sheetViews>
  <sheetFormatPr defaultColWidth="14.3828125" defaultRowHeight="15" customHeight="1" x14ac:dyDescent="0.4"/>
  <cols>
    <col min="1" max="2" width="3" customWidth="1"/>
    <col min="3" max="3" width="25.3828125" customWidth="1"/>
    <col min="4" max="4" width="2.3046875" customWidth="1"/>
    <col min="5" max="5" width="17.69140625" bestFit="1" customWidth="1"/>
    <col min="6" max="6" width="10.69140625" bestFit="1" customWidth="1"/>
    <col min="7" max="7" width="15.84375" bestFit="1" customWidth="1"/>
    <col min="8" max="9" width="30.69140625" customWidth="1"/>
    <col min="10" max="10" width="27.382812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1143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1145</v>
      </c>
      <c r="H4" s="90" t="s">
        <v>3169</v>
      </c>
      <c r="I4" s="90" t="s">
        <v>1159</v>
      </c>
      <c r="J4" s="90" t="s">
        <v>678</v>
      </c>
      <c r="K4" s="93">
        <v>3189.53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44562</v>
      </c>
      <c r="G5" s="90" t="s">
        <v>1146</v>
      </c>
      <c r="H5" s="90" t="s">
        <v>801</v>
      </c>
      <c r="I5" s="90" t="s">
        <v>1160</v>
      </c>
      <c r="J5" s="90" t="s">
        <v>678</v>
      </c>
      <c r="K5" s="93">
        <v>124279.31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44562</v>
      </c>
      <c r="G6" s="90" t="s">
        <v>1146</v>
      </c>
      <c r="H6" s="90" t="s">
        <v>801</v>
      </c>
      <c r="I6" s="90" t="s">
        <v>1161</v>
      </c>
      <c r="J6" s="90" t="s">
        <v>678</v>
      </c>
      <c r="K6" s="93">
        <v>4316.29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44562</v>
      </c>
      <c r="G7" s="90" t="s">
        <v>1146</v>
      </c>
      <c r="H7" s="90" t="s">
        <v>801</v>
      </c>
      <c r="I7" s="90" t="s">
        <v>1162</v>
      </c>
      <c r="J7" s="90" t="s">
        <v>678</v>
      </c>
      <c r="K7" s="93">
        <v>1830.15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44562</v>
      </c>
      <c r="G8" s="90" t="s">
        <v>1146</v>
      </c>
      <c r="H8" s="90" t="s">
        <v>801</v>
      </c>
      <c r="I8" s="90" t="s">
        <v>1163</v>
      </c>
      <c r="J8" s="90" t="s">
        <v>678</v>
      </c>
      <c r="K8" s="93">
        <v>3731.95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44562</v>
      </c>
      <c r="G9" s="90" t="s">
        <v>1146</v>
      </c>
      <c r="H9" s="90" t="s">
        <v>801</v>
      </c>
      <c r="I9" s="90" t="s">
        <v>1164</v>
      </c>
      <c r="J9" s="90" t="s">
        <v>678</v>
      </c>
      <c r="K9" s="93">
        <v>3103.55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44568</v>
      </c>
      <c r="G10" s="90" t="s">
        <v>1147</v>
      </c>
      <c r="H10" s="90" t="s">
        <v>1155</v>
      </c>
      <c r="I10" s="90" t="s">
        <v>1165</v>
      </c>
      <c r="J10" s="90" t="s">
        <v>678</v>
      </c>
      <c r="K10" s="93">
        <v>4180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44568</v>
      </c>
      <c r="G11" s="90" t="s">
        <v>1060</v>
      </c>
      <c r="H11" s="90" t="s">
        <v>374</v>
      </c>
      <c r="I11" s="90" t="s">
        <v>1166</v>
      </c>
      <c r="J11" s="90" t="s">
        <v>678</v>
      </c>
      <c r="K11" s="93">
        <v>1200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44568</v>
      </c>
      <c r="G12" s="90" t="s">
        <v>1060</v>
      </c>
      <c r="H12" s="90" t="s">
        <v>374</v>
      </c>
      <c r="I12" s="90" t="s">
        <v>1167</v>
      </c>
      <c r="J12" s="90" t="s">
        <v>678</v>
      </c>
      <c r="K12" s="93">
        <v>12000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44568</v>
      </c>
      <c r="G13" s="90" t="s">
        <v>1060</v>
      </c>
      <c r="H13" s="90" t="s">
        <v>374</v>
      </c>
      <c r="I13" s="90" t="s">
        <v>1168</v>
      </c>
      <c r="J13" s="90" t="s">
        <v>678</v>
      </c>
      <c r="K13" s="93">
        <v>8000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44568</v>
      </c>
      <c r="G14" s="90" t="s">
        <v>1148</v>
      </c>
      <c r="H14" s="90" t="s">
        <v>1156</v>
      </c>
      <c r="I14" s="90" t="s">
        <v>1169</v>
      </c>
      <c r="J14" s="90" t="s">
        <v>678</v>
      </c>
      <c r="K14" s="93">
        <v>1531.54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44585</v>
      </c>
      <c r="G15" s="90" t="s">
        <v>1149</v>
      </c>
      <c r="H15" s="90" t="s">
        <v>3169</v>
      </c>
      <c r="I15" s="90" t="s">
        <v>1175</v>
      </c>
      <c r="J15" s="90" t="s">
        <v>678</v>
      </c>
      <c r="K15" s="93">
        <v>3307.5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44585</v>
      </c>
      <c r="G16" s="90" t="s">
        <v>1150</v>
      </c>
      <c r="H16" s="90" t="s">
        <v>1333</v>
      </c>
      <c r="I16" s="90" t="s">
        <v>1170</v>
      </c>
      <c r="J16" s="90" t="s">
        <v>678</v>
      </c>
      <c r="K16" s="93">
        <v>489.29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44588</v>
      </c>
      <c r="G17" s="90" t="s">
        <v>1151</v>
      </c>
      <c r="H17" s="90" t="s">
        <v>1157</v>
      </c>
      <c r="I17" s="90" t="s">
        <v>1171</v>
      </c>
      <c r="J17" s="90" t="s">
        <v>678</v>
      </c>
      <c r="K17" s="93">
        <v>655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44588</v>
      </c>
      <c r="G18" s="90" t="s">
        <v>1151</v>
      </c>
      <c r="H18" s="90" t="s">
        <v>1157</v>
      </c>
      <c r="I18" s="90" t="s">
        <v>1172</v>
      </c>
      <c r="J18" s="90" t="s">
        <v>678</v>
      </c>
      <c r="K18" s="93">
        <v>393</v>
      </c>
    </row>
    <row r="19" spans="1:11" ht="14.6" x14ac:dyDescent="0.4">
      <c r="A19" s="90"/>
      <c r="B19" s="90"/>
      <c r="C19" s="90"/>
      <c r="D19" s="90"/>
      <c r="E19" s="90" t="s">
        <v>731</v>
      </c>
      <c r="F19" s="91">
        <v>44597</v>
      </c>
      <c r="G19" s="90" t="s">
        <v>1152</v>
      </c>
      <c r="H19" s="90" t="s">
        <v>394</v>
      </c>
      <c r="I19" s="90" t="s">
        <v>1173</v>
      </c>
      <c r="J19" s="90" t="s">
        <v>735</v>
      </c>
      <c r="K19" s="93">
        <v>66.5</v>
      </c>
    </row>
    <row r="20" spans="1:11" ht="14.6" x14ac:dyDescent="0.4">
      <c r="A20" s="90"/>
      <c r="B20" s="90"/>
      <c r="C20" s="90"/>
      <c r="D20" s="90"/>
      <c r="E20" s="90" t="s">
        <v>731</v>
      </c>
      <c r="F20" s="91">
        <v>44604</v>
      </c>
      <c r="G20" s="90" t="s">
        <v>1497</v>
      </c>
      <c r="H20" s="90" t="s">
        <v>1504</v>
      </c>
      <c r="I20" s="90" t="s">
        <v>1505</v>
      </c>
      <c r="J20" s="90" t="s">
        <v>735</v>
      </c>
      <c r="K20" s="93">
        <v>42.99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44609</v>
      </c>
      <c r="G21" s="90" t="s">
        <v>1153</v>
      </c>
      <c r="H21" s="90" t="s">
        <v>1333</v>
      </c>
      <c r="I21" s="90" t="s">
        <v>1170</v>
      </c>
      <c r="J21" s="90" t="s">
        <v>678</v>
      </c>
      <c r="K21" s="93">
        <v>489.29</v>
      </c>
    </row>
    <row r="22" spans="1:11" ht="14.6" x14ac:dyDescent="0.4">
      <c r="A22" s="90"/>
      <c r="B22" s="90"/>
      <c r="C22" s="90"/>
      <c r="D22" s="90"/>
      <c r="E22" s="90" t="s">
        <v>731</v>
      </c>
      <c r="F22" s="91">
        <v>44625</v>
      </c>
      <c r="G22" s="90" t="s">
        <v>1498</v>
      </c>
      <c r="H22" s="90" t="s">
        <v>394</v>
      </c>
      <c r="I22" s="90" t="s">
        <v>1173</v>
      </c>
      <c r="J22" s="90" t="s">
        <v>735</v>
      </c>
      <c r="K22" s="93">
        <v>66.5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44630</v>
      </c>
      <c r="G23" s="90" t="s">
        <v>1154</v>
      </c>
      <c r="H23" s="90" t="s">
        <v>1158</v>
      </c>
      <c r="I23" s="90" t="s">
        <v>1174</v>
      </c>
      <c r="J23" s="90" t="s">
        <v>678</v>
      </c>
      <c r="K23" s="93">
        <v>2312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44637</v>
      </c>
      <c r="G24" s="90" t="s">
        <v>1499</v>
      </c>
      <c r="H24" s="90" t="s">
        <v>1333</v>
      </c>
      <c r="I24" s="90" t="s">
        <v>1170</v>
      </c>
      <c r="J24" s="90" t="s">
        <v>678</v>
      </c>
      <c r="K24" s="93">
        <v>489.29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44651</v>
      </c>
      <c r="G25" s="90" t="s">
        <v>1500</v>
      </c>
      <c r="H25" s="90" t="s">
        <v>801</v>
      </c>
      <c r="I25" s="90" t="s">
        <v>1506</v>
      </c>
      <c r="J25" s="90" t="s">
        <v>678</v>
      </c>
      <c r="K25" s="93">
        <v>50565</v>
      </c>
    </row>
    <row r="26" spans="1:11" ht="14.6" x14ac:dyDescent="0.4">
      <c r="A26" s="90"/>
      <c r="B26" s="90"/>
      <c r="C26" s="90"/>
      <c r="D26" s="90"/>
      <c r="E26" s="90" t="s">
        <v>652</v>
      </c>
      <c r="F26" s="91">
        <v>44651</v>
      </c>
      <c r="G26" s="90" t="s">
        <v>1501</v>
      </c>
      <c r="H26" s="90" t="s">
        <v>801</v>
      </c>
      <c r="I26" s="90" t="s">
        <v>1507</v>
      </c>
      <c r="J26" s="90" t="s">
        <v>678</v>
      </c>
      <c r="K26" s="93">
        <v>-12565</v>
      </c>
    </row>
    <row r="27" spans="1:11" ht="14.6" x14ac:dyDescent="0.4">
      <c r="A27" s="90"/>
      <c r="B27" s="90"/>
      <c r="C27" s="90"/>
      <c r="D27" s="90"/>
      <c r="E27" s="90" t="s">
        <v>731</v>
      </c>
      <c r="F27" s="91">
        <v>44656</v>
      </c>
      <c r="G27" s="90" t="s">
        <v>1502</v>
      </c>
      <c r="H27" s="90" t="s">
        <v>394</v>
      </c>
      <c r="I27" s="90" t="s">
        <v>1173</v>
      </c>
      <c r="J27" s="90" t="s">
        <v>735</v>
      </c>
      <c r="K27" s="93">
        <v>66.5</v>
      </c>
    </row>
    <row r="28" spans="1:11" ht="14.6" x14ac:dyDescent="0.4">
      <c r="A28" s="90"/>
      <c r="B28" s="90"/>
      <c r="C28" s="90"/>
      <c r="D28" s="90"/>
      <c r="E28" s="90" t="s">
        <v>731</v>
      </c>
      <c r="F28" s="91">
        <v>44657</v>
      </c>
      <c r="G28" s="90" t="s">
        <v>1503</v>
      </c>
      <c r="H28" s="90" t="s">
        <v>1504</v>
      </c>
      <c r="I28" s="90" t="s">
        <v>1505</v>
      </c>
      <c r="J28" s="90" t="s">
        <v>735</v>
      </c>
      <c r="K28" s="93">
        <v>72.97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44671</v>
      </c>
      <c r="G29" s="90" t="s">
        <v>3141</v>
      </c>
      <c r="H29" s="90" t="s">
        <v>1333</v>
      </c>
      <c r="I29" s="90" t="s">
        <v>1170</v>
      </c>
      <c r="J29" s="90" t="s">
        <v>678</v>
      </c>
      <c r="K29" s="93">
        <v>489.29</v>
      </c>
    </row>
    <row r="30" spans="1:11" ht="14.6" x14ac:dyDescent="0.4">
      <c r="A30" s="90"/>
      <c r="B30" s="90"/>
      <c r="C30" s="90"/>
      <c r="D30" s="90"/>
      <c r="E30" s="90" t="s">
        <v>731</v>
      </c>
      <c r="F30" s="91">
        <v>44684</v>
      </c>
      <c r="G30" s="90" t="s">
        <v>3142</v>
      </c>
      <c r="H30" s="90" t="s">
        <v>3170</v>
      </c>
      <c r="I30" s="90" t="s">
        <v>3176</v>
      </c>
      <c r="J30" s="90" t="s">
        <v>735</v>
      </c>
      <c r="K30" s="93">
        <v>87.99</v>
      </c>
    </row>
    <row r="31" spans="1:11" ht="15" customHeight="1" x14ac:dyDescent="0.4">
      <c r="A31" s="90"/>
      <c r="B31" s="90"/>
      <c r="C31" s="90"/>
      <c r="D31" s="90"/>
      <c r="E31" s="90" t="s">
        <v>653</v>
      </c>
      <c r="F31" s="91">
        <v>44686</v>
      </c>
      <c r="G31" s="90" t="s">
        <v>3143</v>
      </c>
      <c r="H31" s="90" t="s">
        <v>3171</v>
      </c>
      <c r="I31" s="90" t="s">
        <v>3177</v>
      </c>
      <c r="J31" s="90" t="s">
        <v>678</v>
      </c>
      <c r="K31" s="93">
        <v>4941.8</v>
      </c>
    </row>
    <row r="32" spans="1:11" ht="15" customHeight="1" x14ac:dyDescent="0.4">
      <c r="A32" s="90"/>
      <c r="B32" s="90"/>
      <c r="C32" s="90"/>
      <c r="D32" s="90"/>
      <c r="E32" s="90" t="s">
        <v>731</v>
      </c>
      <c r="F32" s="91">
        <v>44686</v>
      </c>
      <c r="G32" s="90" t="s">
        <v>3144</v>
      </c>
      <c r="H32" s="90" t="s">
        <v>394</v>
      </c>
      <c r="I32" s="90" t="s">
        <v>1173</v>
      </c>
      <c r="J32" s="90" t="s">
        <v>735</v>
      </c>
      <c r="K32" s="93">
        <v>90.25</v>
      </c>
    </row>
    <row r="33" spans="1:11" ht="15" customHeight="1" x14ac:dyDescent="0.4">
      <c r="A33" s="90"/>
      <c r="B33" s="90"/>
      <c r="C33" s="90"/>
      <c r="D33" s="90"/>
      <c r="E33" s="90" t="s">
        <v>731</v>
      </c>
      <c r="F33" s="91">
        <v>44691</v>
      </c>
      <c r="G33" s="90" t="s">
        <v>2958</v>
      </c>
      <c r="H33" s="90" t="s">
        <v>394</v>
      </c>
      <c r="I33" s="90" t="s">
        <v>1173</v>
      </c>
      <c r="J33" s="90" t="s">
        <v>735</v>
      </c>
      <c r="K33" s="93">
        <v>378</v>
      </c>
    </row>
    <row r="34" spans="1:11" ht="15" customHeight="1" x14ac:dyDescent="0.4">
      <c r="A34" s="90"/>
      <c r="B34" s="90"/>
      <c r="C34" s="90"/>
      <c r="D34" s="90"/>
      <c r="E34" s="90" t="s">
        <v>653</v>
      </c>
      <c r="F34" s="91">
        <v>44698</v>
      </c>
      <c r="G34" s="90" t="s">
        <v>3145</v>
      </c>
      <c r="H34" s="90" t="s">
        <v>1333</v>
      </c>
      <c r="I34" s="90" t="s">
        <v>1170</v>
      </c>
      <c r="J34" s="90" t="s">
        <v>678</v>
      </c>
      <c r="K34" s="93">
        <v>489.29</v>
      </c>
    </row>
    <row r="35" spans="1:11" ht="15" customHeight="1" x14ac:dyDescent="0.4">
      <c r="A35" s="90"/>
      <c r="B35" s="90"/>
      <c r="C35" s="90"/>
      <c r="D35" s="90"/>
      <c r="E35" s="90" t="s">
        <v>653</v>
      </c>
      <c r="F35" s="91">
        <v>44713</v>
      </c>
      <c r="G35" s="90" t="s">
        <v>3146</v>
      </c>
      <c r="H35" s="90" t="s">
        <v>801</v>
      </c>
      <c r="I35" s="90" t="s">
        <v>3178</v>
      </c>
      <c r="J35" s="90" t="s">
        <v>678</v>
      </c>
      <c r="K35" s="93">
        <v>12715</v>
      </c>
    </row>
    <row r="36" spans="1:11" ht="15" customHeight="1" x14ac:dyDescent="0.4">
      <c r="A36" s="90"/>
      <c r="B36" s="90"/>
      <c r="C36" s="90"/>
      <c r="D36" s="90"/>
      <c r="E36" s="90" t="s">
        <v>731</v>
      </c>
      <c r="F36" s="91">
        <v>44717</v>
      </c>
      <c r="G36" s="90" t="s">
        <v>3147</v>
      </c>
      <c r="H36" s="90" t="s">
        <v>394</v>
      </c>
      <c r="I36" s="90" t="s">
        <v>1173</v>
      </c>
      <c r="J36" s="90" t="s">
        <v>735</v>
      </c>
      <c r="K36" s="93">
        <v>90.25</v>
      </c>
    </row>
    <row r="37" spans="1:11" ht="15" customHeight="1" x14ac:dyDescent="0.4">
      <c r="A37" s="90"/>
      <c r="B37" s="90"/>
      <c r="C37" s="90"/>
      <c r="D37" s="90"/>
      <c r="E37" s="90" t="s">
        <v>653</v>
      </c>
      <c r="F37" s="91">
        <v>44729</v>
      </c>
      <c r="G37" s="90" t="s">
        <v>3148</v>
      </c>
      <c r="H37" s="90" t="s">
        <v>1333</v>
      </c>
      <c r="I37" s="90" t="s">
        <v>1170</v>
      </c>
      <c r="J37" s="90" t="s">
        <v>678</v>
      </c>
      <c r="K37" s="93">
        <v>489.29</v>
      </c>
    </row>
    <row r="38" spans="1:11" ht="15" customHeight="1" x14ac:dyDescent="0.4">
      <c r="A38" s="90"/>
      <c r="B38" s="90"/>
      <c r="C38" s="90"/>
      <c r="D38" s="90"/>
      <c r="E38" s="90" t="s">
        <v>731</v>
      </c>
      <c r="F38" s="91">
        <v>44747</v>
      </c>
      <c r="G38" s="90" t="s">
        <v>3149</v>
      </c>
      <c r="H38" s="90" t="s">
        <v>394</v>
      </c>
      <c r="I38" s="90" t="s">
        <v>1173</v>
      </c>
      <c r="J38" s="90" t="s">
        <v>735</v>
      </c>
      <c r="K38" s="93">
        <v>90.25</v>
      </c>
    </row>
    <row r="39" spans="1:11" ht="15" customHeight="1" x14ac:dyDescent="0.4">
      <c r="A39" s="90"/>
      <c r="B39" s="90"/>
      <c r="C39" s="90"/>
      <c r="D39" s="90"/>
      <c r="E39" s="90" t="s">
        <v>653</v>
      </c>
      <c r="F39" s="91">
        <v>44756</v>
      </c>
      <c r="G39" s="90" t="s">
        <v>3150</v>
      </c>
      <c r="H39" s="90" t="s">
        <v>3172</v>
      </c>
      <c r="I39" s="90" t="s">
        <v>3179</v>
      </c>
      <c r="J39" s="90" t="s">
        <v>678</v>
      </c>
      <c r="K39" s="93">
        <v>3000</v>
      </c>
    </row>
    <row r="40" spans="1:11" ht="15" customHeight="1" x14ac:dyDescent="0.4">
      <c r="A40" s="90"/>
      <c r="B40" s="90"/>
      <c r="C40" s="90"/>
      <c r="D40" s="90"/>
      <c r="E40" s="90" t="s">
        <v>653</v>
      </c>
      <c r="F40" s="91">
        <v>44756</v>
      </c>
      <c r="G40" s="90" t="s">
        <v>3150</v>
      </c>
      <c r="H40" s="90" t="s">
        <v>3172</v>
      </c>
      <c r="I40" s="90" t="s">
        <v>3180</v>
      </c>
      <c r="J40" s="90" t="s">
        <v>678</v>
      </c>
      <c r="K40" s="93">
        <v>1200</v>
      </c>
    </row>
    <row r="41" spans="1:11" ht="15" customHeight="1" x14ac:dyDescent="0.4">
      <c r="A41" s="90"/>
      <c r="B41" s="90"/>
      <c r="C41" s="90"/>
      <c r="D41" s="90"/>
      <c r="E41" s="90" t="s">
        <v>653</v>
      </c>
      <c r="F41" s="91">
        <v>44756</v>
      </c>
      <c r="G41" s="90" t="s">
        <v>3150</v>
      </c>
      <c r="H41" s="90" t="s">
        <v>3172</v>
      </c>
      <c r="I41" s="90" t="s">
        <v>3181</v>
      </c>
      <c r="J41" s="90" t="s">
        <v>678</v>
      </c>
      <c r="K41" s="93">
        <v>1500</v>
      </c>
    </row>
    <row r="42" spans="1:11" ht="15" customHeight="1" x14ac:dyDescent="0.4">
      <c r="A42" s="90"/>
      <c r="B42" s="90"/>
      <c r="C42" s="90"/>
      <c r="D42" s="90"/>
      <c r="E42" s="90" t="s">
        <v>653</v>
      </c>
      <c r="F42" s="91">
        <v>44756</v>
      </c>
      <c r="G42" s="90" t="s">
        <v>3150</v>
      </c>
      <c r="H42" s="90" t="s">
        <v>3172</v>
      </c>
      <c r="I42" s="90" t="s">
        <v>3182</v>
      </c>
      <c r="J42" s="90" t="s">
        <v>678</v>
      </c>
      <c r="K42" s="93">
        <v>4800</v>
      </c>
    </row>
    <row r="43" spans="1:11" ht="15" customHeight="1" x14ac:dyDescent="0.4">
      <c r="A43" s="90"/>
      <c r="B43" s="90"/>
      <c r="C43" s="90"/>
      <c r="D43" s="90"/>
      <c r="E43" s="90" t="s">
        <v>653</v>
      </c>
      <c r="F43" s="91">
        <v>44756</v>
      </c>
      <c r="G43" s="90" t="s">
        <v>3150</v>
      </c>
      <c r="H43" s="90" t="s">
        <v>3172</v>
      </c>
      <c r="I43" s="90" t="s">
        <v>3183</v>
      </c>
      <c r="J43" s="90" t="s">
        <v>678</v>
      </c>
      <c r="K43" s="93">
        <v>500</v>
      </c>
    </row>
    <row r="44" spans="1:11" ht="15" customHeight="1" x14ac:dyDescent="0.4">
      <c r="A44" s="90"/>
      <c r="B44" s="90"/>
      <c r="C44" s="90"/>
      <c r="D44" s="90"/>
      <c r="E44" s="90" t="s">
        <v>653</v>
      </c>
      <c r="F44" s="91">
        <v>44756</v>
      </c>
      <c r="G44" s="90" t="s">
        <v>3150</v>
      </c>
      <c r="H44" s="90" t="s">
        <v>3172</v>
      </c>
      <c r="I44" s="90" t="s">
        <v>3184</v>
      </c>
      <c r="J44" s="90" t="s">
        <v>678</v>
      </c>
      <c r="K44" s="93">
        <v>500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44756</v>
      </c>
      <c r="G45" s="90" t="s">
        <v>3150</v>
      </c>
      <c r="H45" s="90" t="s">
        <v>3172</v>
      </c>
      <c r="I45" s="90" t="s">
        <v>3185</v>
      </c>
      <c r="J45" s="90" t="s">
        <v>678</v>
      </c>
      <c r="K45" s="93">
        <v>500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44756</v>
      </c>
      <c r="G46" s="90" t="s">
        <v>3150</v>
      </c>
      <c r="H46" s="90" t="s">
        <v>3172</v>
      </c>
      <c r="I46" s="90" t="s">
        <v>3186</v>
      </c>
      <c r="J46" s="90" t="s">
        <v>678</v>
      </c>
      <c r="K46" s="93">
        <v>400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44756</v>
      </c>
      <c r="G47" s="90" t="s">
        <v>3150</v>
      </c>
      <c r="H47" s="90" t="s">
        <v>3172</v>
      </c>
      <c r="I47" s="90" t="s">
        <v>3187</v>
      </c>
      <c r="J47" s="90" t="s">
        <v>678</v>
      </c>
      <c r="K47" s="93">
        <v>600</v>
      </c>
    </row>
    <row r="48" spans="1:11" ht="15" customHeight="1" x14ac:dyDescent="0.4">
      <c r="A48" s="90"/>
      <c r="B48" s="90"/>
      <c r="C48" s="90"/>
      <c r="D48" s="90"/>
      <c r="E48" s="90" t="s">
        <v>653</v>
      </c>
      <c r="F48" s="91">
        <v>44756</v>
      </c>
      <c r="G48" s="90" t="s">
        <v>3150</v>
      </c>
      <c r="H48" s="90" t="s">
        <v>3172</v>
      </c>
      <c r="I48" s="90" t="s">
        <v>3188</v>
      </c>
      <c r="J48" s="90" t="s">
        <v>678</v>
      </c>
      <c r="K48" s="93">
        <v>500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44756</v>
      </c>
      <c r="G49" s="90" t="s">
        <v>3150</v>
      </c>
      <c r="H49" s="90" t="s">
        <v>3172</v>
      </c>
      <c r="I49" s="90" t="s">
        <v>3189</v>
      </c>
      <c r="J49" s="90" t="s">
        <v>678</v>
      </c>
      <c r="K49" s="93">
        <v>10000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44756</v>
      </c>
      <c r="G50" s="90" t="s">
        <v>3150</v>
      </c>
      <c r="H50" s="90" t="s">
        <v>3172</v>
      </c>
      <c r="I50" s="90" t="s">
        <v>3190</v>
      </c>
      <c r="J50" s="90" t="s">
        <v>678</v>
      </c>
      <c r="K50" s="93">
        <v>100</v>
      </c>
    </row>
    <row r="51" spans="1:11" ht="15" customHeight="1" x14ac:dyDescent="0.4">
      <c r="A51" s="90"/>
      <c r="B51" s="90"/>
      <c r="C51" s="90"/>
      <c r="D51" s="90"/>
      <c r="E51" s="90" t="s">
        <v>653</v>
      </c>
      <c r="F51" s="91">
        <v>44756</v>
      </c>
      <c r="G51" s="90" t="s">
        <v>3150</v>
      </c>
      <c r="H51" s="90" t="s">
        <v>3172</v>
      </c>
      <c r="I51" s="90" t="s">
        <v>3191</v>
      </c>
      <c r="J51" s="90" t="s">
        <v>678</v>
      </c>
      <c r="K51" s="93">
        <v>500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44756</v>
      </c>
      <c r="G52" s="90" t="s">
        <v>3150</v>
      </c>
      <c r="H52" s="90" t="s">
        <v>3172</v>
      </c>
      <c r="I52" s="90" t="s">
        <v>3192</v>
      </c>
      <c r="J52" s="90" t="s">
        <v>678</v>
      </c>
      <c r="K52" s="93">
        <v>10000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44769</v>
      </c>
      <c r="G53" s="90" t="s">
        <v>3151</v>
      </c>
      <c r="H53" s="90" t="s">
        <v>1333</v>
      </c>
      <c r="I53" s="90" t="s">
        <v>1170</v>
      </c>
      <c r="J53" s="90" t="s">
        <v>678</v>
      </c>
      <c r="K53" s="93">
        <v>489.29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44775</v>
      </c>
      <c r="G54" s="90" t="s">
        <v>3152</v>
      </c>
      <c r="H54" s="90" t="s">
        <v>3173</v>
      </c>
      <c r="I54" s="90" t="s">
        <v>3193</v>
      </c>
      <c r="J54" s="90" t="s">
        <v>678</v>
      </c>
      <c r="K54" s="93">
        <v>13485.89</v>
      </c>
    </row>
    <row r="55" spans="1:11" ht="15" customHeight="1" x14ac:dyDescent="0.4">
      <c r="A55" s="90"/>
      <c r="B55" s="90"/>
      <c r="C55" s="90"/>
      <c r="D55" s="90"/>
      <c r="E55" s="90" t="s">
        <v>731</v>
      </c>
      <c r="F55" s="91">
        <v>44777</v>
      </c>
      <c r="G55" s="90" t="s">
        <v>3153</v>
      </c>
      <c r="H55" s="90" t="s">
        <v>394</v>
      </c>
      <c r="I55" s="90" t="s">
        <v>1173</v>
      </c>
      <c r="J55" s="90" t="s">
        <v>735</v>
      </c>
      <c r="K55" s="93">
        <v>90.25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44790</v>
      </c>
      <c r="G56" s="90" t="s">
        <v>3154</v>
      </c>
      <c r="H56" s="90" t="s">
        <v>1333</v>
      </c>
      <c r="I56" s="90" t="s">
        <v>1170</v>
      </c>
      <c r="J56" s="90" t="s">
        <v>678</v>
      </c>
      <c r="K56" s="93">
        <v>489.29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44802</v>
      </c>
      <c r="G57" s="90" t="s">
        <v>3155</v>
      </c>
      <c r="H57" s="90" t="s">
        <v>3169</v>
      </c>
      <c r="I57" s="90" t="s">
        <v>3194</v>
      </c>
      <c r="J57" s="90" t="s">
        <v>678</v>
      </c>
      <c r="K57" s="93">
        <v>1552.1</v>
      </c>
    </row>
    <row r="58" spans="1:11" ht="15" customHeight="1" x14ac:dyDescent="0.4">
      <c r="A58" s="90"/>
      <c r="B58" s="90"/>
      <c r="C58" s="90"/>
      <c r="D58" s="90"/>
      <c r="E58" s="90" t="s">
        <v>731</v>
      </c>
      <c r="F58" s="91">
        <v>44805</v>
      </c>
      <c r="G58" s="90" t="s">
        <v>3156</v>
      </c>
      <c r="H58" s="90" t="s">
        <v>3170</v>
      </c>
      <c r="I58" s="90" t="s">
        <v>3195</v>
      </c>
      <c r="J58" s="90" t="s">
        <v>735</v>
      </c>
      <c r="K58" s="93">
        <v>2302.56</v>
      </c>
    </row>
    <row r="59" spans="1:11" ht="15" customHeight="1" x14ac:dyDescent="0.4">
      <c r="A59" s="90"/>
      <c r="B59" s="90"/>
      <c r="C59" s="90"/>
      <c r="D59" s="90"/>
      <c r="E59" s="90" t="s">
        <v>731</v>
      </c>
      <c r="F59" s="91">
        <v>44811</v>
      </c>
      <c r="G59" s="90" t="s">
        <v>3153</v>
      </c>
      <c r="H59" s="90" t="s">
        <v>394</v>
      </c>
      <c r="I59" s="90" t="s">
        <v>1173</v>
      </c>
      <c r="J59" s="90" t="s">
        <v>735</v>
      </c>
      <c r="K59" s="93">
        <v>90.25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44812</v>
      </c>
      <c r="G60" s="90" t="s">
        <v>3157</v>
      </c>
      <c r="H60" s="90" t="s">
        <v>801</v>
      </c>
      <c r="I60" s="90" t="s">
        <v>3196</v>
      </c>
      <c r="J60" s="90" t="s">
        <v>678</v>
      </c>
      <c r="K60" s="93">
        <v>78000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44819</v>
      </c>
      <c r="G61" s="90" t="s">
        <v>3158</v>
      </c>
      <c r="H61" s="90" t="s">
        <v>1158</v>
      </c>
      <c r="I61" s="90" t="s">
        <v>1174</v>
      </c>
      <c r="J61" s="90" t="s">
        <v>678</v>
      </c>
      <c r="K61" s="93">
        <v>1256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44823</v>
      </c>
      <c r="G62" s="90" t="s">
        <v>3159</v>
      </c>
      <c r="H62" s="90" t="s">
        <v>1333</v>
      </c>
      <c r="I62" s="90" t="s">
        <v>1170</v>
      </c>
      <c r="J62" s="90" t="s">
        <v>678</v>
      </c>
      <c r="K62" s="93">
        <v>489.29</v>
      </c>
    </row>
    <row r="63" spans="1:11" ht="15" customHeight="1" x14ac:dyDescent="0.4">
      <c r="A63" s="90"/>
      <c r="B63" s="90"/>
      <c r="C63" s="90"/>
      <c r="D63" s="90"/>
      <c r="E63" s="90" t="s">
        <v>731</v>
      </c>
      <c r="F63" s="91">
        <v>44823</v>
      </c>
      <c r="G63" s="90" t="s">
        <v>3160</v>
      </c>
      <c r="H63" s="90" t="s">
        <v>1504</v>
      </c>
      <c r="I63" s="90" t="s">
        <v>1505</v>
      </c>
      <c r="J63" s="90" t="s">
        <v>735</v>
      </c>
      <c r="K63" s="93">
        <v>122.97</v>
      </c>
    </row>
    <row r="64" spans="1:11" ht="15" customHeight="1" x14ac:dyDescent="0.4">
      <c r="A64" s="90"/>
      <c r="B64" s="90"/>
      <c r="C64" s="90"/>
      <c r="D64" s="90"/>
      <c r="E64" s="90" t="s">
        <v>731</v>
      </c>
      <c r="F64" s="91">
        <v>44839</v>
      </c>
      <c r="G64" s="90" t="s">
        <v>2195</v>
      </c>
      <c r="H64" s="90" t="s">
        <v>394</v>
      </c>
      <c r="I64" s="90" t="s">
        <v>1173</v>
      </c>
      <c r="J64" s="90" t="s">
        <v>735</v>
      </c>
      <c r="K64" s="93">
        <v>90.25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44844</v>
      </c>
      <c r="G65" s="90" t="s">
        <v>3161</v>
      </c>
      <c r="H65" s="90" t="s">
        <v>1155</v>
      </c>
      <c r="I65" s="90" t="s">
        <v>3197</v>
      </c>
      <c r="J65" s="90" t="s">
        <v>678</v>
      </c>
      <c r="K65" s="93">
        <v>0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44852</v>
      </c>
      <c r="G66" s="90" t="s">
        <v>3162</v>
      </c>
      <c r="H66" s="90" t="s">
        <v>1333</v>
      </c>
      <c r="I66" s="90" t="s">
        <v>1170</v>
      </c>
      <c r="J66" s="90" t="s">
        <v>678</v>
      </c>
      <c r="K66" s="93">
        <v>514.24</v>
      </c>
    </row>
    <row r="67" spans="1:11" ht="15" customHeight="1" x14ac:dyDescent="0.4">
      <c r="A67" s="90"/>
      <c r="B67" s="90"/>
      <c r="C67" s="90"/>
      <c r="D67" s="90"/>
      <c r="E67" s="90" t="s">
        <v>731</v>
      </c>
      <c r="F67" s="91">
        <v>44870</v>
      </c>
      <c r="G67" s="90" t="s">
        <v>3163</v>
      </c>
      <c r="H67" s="90" t="s">
        <v>394</v>
      </c>
      <c r="I67" s="90" t="s">
        <v>1173</v>
      </c>
      <c r="J67" s="90" t="s">
        <v>735</v>
      </c>
      <c r="K67" s="93">
        <v>90.25</v>
      </c>
    </row>
    <row r="68" spans="1:11" ht="15" customHeight="1" x14ac:dyDescent="0.4">
      <c r="A68" s="90"/>
      <c r="B68" s="90"/>
      <c r="C68" s="90"/>
      <c r="D68" s="90"/>
      <c r="E68" s="90" t="s">
        <v>731</v>
      </c>
      <c r="F68" s="91">
        <v>44870</v>
      </c>
      <c r="G68" s="90" t="s">
        <v>2242</v>
      </c>
      <c r="H68" s="90" t="s">
        <v>394</v>
      </c>
      <c r="I68" s="90" t="s">
        <v>1173</v>
      </c>
      <c r="J68" s="90" t="s">
        <v>735</v>
      </c>
      <c r="K68" s="93">
        <v>90.25</v>
      </c>
    </row>
    <row r="69" spans="1:11" ht="15" customHeight="1" x14ac:dyDescent="0.4">
      <c r="A69" s="90"/>
      <c r="B69" s="90"/>
      <c r="C69" s="90"/>
      <c r="D69" s="90"/>
      <c r="E69" s="90" t="s">
        <v>731</v>
      </c>
      <c r="F69" s="91">
        <v>44874</v>
      </c>
      <c r="G69" s="90" t="s">
        <v>3164</v>
      </c>
      <c r="H69" s="90" t="s">
        <v>3170</v>
      </c>
      <c r="I69" s="90" t="s">
        <v>3199</v>
      </c>
      <c r="J69" s="90" t="s">
        <v>735</v>
      </c>
      <c r="K69" s="93">
        <v>299.95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44882</v>
      </c>
      <c r="G70" s="90" t="s">
        <v>3165</v>
      </c>
      <c r="H70" s="90" t="s">
        <v>1333</v>
      </c>
      <c r="I70" s="90" t="s">
        <v>1170</v>
      </c>
      <c r="J70" s="90" t="s">
        <v>678</v>
      </c>
      <c r="K70" s="93">
        <v>514.24</v>
      </c>
    </row>
    <row r="71" spans="1:11" ht="15" customHeight="1" x14ac:dyDescent="0.4">
      <c r="A71" s="90"/>
      <c r="B71" s="90"/>
      <c r="C71" s="90"/>
      <c r="D71" s="90"/>
      <c r="E71" s="90" t="s">
        <v>731</v>
      </c>
      <c r="F71" s="91">
        <v>44904</v>
      </c>
      <c r="G71" s="90" t="s">
        <v>3166</v>
      </c>
      <c r="H71" s="90" t="s">
        <v>1504</v>
      </c>
      <c r="I71" s="90" t="s">
        <v>1505</v>
      </c>
      <c r="J71" s="90" t="s">
        <v>735</v>
      </c>
      <c r="K71" s="93">
        <v>359.92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44914</v>
      </c>
      <c r="G72" s="90" t="s">
        <v>3167</v>
      </c>
      <c r="H72" s="90" t="s">
        <v>1333</v>
      </c>
      <c r="I72" s="90" t="s">
        <v>1170</v>
      </c>
      <c r="J72" s="90" t="s">
        <v>678</v>
      </c>
      <c r="K72" s="93">
        <v>514.24</v>
      </c>
    </row>
    <row r="73" spans="1:11" ht="15" customHeight="1" thickBot="1" x14ac:dyDescent="0.45">
      <c r="A73" s="90"/>
      <c r="B73" s="90"/>
      <c r="C73" s="90"/>
      <c r="D73" s="90"/>
      <c r="E73" s="90" t="s">
        <v>731</v>
      </c>
      <c r="F73" s="91">
        <v>44920</v>
      </c>
      <c r="G73" s="90" t="s">
        <v>3168</v>
      </c>
      <c r="H73" s="90" t="s">
        <v>1504</v>
      </c>
      <c r="I73" s="90" t="s">
        <v>1505</v>
      </c>
      <c r="J73" s="90" t="s">
        <v>735</v>
      </c>
      <c r="K73" s="445">
        <v>15.99</v>
      </c>
    </row>
    <row r="74" spans="1:11" ht="15" customHeight="1" thickBot="1" x14ac:dyDescent="0.45">
      <c r="A74" s="90"/>
      <c r="B74" s="90"/>
      <c r="C74" s="90" t="s">
        <v>1144</v>
      </c>
      <c r="D74" s="90"/>
      <c r="E74" s="90"/>
      <c r="F74" s="91"/>
      <c r="G74" s="90"/>
      <c r="H74" s="90"/>
      <c r="I74" s="90"/>
      <c r="J74" s="90"/>
      <c r="K74" s="446">
        <f>ROUND(SUM(K3:K73),5)</f>
        <v>368631.78</v>
      </c>
    </row>
    <row r="75" spans="1:11" ht="15" customHeight="1" thickBot="1" x14ac:dyDescent="0.45">
      <c r="A75" s="90"/>
      <c r="B75" s="90" t="s">
        <v>754</v>
      </c>
      <c r="C75" s="90"/>
      <c r="D75" s="90"/>
      <c r="E75" s="90"/>
      <c r="F75" s="91"/>
      <c r="G75" s="90"/>
      <c r="H75" s="90"/>
      <c r="I75" s="90"/>
      <c r="J75" s="90"/>
      <c r="K75" s="446">
        <f>K74</f>
        <v>368631.78</v>
      </c>
    </row>
    <row r="76" spans="1:11" ht="15" customHeight="1" thickBot="1" x14ac:dyDescent="0.45">
      <c r="A76" s="90" t="s">
        <v>158</v>
      </c>
      <c r="B76" s="90"/>
      <c r="C76" s="90"/>
      <c r="D76" s="90"/>
      <c r="E76" s="90"/>
      <c r="F76" s="91"/>
      <c r="G76" s="90"/>
      <c r="H76" s="90"/>
      <c r="I76" s="90"/>
      <c r="J76" s="90"/>
      <c r="K76" s="447">
        <f>K75</f>
        <v>368631.78</v>
      </c>
    </row>
    <row r="77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11:10 AM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95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9573" r:id="rId4" name="FILTER"/>
      </mc:Fallback>
    </mc:AlternateContent>
    <mc:AlternateContent xmlns:mc="http://schemas.openxmlformats.org/markup-compatibility/2006">
      <mc:Choice Requires="x14">
        <control shapeId="1095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09574" r:id="rId6" name="HEADER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/>
  <dimension ref="A1:K123"/>
  <sheetViews>
    <sheetView workbookViewId="0">
      <pane xSplit="3" ySplit="1" topLeftCell="D13" activePane="bottomRight" state="frozenSplit"/>
      <selection pane="topRight" activeCell="D1" sqref="D1"/>
      <selection pane="bottomLeft" activeCell="A2" sqref="A2"/>
      <selection pane="bottomRight" activeCell="H9" sqref="H9"/>
    </sheetView>
  </sheetViews>
  <sheetFormatPr defaultColWidth="14.3828125" defaultRowHeight="15" customHeight="1" x14ac:dyDescent="0.4"/>
  <cols>
    <col min="1" max="2" width="3" customWidth="1"/>
    <col min="3" max="3" width="37" customWidth="1"/>
    <col min="4" max="4" width="2.3046875" customWidth="1"/>
    <col min="5" max="5" width="17.69140625" bestFit="1" customWidth="1"/>
    <col min="6" max="6" width="10.69140625" bestFit="1" customWidth="1"/>
    <col min="7" max="7" width="12.3046875" bestFit="1" customWidth="1"/>
    <col min="8" max="8" width="22.69140625" bestFit="1" customWidth="1"/>
    <col min="9" max="9" width="30.69140625" customWidth="1"/>
    <col min="10" max="10" width="27.382812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1176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1178</v>
      </c>
      <c r="H4" s="90" t="s">
        <v>1191</v>
      </c>
      <c r="I4" s="90" t="s">
        <v>1197</v>
      </c>
      <c r="J4" s="90" t="s">
        <v>678</v>
      </c>
      <c r="K4" s="93">
        <v>5041.67</v>
      </c>
    </row>
    <row r="5" spans="1:11" ht="14.6" x14ac:dyDescent="0.4">
      <c r="A5" s="90"/>
      <c r="B5" s="90"/>
      <c r="C5" s="90"/>
      <c r="D5" s="90"/>
      <c r="E5" s="90" t="s">
        <v>731</v>
      </c>
      <c r="F5" s="91">
        <v>44571</v>
      </c>
      <c r="G5" s="90" t="s">
        <v>1179</v>
      </c>
      <c r="H5" s="90" t="s">
        <v>1158</v>
      </c>
      <c r="I5" s="90" t="s">
        <v>1198</v>
      </c>
      <c r="J5" s="90" t="s">
        <v>735</v>
      </c>
      <c r="K5" s="93">
        <v>2224.23</v>
      </c>
    </row>
    <row r="6" spans="1:11" ht="14.6" x14ac:dyDescent="0.4">
      <c r="A6" s="90"/>
      <c r="B6" s="90"/>
      <c r="C6" s="90"/>
      <c r="D6" s="90"/>
      <c r="E6" s="90" t="s">
        <v>731</v>
      </c>
      <c r="F6" s="91">
        <v>44573</v>
      </c>
      <c r="G6" s="90" t="s">
        <v>1180</v>
      </c>
      <c r="H6" s="90" t="s">
        <v>1192</v>
      </c>
      <c r="I6" s="90" t="s">
        <v>1199</v>
      </c>
      <c r="J6" s="90" t="s">
        <v>735</v>
      </c>
      <c r="K6" s="93">
        <v>499.98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44575</v>
      </c>
      <c r="G7" s="90" t="s">
        <v>1181</v>
      </c>
      <c r="H7" s="90" t="s">
        <v>1193</v>
      </c>
      <c r="I7" s="90" t="s">
        <v>1200</v>
      </c>
      <c r="J7" s="90" t="s">
        <v>678</v>
      </c>
      <c r="K7" s="93">
        <v>404</v>
      </c>
    </row>
    <row r="8" spans="1:11" ht="14.6" x14ac:dyDescent="0.4">
      <c r="A8" s="90"/>
      <c r="B8" s="90"/>
      <c r="C8" s="90"/>
      <c r="D8" s="90"/>
      <c r="E8" s="90" t="s">
        <v>654</v>
      </c>
      <c r="F8" s="91">
        <v>44575</v>
      </c>
      <c r="G8" s="90"/>
      <c r="H8" s="90" t="s">
        <v>1194</v>
      </c>
      <c r="I8" s="90" t="s">
        <v>1207</v>
      </c>
      <c r="J8" s="90" t="s">
        <v>1206</v>
      </c>
      <c r="K8" s="93">
        <v>1666.5</v>
      </c>
    </row>
    <row r="9" spans="1:11" ht="14.6" x14ac:dyDescent="0.4">
      <c r="A9" s="90"/>
      <c r="B9" s="90"/>
      <c r="C9" s="90"/>
      <c r="D9" s="90"/>
      <c r="E9" s="90" t="s">
        <v>731</v>
      </c>
      <c r="F9" s="91">
        <v>44580</v>
      </c>
      <c r="G9" s="90"/>
      <c r="H9" s="90" t="s">
        <v>1521</v>
      </c>
      <c r="I9" s="90" t="s">
        <v>3262</v>
      </c>
      <c r="J9" s="90" t="s">
        <v>735</v>
      </c>
      <c r="K9" s="93">
        <v>327.2</v>
      </c>
    </row>
    <row r="10" spans="1:11" ht="14.6" x14ac:dyDescent="0.4">
      <c r="A10" s="90"/>
      <c r="B10" s="90"/>
      <c r="C10" s="90"/>
      <c r="D10" s="90"/>
      <c r="E10" s="90" t="s">
        <v>731</v>
      </c>
      <c r="F10" s="91">
        <v>44581</v>
      </c>
      <c r="G10" s="90" t="s">
        <v>1182</v>
      </c>
      <c r="H10" s="90" t="s">
        <v>1195</v>
      </c>
      <c r="I10" s="90" t="s">
        <v>1201</v>
      </c>
      <c r="J10" s="90" t="s">
        <v>735</v>
      </c>
      <c r="K10" s="93">
        <v>250</v>
      </c>
    </row>
    <row r="11" spans="1:11" ht="14.6" x14ac:dyDescent="0.4">
      <c r="A11" s="90"/>
      <c r="B11" s="90"/>
      <c r="C11" s="90"/>
      <c r="D11" s="90"/>
      <c r="E11" s="90" t="s">
        <v>731</v>
      </c>
      <c r="F11" s="91">
        <v>44586</v>
      </c>
      <c r="G11" s="90" t="s">
        <v>1183</v>
      </c>
      <c r="H11" s="90" t="s">
        <v>1196</v>
      </c>
      <c r="I11" s="90" t="s">
        <v>1202</v>
      </c>
      <c r="J11" s="90" t="s">
        <v>735</v>
      </c>
      <c r="K11" s="93">
        <v>1427.16</v>
      </c>
    </row>
    <row r="12" spans="1:11" ht="14.6" x14ac:dyDescent="0.4">
      <c r="A12" s="90"/>
      <c r="B12" s="90"/>
      <c r="C12" s="90"/>
      <c r="D12" s="90"/>
      <c r="E12" s="90" t="s">
        <v>654</v>
      </c>
      <c r="F12" s="91">
        <v>44589</v>
      </c>
      <c r="G12" s="90"/>
      <c r="H12" s="90" t="s">
        <v>1194</v>
      </c>
      <c r="I12" s="90" t="s">
        <v>1207</v>
      </c>
      <c r="J12" s="90" t="s">
        <v>1206</v>
      </c>
      <c r="K12" s="93">
        <v>624.9</v>
      </c>
    </row>
    <row r="13" spans="1:11" ht="14.6" x14ac:dyDescent="0.4">
      <c r="A13" s="90"/>
      <c r="B13" s="90"/>
      <c r="C13" s="90"/>
      <c r="D13" s="90"/>
      <c r="E13" s="90" t="s">
        <v>731</v>
      </c>
      <c r="F13" s="91">
        <v>44591</v>
      </c>
      <c r="G13" s="90" t="s">
        <v>1184</v>
      </c>
      <c r="H13" s="90" t="s">
        <v>1192</v>
      </c>
      <c r="I13" s="90" t="s">
        <v>1203</v>
      </c>
      <c r="J13" s="90" t="s">
        <v>735</v>
      </c>
      <c r="K13" s="93">
        <v>499.98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44593</v>
      </c>
      <c r="G14" s="90" t="s">
        <v>1185</v>
      </c>
      <c r="H14" s="90" t="s">
        <v>1191</v>
      </c>
      <c r="I14" s="90" t="s">
        <v>1197</v>
      </c>
      <c r="J14" s="90" t="s">
        <v>678</v>
      </c>
      <c r="K14" s="93">
        <v>5041.67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44594</v>
      </c>
      <c r="G15" s="90" t="s">
        <v>1186</v>
      </c>
      <c r="H15" s="90" t="s">
        <v>1193</v>
      </c>
      <c r="I15" s="90" t="s">
        <v>1200</v>
      </c>
      <c r="J15" s="90" t="s">
        <v>678</v>
      </c>
      <c r="K15" s="93">
        <v>326</v>
      </c>
    </row>
    <row r="16" spans="1:11" ht="14.6" x14ac:dyDescent="0.4">
      <c r="A16" s="90"/>
      <c r="B16" s="90"/>
      <c r="C16" s="90"/>
      <c r="D16" s="90"/>
      <c r="E16" s="90" t="s">
        <v>731</v>
      </c>
      <c r="F16" s="91">
        <v>44594</v>
      </c>
      <c r="G16" s="90" t="s">
        <v>1187</v>
      </c>
      <c r="H16" s="90" t="s">
        <v>1192</v>
      </c>
      <c r="I16" s="90" t="s">
        <v>1204</v>
      </c>
      <c r="J16" s="90" t="s">
        <v>735</v>
      </c>
      <c r="K16" s="93">
        <v>189.98</v>
      </c>
    </row>
    <row r="17" spans="1:11" ht="14.6" x14ac:dyDescent="0.4">
      <c r="A17" s="90"/>
      <c r="B17" s="90"/>
      <c r="C17" s="90"/>
      <c r="D17" s="90"/>
      <c r="E17" s="90" t="s">
        <v>731</v>
      </c>
      <c r="F17" s="91">
        <v>44595</v>
      </c>
      <c r="G17" s="90" t="s">
        <v>1188</v>
      </c>
      <c r="H17" s="90" t="s">
        <v>1192</v>
      </c>
      <c r="I17" s="90" t="s">
        <v>1204</v>
      </c>
      <c r="J17" s="90" t="s">
        <v>735</v>
      </c>
      <c r="K17" s="93">
        <v>189.98</v>
      </c>
    </row>
    <row r="18" spans="1:11" ht="14.6" x14ac:dyDescent="0.4">
      <c r="A18" s="90"/>
      <c r="B18" s="90"/>
      <c r="C18" s="90"/>
      <c r="D18" s="90"/>
      <c r="E18" s="90" t="s">
        <v>731</v>
      </c>
      <c r="F18" s="91">
        <v>44598</v>
      </c>
      <c r="G18" s="90"/>
      <c r="H18" s="90" t="s">
        <v>1158</v>
      </c>
      <c r="I18" s="90" t="s">
        <v>1198</v>
      </c>
      <c r="J18" s="90" t="s">
        <v>735</v>
      </c>
      <c r="K18" s="93">
        <v>2224.23</v>
      </c>
    </row>
    <row r="19" spans="1:11" ht="14.6" x14ac:dyDescent="0.4">
      <c r="A19" s="90"/>
      <c r="B19" s="90"/>
      <c r="C19" s="90"/>
      <c r="D19" s="90"/>
      <c r="E19" s="90" t="s">
        <v>731</v>
      </c>
      <c r="F19" s="91">
        <v>44602</v>
      </c>
      <c r="G19" s="90" t="s">
        <v>1508</v>
      </c>
      <c r="H19" s="90" t="s">
        <v>1522</v>
      </c>
      <c r="I19" s="90" t="s">
        <v>1524</v>
      </c>
      <c r="J19" s="90" t="s">
        <v>735</v>
      </c>
      <c r="K19" s="93">
        <v>237.95</v>
      </c>
    </row>
    <row r="20" spans="1:11" ht="14.6" x14ac:dyDescent="0.4">
      <c r="A20" s="90"/>
      <c r="B20" s="90"/>
      <c r="C20" s="90"/>
      <c r="D20" s="90"/>
      <c r="E20" s="90" t="s">
        <v>654</v>
      </c>
      <c r="F20" s="91">
        <v>44603</v>
      </c>
      <c r="G20" s="90"/>
      <c r="H20" s="90" t="s">
        <v>1194</v>
      </c>
      <c r="I20" s="90" t="s">
        <v>1207</v>
      </c>
      <c r="J20" s="90" t="s">
        <v>1206</v>
      </c>
      <c r="K20" s="93">
        <v>1064</v>
      </c>
    </row>
    <row r="21" spans="1:11" ht="14.6" x14ac:dyDescent="0.4">
      <c r="A21" s="90"/>
      <c r="B21" s="90"/>
      <c r="C21" s="90"/>
      <c r="D21" s="90"/>
      <c r="E21" s="90" t="s">
        <v>731</v>
      </c>
      <c r="F21" s="91">
        <v>44603</v>
      </c>
      <c r="G21" s="90" t="s">
        <v>1509</v>
      </c>
      <c r="H21" s="90" t="s">
        <v>1192</v>
      </c>
      <c r="I21" s="90" t="s">
        <v>1525</v>
      </c>
      <c r="J21" s="90" t="s">
        <v>735</v>
      </c>
      <c r="K21" s="93">
        <v>94.99</v>
      </c>
    </row>
    <row r="22" spans="1:11" ht="14.6" x14ac:dyDescent="0.4">
      <c r="A22" s="90"/>
      <c r="B22" s="90"/>
      <c r="C22" s="90"/>
      <c r="D22" s="90"/>
      <c r="E22" s="90" t="s">
        <v>731</v>
      </c>
      <c r="F22" s="91">
        <v>44606</v>
      </c>
      <c r="G22" s="90" t="s">
        <v>1189</v>
      </c>
      <c r="H22" s="90" t="s">
        <v>1521</v>
      </c>
      <c r="I22" s="90" t="s">
        <v>1205</v>
      </c>
      <c r="J22" s="90" t="s">
        <v>735</v>
      </c>
      <c r="K22" s="93">
        <v>331.2</v>
      </c>
    </row>
    <row r="23" spans="1:11" ht="14.6" x14ac:dyDescent="0.4">
      <c r="A23" s="90"/>
      <c r="B23" s="90"/>
      <c r="C23" s="90"/>
      <c r="D23" s="90"/>
      <c r="E23" s="90" t="s">
        <v>755</v>
      </c>
      <c r="F23" s="91">
        <v>44607</v>
      </c>
      <c r="G23" s="90" t="s">
        <v>1510</v>
      </c>
      <c r="H23" s="90" t="s">
        <v>1192</v>
      </c>
      <c r="I23" s="90" t="s">
        <v>1526</v>
      </c>
      <c r="J23" s="90" t="s">
        <v>735</v>
      </c>
      <c r="K23" s="93">
        <v>-499.98</v>
      </c>
    </row>
    <row r="24" spans="1:11" ht="14.6" x14ac:dyDescent="0.4">
      <c r="A24" s="90"/>
      <c r="B24" s="90"/>
      <c r="C24" s="90"/>
      <c r="D24" s="90"/>
      <c r="E24" s="90" t="s">
        <v>731</v>
      </c>
      <c r="F24" s="91">
        <v>44607</v>
      </c>
      <c r="G24" s="90" t="s">
        <v>1511</v>
      </c>
      <c r="H24" s="90" t="s">
        <v>1192</v>
      </c>
      <c r="I24" s="90" t="s">
        <v>1525</v>
      </c>
      <c r="J24" s="90" t="s">
        <v>735</v>
      </c>
      <c r="K24" s="93">
        <v>127.98</v>
      </c>
    </row>
    <row r="25" spans="1:11" ht="14.6" x14ac:dyDescent="0.4">
      <c r="A25" s="90"/>
      <c r="B25" s="90"/>
      <c r="C25" s="90"/>
      <c r="D25" s="90"/>
      <c r="E25" s="90" t="s">
        <v>731</v>
      </c>
      <c r="F25" s="91">
        <v>44611</v>
      </c>
      <c r="G25" s="90"/>
      <c r="H25" s="90" t="s">
        <v>1521</v>
      </c>
      <c r="I25" s="90" t="s">
        <v>3262</v>
      </c>
      <c r="J25" s="90" t="s">
        <v>735</v>
      </c>
      <c r="K25" s="93">
        <v>327.2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44615</v>
      </c>
      <c r="G26" s="90" t="s">
        <v>1190</v>
      </c>
      <c r="H26" s="90" t="s">
        <v>1191</v>
      </c>
      <c r="I26" s="90" t="s">
        <v>1197</v>
      </c>
      <c r="J26" s="90" t="s">
        <v>678</v>
      </c>
      <c r="K26" s="93">
        <v>5041.67</v>
      </c>
    </row>
    <row r="27" spans="1:11" ht="14.6" x14ac:dyDescent="0.4">
      <c r="A27" s="90"/>
      <c r="B27" s="90"/>
      <c r="C27" s="90"/>
      <c r="D27" s="90"/>
      <c r="E27" s="90" t="s">
        <v>731</v>
      </c>
      <c r="F27" s="91">
        <v>44615</v>
      </c>
      <c r="G27" s="90" t="s">
        <v>1512</v>
      </c>
      <c r="H27" s="90" t="s">
        <v>1521</v>
      </c>
      <c r="I27" s="90" t="s">
        <v>1205</v>
      </c>
      <c r="J27" s="90" t="s">
        <v>735</v>
      </c>
      <c r="K27" s="93">
        <v>196.6</v>
      </c>
    </row>
    <row r="28" spans="1:11" ht="14.6" x14ac:dyDescent="0.4">
      <c r="A28" s="90"/>
      <c r="B28" s="90"/>
      <c r="C28" s="90"/>
      <c r="D28" s="90"/>
      <c r="E28" s="90" t="s">
        <v>654</v>
      </c>
      <c r="F28" s="91">
        <v>44617</v>
      </c>
      <c r="G28" s="90"/>
      <c r="H28" s="90" t="s">
        <v>1194</v>
      </c>
      <c r="I28" s="90" t="s">
        <v>1207</v>
      </c>
      <c r="J28" s="90" t="s">
        <v>1206</v>
      </c>
      <c r="K28" s="93">
        <v>26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44622</v>
      </c>
      <c r="G29" s="90" t="s">
        <v>1513</v>
      </c>
      <c r="H29" s="90" t="s">
        <v>1193</v>
      </c>
      <c r="I29" s="90" t="s">
        <v>1200</v>
      </c>
      <c r="J29" s="90" t="s">
        <v>678</v>
      </c>
      <c r="K29" s="93">
        <v>328</v>
      </c>
    </row>
    <row r="30" spans="1:11" ht="14.6" x14ac:dyDescent="0.4">
      <c r="A30" s="90"/>
      <c r="B30" s="90"/>
      <c r="C30" s="90"/>
      <c r="D30" s="90"/>
      <c r="E30" s="90" t="s">
        <v>731</v>
      </c>
      <c r="F30" s="91">
        <v>44623</v>
      </c>
      <c r="G30" s="90" t="s">
        <v>1514</v>
      </c>
      <c r="H30" s="90" t="s">
        <v>1523</v>
      </c>
      <c r="I30" s="90" t="s">
        <v>1527</v>
      </c>
      <c r="J30" s="90" t="s">
        <v>735</v>
      </c>
      <c r="K30" s="93">
        <v>270</v>
      </c>
    </row>
    <row r="31" spans="1:11" ht="14.6" x14ac:dyDescent="0.4">
      <c r="A31" s="90"/>
      <c r="B31" s="90"/>
      <c r="C31" s="90"/>
      <c r="D31" s="90"/>
      <c r="E31" s="90" t="s">
        <v>731</v>
      </c>
      <c r="F31" s="91">
        <v>44626</v>
      </c>
      <c r="G31" s="90"/>
      <c r="H31" s="90" t="s">
        <v>1158</v>
      </c>
      <c r="I31" s="90" t="s">
        <v>1198</v>
      </c>
      <c r="J31" s="90" t="s">
        <v>735</v>
      </c>
      <c r="K31" s="93">
        <v>2224.23</v>
      </c>
    </row>
    <row r="32" spans="1:11" ht="14.6" x14ac:dyDescent="0.4">
      <c r="A32" s="90"/>
      <c r="B32" s="90"/>
      <c r="C32" s="90"/>
      <c r="D32" s="90"/>
      <c r="E32" s="90" t="s">
        <v>654</v>
      </c>
      <c r="F32" s="91">
        <v>44631</v>
      </c>
      <c r="G32" s="90"/>
      <c r="H32" s="90" t="s">
        <v>1194</v>
      </c>
      <c r="I32" s="90" t="s">
        <v>1207</v>
      </c>
      <c r="J32" s="90" t="s">
        <v>1206</v>
      </c>
      <c r="K32" s="93">
        <v>1150.8</v>
      </c>
    </row>
    <row r="33" spans="1:11" ht="14.6" x14ac:dyDescent="0.4">
      <c r="A33" s="90"/>
      <c r="B33" s="90"/>
      <c r="C33" s="90"/>
      <c r="D33" s="90"/>
      <c r="E33" s="90" t="s">
        <v>731</v>
      </c>
      <c r="F33" s="91">
        <v>44636</v>
      </c>
      <c r="G33" s="90" t="s">
        <v>3200</v>
      </c>
      <c r="H33" s="90" t="s">
        <v>1192</v>
      </c>
      <c r="I33" s="90" t="s">
        <v>3247</v>
      </c>
      <c r="J33" s="90" t="s">
        <v>735</v>
      </c>
      <c r="K33" s="93">
        <v>349.99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44637</v>
      </c>
      <c r="G34" s="90" t="s">
        <v>1515</v>
      </c>
      <c r="H34" s="90" t="s">
        <v>1521</v>
      </c>
      <c r="I34" s="90" t="s">
        <v>1205</v>
      </c>
      <c r="J34" s="90" t="s">
        <v>678</v>
      </c>
      <c r="K34" s="93">
        <v>10005</v>
      </c>
    </row>
    <row r="35" spans="1:11" ht="14.6" x14ac:dyDescent="0.4">
      <c r="A35" s="90"/>
      <c r="B35" s="90"/>
      <c r="C35" s="90"/>
      <c r="D35" s="90"/>
      <c r="E35" s="90" t="s">
        <v>731</v>
      </c>
      <c r="F35" s="91">
        <v>44638</v>
      </c>
      <c r="G35" s="90" t="s">
        <v>1516</v>
      </c>
      <c r="H35" s="90" t="s">
        <v>1192</v>
      </c>
      <c r="I35" s="90" t="s">
        <v>1528</v>
      </c>
      <c r="J35" s="90" t="s">
        <v>735</v>
      </c>
      <c r="K35" s="93">
        <v>0</v>
      </c>
    </row>
    <row r="36" spans="1:11" ht="14.6" x14ac:dyDescent="0.4">
      <c r="A36" s="90"/>
      <c r="B36" s="90"/>
      <c r="C36" s="90"/>
      <c r="D36" s="90"/>
      <c r="E36" s="90" t="s">
        <v>731</v>
      </c>
      <c r="F36" s="91">
        <v>44638</v>
      </c>
      <c r="G36" s="90" t="s">
        <v>1516</v>
      </c>
      <c r="H36" s="90" t="s">
        <v>1192</v>
      </c>
      <c r="I36" s="90" t="s">
        <v>1529</v>
      </c>
      <c r="J36" s="90" t="s">
        <v>735</v>
      </c>
      <c r="K36" s="93">
        <v>189.98</v>
      </c>
    </row>
    <row r="37" spans="1:11" ht="14.6" x14ac:dyDescent="0.4">
      <c r="A37" s="90"/>
      <c r="B37" s="90"/>
      <c r="C37" s="90"/>
      <c r="D37" s="90"/>
      <c r="E37" s="90" t="s">
        <v>731</v>
      </c>
      <c r="F37" s="91">
        <v>44639</v>
      </c>
      <c r="G37" s="90"/>
      <c r="H37" s="90" t="s">
        <v>1521</v>
      </c>
      <c r="I37" s="90" t="s">
        <v>3262</v>
      </c>
      <c r="J37" s="90" t="s">
        <v>735</v>
      </c>
      <c r="K37" s="93">
        <v>327.2</v>
      </c>
    </row>
    <row r="38" spans="1:11" ht="14.6" x14ac:dyDescent="0.4">
      <c r="A38" s="90"/>
      <c r="B38" s="90"/>
      <c r="C38" s="90"/>
      <c r="D38" s="90"/>
      <c r="E38" s="90" t="s">
        <v>731</v>
      </c>
      <c r="F38" s="91">
        <v>44644</v>
      </c>
      <c r="G38" s="90" t="s">
        <v>3201</v>
      </c>
      <c r="H38" s="90" t="s">
        <v>3240</v>
      </c>
      <c r="I38" s="90" t="s">
        <v>3261</v>
      </c>
      <c r="J38" s="90" t="s">
        <v>735</v>
      </c>
      <c r="K38" s="93">
        <v>29.95</v>
      </c>
    </row>
    <row r="39" spans="1:11" ht="14.6" x14ac:dyDescent="0.4">
      <c r="A39" s="90"/>
      <c r="B39" s="90"/>
      <c r="C39" s="90"/>
      <c r="D39" s="90"/>
      <c r="E39" s="90" t="s">
        <v>654</v>
      </c>
      <c r="F39" s="91">
        <v>44645</v>
      </c>
      <c r="G39" s="90"/>
      <c r="H39" s="90" t="s">
        <v>1194</v>
      </c>
      <c r="I39" s="90" t="s">
        <v>1207</v>
      </c>
      <c r="J39" s="90" t="s">
        <v>1206</v>
      </c>
      <c r="K39" s="93">
        <v>26</v>
      </c>
    </row>
    <row r="40" spans="1:11" ht="14.6" x14ac:dyDescent="0.4">
      <c r="A40" s="90"/>
      <c r="B40" s="90"/>
      <c r="C40" s="90"/>
      <c r="D40" s="90"/>
      <c r="E40" s="90" t="s">
        <v>731</v>
      </c>
      <c r="F40" s="91">
        <v>44645</v>
      </c>
      <c r="G40" s="90" t="s">
        <v>3202</v>
      </c>
      <c r="H40" s="90" t="s">
        <v>1196</v>
      </c>
      <c r="I40" s="90" t="s">
        <v>3248</v>
      </c>
      <c r="J40" s="90" t="s">
        <v>735</v>
      </c>
      <c r="K40" s="93">
        <v>512.77</v>
      </c>
    </row>
    <row r="41" spans="1:11" ht="14.6" x14ac:dyDescent="0.4">
      <c r="A41" s="90"/>
      <c r="B41" s="90"/>
      <c r="C41" s="90"/>
      <c r="D41" s="90"/>
      <c r="E41" s="90" t="s">
        <v>653</v>
      </c>
      <c r="F41" s="91">
        <v>44651</v>
      </c>
      <c r="G41" s="90" t="s">
        <v>1517</v>
      </c>
      <c r="H41" s="90" t="s">
        <v>1193</v>
      </c>
      <c r="I41" s="90" t="s">
        <v>1200</v>
      </c>
      <c r="J41" s="90" t="s">
        <v>678</v>
      </c>
      <c r="K41" s="93">
        <v>12</v>
      </c>
    </row>
    <row r="42" spans="1:11" ht="14.6" x14ac:dyDescent="0.4">
      <c r="A42" s="90"/>
      <c r="B42" s="90"/>
      <c r="C42" s="90"/>
      <c r="D42" s="90"/>
      <c r="E42" s="90" t="s">
        <v>653</v>
      </c>
      <c r="F42" s="91">
        <v>44651</v>
      </c>
      <c r="G42" s="90" t="s">
        <v>3203</v>
      </c>
      <c r="H42" s="90" t="s">
        <v>3241</v>
      </c>
      <c r="I42" s="90" t="s">
        <v>3249</v>
      </c>
      <c r="J42" s="90" t="s">
        <v>678</v>
      </c>
      <c r="K42" s="93">
        <v>5997.2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44652</v>
      </c>
      <c r="G43" s="90" t="s">
        <v>1518</v>
      </c>
      <c r="H43" s="90" t="s">
        <v>1191</v>
      </c>
      <c r="I43" s="90" t="s">
        <v>1197</v>
      </c>
      <c r="J43" s="90" t="s">
        <v>678</v>
      </c>
      <c r="K43" s="93">
        <v>5041.67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44653</v>
      </c>
      <c r="G44" s="90" t="s">
        <v>3204</v>
      </c>
      <c r="H44" s="90" t="s">
        <v>1193</v>
      </c>
      <c r="I44" s="90" t="s">
        <v>1200</v>
      </c>
      <c r="J44" s="90" t="s">
        <v>678</v>
      </c>
      <c r="K44" s="93">
        <v>332</v>
      </c>
    </row>
    <row r="45" spans="1:11" ht="14.6" x14ac:dyDescent="0.4">
      <c r="A45" s="90"/>
      <c r="B45" s="90"/>
      <c r="C45" s="90"/>
      <c r="D45" s="90"/>
      <c r="E45" s="90" t="s">
        <v>731</v>
      </c>
      <c r="F45" s="91">
        <v>44657</v>
      </c>
      <c r="G45" s="90"/>
      <c r="H45" s="90" t="s">
        <v>1158</v>
      </c>
      <c r="I45" s="90" t="s">
        <v>1198</v>
      </c>
      <c r="J45" s="90" t="s">
        <v>735</v>
      </c>
      <c r="K45" s="93">
        <v>2254.48</v>
      </c>
    </row>
    <row r="46" spans="1:11" ht="14.6" x14ac:dyDescent="0.4">
      <c r="A46" s="90"/>
      <c r="B46" s="90"/>
      <c r="C46" s="90"/>
      <c r="D46" s="90"/>
      <c r="E46" s="90" t="s">
        <v>731</v>
      </c>
      <c r="F46" s="91">
        <v>44657</v>
      </c>
      <c r="G46" s="90" t="s">
        <v>1519</v>
      </c>
      <c r="H46" s="90" t="s">
        <v>1192</v>
      </c>
      <c r="I46" s="90" t="s">
        <v>1530</v>
      </c>
      <c r="J46" s="90" t="s">
        <v>735</v>
      </c>
      <c r="K46" s="93">
        <v>0</v>
      </c>
    </row>
    <row r="47" spans="1:11" ht="14.6" x14ac:dyDescent="0.4">
      <c r="A47" s="90"/>
      <c r="B47" s="90"/>
      <c r="C47" s="90"/>
      <c r="D47" s="90"/>
      <c r="E47" s="90" t="s">
        <v>731</v>
      </c>
      <c r="F47" s="91">
        <v>44657</v>
      </c>
      <c r="G47" s="90" t="s">
        <v>1519</v>
      </c>
      <c r="H47" s="90" t="s">
        <v>1192</v>
      </c>
      <c r="I47" s="90" t="s">
        <v>1531</v>
      </c>
      <c r="J47" s="90" t="s">
        <v>735</v>
      </c>
      <c r="K47" s="93">
        <v>359.98</v>
      </c>
    </row>
    <row r="48" spans="1:11" ht="14.6" x14ac:dyDescent="0.4">
      <c r="A48" s="90"/>
      <c r="B48" s="90"/>
      <c r="C48" s="90"/>
      <c r="D48" s="90"/>
      <c r="E48" s="90" t="s">
        <v>755</v>
      </c>
      <c r="F48" s="91">
        <v>44657</v>
      </c>
      <c r="G48" s="90" t="s">
        <v>1520</v>
      </c>
      <c r="H48" s="90" t="s">
        <v>1192</v>
      </c>
      <c r="I48" s="90" t="s">
        <v>1532</v>
      </c>
      <c r="J48" s="90" t="s">
        <v>735</v>
      </c>
      <c r="K48" s="93">
        <v>-127.98</v>
      </c>
    </row>
    <row r="49" spans="1:11" ht="15" customHeight="1" x14ac:dyDescent="0.4">
      <c r="A49" s="90"/>
      <c r="B49" s="90"/>
      <c r="C49" s="90"/>
      <c r="D49" s="90"/>
      <c r="E49" s="90" t="s">
        <v>654</v>
      </c>
      <c r="F49" s="91">
        <v>44659</v>
      </c>
      <c r="G49" s="90"/>
      <c r="H49" s="90" t="s">
        <v>1194</v>
      </c>
      <c r="I49" s="90" t="s">
        <v>1207</v>
      </c>
      <c r="J49" s="90" t="s">
        <v>1206</v>
      </c>
      <c r="K49" s="93">
        <v>1210.06</v>
      </c>
    </row>
    <row r="50" spans="1:11" ht="15" customHeight="1" x14ac:dyDescent="0.4">
      <c r="A50" s="90"/>
      <c r="B50" s="90"/>
      <c r="C50" s="90"/>
      <c r="D50" s="90"/>
      <c r="E50" s="90" t="s">
        <v>731</v>
      </c>
      <c r="F50" s="91">
        <v>44670</v>
      </c>
      <c r="G50" s="90"/>
      <c r="H50" s="90" t="s">
        <v>1521</v>
      </c>
      <c r="I50" s="90" t="s">
        <v>3262</v>
      </c>
      <c r="J50" s="90" t="s">
        <v>735</v>
      </c>
      <c r="K50" s="93">
        <v>327.2</v>
      </c>
    </row>
    <row r="51" spans="1:11" ht="15" customHeight="1" x14ac:dyDescent="0.4">
      <c r="A51" s="90"/>
      <c r="B51" s="90"/>
      <c r="C51" s="90"/>
      <c r="D51" s="90"/>
      <c r="E51" s="90" t="s">
        <v>654</v>
      </c>
      <c r="F51" s="91">
        <v>44673</v>
      </c>
      <c r="G51" s="90"/>
      <c r="H51" s="90" t="s">
        <v>1194</v>
      </c>
      <c r="I51" s="90" t="s">
        <v>1207</v>
      </c>
      <c r="J51" s="90" t="s">
        <v>1206</v>
      </c>
      <c r="K51" s="93">
        <v>26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44677</v>
      </c>
      <c r="G52" s="90" t="s">
        <v>3205</v>
      </c>
      <c r="H52" s="90" t="s">
        <v>1191</v>
      </c>
      <c r="I52" s="90" t="s">
        <v>1197</v>
      </c>
      <c r="J52" s="90" t="s">
        <v>678</v>
      </c>
      <c r="K52" s="93">
        <v>5041.67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44680</v>
      </c>
      <c r="G53" s="90" t="s">
        <v>3206</v>
      </c>
      <c r="H53" s="90" t="s">
        <v>1521</v>
      </c>
      <c r="I53" s="90" t="s">
        <v>1205</v>
      </c>
      <c r="J53" s="90" t="s">
        <v>678</v>
      </c>
      <c r="K53" s="93">
        <v>620.04999999999995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44680</v>
      </c>
      <c r="G54" s="90" t="s">
        <v>3207</v>
      </c>
      <c r="H54" s="90" t="s">
        <v>1521</v>
      </c>
      <c r="I54" s="90" t="s">
        <v>1205</v>
      </c>
      <c r="J54" s="90" t="s">
        <v>678</v>
      </c>
      <c r="K54" s="93">
        <v>3399.9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44683</v>
      </c>
      <c r="G55" s="90" t="s">
        <v>3208</v>
      </c>
      <c r="H55" s="90" t="s">
        <v>1193</v>
      </c>
      <c r="I55" s="90" t="s">
        <v>1200</v>
      </c>
      <c r="J55" s="90" t="s">
        <v>678</v>
      </c>
      <c r="K55" s="93">
        <v>284</v>
      </c>
    </row>
    <row r="56" spans="1:11" ht="15" customHeight="1" x14ac:dyDescent="0.4">
      <c r="A56" s="90"/>
      <c r="B56" s="90"/>
      <c r="C56" s="90"/>
      <c r="D56" s="90"/>
      <c r="E56" s="90" t="s">
        <v>654</v>
      </c>
      <c r="F56" s="91">
        <v>44687</v>
      </c>
      <c r="G56" s="90"/>
      <c r="H56" s="90" t="s">
        <v>1194</v>
      </c>
      <c r="I56" s="90" t="s">
        <v>1207</v>
      </c>
      <c r="J56" s="90" t="s">
        <v>1206</v>
      </c>
      <c r="K56" s="93">
        <v>1210.06</v>
      </c>
    </row>
    <row r="57" spans="1:11" ht="15" customHeight="1" x14ac:dyDescent="0.4">
      <c r="A57" s="90"/>
      <c r="B57" s="90"/>
      <c r="C57" s="90"/>
      <c r="D57" s="90"/>
      <c r="E57" s="90" t="s">
        <v>731</v>
      </c>
      <c r="F57" s="91">
        <v>44687</v>
      </c>
      <c r="G57" s="90"/>
      <c r="H57" s="90" t="s">
        <v>1158</v>
      </c>
      <c r="I57" s="90" t="s">
        <v>1198</v>
      </c>
      <c r="J57" s="90" t="s">
        <v>735</v>
      </c>
      <c r="K57" s="93">
        <v>2244.1799999999998</v>
      </c>
    </row>
    <row r="58" spans="1:11" ht="15" customHeight="1" x14ac:dyDescent="0.4">
      <c r="A58" s="90"/>
      <c r="B58" s="90"/>
      <c r="C58" s="90"/>
      <c r="D58" s="90"/>
      <c r="E58" s="90" t="s">
        <v>731</v>
      </c>
      <c r="F58" s="91">
        <v>44692</v>
      </c>
      <c r="G58" s="90" t="s">
        <v>3209</v>
      </c>
      <c r="H58" s="90" t="s">
        <v>3242</v>
      </c>
      <c r="I58" s="90" t="s">
        <v>3250</v>
      </c>
      <c r="J58" s="90" t="s">
        <v>735</v>
      </c>
      <c r="K58" s="93">
        <v>76.5</v>
      </c>
    </row>
    <row r="59" spans="1:11" ht="15" customHeight="1" x14ac:dyDescent="0.4">
      <c r="A59" s="90"/>
      <c r="B59" s="90"/>
      <c r="C59" s="90"/>
      <c r="D59" s="90"/>
      <c r="E59" s="90" t="s">
        <v>731</v>
      </c>
      <c r="F59" s="91">
        <v>44695</v>
      </c>
      <c r="G59" s="90" t="s">
        <v>3210</v>
      </c>
      <c r="H59" s="90" t="s">
        <v>1192</v>
      </c>
      <c r="I59" s="90" t="s">
        <v>3251</v>
      </c>
      <c r="J59" s="90" t="s">
        <v>735</v>
      </c>
      <c r="K59" s="93">
        <v>449.99</v>
      </c>
    </row>
    <row r="60" spans="1:11" ht="15" customHeight="1" x14ac:dyDescent="0.4">
      <c r="A60" s="90"/>
      <c r="B60" s="90"/>
      <c r="C60" s="90"/>
      <c r="D60" s="90"/>
      <c r="E60" s="90" t="s">
        <v>731</v>
      </c>
      <c r="F60" s="91">
        <v>44700</v>
      </c>
      <c r="G60" s="90"/>
      <c r="H60" s="90" t="s">
        <v>1521</v>
      </c>
      <c r="I60" s="90" t="s">
        <v>3262</v>
      </c>
      <c r="J60" s="90" t="s">
        <v>735</v>
      </c>
      <c r="K60" s="93">
        <v>327.2</v>
      </c>
    </row>
    <row r="61" spans="1:11" ht="15" customHeight="1" x14ac:dyDescent="0.4">
      <c r="A61" s="90"/>
      <c r="B61" s="90"/>
      <c r="C61" s="90"/>
      <c r="D61" s="90"/>
      <c r="E61" s="90" t="s">
        <v>654</v>
      </c>
      <c r="F61" s="91">
        <v>44701</v>
      </c>
      <c r="G61" s="90"/>
      <c r="H61" s="90" t="s">
        <v>1194</v>
      </c>
      <c r="I61" s="90" t="s">
        <v>1207</v>
      </c>
      <c r="J61" s="90" t="s">
        <v>1206</v>
      </c>
      <c r="K61" s="93">
        <v>26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44713</v>
      </c>
      <c r="G62" s="90" t="s">
        <v>3211</v>
      </c>
      <c r="H62" s="90" t="s">
        <v>1191</v>
      </c>
      <c r="I62" s="90" t="s">
        <v>1197</v>
      </c>
      <c r="J62" s="90" t="s">
        <v>678</v>
      </c>
      <c r="K62" s="93">
        <v>5041.67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44714</v>
      </c>
      <c r="G63" s="90" t="s">
        <v>3212</v>
      </c>
      <c r="H63" s="90" t="s">
        <v>1193</v>
      </c>
      <c r="I63" s="90" t="s">
        <v>1200</v>
      </c>
      <c r="J63" s="90" t="s">
        <v>678</v>
      </c>
      <c r="K63" s="93">
        <v>328</v>
      </c>
    </row>
    <row r="64" spans="1:11" ht="15" customHeight="1" x14ac:dyDescent="0.4">
      <c r="A64" s="90"/>
      <c r="B64" s="90"/>
      <c r="C64" s="90"/>
      <c r="D64" s="90"/>
      <c r="E64" s="90" t="s">
        <v>731</v>
      </c>
      <c r="F64" s="91">
        <v>44714</v>
      </c>
      <c r="G64" s="90" t="s">
        <v>3213</v>
      </c>
      <c r="H64" s="90" t="s">
        <v>3243</v>
      </c>
      <c r="I64" s="90" t="s">
        <v>3252</v>
      </c>
      <c r="J64" s="90" t="s">
        <v>735</v>
      </c>
      <c r="K64" s="93">
        <v>12</v>
      </c>
    </row>
    <row r="65" spans="1:11" ht="15" customHeight="1" x14ac:dyDescent="0.4">
      <c r="A65" s="90"/>
      <c r="B65" s="90"/>
      <c r="C65" s="90"/>
      <c r="D65" s="90"/>
      <c r="E65" s="90" t="s">
        <v>731</v>
      </c>
      <c r="F65" s="91">
        <v>44715</v>
      </c>
      <c r="G65" s="90" t="s">
        <v>3214</v>
      </c>
      <c r="H65" s="90" t="s">
        <v>3244</v>
      </c>
      <c r="I65" s="90" t="s">
        <v>3252</v>
      </c>
      <c r="J65" s="90" t="s">
        <v>735</v>
      </c>
      <c r="K65" s="93">
        <v>48.38</v>
      </c>
    </row>
    <row r="66" spans="1:11" ht="15" customHeight="1" x14ac:dyDescent="0.4">
      <c r="A66" s="90"/>
      <c r="B66" s="90"/>
      <c r="C66" s="90"/>
      <c r="D66" s="90"/>
      <c r="E66" s="90" t="s">
        <v>654</v>
      </c>
      <c r="F66" s="91">
        <v>44715</v>
      </c>
      <c r="G66" s="90"/>
      <c r="H66" s="90" t="s">
        <v>1194</v>
      </c>
      <c r="I66" s="90" t="s">
        <v>1207</v>
      </c>
      <c r="J66" s="90" t="s">
        <v>1206</v>
      </c>
      <c r="K66" s="93">
        <v>1210.06</v>
      </c>
    </row>
    <row r="67" spans="1:11" ht="15" customHeight="1" x14ac:dyDescent="0.4">
      <c r="A67" s="90"/>
      <c r="B67" s="90"/>
      <c r="C67" s="90"/>
      <c r="D67" s="90"/>
      <c r="E67" s="90" t="s">
        <v>731</v>
      </c>
      <c r="F67" s="91">
        <v>44718</v>
      </c>
      <c r="G67" s="90"/>
      <c r="H67" s="90" t="s">
        <v>1158</v>
      </c>
      <c r="I67" s="90" t="s">
        <v>1198</v>
      </c>
      <c r="J67" s="90" t="s">
        <v>735</v>
      </c>
      <c r="K67" s="93">
        <v>2244.1799999999998</v>
      </c>
    </row>
    <row r="68" spans="1:11" ht="15" customHeight="1" x14ac:dyDescent="0.4">
      <c r="A68" s="90"/>
      <c r="B68" s="90"/>
      <c r="C68" s="90"/>
      <c r="D68" s="90"/>
      <c r="E68" s="90" t="s">
        <v>755</v>
      </c>
      <c r="F68" s="91">
        <v>44721</v>
      </c>
      <c r="G68" s="90" t="s">
        <v>3214</v>
      </c>
      <c r="H68" s="90" t="s">
        <v>3244</v>
      </c>
      <c r="I68" s="90" t="s">
        <v>3253</v>
      </c>
      <c r="J68" s="90" t="s">
        <v>735</v>
      </c>
      <c r="K68" s="93">
        <v>-3.58</v>
      </c>
    </row>
    <row r="69" spans="1:11" ht="15" customHeight="1" x14ac:dyDescent="0.4">
      <c r="A69" s="90"/>
      <c r="B69" s="90"/>
      <c r="C69" s="90"/>
      <c r="D69" s="90"/>
      <c r="E69" s="90" t="s">
        <v>654</v>
      </c>
      <c r="F69" s="91">
        <v>44729</v>
      </c>
      <c r="G69" s="90"/>
      <c r="H69" s="90" t="s">
        <v>1194</v>
      </c>
      <c r="I69" s="90" t="s">
        <v>1207</v>
      </c>
      <c r="J69" s="90" t="s">
        <v>1206</v>
      </c>
      <c r="K69" s="93">
        <v>26</v>
      </c>
    </row>
    <row r="70" spans="1:11" ht="15" customHeight="1" x14ac:dyDescent="0.4">
      <c r="A70" s="90"/>
      <c r="B70" s="90"/>
      <c r="C70" s="90"/>
      <c r="D70" s="90"/>
      <c r="E70" s="90" t="s">
        <v>731</v>
      </c>
      <c r="F70" s="91">
        <v>44731</v>
      </c>
      <c r="G70" s="90"/>
      <c r="H70" s="90" t="s">
        <v>1521</v>
      </c>
      <c r="I70" s="90" t="s">
        <v>3262</v>
      </c>
      <c r="J70" s="90" t="s">
        <v>735</v>
      </c>
      <c r="K70" s="93">
        <v>327.2</v>
      </c>
    </row>
    <row r="71" spans="1:11" ht="15" customHeight="1" x14ac:dyDescent="0.4">
      <c r="A71" s="90"/>
      <c r="B71" s="90"/>
      <c r="C71" s="90"/>
      <c r="D71" s="90"/>
      <c r="E71" s="90" t="s">
        <v>731</v>
      </c>
      <c r="F71" s="91">
        <v>44735</v>
      </c>
      <c r="G71" s="90" t="s">
        <v>3215</v>
      </c>
      <c r="H71" s="90" t="s">
        <v>1192</v>
      </c>
      <c r="I71" s="90" t="s">
        <v>3254</v>
      </c>
      <c r="J71" s="90" t="s">
        <v>735</v>
      </c>
      <c r="K71" s="93">
        <v>189.98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44743</v>
      </c>
      <c r="G72" s="90" t="s">
        <v>3216</v>
      </c>
      <c r="H72" s="90" t="s">
        <v>1191</v>
      </c>
      <c r="I72" s="90" t="s">
        <v>1197</v>
      </c>
      <c r="J72" s="90" t="s">
        <v>678</v>
      </c>
      <c r="K72" s="93">
        <v>5041.67</v>
      </c>
    </row>
    <row r="73" spans="1:11" ht="15" customHeight="1" x14ac:dyDescent="0.4">
      <c r="A73" s="90"/>
      <c r="B73" s="90"/>
      <c r="C73" s="90"/>
      <c r="D73" s="90"/>
      <c r="E73" s="90" t="s">
        <v>654</v>
      </c>
      <c r="F73" s="91">
        <v>44743</v>
      </c>
      <c r="G73" s="90"/>
      <c r="H73" s="90" t="s">
        <v>1194</v>
      </c>
      <c r="I73" s="90" t="s">
        <v>1207</v>
      </c>
      <c r="J73" s="90" t="s">
        <v>1206</v>
      </c>
      <c r="K73" s="93">
        <v>1258.72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44744</v>
      </c>
      <c r="G74" s="90" t="s">
        <v>3217</v>
      </c>
      <c r="H74" s="90" t="s">
        <v>1193</v>
      </c>
      <c r="I74" s="90" t="s">
        <v>1200</v>
      </c>
      <c r="J74" s="90" t="s">
        <v>678</v>
      </c>
      <c r="K74" s="93">
        <v>328</v>
      </c>
    </row>
    <row r="75" spans="1:11" ht="15" customHeight="1" x14ac:dyDescent="0.4">
      <c r="A75" s="90"/>
      <c r="B75" s="90"/>
      <c r="C75" s="90"/>
      <c r="D75" s="90"/>
      <c r="E75" s="90" t="s">
        <v>731</v>
      </c>
      <c r="F75" s="91">
        <v>44748</v>
      </c>
      <c r="G75" s="90"/>
      <c r="H75" s="90" t="s">
        <v>1158</v>
      </c>
      <c r="I75" s="90" t="s">
        <v>1198</v>
      </c>
      <c r="J75" s="90" t="s">
        <v>735</v>
      </c>
      <c r="K75" s="93">
        <v>2406.1</v>
      </c>
    </row>
    <row r="76" spans="1:11" ht="15" customHeight="1" x14ac:dyDescent="0.4">
      <c r="A76" s="90"/>
      <c r="B76" s="90"/>
      <c r="C76" s="90"/>
      <c r="D76" s="90"/>
      <c r="E76" s="90" t="s">
        <v>731</v>
      </c>
      <c r="F76" s="91">
        <v>44756</v>
      </c>
      <c r="G76" s="90" t="s">
        <v>3218</v>
      </c>
      <c r="H76" s="90" t="s">
        <v>1192</v>
      </c>
      <c r="I76" s="90" t="s">
        <v>3254</v>
      </c>
      <c r="J76" s="90" t="s">
        <v>735</v>
      </c>
      <c r="K76" s="93">
        <v>189.98</v>
      </c>
    </row>
    <row r="77" spans="1:11" ht="15" customHeight="1" x14ac:dyDescent="0.4">
      <c r="A77" s="90"/>
      <c r="B77" s="90"/>
      <c r="C77" s="90"/>
      <c r="D77" s="90"/>
      <c r="E77" s="90" t="s">
        <v>654</v>
      </c>
      <c r="F77" s="91">
        <v>44757</v>
      </c>
      <c r="G77" s="90"/>
      <c r="H77" s="90" t="s">
        <v>1194</v>
      </c>
      <c r="I77" s="90" t="s">
        <v>1207</v>
      </c>
      <c r="J77" s="90" t="s">
        <v>1206</v>
      </c>
      <c r="K77" s="93">
        <v>26</v>
      </c>
    </row>
    <row r="78" spans="1:11" ht="15" customHeight="1" x14ac:dyDescent="0.4">
      <c r="A78" s="90"/>
      <c r="B78" s="90"/>
      <c r="C78" s="90"/>
      <c r="D78" s="90"/>
      <c r="E78" s="90" t="s">
        <v>731</v>
      </c>
      <c r="F78" s="91">
        <v>44760</v>
      </c>
      <c r="G78" s="90" t="s">
        <v>3219</v>
      </c>
      <c r="H78" s="90" t="s">
        <v>1192</v>
      </c>
      <c r="I78" s="90" t="s">
        <v>3255</v>
      </c>
      <c r="J78" s="90" t="s">
        <v>735</v>
      </c>
      <c r="K78" s="93">
        <v>94.99</v>
      </c>
    </row>
    <row r="79" spans="1:11" ht="15" customHeight="1" x14ac:dyDescent="0.4">
      <c r="A79" s="90"/>
      <c r="B79" s="90"/>
      <c r="C79" s="90"/>
      <c r="D79" s="90"/>
      <c r="E79" s="90" t="s">
        <v>731</v>
      </c>
      <c r="F79" s="91">
        <v>44761</v>
      </c>
      <c r="G79" s="90"/>
      <c r="H79" s="90" t="s">
        <v>1521</v>
      </c>
      <c r="I79" s="90" t="s">
        <v>3262</v>
      </c>
      <c r="J79" s="90" t="s">
        <v>735</v>
      </c>
      <c r="K79" s="93">
        <v>327.2</v>
      </c>
    </row>
    <row r="80" spans="1:11" ht="15" customHeight="1" x14ac:dyDescent="0.4">
      <c r="A80" s="90"/>
      <c r="B80" s="90"/>
      <c r="C80" s="90"/>
      <c r="D80" s="90"/>
      <c r="E80" s="90" t="s">
        <v>654</v>
      </c>
      <c r="F80" s="91">
        <v>44771</v>
      </c>
      <c r="G80" s="90"/>
      <c r="H80" s="90" t="s">
        <v>1194</v>
      </c>
      <c r="I80" s="90" t="s">
        <v>1207</v>
      </c>
      <c r="J80" s="90" t="s">
        <v>1206</v>
      </c>
      <c r="K80" s="93">
        <v>26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44773</v>
      </c>
      <c r="G81" s="90" t="s">
        <v>3220</v>
      </c>
      <c r="H81" s="90" t="s">
        <v>1521</v>
      </c>
      <c r="I81" s="90" t="s">
        <v>3256</v>
      </c>
      <c r="J81" s="90" t="s">
        <v>678</v>
      </c>
      <c r="K81" s="93">
        <v>4002.3</v>
      </c>
    </row>
    <row r="82" spans="1:11" ht="15" customHeight="1" x14ac:dyDescent="0.4">
      <c r="A82" s="90"/>
      <c r="B82" s="90"/>
      <c r="C82" s="90"/>
      <c r="D82" s="90"/>
      <c r="E82" s="90" t="s">
        <v>653</v>
      </c>
      <c r="F82" s="91">
        <v>44774</v>
      </c>
      <c r="G82" s="90" t="s">
        <v>3221</v>
      </c>
      <c r="H82" s="90" t="s">
        <v>1191</v>
      </c>
      <c r="I82" s="90" t="s">
        <v>1197</v>
      </c>
      <c r="J82" s="90" t="s">
        <v>678</v>
      </c>
      <c r="K82" s="93">
        <v>5041.67</v>
      </c>
    </row>
    <row r="83" spans="1:11" ht="15" customHeight="1" x14ac:dyDescent="0.4">
      <c r="A83" s="90"/>
      <c r="B83" s="90"/>
      <c r="C83" s="90"/>
      <c r="D83" s="90"/>
      <c r="E83" s="90" t="s">
        <v>653</v>
      </c>
      <c r="F83" s="91">
        <v>44775</v>
      </c>
      <c r="G83" s="90" t="s">
        <v>3222</v>
      </c>
      <c r="H83" s="90" t="s">
        <v>1193</v>
      </c>
      <c r="I83" s="90" t="s">
        <v>1200</v>
      </c>
      <c r="J83" s="90" t="s">
        <v>678</v>
      </c>
      <c r="K83" s="93">
        <v>328</v>
      </c>
    </row>
    <row r="84" spans="1:11" ht="15" customHeight="1" x14ac:dyDescent="0.4">
      <c r="A84" s="90"/>
      <c r="B84" s="90"/>
      <c r="C84" s="90"/>
      <c r="D84" s="90"/>
      <c r="E84" s="90" t="s">
        <v>731</v>
      </c>
      <c r="F84" s="91">
        <v>44779</v>
      </c>
      <c r="G84" s="90"/>
      <c r="H84" s="90" t="s">
        <v>1158</v>
      </c>
      <c r="I84" s="90" t="s">
        <v>1198</v>
      </c>
      <c r="J84" s="90" t="s">
        <v>735</v>
      </c>
      <c r="K84" s="93">
        <v>2396.02</v>
      </c>
    </row>
    <row r="85" spans="1:11" ht="15" customHeight="1" x14ac:dyDescent="0.4">
      <c r="A85" s="90"/>
      <c r="B85" s="90"/>
      <c r="C85" s="90"/>
      <c r="D85" s="90"/>
      <c r="E85" s="90" t="s">
        <v>654</v>
      </c>
      <c r="F85" s="91">
        <v>44785</v>
      </c>
      <c r="G85" s="90"/>
      <c r="H85" s="90" t="s">
        <v>1194</v>
      </c>
      <c r="I85" s="90" t="s">
        <v>1207</v>
      </c>
      <c r="J85" s="90" t="s">
        <v>1206</v>
      </c>
      <c r="K85" s="93">
        <v>1258.72</v>
      </c>
    </row>
    <row r="86" spans="1:11" ht="15" customHeight="1" x14ac:dyDescent="0.4">
      <c r="A86" s="90"/>
      <c r="B86" s="90"/>
      <c r="C86" s="90"/>
      <c r="D86" s="90"/>
      <c r="E86" s="90" t="s">
        <v>731</v>
      </c>
      <c r="F86" s="91">
        <v>44792</v>
      </c>
      <c r="G86" s="90"/>
      <c r="H86" s="90" t="s">
        <v>1521</v>
      </c>
      <c r="I86" s="90" t="s">
        <v>3262</v>
      </c>
      <c r="J86" s="90" t="s">
        <v>735</v>
      </c>
      <c r="K86" s="93">
        <v>327.2</v>
      </c>
    </row>
    <row r="87" spans="1:11" ht="15" customHeight="1" x14ac:dyDescent="0.4">
      <c r="A87" s="90"/>
      <c r="B87" s="90"/>
      <c r="C87" s="90"/>
      <c r="D87" s="90"/>
      <c r="E87" s="90" t="s">
        <v>654</v>
      </c>
      <c r="F87" s="91">
        <v>44799</v>
      </c>
      <c r="G87" s="90"/>
      <c r="H87" s="90" t="s">
        <v>1194</v>
      </c>
      <c r="I87" s="90" t="s">
        <v>1207</v>
      </c>
      <c r="J87" s="90" t="s">
        <v>1206</v>
      </c>
      <c r="K87" s="93">
        <v>26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44805</v>
      </c>
      <c r="G88" s="90" t="s">
        <v>3223</v>
      </c>
      <c r="H88" s="90" t="s">
        <v>1191</v>
      </c>
      <c r="I88" s="90" t="s">
        <v>1197</v>
      </c>
      <c r="J88" s="90" t="s">
        <v>678</v>
      </c>
      <c r="K88" s="93">
        <v>5041.67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44806</v>
      </c>
      <c r="G89" s="90" t="s">
        <v>3224</v>
      </c>
      <c r="H89" s="90" t="s">
        <v>1193</v>
      </c>
      <c r="I89" s="90" t="s">
        <v>1200</v>
      </c>
      <c r="J89" s="90" t="s">
        <v>678</v>
      </c>
      <c r="K89" s="93">
        <v>328</v>
      </c>
    </row>
    <row r="90" spans="1:11" ht="15" customHeight="1" x14ac:dyDescent="0.4">
      <c r="A90" s="90"/>
      <c r="B90" s="90"/>
      <c r="C90" s="90"/>
      <c r="D90" s="90"/>
      <c r="E90" s="90" t="s">
        <v>731</v>
      </c>
      <c r="F90" s="91">
        <v>44810</v>
      </c>
      <c r="G90" s="90"/>
      <c r="H90" s="90" t="s">
        <v>1158</v>
      </c>
      <c r="I90" s="90" t="s">
        <v>1198</v>
      </c>
      <c r="J90" s="90" t="s">
        <v>735</v>
      </c>
      <c r="K90" s="93">
        <v>2490.02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44811</v>
      </c>
      <c r="G91" s="90" t="s">
        <v>3225</v>
      </c>
      <c r="H91" s="90" t="s">
        <v>3245</v>
      </c>
      <c r="I91" s="90" t="s">
        <v>3257</v>
      </c>
      <c r="J91" s="90" t="s">
        <v>678</v>
      </c>
      <c r="K91" s="93">
        <v>1000</v>
      </c>
    </row>
    <row r="92" spans="1:11" ht="15" customHeight="1" x14ac:dyDescent="0.4">
      <c r="A92" s="90"/>
      <c r="B92" s="90"/>
      <c r="C92" s="90"/>
      <c r="D92" s="90"/>
      <c r="E92" s="90" t="s">
        <v>731</v>
      </c>
      <c r="F92" s="91">
        <v>44811</v>
      </c>
      <c r="G92" s="90" t="s">
        <v>3226</v>
      </c>
      <c r="H92" s="90" t="s">
        <v>1192</v>
      </c>
      <c r="I92" s="90" t="s">
        <v>3254</v>
      </c>
      <c r="J92" s="90" t="s">
        <v>735</v>
      </c>
      <c r="K92" s="93">
        <v>199.98</v>
      </c>
    </row>
    <row r="93" spans="1:11" ht="15" customHeight="1" x14ac:dyDescent="0.4">
      <c r="A93" s="90"/>
      <c r="B93" s="90"/>
      <c r="C93" s="90"/>
      <c r="D93" s="90"/>
      <c r="E93" s="90" t="s">
        <v>654</v>
      </c>
      <c r="F93" s="91">
        <v>44813</v>
      </c>
      <c r="G93" s="90"/>
      <c r="H93" s="90" t="s">
        <v>1194</v>
      </c>
      <c r="I93" s="90" t="s">
        <v>1207</v>
      </c>
      <c r="J93" s="90" t="s">
        <v>1206</v>
      </c>
      <c r="K93" s="93">
        <v>1247.5</v>
      </c>
    </row>
    <row r="94" spans="1:11" ht="15" customHeight="1" x14ac:dyDescent="0.4">
      <c r="A94" s="90"/>
      <c r="B94" s="90"/>
      <c r="C94" s="90"/>
      <c r="D94" s="90"/>
      <c r="E94" s="90" t="s">
        <v>731</v>
      </c>
      <c r="F94" s="91">
        <v>44817</v>
      </c>
      <c r="G94" s="90" t="s">
        <v>3227</v>
      </c>
      <c r="H94" s="90" t="s">
        <v>3243</v>
      </c>
      <c r="I94" s="90" t="s">
        <v>3252</v>
      </c>
      <c r="J94" s="90" t="s">
        <v>735</v>
      </c>
      <c r="K94" s="93">
        <v>21.32</v>
      </c>
    </row>
    <row r="95" spans="1:11" ht="15" customHeight="1" x14ac:dyDescent="0.4">
      <c r="A95" s="90"/>
      <c r="B95" s="90"/>
      <c r="C95" s="90"/>
      <c r="D95" s="90"/>
      <c r="E95" s="90" t="s">
        <v>731</v>
      </c>
      <c r="F95" s="91">
        <v>44823</v>
      </c>
      <c r="G95" s="90"/>
      <c r="H95" s="90" t="s">
        <v>1521</v>
      </c>
      <c r="I95" s="90" t="s">
        <v>3262</v>
      </c>
      <c r="J95" s="90" t="s">
        <v>735</v>
      </c>
      <c r="K95" s="93">
        <v>327.2</v>
      </c>
    </row>
    <row r="96" spans="1:11" ht="15" customHeight="1" x14ac:dyDescent="0.4">
      <c r="A96" s="90"/>
      <c r="B96" s="90"/>
      <c r="C96" s="90"/>
      <c r="D96" s="90"/>
      <c r="E96" s="90" t="s">
        <v>731</v>
      </c>
      <c r="F96" s="91">
        <v>44829</v>
      </c>
      <c r="G96" s="90" t="s">
        <v>3228</v>
      </c>
      <c r="H96" s="90" t="s">
        <v>1192</v>
      </c>
      <c r="I96" s="90" t="s">
        <v>3258</v>
      </c>
      <c r="J96" s="90" t="s">
        <v>735</v>
      </c>
      <c r="K96" s="93">
        <v>449.99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44835</v>
      </c>
      <c r="G97" s="90" t="s">
        <v>3229</v>
      </c>
      <c r="H97" s="90" t="s">
        <v>1191</v>
      </c>
      <c r="I97" s="90" t="s">
        <v>1197</v>
      </c>
      <c r="J97" s="90" t="s">
        <v>678</v>
      </c>
      <c r="K97" s="93">
        <v>5041.67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44836</v>
      </c>
      <c r="G98" s="90" t="s">
        <v>3230</v>
      </c>
      <c r="H98" s="90" t="s">
        <v>1193</v>
      </c>
      <c r="I98" s="90" t="s">
        <v>1200</v>
      </c>
      <c r="J98" s="90" t="s">
        <v>678</v>
      </c>
      <c r="K98" s="93">
        <v>328</v>
      </c>
    </row>
    <row r="99" spans="1:11" ht="15" customHeight="1" x14ac:dyDescent="0.4">
      <c r="A99" s="90"/>
      <c r="B99" s="90"/>
      <c r="C99" s="90"/>
      <c r="D99" s="90"/>
      <c r="E99" s="90" t="s">
        <v>731</v>
      </c>
      <c r="F99" s="91">
        <v>44840</v>
      </c>
      <c r="G99" s="90"/>
      <c r="H99" s="90" t="s">
        <v>1158</v>
      </c>
      <c r="I99" s="90" t="s">
        <v>1198</v>
      </c>
      <c r="J99" s="90" t="s">
        <v>735</v>
      </c>
      <c r="K99" s="93">
        <v>2490.02</v>
      </c>
    </row>
    <row r="100" spans="1:11" ht="15" customHeight="1" x14ac:dyDescent="0.4">
      <c r="A100" s="90"/>
      <c r="B100" s="90"/>
      <c r="C100" s="90"/>
      <c r="D100" s="90"/>
      <c r="E100" s="90" t="s">
        <v>654</v>
      </c>
      <c r="F100" s="91">
        <v>44841</v>
      </c>
      <c r="G100" s="90"/>
      <c r="H100" s="90" t="s">
        <v>1194</v>
      </c>
      <c r="I100" s="90" t="s">
        <v>1207</v>
      </c>
      <c r="J100" s="90" t="s">
        <v>1206</v>
      </c>
      <c r="K100" s="93">
        <v>1232.72</v>
      </c>
    </row>
    <row r="101" spans="1:11" ht="15" customHeight="1" x14ac:dyDescent="0.4">
      <c r="A101" s="90"/>
      <c r="B101" s="90"/>
      <c r="C101" s="90"/>
      <c r="D101" s="90"/>
      <c r="E101" s="90" t="s">
        <v>653</v>
      </c>
      <c r="F101" s="91">
        <v>44844</v>
      </c>
      <c r="G101" s="90" t="s">
        <v>3161</v>
      </c>
      <c r="H101" s="90" t="s">
        <v>1155</v>
      </c>
      <c r="I101" s="90" t="s">
        <v>3198</v>
      </c>
      <c r="J101" s="90" t="s">
        <v>678</v>
      </c>
      <c r="K101" s="93">
        <v>870</v>
      </c>
    </row>
    <row r="102" spans="1:11" ht="15" customHeight="1" x14ac:dyDescent="0.4">
      <c r="A102" s="90"/>
      <c r="B102" s="90"/>
      <c r="C102" s="90"/>
      <c r="D102" s="90"/>
      <c r="E102" s="90" t="s">
        <v>731</v>
      </c>
      <c r="F102" s="91">
        <v>44847</v>
      </c>
      <c r="G102" s="90" t="s">
        <v>3231</v>
      </c>
      <c r="H102" s="90" t="s">
        <v>1192</v>
      </c>
      <c r="I102" s="90" t="s">
        <v>3254</v>
      </c>
      <c r="J102" s="90" t="s">
        <v>735</v>
      </c>
      <c r="K102" s="93">
        <v>199.98</v>
      </c>
    </row>
    <row r="103" spans="1:11" ht="15" customHeight="1" x14ac:dyDescent="0.4">
      <c r="A103" s="90"/>
      <c r="B103" s="90"/>
      <c r="C103" s="90"/>
      <c r="D103" s="90"/>
      <c r="E103" s="90" t="s">
        <v>731</v>
      </c>
      <c r="F103" s="91">
        <v>44853</v>
      </c>
      <c r="G103" s="90"/>
      <c r="H103" s="90" t="s">
        <v>1521</v>
      </c>
      <c r="I103" s="90" t="s">
        <v>3262</v>
      </c>
      <c r="J103" s="90" t="s">
        <v>735</v>
      </c>
      <c r="K103" s="93">
        <v>327.2</v>
      </c>
    </row>
    <row r="104" spans="1:11" ht="15" customHeight="1" x14ac:dyDescent="0.4">
      <c r="A104" s="90"/>
      <c r="B104" s="90"/>
      <c r="C104" s="90"/>
      <c r="D104" s="90"/>
      <c r="E104" s="90" t="s">
        <v>653</v>
      </c>
      <c r="F104" s="91">
        <v>44866</v>
      </c>
      <c r="G104" s="90" t="s">
        <v>3232</v>
      </c>
      <c r="H104" s="90" t="s">
        <v>1191</v>
      </c>
      <c r="I104" s="90" t="s">
        <v>1197</v>
      </c>
      <c r="J104" s="90" t="s">
        <v>678</v>
      </c>
      <c r="K104" s="93">
        <v>5041.67</v>
      </c>
    </row>
    <row r="105" spans="1:11" ht="15" customHeight="1" x14ac:dyDescent="0.4">
      <c r="A105" s="90"/>
      <c r="B105" s="90"/>
      <c r="C105" s="90"/>
      <c r="D105" s="90"/>
      <c r="E105" s="90" t="s">
        <v>653</v>
      </c>
      <c r="F105" s="91">
        <v>44867</v>
      </c>
      <c r="G105" s="90" t="s">
        <v>3233</v>
      </c>
      <c r="H105" s="90" t="s">
        <v>1193</v>
      </c>
      <c r="I105" s="90" t="s">
        <v>1200</v>
      </c>
      <c r="J105" s="90" t="s">
        <v>678</v>
      </c>
      <c r="K105" s="93">
        <v>328</v>
      </c>
    </row>
    <row r="106" spans="1:11" ht="15" customHeight="1" x14ac:dyDescent="0.4">
      <c r="A106" s="90"/>
      <c r="B106" s="90"/>
      <c r="C106" s="90"/>
      <c r="D106" s="90"/>
      <c r="E106" s="90" t="s">
        <v>731</v>
      </c>
      <c r="F106" s="91">
        <v>44868</v>
      </c>
      <c r="G106" s="90" t="s">
        <v>3234</v>
      </c>
      <c r="H106" s="90" t="s">
        <v>3243</v>
      </c>
      <c r="I106" s="90" t="s">
        <v>3252</v>
      </c>
      <c r="J106" s="90" t="s">
        <v>735</v>
      </c>
      <c r="K106" s="93">
        <v>21.32</v>
      </c>
    </row>
    <row r="107" spans="1:11" ht="15" customHeight="1" x14ac:dyDescent="0.4">
      <c r="A107" s="90"/>
      <c r="B107" s="90"/>
      <c r="C107" s="90"/>
      <c r="D107" s="90"/>
      <c r="E107" s="90" t="s">
        <v>654</v>
      </c>
      <c r="F107" s="91">
        <v>44869</v>
      </c>
      <c r="G107" s="90"/>
      <c r="H107" s="90" t="s">
        <v>1194</v>
      </c>
      <c r="I107" s="90" t="s">
        <v>1207</v>
      </c>
      <c r="J107" s="90" t="s">
        <v>1206</v>
      </c>
      <c r="K107" s="93">
        <v>1265.1600000000001</v>
      </c>
    </row>
    <row r="108" spans="1:11" ht="15" customHeight="1" x14ac:dyDescent="0.4">
      <c r="A108" s="90"/>
      <c r="B108" s="90"/>
      <c r="C108" s="90"/>
      <c r="D108" s="90"/>
      <c r="E108" s="90" t="s">
        <v>731</v>
      </c>
      <c r="F108" s="91">
        <v>44871</v>
      </c>
      <c r="G108" s="90"/>
      <c r="H108" s="90" t="s">
        <v>1158</v>
      </c>
      <c r="I108" s="90" t="s">
        <v>1198</v>
      </c>
      <c r="J108" s="90" t="s">
        <v>735</v>
      </c>
      <c r="K108" s="93">
        <v>2490.02</v>
      </c>
    </row>
    <row r="109" spans="1:11" ht="15" customHeight="1" x14ac:dyDescent="0.4">
      <c r="A109" s="90"/>
      <c r="B109" s="90"/>
      <c r="C109" s="90"/>
      <c r="D109" s="90"/>
      <c r="E109" s="90" t="s">
        <v>654</v>
      </c>
      <c r="F109" s="91">
        <v>44883</v>
      </c>
      <c r="G109" s="90"/>
      <c r="H109" s="90" t="s">
        <v>1194</v>
      </c>
      <c r="I109" s="90" t="s">
        <v>1207</v>
      </c>
      <c r="J109" s="90" t="s">
        <v>1206</v>
      </c>
      <c r="K109" s="93">
        <v>46</v>
      </c>
    </row>
    <row r="110" spans="1:11" ht="15" customHeight="1" x14ac:dyDescent="0.4">
      <c r="A110" s="90"/>
      <c r="B110" s="90"/>
      <c r="C110" s="90"/>
      <c r="D110" s="90"/>
      <c r="E110" s="90" t="s">
        <v>731</v>
      </c>
      <c r="F110" s="91">
        <v>44884</v>
      </c>
      <c r="G110" s="90"/>
      <c r="H110" s="90" t="s">
        <v>1521</v>
      </c>
      <c r="I110" s="90" t="s">
        <v>3262</v>
      </c>
      <c r="J110" s="90" t="s">
        <v>735</v>
      </c>
      <c r="K110" s="93">
        <v>327.2</v>
      </c>
    </row>
    <row r="111" spans="1:11" ht="15" customHeight="1" x14ac:dyDescent="0.4">
      <c r="A111" s="90"/>
      <c r="B111" s="90"/>
      <c r="C111" s="90"/>
      <c r="D111" s="90"/>
      <c r="E111" s="90" t="s">
        <v>653</v>
      </c>
      <c r="F111" s="91">
        <v>44896</v>
      </c>
      <c r="G111" s="90" t="s">
        <v>3235</v>
      </c>
      <c r="H111" s="90" t="s">
        <v>1191</v>
      </c>
      <c r="I111" s="90" t="s">
        <v>1197</v>
      </c>
      <c r="J111" s="90" t="s">
        <v>678</v>
      </c>
      <c r="K111" s="93">
        <v>5041.67</v>
      </c>
    </row>
    <row r="112" spans="1:11" ht="15" customHeight="1" x14ac:dyDescent="0.4">
      <c r="A112" s="90"/>
      <c r="B112" s="90"/>
      <c r="C112" s="90"/>
      <c r="D112" s="90"/>
      <c r="E112" s="90" t="s">
        <v>654</v>
      </c>
      <c r="F112" s="91">
        <v>44897</v>
      </c>
      <c r="G112" s="90"/>
      <c r="H112" s="90" t="s">
        <v>1194</v>
      </c>
      <c r="I112" s="90" t="s">
        <v>1207</v>
      </c>
      <c r="J112" s="90" t="s">
        <v>1206</v>
      </c>
      <c r="K112" s="93">
        <v>1265.1600000000001</v>
      </c>
    </row>
    <row r="113" spans="1:11" ht="15" customHeight="1" x14ac:dyDescent="0.4">
      <c r="A113" s="90"/>
      <c r="B113" s="90"/>
      <c r="C113" s="90"/>
      <c r="D113" s="90"/>
      <c r="E113" s="90" t="s">
        <v>731</v>
      </c>
      <c r="F113" s="91">
        <v>44899</v>
      </c>
      <c r="G113" s="90" t="s">
        <v>3236</v>
      </c>
      <c r="H113" s="90" t="s">
        <v>3243</v>
      </c>
      <c r="I113" s="90" t="s">
        <v>3252</v>
      </c>
      <c r="J113" s="90" t="s">
        <v>735</v>
      </c>
      <c r="K113" s="93">
        <v>21.32</v>
      </c>
    </row>
    <row r="114" spans="1:11" ht="15" customHeight="1" x14ac:dyDescent="0.4">
      <c r="A114" s="90"/>
      <c r="B114" s="90"/>
      <c r="C114" s="90"/>
      <c r="D114" s="90"/>
      <c r="E114" s="90" t="s">
        <v>731</v>
      </c>
      <c r="F114" s="91">
        <v>44901</v>
      </c>
      <c r="G114" s="90"/>
      <c r="H114" s="90" t="s">
        <v>1158</v>
      </c>
      <c r="I114" s="90" t="s">
        <v>1198</v>
      </c>
      <c r="J114" s="90" t="s">
        <v>735</v>
      </c>
      <c r="K114" s="93">
        <v>2563.88</v>
      </c>
    </row>
    <row r="115" spans="1:11" ht="15" customHeight="1" x14ac:dyDescent="0.4">
      <c r="A115" s="90"/>
      <c r="B115" s="90"/>
      <c r="C115" s="90"/>
      <c r="D115" s="90"/>
      <c r="E115" s="90" t="s">
        <v>653</v>
      </c>
      <c r="F115" s="91">
        <v>44901</v>
      </c>
      <c r="G115" s="90" t="s">
        <v>3237</v>
      </c>
      <c r="H115" s="90" t="s">
        <v>1158</v>
      </c>
      <c r="I115" s="90" t="s">
        <v>3259</v>
      </c>
      <c r="J115" s="90" t="s">
        <v>678</v>
      </c>
      <c r="K115" s="93">
        <v>6975</v>
      </c>
    </row>
    <row r="116" spans="1:11" ht="15" customHeight="1" x14ac:dyDescent="0.4">
      <c r="A116" s="90"/>
      <c r="B116" s="90"/>
      <c r="C116" s="90"/>
      <c r="D116" s="90"/>
      <c r="E116" s="90" t="s">
        <v>731</v>
      </c>
      <c r="F116" s="91">
        <v>44914</v>
      </c>
      <c r="G116" s="90"/>
      <c r="H116" s="90" t="s">
        <v>1521</v>
      </c>
      <c r="I116" s="90" t="s">
        <v>3262</v>
      </c>
      <c r="J116" s="90" t="s">
        <v>735</v>
      </c>
      <c r="K116" s="93">
        <v>327.2</v>
      </c>
    </row>
    <row r="117" spans="1:11" ht="15" customHeight="1" x14ac:dyDescent="0.4">
      <c r="A117" s="90"/>
      <c r="B117" s="90"/>
      <c r="C117" s="90"/>
      <c r="D117" s="90"/>
      <c r="E117" s="90" t="s">
        <v>653</v>
      </c>
      <c r="F117" s="91">
        <v>44914</v>
      </c>
      <c r="G117" s="90" t="s">
        <v>3238</v>
      </c>
      <c r="H117" s="90" t="s">
        <v>1193</v>
      </c>
      <c r="I117" s="90" t="s">
        <v>1200</v>
      </c>
      <c r="J117" s="90" t="s">
        <v>678</v>
      </c>
      <c r="K117" s="93">
        <v>328</v>
      </c>
    </row>
    <row r="118" spans="1:11" ht="15" customHeight="1" x14ac:dyDescent="0.4">
      <c r="A118" s="90"/>
      <c r="B118" s="90"/>
      <c r="C118" s="90"/>
      <c r="D118" s="90"/>
      <c r="E118" s="90" t="s">
        <v>731</v>
      </c>
      <c r="F118" s="91">
        <v>44916</v>
      </c>
      <c r="G118" s="90" t="s">
        <v>3239</v>
      </c>
      <c r="H118" s="90" t="s">
        <v>3246</v>
      </c>
      <c r="I118" s="90" t="s">
        <v>3260</v>
      </c>
      <c r="J118" s="90" t="s">
        <v>735</v>
      </c>
      <c r="K118" s="93">
        <v>149.94999999999999</v>
      </c>
    </row>
    <row r="119" spans="1:11" ht="15" customHeight="1" thickBot="1" x14ac:dyDescent="0.45">
      <c r="A119" s="90"/>
      <c r="B119" s="90"/>
      <c r="C119" s="90"/>
      <c r="D119" s="90"/>
      <c r="E119" s="90" t="s">
        <v>654</v>
      </c>
      <c r="F119" s="91">
        <v>44925</v>
      </c>
      <c r="G119" s="90"/>
      <c r="H119" s="90" t="s">
        <v>1194</v>
      </c>
      <c r="I119" s="90" t="s">
        <v>1207</v>
      </c>
      <c r="J119" s="90" t="s">
        <v>1206</v>
      </c>
      <c r="K119" s="445">
        <v>26</v>
      </c>
    </row>
    <row r="120" spans="1:11" ht="15" customHeight="1" thickBot="1" x14ac:dyDescent="0.45">
      <c r="A120" s="90"/>
      <c r="B120" s="90"/>
      <c r="C120" s="90" t="s">
        <v>1177</v>
      </c>
      <c r="D120" s="90"/>
      <c r="E120" s="90"/>
      <c r="F120" s="91"/>
      <c r="G120" s="90"/>
      <c r="H120" s="90"/>
      <c r="I120" s="90"/>
      <c r="J120" s="90"/>
      <c r="K120" s="446">
        <f>ROUND(SUM(K3:K119),5)</f>
        <v>152726.45000000001</v>
      </c>
    </row>
    <row r="121" spans="1:11" ht="15" customHeight="1" thickBot="1" x14ac:dyDescent="0.45">
      <c r="A121" s="90"/>
      <c r="B121" s="90" t="s">
        <v>754</v>
      </c>
      <c r="C121" s="90"/>
      <c r="D121" s="90"/>
      <c r="E121" s="90"/>
      <c r="F121" s="91"/>
      <c r="G121" s="90"/>
      <c r="H121" s="90"/>
      <c r="I121" s="90"/>
      <c r="J121" s="90"/>
      <c r="K121" s="446">
        <f>K120</f>
        <v>152726.45000000001</v>
      </c>
    </row>
    <row r="122" spans="1:11" ht="15" customHeight="1" thickBot="1" x14ac:dyDescent="0.45">
      <c r="A122" s="90" t="s">
        <v>158</v>
      </c>
      <c r="B122" s="90"/>
      <c r="C122" s="90"/>
      <c r="D122" s="90"/>
      <c r="E122" s="90"/>
      <c r="F122" s="91"/>
      <c r="G122" s="90"/>
      <c r="H122" s="90"/>
      <c r="I122" s="90"/>
      <c r="J122" s="90"/>
      <c r="K122" s="447">
        <f>K121</f>
        <v>152726.45000000001</v>
      </c>
    </row>
    <row r="123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12:15 PM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059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0599" r:id="rId4" name="FILTER"/>
      </mc:Fallback>
    </mc:AlternateContent>
    <mc:AlternateContent xmlns:mc="http://schemas.openxmlformats.org/markup-compatibility/2006">
      <mc:Choice Requires="x14">
        <control shapeId="11060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0600" r:id="rId6" name="HEADER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/>
  <dimension ref="A1:K1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8.53515625" customWidth="1"/>
    <col min="4" max="4" width="2.3046875" customWidth="1"/>
    <col min="5" max="5" width="5.3046875" bestFit="1" customWidth="1"/>
    <col min="6" max="6" width="10.69140625" bestFit="1" customWidth="1"/>
    <col min="7" max="7" width="12.84375" bestFit="1" customWidth="1"/>
    <col min="8" max="9" width="30.69140625" customWidth="1"/>
    <col min="10" max="10" width="22.304687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751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5" customHeight="1" x14ac:dyDescent="0.4">
      <c r="A3" s="90"/>
      <c r="B3" s="90"/>
      <c r="C3" s="90" t="s">
        <v>3263</v>
      </c>
      <c r="D3" s="90"/>
      <c r="E3" s="90"/>
      <c r="F3" s="91"/>
      <c r="G3" s="90"/>
      <c r="H3" s="90"/>
      <c r="I3" s="90"/>
      <c r="J3" s="90"/>
      <c r="K3" s="93"/>
    </row>
    <row r="4" spans="1:11" ht="15" customHeight="1" x14ac:dyDescent="0.4">
      <c r="A4" s="90"/>
      <c r="B4" s="90"/>
      <c r="C4" s="90"/>
      <c r="D4" s="90"/>
      <c r="E4" s="90" t="s">
        <v>653</v>
      </c>
      <c r="F4" s="91">
        <v>44835</v>
      </c>
      <c r="G4" s="90" t="s">
        <v>779</v>
      </c>
      <c r="H4" s="90" t="s">
        <v>3265</v>
      </c>
      <c r="I4" s="90" t="s">
        <v>3266</v>
      </c>
      <c r="J4" s="90" t="s">
        <v>678</v>
      </c>
      <c r="K4" s="93">
        <v>66</v>
      </c>
    </row>
    <row r="5" spans="1:11" ht="15" customHeight="1" x14ac:dyDescent="0.4">
      <c r="A5" s="90"/>
      <c r="B5" s="90"/>
      <c r="C5" s="90"/>
      <c r="D5" s="90"/>
      <c r="E5" s="90" t="s">
        <v>653</v>
      </c>
      <c r="F5" s="91">
        <v>44835</v>
      </c>
      <c r="G5" s="90" t="s">
        <v>779</v>
      </c>
      <c r="H5" s="90" t="s">
        <v>3265</v>
      </c>
      <c r="I5" s="90" t="s">
        <v>3267</v>
      </c>
      <c r="J5" s="90" t="s">
        <v>678</v>
      </c>
      <c r="K5" s="93">
        <v>7167</v>
      </c>
    </row>
    <row r="6" spans="1:11" ht="15" customHeight="1" x14ac:dyDescent="0.4">
      <c r="A6" s="90"/>
      <c r="B6" s="90"/>
      <c r="C6" s="90"/>
      <c r="D6" s="90"/>
      <c r="E6" s="90" t="s">
        <v>653</v>
      </c>
      <c r="F6" s="91">
        <v>44835</v>
      </c>
      <c r="G6" s="90" t="s">
        <v>779</v>
      </c>
      <c r="H6" s="90" t="s">
        <v>3265</v>
      </c>
      <c r="I6" s="90" t="s">
        <v>3268</v>
      </c>
      <c r="J6" s="90" t="s">
        <v>678</v>
      </c>
      <c r="K6" s="93">
        <v>2822</v>
      </c>
    </row>
    <row r="7" spans="1:11" ht="15" customHeight="1" x14ac:dyDescent="0.4">
      <c r="A7" s="90"/>
      <c r="B7" s="90"/>
      <c r="C7" s="90"/>
      <c r="D7" s="90"/>
      <c r="E7" s="90" t="s">
        <v>653</v>
      </c>
      <c r="F7" s="91">
        <v>44835</v>
      </c>
      <c r="G7" s="90" t="s">
        <v>779</v>
      </c>
      <c r="H7" s="90" t="s">
        <v>3265</v>
      </c>
      <c r="I7" s="90" t="s">
        <v>3269</v>
      </c>
      <c r="J7" s="90" t="s">
        <v>678</v>
      </c>
      <c r="K7" s="93">
        <v>600</v>
      </c>
    </row>
    <row r="8" spans="1:11" ht="15" customHeight="1" x14ac:dyDescent="0.4">
      <c r="A8" s="90"/>
      <c r="B8" s="90"/>
      <c r="C8" s="90"/>
      <c r="D8" s="90"/>
      <c r="E8" s="90" t="s">
        <v>653</v>
      </c>
      <c r="F8" s="91">
        <v>44835</v>
      </c>
      <c r="G8" s="90" t="s">
        <v>779</v>
      </c>
      <c r="H8" s="90" t="s">
        <v>3265</v>
      </c>
      <c r="I8" s="90" t="s">
        <v>3270</v>
      </c>
      <c r="J8" s="90" t="s">
        <v>678</v>
      </c>
      <c r="K8" s="93">
        <v>11650</v>
      </c>
    </row>
    <row r="9" spans="1:11" ht="15" customHeight="1" x14ac:dyDescent="0.4">
      <c r="A9" s="90"/>
      <c r="B9" s="90"/>
      <c r="C9" s="90"/>
      <c r="D9" s="90"/>
      <c r="E9" s="90" t="s">
        <v>653</v>
      </c>
      <c r="F9" s="91">
        <v>44835</v>
      </c>
      <c r="G9" s="90" t="s">
        <v>779</v>
      </c>
      <c r="H9" s="90" t="s">
        <v>3265</v>
      </c>
      <c r="I9" s="90" t="s">
        <v>3271</v>
      </c>
      <c r="J9" s="90" t="s">
        <v>678</v>
      </c>
      <c r="K9" s="93">
        <v>-12</v>
      </c>
    </row>
    <row r="10" spans="1:11" ht="15" customHeight="1" x14ac:dyDescent="0.4">
      <c r="A10" s="90"/>
      <c r="B10" s="90"/>
      <c r="C10" s="90"/>
      <c r="D10" s="90"/>
      <c r="E10" s="90" t="s">
        <v>653</v>
      </c>
      <c r="F10" s="91">
        <v>44835</v>
      </c>
      <c r="G10" s="90" t="s">
        <v>779</v>
      </c>
      <c r="H10" s="90" t="s">
        <v>3265</v>
      </c>
      <c r="I10" s="90" t="s">
        <v>3272</v>
      </c>
      <c r="J10" s="90" t="s">
        <v>678</v>
      </c>
      <c r="K10" s="93">
        <v>-143.34</v>
      </c>
    </row>
    <row r="11" spans="1:11" ht="15" customHeight="1" x14ac:dyDescent="0.4">
      <c r="A11" s="90"/>
      <c r="B11" s="90"/>
      <c r="C11" s="90"/>
      <c r="D11" s="90"/>
      <c r="E11" s="90" t="s">
        <v>653</v>
      </c>
      <c r="F11" s="91">
        <v>44835</v>
      </c>
      <c r="G11" s="90" t="s">
        <v>779</v>
      </c>
      <c r="H11" s="90" t="s">
        <v>3265</v>
      </c>
      <c r="I11" s="90" t="s">
        <v>3273</v>
      </c>
      <c r="J11" s="90" t="s">
        <v>678</v>
      </c>
      <c r="K11" s="93">
        <v>-1.32</v>
      </c>
    </row>
    <row r="12" spans="1:11" ht="15" customHeight="1" x14ac:dyDescent="0.4">
      <c r="A12" s="90"/>
      <c r="B12" s="90"/>
      <c r="C12" s="90"/>
      <c r="D12" s="90"/>
      <c r="E12" s="90" t="s">
        <v>653</v>
      </c>
      <c r="F12" s="91">
        <v>44835</v>
      </c>
      <c r="G12" s="90" t="s">
        <v>779</v>
      </c>
      <c r="H12" s="90" t="s">
        <v>3265</v>
      </c>
      <c r="I12" s="90" t="s">
        <v>3274</v>
      </c>
      <c r="J12" s="90" t="s">
        <v>678</v>
      </c>
      <c r="K12" s="93">
        <v>-233</v>
      </c>
    </row>
    <row r="13" spans="1:11" ht="15" customHeight="1" thickBot="1" x14ac:dyDescent="0.45">
      <c r="A13" s="90"/>
      <c r="B13" s="90"/>
      <c r="C13" s="90"/>
      <c r="D13" s="90"/>
      <c r="E13" s="90" t="s">
        <v>653</v>
      </c>
      <c r="F13" s="91">
        <v>44835</v>
      </c>
      <c r="G13" s="90" t="s">
        <v>779</v>
      </c>
      <c r="H13" s="90" t="s">
        <v>3265</v>
      </c>
      <c r="I13" s="90" t="s">
        <v>3275</v>
      </c>
      <c r="J13" s="90" t="s">
        <v>678</v>
      </c>
      <c r="K13" s="445">
        <v>-56.44</v>
      </c>
    </row>
    <row r="14" spans="1:11" ht="15" customHeight="1" thickBot="1" x14ac:dyDescent="0.45">
      <c r="A14" s="90"/>
      <c r="B14" s="90"/>
      <c r="C14" s="90" t="s">
        <v>3264</v>
      </c>
      <c r="D14" s="90"/>
      <c r="E14" s="90"/>
      <c r="F14" s="91"/>
      <c r="G14" s="90"/>
      <c r="H14" s="90"/>
      <c r="I14" s="90"/>
      <c r="J14" s="90"/>
      <c r="K14" s="446">
        <f>ROUND(SUM(K3:K13),5)</f>
        <v>21858.9</v>
      </c>
    </row>
    <row r="15" spans="1:11" ht="15" customHeight="1" thickBot="1" x14ac:dyDescent="0.45">
      <c r="A15" s="90"/>
      <c r="B15" s="90" t="s">
        <v>754</v>
      </c>
      <c r="C15" s="90"/>
      <c r="D15" s="90"/>
      <c r="E15" s="90"/>
      <c r="F15" s="91"/>
      <c r="G15" s="90"/>
      <c r="H15" s="90"/>
      <c r="I15" s="90"/>
      <c r="J15" s="90"/>
      <c r="K15" s="446">
        <f>K14</f>
        <v>21858.9</v>
      </c>
    </row>
    <row r="16" spans="1:11" ht="15" customHeight="1" thickBot="1" x14ac:dyDescent="0.45">
      <c r="A16" s="90" t="s">
        <v>158</v>
      </c>
      <c r="B16" s="90"/>
      <c r="C16" s="90"/>
      <c r="D16" s="90"/>
      <c r="E16" s="90"/>
      <c r="F16" s="91"/>
      <c r="G16" s="90"/>
      <c r="H16" s="90"/>
      <c r="I16" s="90"/>
      <c r="J16" s="90"/>
      <c r="K16" s="447">
        <f>K15</f>
        <v>21858.9</v>
      </c>
    </row>
    <row r="17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2:40 PM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9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9265" r:id="rId4" name="FILTER"/>
      </mc:Fallback>
    </mc:AlternateContent>
    <mc:AlternateContent xmlns:mc="http://schemas.openxmlformats.org/markup-compatibility/2006">
      <mc:Choice Requires="x14">
        <control shapeId="13926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926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ED7F-B42F-43BF-B618-48EE152F4898}">
  <dimension ref="A1:N1002"/>
  <sheetViews>
    <sheetView topLeftCell="A23" zoomScaleNormal="100" workbookViewId="0">
      <selection activeCell="B31" sqref="B31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2.5351562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68" t="s">
        <v>75</v>
      </c>
      <c r="B1" s="968"/>
      <c r="C1" s="968"/>
      <c r="D1" s="968"/>
      <c r="E1" s="968"/>
      <c r="F1" s="968"/>
      <c r="G1" s="968"/>
      <c r="H1" s="968"/>
    </row>
    <row r="2" spans="1:14" ht="45" customHeight="1" x14ac:dyDescent="0.4">
      <c r="A2" s="306" t="s">
        <v>76</v>
      </c>
      <c r="B2" s="306" t="s">
        <v>77</v>
      </c>
      <c r="C2" s="306"/>
      <c r="D2" s="309"/>
      <c r="E2" s="307" t="s">
        <v>78</v>
      </c>
      <c r="F2" s="307" t="s">
        <v>79</v>
      </c>
      <c r="G2" s="307" t="s">
        <v>80</v>
      </c>
      <c r="H2" s="307" t="s">
        <v>81</v>
      </c>
      <c r="I2" s="2"/>
    </row>
    <row r="3" spans="1:14" ht="19.5" customHeight="1" x14ac:dyDescent="0.5">
      <c r="A3" s="974" t="s">
        <v>9</v>
      </c>
      <c r="B3" s="974"/>
      <c r="C3" s="974"/>
      <c r="D3" s="974"/>
      <c r="E3" s="974"/>
      <c r="F3" s="974"/>
      <c r="G3" s="974"/>
      <c r="H3" s="974"/>
      <c r="I3" s="7"/>
    </row>
    <row r="4" spans="1:14" x14ac:dyDescent="0.4">
      <c r="A4" s="270"/>
      <c r="B4" s="8" t="s">
        <v>82</v>
      </c>
      <c r="C4" s="9"/>
      <c r="D4" s="8"/>
      <c r="E4" s="10">
        <f>(H5*2)+(H4)</f>
        <v>4541680</v>
      </c>
      <c r="F4" s="271"/>
      <c r="G4" s="271"/>
      <c r="H4" s="11">
        <v>4367000</v>
      </c>
      <c r="I4" s="12" t="s">
        <v>83</v>
      </c>
      <c r="J4" s="61"/>
    </row>
    <row r="5" spans="1:14" x14ac:dyDescent="0.4">
      <c r="A5" s="272" t="s">
        <v>84</v>
      </c>
      <c r="B5" s="273" t="s">
        <v>85</v>
      </c>
      <c r="C5" s="274"/>
      <c r="D5" s="275"/>
      <c r="E5" s="107">
        <f>(E4*1%)*50%</f>
        <v>22708.400000000001</v>
      </c>
      <c r="F5" s="276"/>
      <c r="G5" s="276"/>
      <c r="H5" s="277">
        <v>87340</v>
      </c>
      <c r="I5" s="2"/>
      <c r="M5" s="124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25">
        <v>0.03</v>
      </c>
      <c r="N6" t="s">
        <v>88</v>
      </c>
    </row>
    <row r="7" spans="1:14" x14ac:dyDescent="0.4">
      <c r="A7" s="181"/>
      <c r="B7" s="182" t="s">
        <v>89</v>
      </c>
      <c r="C7" s="180"/>
      <c r="D7" s="182"/>
      <c r="E7" s="107">
        <v>27500</v>
      </c>
      <c r="F7" s="183"/>
      <c r="G7" s="183"/>
      <c r="H7" s="184">
        <v>28750</v>
      </c>
      <c r="I7" s="12"/>
      <c r="M7" s="124">
        <f>M5*M6</f>
        <v>113920.08</v>
      </c>
      <c r="N7" t="s">
        <v>90</v>
      </c>
    </row>
    <row r="8" spans="1:14" x14ac:dyDescent="0.4">
      <c r="A8" s="144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24">
        <f>M7*0.25</f>
        <v>28480.02</v>
      </c>
      <c r="N8" t="s">
        <v>93</v>
      </c>
    </row>
    <row r="9" spans="1:14" x14ac:dyDescent="0.4">
      <c r="A9" s="185" t="s">
        <v>94</v>
      </c>
      <c r="B9" s="186" t="s">
        <v>95</v>
      </c>
      <c r="C9" s="187"/>
      <c r="D9" s="186"/>
      <c r="E9" s="107">
        <v>30000</v>
      </c>
      <c r="F9" s="183"/>
      <c r="G9" s="183"/>
      <c r="H9" s="184">
        <v>30000</v>
      </c>
      <c r="I9" s="2"/>
      <c r="M9" s="124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110">
        <f>SUM(Summary!D3)</f>
        <v>2.3397346293628093E-2</v>
      </c>
      <c r="E10" s="108">
        <f>(SUM(E4:E9))</f>
        <v>4758888.4000000004</v>
      </c>
      <c r="F10" s="188"/>
      <c r="G10" s="188"/>
      <c r="H10" s="189">
        <f>SUM(H4:H9)</f>
        <v>4650090</v>
      </c>
      <c r="I10" s="2"/>
      <c r="M10" s="124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24">
        <v>4239580</v>
      </c>
      <c r="N11" t="s">
        <v>98</v>
      </c>
    </row>
    <row r="12" spans="1:14" ht="19.5" customHeight="1" x14ac:dyDescent="0.5">
      <c r="A12" s="976" t="s">
        <v>10</v>
      </c>
      <c r="B12" s="976"/>
      <c r="C12" s="976"/>
      <c r="D12" s="976"/>
      <c r="E12" s="976"/>
      <c r="F12" s="976"/>
      <c r="G12" s="976"/>
      <c r="H12" s="976"/>
      <c r="I12" s="7"/>
      <c r="M12" s="124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90"/>
      <c r="D13" s="3"/>
      <c r="E13" s="3"/>
      <c r="F13" s="3"/>
      <c r="G13" s="3"/>
      <c r="H13" s="3"/>
      <c r="I13" s="2"/>
      <c r="M13" s="124">
        <v>140000</v>
      </c>
      <c r="N13" t="s">
        <v>101</v>
      </c>
    </row>
    <row r="14" spans="1:14" x14ac:dyDescent="0.4">
      <c r="A14" s="278"/>
      <c r="B14" s="273" t="s">
        <v>102</v>
      </c>
      <c r="C14" s="274"/>
      <c r="D14" s="275"/>
      <c r="E14" s="279">
        <f>((600*12)*34)*0.95</f>
        <v>232560</v>
      </c>
      <c r="F14" s="280"/>
      <c r="G14" s="280"/>
      <c r="H14" s="280">
        <v>232560</v>
      </c>
      <c r="I14" s="2"/>
      <c r="M14" s="124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91">
        <f>600*12</f>
        <v>7200</v>
      </c>
      <c r="F15" s="11"/>
      <c r="G15" s="11"/>
      <c r="H15" s="11">
        <v>7200</v>
      </c>
      <c r="I15" s="2"/>
      <c r="M15" s="124"/>
    </row>
    <row r="16" spans="1:14" x14ac:dyDescent="0.4">
      <c r="A16" s="178"/>
      <c r="B16" s="192" t="s">
        <v>105</v>
      </c>
      <c r="C16" s="180"/>
      <c r="D16" s="180"/>
      <c r="E16" s="109">
        <v>1000</v>
      </c>
      <c r="F16" s="193"/>
      <c r="G16" s="193"/>
      <c r="H16" s="194">
        <v>1000</v>
      </c>
      <c r="I16" s="2"/>
    </row>
    <row r="17" spans="1:14" x14ac:dyDescent="0.4">
      <c r="A17" s="24"/>
      <c r="B17" s="36" t="s">
        <v>106</v>
      </c>
      <c r="C17" s="38"/>
      <c r="E17" s="195">
        <f>SUM(E14:E16)</f>
        <v>240760</v>
      </c>
      <c r="F17" s="39"/>
      <c r="G17" s="39"/>
      <c r="H17" s="41">
        <f>SUM(H14:H16)</f>
        <v>240760</v>
      </c>
      <c r="I17" s="2"/>
    </row>
    <row r="18" spans="1:14" x14ac:dyDescent="0.4">
      <c r="A18" s="13"/>
      <c r="C18" s="451"/>
      <c r="E18" s="3"/>
      <c r="H18" s="3"/>
      <c r="I18" s="2"/>
      <c r="N18" s="52">
        <f>H4*1.03</f>
        <v>4498010</v>
      </c>
    </row>
    <row r="19" spans="1:14" x14ac:dyDescent="0.4">
      <c r="A19" s="13"/>
      <c r="B19" s="196" t="s">
        <v>107</v>
      </c>
      <c r="C19" s="197"/>
      <c r="D19" s="8"/>
      <c r="H19" s="3"/>
      <c r="I19" s="2"/>
    </row>
    <row r="20" spans="1:14" x14ac:dyDescent="0.4">
      <c r="A20" s="178"/>
      <c r="B20" s="182" t="s">
        <v>108</v>
      </c>
      <c r="C20" s="180"/>
      <c r="D20" s="198"/>
      <c r="E20" s="176">
        <f>(1*110)*12</f>
        <v>1320</v>
      </c>
      <c r="F20" s="199"/>
      <c r="G20" s="199"/>
      <c r="H20" s="199">
        <v>1320</v>
      </c>
      <c r="I20" s="2" t="s">
        <v>109</v>
      </c>
    </row>
    <row r="21" spans="1:14" x14ac:dyDescent="0.4">
      <c r="A21" s="43"/>
      <c r="B21" s="8" t="s">
        <v>110</v>
      </c>
      <c r="C21" s="9"/>
      <c r="E21" s="191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200"/>
      <c r="B22" s="182" t="s">
        <v>112</v>
      </c>
      <c r="C22" s="180"/>
      <c r="D22" s="198"/>
      <c r="E22" s="109">
        <f>(70*11)*12</f>
        <v>9240</v>
      </c>
      <c r="F22" s="201"/>
      <c r="G22" s="201"/>
      <c r="H22" s="201">
        <v>9240</v>
      </c>
      <c r="I22" s="2" t="s">
        <v>113</v>
      </c>
    </row>
    <row r="23" spans="1:14" x14ac:dyDescent="0.4">
      <c r="A23" s="24"/>
      <c r="B23" s="36" t="s">
        <v>106</v>
      </c>
      <c r="C23" s="38"/>
      <c r="E23" s="195">
        <f>SUM(E20:E22)</f>
        <v>15960</v>
      </c>
      <c r="F23" s="41"/>
      <c r="G23" s="41"/>
      <c r="H23" s="41">
        <f>SUM(H20:H22)</f>
        <v>15960</v>
      </c>
      <c r="I23" s="2"/>
    </row>
    <row r="24" spans="1:14" x14ac:dyDescent="0.4">
      <c r="A24" s="24"/>
      <c r="B24" s="36"/>
      <c r="C24" s="38"/>
      <c r="E24" s="41"/>
      <c r="F24" s="41"/>
      <c r="G24" s="41"/>
      <c r="H24" s="41"/>
      <c r="I24" s="2"/>
    </row>
    <row r="25" spans="1:14" x14ac:dyDescent="0.4">
      <c r="A25" s="24"/>
      <c r="B25" s="44" t="s">
        <v>114</v>
      </c>
      <c r="C25" s="45"/>
      <c r="E25" s="41"/>
      <c r="F25" s="41"/>
      <c r="G25" s="41"/>
      <c r="H25" s="41"/>
      <c r="I25" s="2"/>
    </row>
    <row r="26" spans="1:14" x14ac:dyDescent="0.4">
      <c r="A26" s="202"/>
      <c r="B26" s="203" t="s">
        <v>115</v>
      </c>
      <c r="C26" s="204"/>
      <c r="D26" s="154">
        <v>1000</v>
      </c>
      <c r="E26" s="176">
        <f t="shared" ref="E26:E31" si="0">C26*D26</f>
        <v>0</v>
      </c>
      <c r="F26" s="205"/>
      <c r="G26" s="205"/>
      <c r="H26" s="199">
        <v>0</v>
      </c>
      <c r="I26" s="2"/>
    </row>
    <row r="27" spans="1:14" x14ac:dyDescent="0.4">
      <c r="A27" s="46"/>
      <c r="B27" s="14" t="s">
        <v>116</v>
      </c>
      <c r="C27" s="47">
        <v>1</v>
      </c>
      <c r="D27" s="5">
        <v>1000</v>
      </c>
      <c r="E27" s="191">
        <f t="shared" si="0"/>
        <v>1000</v>
      </c>
      <c r="F27" s="41"/>
      <c r="G27" s="41"/>
      <c r="H27" s="11">
        <v>1000</v>
      </c>
      <c r="I27" s="2" t="s">
        <v>117</v>
      </c>
    </row>
    <row r="28" spans="1:14" x14ac:dyDescent="0.4">
      <c r="A28" s="202"/>
      <c r="B28" s="203" t="s">
        <v>118</v>
      </c>
      <c r="C28" s="204"/>
      <c r="D28" s="154">
        <v>1000</v>
      </c>
      <c r="E28" s="176">
        <f t="shared" si="0"/>
        <v>0</v>
      </c>
      <c r="F28" s="205"/>
      <c r="G28" s="205"/>
      <c r="H28" s="199">
        <v>0</v>
      </c>
      <c r="I28" s="2"/>
    </row>
    <row r="29" spans="1:14" x14ac:dyDescent="0.4">
      <c r="A29" s="46"/>
      <c r="B29" s="14" t="s">
        <v>119</v>
      </c>
      <c r="C29" s="47">
        <v>1</v>
      </c>
      <c r="D29" s="5">
        <v>1500</v>
      </c>
      <c r="E29" s="191">
        <f t="shared" si="0"/>
        <v>1500</v>
      </c>
      <c r="F29" s="41"/>
      <c r="G29" s="41"/>
      <c r="H29" s="11">
        <v>0</v>
      </c>
      <c r="I29" s="2" t="s">
        <v>120</v>
      </c>
    </row>
    <row r="30" spans="1:14" x14ac:dyDescent="0.4">
      <c r="A30" s="202"/>
      <c r="B30" s="203" t="s">
        <v>121</v>
      </c>
      <c r="C30" s="204">
        <v>4</v>
      </c>
      <c r="D30" s="154">
        <v>2000</v>
      </c>
      <c r="E30" s="176">
        <f t="shared" si="0"/>
        <v>8000</v>
      </c>
      <c r="F30" s="205"/>
      <c r="G30" s="205"/>
      <c r="H30" s="199">
        <v>8000</v>
      </c>
      <c r="I30" s="2" t="s">
        <v>122</v>
      </c>
    </row>
    <row r="31" spans="1:14" x14ac:dyDescent="0.4">
      <c r="A31" s="310"/>
      <c r="B31" s="311" t="s">
        <v>123</v>
      </c>
      <c r="C31" s="312">
        <v>1</v>
      </c>
      <c r="D31" s="155">
        <v>2000</v>
      </c>
      <c r="E31" s="313">
        <f t="shared" si="0"/>
        <v>2000</v>
      </c>
      <c r="F31" s="314"/>
      <c r="G31" s="314"/>
      <c r="H31" s="315">
        <v>0</v>
      </c>
      <c r="I31" s="2" t="s">
        <v>124</v>
      </c>
    </row>
    <row r="32" spans="1:14" x14ac:dyDescent="0.4">
      <c r="A32" s="24"/>
      <c r="B32" s="14"/>
      <c r="C32" s="9"/>
      <c r="E32" s="195">
        <f>SUM(E26:E31)</f>
        <v>12500</v>
      </c>
      <c r="F32" s="41"/>
      <c r="G32" s="41"/>
      <c r="H32" s="41">
        <f>SUM(H26:H31)</f>
        <v>9000</v>
      </c>
      <c r="I32" s="2"/>
    </row>
    <row r="33" spans="1:9" x14ac:dyDescent="0.4">
      <c r="A33" s="24"/>
      <c r="B33" s="14"/>
      <c r="C33" s="9"/>
      <c r="E33" s="11"/>
      <c r="F33" s="41"/>
      <c r="G33" s="41"/>
      <c r="H33" s="11"/>
      <c r="I33" s="2"/>
    </row>
    <row r="34" spans="1:9" ht="15" thickBot="1" x14ac:dyDescent="0.45">
      <c r="A34" s="24"/>
      <c r="B34" s="18" t="s">
        <v>97</v>
      </c>
      <c r="C34" s="19"/>
      <c r="D34" s="110">
        <f>SUM(Summary!D4)</f>
        <v>1.3167795334838224E-2</v>
      </c>
      <c r="E34" s="108">
        <f>SUM(E17+E23+E32)</f>
        <v>269220</v>
      </c>
      <c r="F34" s="188"/>
      <c r="G34" s="188"/>
      <c r="H34" s="189">
        <f>SUM(H17+H23+H32)</f>
        <v>265720</v>
      </c>
      <c r="I34" s="2"/>
    </row>
    <row r="35" spans="1:9" ht="15" thickTop="1" x14ac:dyDescent="0.4">
      <c r="A35" s="13"/>
      <c r="B35" s="13"/>
      <c r="C35" s="51"/>
      <c r="D35" s="13"/>
      <c r="E35" s="13"/>
      <c r="F35" s="13"/>
      <c r="G35" s="13"/>
      <c r="H35" s="26"/>
      <c r="I35" s="2"/>
    </row>
    <row r="36" spans="1:9" ht="19.5" customHeight="1" x14ac:dyDescent="0.5">
      <c r="A36" s="976" t="s">
        <v>125</v>
      </c>
      <c r="B36" s="976"/>
      <c r="C36" s="976"/>
      <c r="D36" s="976"/>
      <c r="E36" s="976"/>
      <c r="F36" s="976"/>
      <c r="G36" s="976"/>
      <c r="H36" s="976"/>
      <c r="I36" s="7" t="s">
        <v>126</v>
      </c>
    </row>
    <row r="37" spans="1:9" x14ac:dyDescent="0.4">
      <c r="A37" s="144" t="s">
        <v>127</v>
      </c>
      <c r="B37" s="14" t="s">
        <v>128</v>
      </c>
      <c r="C37" s="9"/>
      <c r="D37" s="304"/>
      <c r="E37" s="191">
        <f>ROUND((36.51*73*8)+((36.51*105%)*73*4),0)</f>
        <v>32516</v>
      </c>
      <c r="F37" s="379"/>
      <c r="G37" s="379"/>
      <c r="H37" s="4">
        <v>29224</v>
      </c>
      <c r="I37" s="2"/>
    </row>
    <row r="38" spans="1:9" x14ac:dyDescent="0.4">
      <c r="A38" s="380" t="s">
        <v>127</v>
      </c>
      <c r="B38" s="381" t="s">
        <v>129</v>
      </c>
      <c r="C38" s="382"/>
      <c r="D38" s="383"/>
      <c r="E38" s="384">
        <f>((621.8-10)*73*8)+(((621.8-10)*115%)*73*4)</f>
        <v>562733.6399999999</v>
      </c>
      <c r="F38" s="385"/>
      <c r="G38" s="385"/>
      <c r="H38" s="386">
        <v>588602</v>
      </c>
      <c r="I38" s="2"/>
    </row>
    <row r="39" spans="1:9" x14ac:dyDescent="0.4">
      <c r="A39" s="144"/>
      <c r="B39" s="14" t="s">
        <v>130</v>
      </c>
      <c r="C39" s="9"/>
      <c r="D39" s="304"/>
      <c r="E39" s="191">
        <f>(140*20*12)</f>
        <v>33600</v>
      </c>
      <c r="F39" s="11"/>
      <c r="G39" s="11"/>
      <c r="H39" s="11">
        <v>32232</v>
      </c>
      <c r="I39" s="2"/>
    </row>
    <row r="40" spans="1:9" x14ac:dyDescent="0.4">
      <c r="A40" s="380" t="s">
        <v>127</v>
      </c>
      <c r="B40" s="381" t="s">
        <v>131</v>
      </c>
      <c r="C40" s="382"/>
      <c r="D40" s="383"/>
      <c r="E40" s="384">
        <f>((7.28*73)*8)+((7.28*105%)*73*4)</f>
        <v>6483.5680000000011</v>
      </c>
      <c r="F40" s="386"/>
      <c r="G40" s="386"/>
      <c r="H40" s="386">
        <v>5590</v>
      </c>
      <c r="I40" s="2"/>
    </row>
    <row r="41" spans="1:9" x14ac:dyDescent="0.4">
      <c r="A41" s="144" t="s">
        <v>132</v>
      </c>
      <c r="B41" s="14" t="s">
        <v>133</v>
      </c>
      <c r="C41" s="9"/>
      <c r="D41" s="304"/>
      <c r="E41" s="191">
        <f>((((4*73)*12)+2370))</f>
        <v>5874</v>
      </c>
      <c r="F41" s="11"/>
      <c r="G41" s="11"/>
      <c r="H41" s="11">
        <v>5821</v>
      </c>
    </row>
    <row r="42" spans="1:9" x14ac:dyDescent="0.4">
      <c r="A42" s="380" t="s">
        <v>132</v>
      </c>
      <c r="B42" s="387" t="s">
        <v>134</v>
      </c>
      <c r="C42" s="388"/>
      <c r="D42" s="389"/>
      <c r="E42" s="384">
        <f>(((E4+E5)*0.331%))</f>
        <v>15108.125604000001</v>
      </c>
      <c r="F42" s="386"/>
      <c r="G42" s="386"/>
      <c r="H42" s="386">
        <v>14031</v>
      </c>
      <c r="I42" s="2"/>
    </row>
    <row r="43" spans="1:9" ht="15" thickBot="1" x14ac:dyDescent="0.45">
      <c r="A43" s="206"/>
      <c r="B43" s="18" t="s">
        <v>97</v>
      </c>
      <c r="C43" s="19"/>
      <c r="D43" s="110">
        <f>SUM(Summary!D5)</f>
        <v>-2.8419182948490232E-2</v>
      </c>
      <c r="E43" s="108">
        <f>SUM(E37:E42)</f>
        <v>656315.33360399981</v>
      </c>
      <c r="F43" s="188"/>
      <c r="G43" s="188"/>
      <c r="H43" s="207">
        <f>SUM(H37:H42)</f>
        <v>675500</v>
      </c>
      <c r="I43" s="58"/>
    </row>
    <row r="44" spans="1:9" ht="19.75" thickTop="1" x14ac:dyDescent="0.5">
      <c r="A44" s="208"/>
      <c r="B44" s="209"/>
      <c r="C44" s="210"/>
      <c r="D44" s="305"/>
      <c r="E44" s="209"/>
      <c r="F44" s="209"/>
      <c r="G44" s="209"/>
      <c r="H44" s="209"/>
      <c r="I44" s="2"/>
    </row>
    <row r="45" spans="1:9" ht="20.25" customHeight="1" x14ac:dyDescent="0.5">
      <c r="A45" s="976" t="s">
        <v>12</v>
      </c>
      <c r="B45" s="976"/>
      <c r="C45" s="976"/>
      <c r="D45" s="976"/>
      <c r="E45" s="976"/>
      <c r="F45" s="976"/>
      <c r="G45" s="976"/>
      <c r="H45" s="976"/>
      <c r="I45" s="211"/>
    </row>
    <row r="46" spans="1:9" x14ac:dyDescent="0.4">
      <c r="A46" s="128" t="s">
        <v>135</v>
      </c>
      <c r="B46" s="14" t="s">
        <v>136</v>
      </c>
      <c r="C46" s="9"/>
      <c r="D46" s="9"/>
      <c r="E46" s="191">
        <f>SUM(E4:E7)*0.97</f>
        <v>4470621.7480000006</v>
      </c>
      <c r="F46" s="271"/>
      <c r="G46" s="271"/>
      <c r="H46" s="61">
        <v>4365087</v>
      </c>
      <c r="I46" s="7"/>
    </row>
    <row r="47" spans="1:9" x14ac:dyDescent="0.4">
      <c r="A47" s="281"/>
      <c r="B47" s="275" t="s">
        <v>137</v>
      </c>
      <c r="C47" s="274"/>
      <c r="D47" s="282"/>
      <c r="E47" s="283">
        <f>SUM(E14+E15+E32)</f>
        <v>252260</v>
      </c>
      <c r="F47" s="284"/>
      <c r="G47" s="284"/>
      <c r="H47" s="284">
        <v>248760</v>
      </c>
      <c r="I47" s="2"/>
    </row>
    <row r="48" spans="1:9" x14ac:dyDescent="0.4">
      <c r="A48" s="127"/>
      <c r="B48" s="14"/>
      <c r="C48" s="9"/>
      <c r="D48" s="3"/>
      <c r="E48" s="191">
        <f>SUM(E46:E47)</f>
        <v>4722881.7480000006</v>
      </c>
      <c r="F48" s="39"/>
      <c r="G48" s="39"/>
      <c r="H48" s="41">
        <f>SUM(H46:H47)</f>
        <v>4613847</v>
      </c>
      <c r="I48" s="2"/>
    </row>
    <row r="49" spans="1:9" x14ac:dyDescent="0.4">
      <c r="A49" s="128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212" t="s">
        <v>138</v>
      </c>
      <c r="B50" s="213" t="s">
        <v>139</v>
      </c>
      <c r="C50" s="214"/>
      <c r="D50" s="215"/>
      <c r="E50" s="109">
        <f>E48*0.12%</f>
        <v>5667.4580976000007</v>
      </c>
      <c r="F50" s="216"/>
      <c r="G50" s="216"/>
      <c r="H50" s="217">
        <v>5537</v>
      </c>
      <c r="I50" s="2"/>
    </row>
    <row r="51" spans="1:9" ht="15" thickBot="1" x14ac:dyDescent="0.45">
      <c r="A51" s="128"/>
      <c r="B51" s="18"/>
      <c r="C51" s="19"/>
      <c r="E51" s="191">
        <f>SUM(E50)</f>
        <v>5667.4580976000007</v>
      </c>
      <c r="F51" s="218"/>
      <c r="G51" s="218"/>
      <c r="H51" s="115">
        <f>SUM(H50)</f>
        <v>5537</v>
      </c>
      <c r="I51" s="2"/>
    </row>
    <row r="52" spans="1:9" ht="15" thickTop="1" x14ac:dyDescent="0.4">
      <c r="A52" s="128"/>
      <c r="B52" s="13"/>
      <c r="C52" s="51"/>
      <c r="D52" s="13"/>
      <c r="E52" s="13"/>
      <c r="F52" s="13"/>
      <c r="G52" s="13"/>
      <c r="H52" s="27"/>
      <c r="I52" s="2"/>
    </row>
    <row r="53" spans="1:9" x14ac:dyDescent="0.4">
      <c r="A53" s="128" t="s">
        <v>140</v>
      </c>
      <c r="B53" s="219" t="s">
        <v>141</v>
      </c>
      <c r="C53" s="62"/>
      <c r="D53" s="13"/>
      <c r="E53" s="191">
        <f>E48*16.75%</f>
        <v>791082.69279000012</v>
      </c>
      <c r="F53" s="64"/>
      <c r="G53" s="64"/>
      <c r="H53" s="27">
        <v>825417</v>
      </c>
      <c r="I53" s="7"/>
    </row>
    <row r="54" spans="1:9" x14ac:dyDescent="0.4">
      <c r="A54" s="285" t="s">
        <v>138</v>
      </c>
      <c r="B54" s="213" t="s">
        <v>142</v>
      </c>
      <c r="C54" s="214"/>
      <c r="D54" s="178"/>
      <c r="E54" s="109">
        <f>E48*0.13%</f>
        <v>6139.7462724000006</v>
      </c>
      <c r="F54" s="220"/>
      <c r="G54" s="220"/>
      <c r="H54" s="221">
        <v>5537</v>
      </c>
      <c r="I54" s="7"/>
    </row>
    <row r="55" spans="1:9" x14ac:dyDescent="0.4">
      <c r="A55" s="129"/>
      <c r="B55" s="18"/>
      <c r="C55" s="70"/>
      <c r="D55" s="110">
        <f>(E55-H55)/H55</f>
        <v>-4.0593776475713293E-2</v>
      </c>
      <c r="E55" s="191">
        <f>SUM(E53:E54)</f>
        <v>797222.43906240014</v>
      </c>
      <c r="F55" s="64"/>
      <c r="G55" s="64"/>
      <c r="H55" s="116">
        <f>SUM(H53:H54)</f>
        <v>830954</v>
      </c>
      <c r="I55" s="7"/>
    </row>
    <row r="56" spans="1:9" x14ac:dyDescent="0.4">
      <c r="A56" s="127"/>
      <c r="B56" s="64"/>
      <c r="C56" s="70"/>
      <c r="D56" s="20"/>
      <c r="E56" s="74"/>
      <c r="F56" s="64"/>
      <c r="G56" s="64"/>
      <c r="H56" s="27"/>
      <c r="I56" s="7"/>
    </row>
    <row r="57" spans="1:9" x14ac:dyDescent="0.4">
      <c r="A57" s="212" t="s">
        <v>143</v>
      </c>
      <c r="B57" s="220" t="s">
        <v>144</v>
      </c>
      <c r="C57" s="222"/>
      <c r="D57" s="215"/>
      <c r="E57" s="176">
        <f>E48*19.13%</f>
        <v>903487.27839240013</v>
      </c>
      <c r="F57" s="220"/>
      <c r="G57" s="220"/>
      <c r="H57" s="221">
        <v>882168</v>
      </c>
      <c r="I57" s="7"/>
    </row>
    <row r="58" spans="1:9" x14ac:dyDescent="0.4">
      <c r="A58" s="128" t="s">
        <v>145</v>
      </c>
      <c r="B58" s="64" t="s">
        <v>146</v>
      </c>
      <c r="C58" s="70"/>
      <c r="D58" s="20"/>
      <c r="E58" s="74"/>
      <c r="F58" s="64"/>
      <c r="G58" s="64"/>
      <c r="H58" s="27"/>
      <c r="I58" s="7"/>
    </row>
    <row r="59" spans="1:9" ht="15" thickBot="1" x14ac:dyDescent="0.45">
      <c r="A59" s="127"/>
      <c r="B59" s="18" t="s">
        <v>97</v>
      </c>
      <c r="C59" s="70"/>
      <c r="D59" s="110">
        <f>SUM(Summary!$D$6)</f>
        <v>2.414418499206529E-2</v>
      </c>
      <c r="E59" s="108">
        <f>SUM(E57:E58)</f>
        <v>903487.27839240013</v>
      </c>
      <c r="F59" s="78"/>
      <c r="G59" s="78"/>
      <c r="H59" s="223">
        <f>SUM(H57:H58)</f>
        <v>882168</v>
      </c>
      <c r="I59" s="7"/>
    </row>
    <row r="60" spans="1:9" ht="15" thickTop="1" x14ac:dyDescent="0.4">
      <c r="A60" s="13"/>
      <c r="B60" s="64"/>
      <c r="C60" s="70"/>
      <c r="D60" s="13"/>
      <c r="E60" s="64"/>
      <c r="F60" s="64"/>
      <c r="G60" s="64"/>
      <c r="H60" s="26"/>
      <c r="I60" s="7"/>
    </row>
    <row r="61" spans="1:9" ht="19.5" customHeight="1" x14ac:dyDescent="0.5">
      <c r="A61" s="974" t="s">
        <v>147</v>
      </c>
      <c r="B61" s="975"/>
      <c r="C61" s="975"/>
      <c r="D61" s="975"/>
      <c r="E61" s="975"/>
      <c r="F61" s="975"/>
      <c r="G61" s="975"/>
      <c r="H61" s="975"/>
      <c r="I61" s="7"/>
    </row>
    <row r="62" spans="1:9" x14ac:dyDescent="0.4">
      <c r="A62" s="13"/>
      <c r="B62" t="s">
        <v>148</v>
      </c>
      <c r="C62" s="451"/>
      <c r="E62" s="191">
        <f>(2003*4)*110%</f>
        <v>8813.2000000000007</v>
      </c>
      <c r="F62" s="79"/>
      <c r="G62" s="79"/>
      <c r="H62" s="61">
        <v>8813.2000000000007</v>
      </c>
      <c r="I62" s="2"/>
    </row>
    <row r="63" spans="1:9" ht="15" thickBot="1" x14ac:dyDescent="0.45">
      <c r="A63" s="224"/>
      <c r="B63" s="225" t="s">
        <v>97</v>
      </c>
      <c r="C63" s="226"/>
      <c r="D63" s="111">
        <f>SUM(Summary!$D$7)</f>
        <v>0</v>
      </c>
      <c r="E63" s="114">
        <f>SUM(E62)</f>
        <v>8813.2000000000007</v>
      </c>
      <c r="F63" s="80"/>
      <c r="G63" s="80"/>
      <c r="H63" s="117">
        <f>SUM(H62)</f>
        <v>8813.2000000000007</v>
      </c>
      <c r="I63" s="2"/>
    </row>
    <row r="64" spans="1:9" ht="15" thickTop="1" x14ac:dyDescent="0.4">
      <c r="A64" s="13"/>
      <c r="B64" s="13"/>
      <c r="C64" s="51"/>
      <c r="D64" s="13"/>
      <c r="E64" s="13"/>
      <c r="F64" s="13"/>
      <c r="G64" s="13"/>
      <c r="H64" s="26"/>
      <c r="I64" s="2"/>
    </row>
    <row r="65" spans="1:9" ht="19.5" customHeight="1" x14ac:dyDescent="0.5">
      <c r="A65" s="974" t="s">
        <v>149</v>
      </c>
      <c r="B65" s="975"/>
      <c r="C65" s="975"/>
      <c r="D65" s="975"/>
      <c r="E65" s="975"/>
      <c r="F65" s="975"/>
      <c r="G65" s="975"/>
      <c r="H65" s="975"/>
      <c r="I65" s="7"/>
    </row>
    <row r="66" spans="1:9" x14ac:dyDescent="0.4">
      <c r="A66" s="13"/>
      <c r="B66" s="227" t="s">
        <v>150</v>
      </c>
      <c r="C66" s="197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91">
        <f>SUM(E4+E5+E6+E7+E8+E14+E15+E32)</f>
        <v>4981148.4000000004</v>
      </c>
      <c r="F67" s="81"/>
      <c r="G67" s="81"/>
      <c r="H67" s="61">
        <f>SUM(H4+H5+H6+H7+H8+H14+H15+H32)</f>
        <v>4868850</v>
      </c>
      <c r="I67" s="2"/>
    </row>
    <row r="68" spans="1:9" x14ac:dyDescent="0.4">
      <c r="A68" s="178"/>
      <c r="B68" s="179" t="s">
        <v>152</v>
      </c>
      <c r="C68" s="180"/>
      <c r="D68" s="180"/>
      <c r="E68" s="228">
        <v>1.4500000000000001E-2</v>
      </c>
      <c r="F68" s="229"/>
      <c r="G68" s="229"/>
      <c r="H68" s="228">
        <v>1.4500000000000001E-2</v>
      </c>
      <c r="I68" s="2"/>
    </row>
    <row r="69" spans="1:9" x14ac:dyDescent="0.4">
      <c r="A69" s="13"/>
      <c r="B69" s="36" t="s">
        <v>153</v>
      </c>
      <c r="C69" s="38"/>
      <c r="D69" s="8"/>
      <c r="E69" s="191">
        <f>(E67*E68)</f>
        <v>72226.651800000007</v>
      </c>
      <c r="F69" s="81"/>
      <c r="G69" s="81"/>
      <c r="H69" s="11">
        <f>H67*H68</f>
        <v>70598.324999999997</v>
      </c>
      <c r="I69" s="2"/>
    </row>
    <row r="70" spans="1:9" x14ac:dyDescent="0.4">
      <c r="A70" s="13"/>
      <c r="B70" s="227"/>
      <c r="C70" s="197"/>
      <c r="D70" s="8"/>
      <c r="E70" s="76"/>
      <c r="F70" s="76"/>
      <c r="G70" s="76"/>
      <c r="H70" s="76"/>
      <c r="I70" s="2"/>
    </row>
    <row r="71" spans="1:9" x14ac:dyDescent="0.4">
      <c r="A71" s="13"/>
      <c r="B71" s="227"/>
      <c r="C71" s="197"/>
      <c r="D71" s="8"/>
      <c r="E71" s="76"/>
      <c r="F71" s="76"/>
      <c r="G71" s="76"/>
      <c r="H71" s="76"/>
      <c r="I71" s="2"/>
    </row>
    <row r="72" spans="1:9" x14ac:dyDescent="0.4">
      <c r="A72" s="13"/>
      <c r="B72" s="227" t="s">
        <v>154</v>
      </c>
      <c r="C72" s="197"/>
      <c r="D72" s="8"/>
      <c r="E72" s="8"/>
      <c r="F72" s="8"/>
      <c r="G72" s="8"/>
      <c r="H72" s="8"/>
      <c r="I72" s="2"/>
    </row>
    <row r="73" spans="1:9" x14ac:dyDescent="0.4">
      <c r="A73" s="128" t="s">
        <v>155</v>
      </c>
      <c r="B73" s="14" t="s">
        <v>156</v>
      </c>
      <c r="C73" s="9"/>
      <c r="D73" s="14"/>
      <c r="E73" s="230">
        <v>5000</v>
      </c>
      <c r="F73" s="11"/>
      <c r="G73" s="11"/>
      <c r="H73" s="11">
        <v>5000</v>
      </c>
      <c r="I73" s="2"/>
    </row>
    <row r="74" spans="1:9" x14ac:dyDescent="0.4">
      <c r="A74" s="178"/>
      <c r="B74" s="179" t="s">
        <v>157</v>
      </c>
      <c r="C74" s="180"/>
      <c r="D74" s="179"/>
      <c r="E74" s="112">
        <v>6.2E-2</v>
      </c>
      <c r="F74" s="229"/>
      <c r="G74" s="229"/>
      <c r="H74" s="228">
        <v>6.2E-2</v>
      </c>
      <c r="I74" s="2"/>
    </row>
    <row r="75" spans="1:9" x14ac:dyDescent="0.4">
      <c r="A75" s="24"/>
      <c r="B75" s="36" t="s">
        <v>153</v>
      </c>
      <c r="C75" s="38"/>
      <c r="D75" s="8"/>
      <c r="E75" s="191">
        <f>E73*E74</f>
        <v>310</v>
      </c>
      <c r="F75" s="76"/>
      <c r="G75" s="76"/>
      <c r="H75" s="11">
        <f>H73*H74</f>
        <v>310</v>
      </c>
      <c r="I75" s="2"/>
    </row>
    <row r="76" spans="1:9" x14ac:dyDescent="0.4">
      <c r="A76" s="13"/>
      <c r="C76" s="451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110">
        <f>SUM(Summary!$D$8)</f>
        <v>2.2535211267605635E-2</v>
      </c>
      <c r="E77" s="108">
        <f>SUM(E69+E75)</f>
        <v>72536.651800000007</v>
      </c>
      <c r="F77" s="231"/>
      <c r="G77" s="231"/>
      <c r="H77" s="189">
        <f>SUM(H69+H75)</f>
        <v>70908.324999999997</v>
      </c>
      <c r="I77" s="2"/>
    </row>
    <row r="78" spans="1:9" ht="15.45" thickTop="1" thickBot="1" x14ac:dyDescent="0.45">
      <c r="A78" s="13"/>
      <c r="C78" s="451"/>
      <c r="H78" s="3"/>
      <c r="I78" s="2"/>
    </row>
    <row r="79" spans="1:9" ht="15" thickBot="1" x14ac:dyDescent="0.45">
      <c r="A79" s="13"/>
      <c r="B79" s="63" t="s">
        <v>158</v>
      </c>
      <c r="C79" s="342"/>
      <c r="D79" s="110">
        <f>(E79-H79)/H79</f>
        <v>1.7710637125213965E-2</v>
      </c>
      <c r="E79" s="113">
        <f>SUM(E10+E34+E43+E59+E63+E77)</f>
        <v>6669260.8637963999</v>
      </c>
      <c r="F79" s="84"/>
      <c r="G79" s="84"/>
      <c r="H79" s="85">
        <f>SUM(H10+H34+H43+H59+H63+H77)</f>
        <v>6553199.5250000004</v>
      </c>
      <c r="I79" s="2"/>
    </row>
    <row r="80" spans="1:9" ht="13.5" customHeight="1" x14ac:dyDescent="0.4">
      <c r="A80" s="13"/>
      <c r="B80" s="13"/>
      <c r="C80" s="51"/>
      <c r="D80" s="86"/>
      <c r="E80" s="13"/>
      <c r="F80" s="13"/>
      <c r="G80" s="13"/>
      <c r="H80" s="26"/>
      <c r="I80" s="2"/>
    </row>
    <row r="81" spans="3:9" x14ac:dyDescent="0.4">
      <c r="C81" s="451"/>
      <c r="I81" s="58"/>
    </row>
    <row r="82" spans="3:9" x14ac:dyDescent="0.4">
      <c r="C82" s="451"/>
      <c r="I82" s="58"/>
    </row>
    <row r="83" spans="3:9" x14ac:dyDescent="0.4">
      <c r="I83" s="58"/>
    </row>
    <row r="84" spans="3:9" x14ac:dyDescent="0.4">
      <c r="I84" s="58"/>
    </row>
    <row r="85" spans="3:9" x14ac:dyDescent="0.4">
      <c r="I85" s="58"/>
    </row>
    <row r="86" spans="3:9" x14ac:dyDescent="0.4">
      <c r="I86" s="58"/>
    </row>
    <row r="87" spans="3:9" x14ac:dyDescent="0.4">
      <c r="I87" s="58"/>
    </row>
    <row r="88" spans="3:9" x14ac:dyDescent="0.4">
      <c r="I88" s="58"/>
    </row>
    <row r="89" spans="3:9" x14ac:dyDescent="0.4">
      <c r="I89" s="58"/>
    </row>
    <row r="90" spans="3:9" x14ac:dyDescent="0.4">
      <c r="I90" s="58"/>
    </row>
    <row r="91" spans="3:9" x14ac:dyDescent="0.4">
      <c r="I91" s="58"/>
    </row>
    <row r="92" spans="3:9" x14ac:dyDescent="0.4">
      <c r="I92" s="58"/>
    </row>
    <row r="93" spans="3:9" x14ac:dyDescent="0.4">
      <c r="I93" s="58"/>
    </row>
    <row r="94" spans="3:9" x14ac:dyDescent="0.4">
      <c r="I94" s="58"/>
    </row>
    <row r="95" spans="3:9" x14ac:dyDescent="0.4">
      <c r="I95" s="58"/>
    </row>
    <row r="96" spans="3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57" priority="13" operator="lessThan">
      <formula>0</formula>
    </cfRule>
    <cfRule type="cellIs" dxfId="156" priority="14" operator="greaterThan">
      <formula>0</formula>
    </cfRule>
    <cfRule type="cellIs" dxfId="155" priority="15" operator="equal">
      <formula>0</formula>
    </cfRule>
  </conditionalFormatting>
  <conditionalFormatting sqref="D34">
    <cfRule type="cellIs" dxfId="154" priority="10" operator="lessThan">
      <formula>0</formula>
    </cfRule>
    <cfRule type="cellIs" dxfId="153" priority="11" operator="greaterThan">
      <formula>0</formula>
    </cfRule>
    <cfRule type="cellIs" dxfId="152" priority="12" operator="equal">
      <formula>0</formula>
    </cfRule>
  </conditionalFormatting>
  <conditionalFormatting sqref="D43 D55 D59 D63 D77 D79">
    <cfRule type="cellIs" dxfId="151" priority="7" operator="lessThan">
      <formula>0</formula>
    </cfRule>
    <cfRule type="cellIs" dxfId="150" priority="8" operator="greaterThan">
      <formula>0</formula>
    </cfRule>
    <cfRule type="cellIs" dxfId="149" priority="9" operator="equal">
      <formula>0</formula>
    </cfRule>
  </conditionalFormatting>
  <conditionalFormatting sqref="E4">
    <cfRule type="expression" dxfId="148" priority="1">
      <formula>"if(e3&lt;h3)"</formula>
    </cfRule>
    <cfRule type="expression" dxfId="147" priority="3" stopIfTrue="1">
      <formula>"if(E3&gt;H3)"</formula>
    </cfRule>
  </conditionalFormatting>
  <conditionalFormatting sqref="E4:E11 E13:E35 E37:E44 E46:E1048576">
    <cfRule type="expression" dxfId="146" priority="4">
      <formula>E4&lt;H4</formula>
    </cfRule>
    <cfRule type="expression" dxfId="145" priority="5">
      <formula>E4&gt;H4</formula>
    </cfRule>
    <cfRule type="expression" dxfId="144" priority="6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5"/>
  <dimension ref="A1:K193"/>
  <sheetViews>
    <sheetView workbookViewId="0">
      <pane xSplit="3" ySplit="1" topLeftCell="D169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8.53515625" customWidth="1"/>
    <col min="4" max="4" width="2.3046875" customWidth="1"/>
    <col min="5" max="5" width="5.3046875" bestFit="1" customWidth="1"/>
    <col min="6" max="6" width="10.69140625" bestFit="1" customWidth="1"/>
    <col min="7" max="7" width="7.53515625" bestFit="1" customWidth="1"/>
    <col min="8" max="8" width="24.53515625" bestFit="1" customWidth="1"/>
    <col min="9" max="9" width="30.69140625" customWidth="1"/>
    <col min="10" max="10" width="22.3046875" bestFit="1" customWidth="1"/>
    <col min="11" max="11" width="10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1224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1225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44615</v>
      </c>
      <c r="G4" s="90" t="s">
        <v>664</v>
      </c>
      <c r="H4" s="90" t="s">
        <v>1228</v>
      </c>
      <c r="I4" s="90" t="s">
        <v>1240</v>
      </c>
      <c r="J4" s="90" t="s">
        <v>678</v>
      </c>
      <c r="K4" s="93">
        <v>110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44615</v>
      </c>
      <c r="G5" s="90" t="s">
        <v>664</v>
      </c>
      <c r="H5" s="90" t="s">
        <v>1229</v>
      </c>
      <c r="I5" s="90" t="s">
        <v>1241</v>
      </c>
      <c r="J5" s="90" t="s">
        <v>678</v>
      </c>
      <c r="K5" s="93">
        <v>97.5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44615</v>
      </c>
      <c r="G6" s="90" t="s">
        <v>664</v>
      </c>
      <c r="H6" s="90" t="s">
        <v>1230</v>
      </c>
      <c r="I6" s="90" t="s">
        <v>3278</v>
      </c>
      <c r="J6" s="90" t="s">
        <v>678</v>
      </c>
      <c r="K6" s="93">
        <v>110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44615</v>
      </c>
      <c r="G7" s="90" t="s">
        <v>664</v>
      </c>
      <c r="H7" s="90" t="s">
        <v>1231</v>
      </c>
      <c r="I7" s="90" t="s">
        <v>1242</v>
      </c>
      <c r="J7" s="90" t="s">
        <v>678</v>
      </c>
      <c r="K7" s="93">
        <v>77.5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44615</v>
      </c>
      <c r="G8" s="90" t="s">
        <v>664</v>
      </c>
      <c r="H8" s="90" t="s">
        <v>1232</v>
      </c>
      <c r="I8" s="90" t="s">
        <v>1240</v>
      </c>
      <c r="J8" s="90" t="s">
        <v>678</v>
      </c>
      <c r="K8" s="93">
        <v>220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44615</v>
      </c>
      <c r="G9" s="90" t="s">
        <v>664</v>
      </c>
      <c r="H9" s="90" t="s">
        <v>1232</v>
      </c>
      <c r="I9" s="90" t="s">
        <v>1243</v>
      </c>
      <c r="J9" s="90" t="s">
        <v>678</v>
      </c>
      <c r="K9" s="93">
        <v>30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44615</v>
      </c>
      <c r="G10" s="90" t="s">
        <v>664</v>
      </c>
      <c r="H10" s="90" t="s">
        <v>1233</v>
      </c>
      <c r="I10" s="90" t="s">
        <v>1244</v>
      </c>
      <c r="J10" s="90" t="s">
        <v>678</v>
      </c>
      <c r="K10" s="93">
        <v>110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44615</v>
      </c>
      <c r="G11" s="90" t="s">
        <v>664</v>
      </c>
      <c r="H11" s="90" t="s">
        <v>1234</v>
      </c>
      <c r="I11" s="90" t="s">
        <v>1240</v>
      </c>
      <c r="J11" s="90" t="s">
        <v>678</v>
      </c>
      <c r="K11" s="93">
        <v>220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44615</v>
      </c>
      <c r="G12" s="90" t="s">
        <v>664</v>
      </c>
      <c r="H12" s="90" t="s">
        <v>1235</v>
      </c>
      <c r="I12" s="90" t="s">
        <v>1245</v>
      </c>
      <c r="J12" s="90" t="s">
        <v>678</v>
      </c>
      <c r="K12" s="93">
        <v>97.5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44615</v>
      </c>
      <c r="G13" s="90" t="s">
        <v>664</v>
      </c>
      <c r="H13" s="90" t="s">
        <v>1236</v>
      </c>
      <c r="I13" s="90" t="s">
        <v>1245</v>
      </c>
      <c r="J13" s="90" t="s">
        <v>678</v>
      </c>
      <c r="K13" s="93">
        <v>97.5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44615</v>
      </c>
      <c r="G14" s="90" t="s">
        <v>664</v>
      </c>
      <c r="H14" s="90" t="s">
        <v>1237</v>
      </c>
      <c r="I14" s="90" t="s">
        <v>1246</v>
      </c>
      <c r="J14" s="90" t="s">
        <v>678</v>
      </c>
      <c r="K14" s="93">
        <v>77.5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44615</v>
      </c>
      <c r="G15" s="90" t="s">
        <v>664</v>
      </c>
      <c r="H15" s="90" t="s">
        <v>1238</v>
      </c>
      <c r="I15" s="90" t="s">
        <v>1246</v>
      </c>
      <c r="J15" s="90" t="s">
        <v>678</v>
      </c>
      <c r="K15" s="93">
        <v>77.5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44616</v>
      </c>
      <c r="G16" s="90" t="s">
        <v>664</v>
      </c>
      <c r="H16" s="90" t="s">
        <v>1239</v>
      </c>
      <c r="I16" s="90" t="s">
        <v>1240</v>
      </c>
      <c r="J16" s="90" t="s">
        <v>678</v>
      </c>
      <c r="K16" s="93">
        <v>1100</v>
      </c>
    </row>
    <row r="17" spans="1:11" ht="14.6" x14ac:dyDescent="0.4">
      <c r="A17" s="90"/>
      <c r="B17" s="90"/>
      <c r="C17" s="90"/>
      <c r="D17" s="90"/>
      <c r="E17" s="90" t="s">
        <v>653</v>
      </c>
      <c r="F17" s="91">
        <v>44616</v>
      </c>
      <c r="G17" s="90" t="s">
        <v>664</v>
      </c>
      <c r="H17" s="90" t="s">
        <v>1239</v>
      </c>
      <c r="I17" s="90" t="s">
        <v>1247</v>
      </c>
      <c r="J17" s="90" t="s">
        <v>678</v>
      </c>
      <c r="K17" s="93">
        <v>150</v>
      </c>
    </row>
    <row r="18" spans="1:11" ht="14.6" x14ac:dyDescent="0.4">
      <c r="A18" s="90"/>
      <c r="B18" s="90"/>
      <c r="C18" s="90"/>
      <c r="D18" s="90"/>
      <c r="E18" s="90" t="s">
        <v>653</v>
      </c>
      <c r="F18" s="91">
        <v>44651</v>
      </c>
      <c r="G18" s="90" t="s">
        <v>985</v>
      </c>
      <c r="H18" s="90" t="s">
        <v>1228</v>
      </c>
      <c r="I18" s="90" t="s">
        <v>1240</v>
      </c>
      <c r="J18" s="90" t="s">
        <v>678</v>
      </c>
      <c r="K18" s="93">
        <v>875</v>
      </c>
    </row>
    <row r="19" spans="1:11" ht="14.6" x14ac:dyDescent="0.4">
      <c r="A19" s="90"/>
      <c r="B19" s="90"/>
      <c r="C19" s="90"/>
      <c r="D19" s="90"/>
      <c r="E19" s="90" t="s">
        <v>653</v>
      </c>
      <c r="F19" s="91">
        <v>44651</v>
      </c>
      <c r="G19" s="90" t="s">
        <v>985</v>
      </c>
      <c r="H19" s="90" t="s">
        <v>1229</v>
      </c>
      <c r="I19" s="90" t="s">
        <v>1241</v>
      </c>
      <c r="J19" s="90" t="s">
        <v>678</v>
      </c>
      <c r="K19" s="93">
        <v>880</v>
      </c>
    </row>
    <row r="20" spans="1:11" ht="14.6" x14ac:dyDescent="0.4">
      <c r="A20" s="90"/>
      <c r="B20" s="90"/>
      <c r="C20" s="90"/>
      <c r="D20" s="90"/>
      <c r="E20" s="90" t="s">
        <v>653</v>
      </c>
      <c r="F20" s="91">
        <v>44651</v>
      </c>
      <c r="G20" s="90" t="s">
        <v>985</v>
      </c>
      <c r="H20" s="90" t="s">
        <v>1533</v>
      </c>
      <c r="I20" s="90" t="s">
        <v>1542</v>
      </c>
      <c r="J20" s="90" t="s">
        <v>678</v>
      </c>
      <c r="K20" s="93">
        <v>760</v>
      </c>
    </row>
    <row r="21" spans="1:11" ht="14.6" x14ac:dyDescent="0.4">
      <c r="A21" s="90"/>
      <c r="B21" s="90"/>
      <c r="C21" s="90"/>
      <c r="D21" s="90"/>
      <c r="E21" s="90" t="s">
        <v>653</v>
      </c>
      <c r="F21" s="91">
        <v>44651</v>
      </c>
      <c r="G21" s="90" t="s">
        <v>985</v>
      </c>
      <c r="H21" s="90" t="s">
        <v>1238</v>
      </c>
      <c r="I21" s="90" t="s">
        <v>1246</v>
      </c>
      <c r="J21" s="90" t="s">
        <v>678</v>
      </c>
      <c r="K21" s="93">
        <v>950</v>
      </c>
    </row>
    <row r="22" spans="1:11" ht="14.6" x14ac:dyDescent="0.4">
      <c r="A22" s="90"/>
      <c r="B22" s="90"/>
      <c r="C22" s="90"/>
      <c r="D22" s="90"/>
      <c r="E22" s="90" t="s">
        <v>653</v>
      </c>
      <c r="F22" s="91">
        <v>44651</v>
      </c>
      <c r="G22" s="90" t="s">
        <v>985</v>
      </c>
      <c r="H22" s="90" t="s">
        <v>1239</v>
      </c>
      <c r="I22" s="90" t="s">
        <v>1240</v>
      </c>
      <c r="J22" s="90" t="s">
        <v>678</v>
      </c>
      <c r="K22" s="93">
        <v>1500</v>
      </c>
    </row>
    <row r="23" spans="1:11" ht="14.6" x14ac:dyDescent="0.4">
      <c r="A23" s="90"/>
      <c r="B23" s="90"/>
      <c r="C23" s="90"/>
      <c r="D23" s="90"/>
      <c r="E23" s="90" t="s">
        <v>653</v>
      </c>
      <c r="F23" s="91">
        <v>44651</v>
      </c>
      <c r="G23" s="90" t="s">
        <v>985</v>
      </c>
      <c r="H23" s="90" t="s">
        <v>1239</v>
      </c>
      <c r="I23" s="90" t="s">
        <v>1247</v>
      </c>
      <c r="J23" s="90" t="s">
        <v>678</v>
      </c>
      <c r="K23" s="93">
        <v>180</v>
      </c>
    </row>
    <row r="24" spans="1:11" ht="14.6" x14ac:dyDescent="0.4">
      <c r="A24" s="90"/>
      <c r="B24" s="90"/>
      <c r="C24" s="90"/>
      <c r="D24" s="90"/>
      <c r="E24" s="90" t="s">
        <v>653</v>
      </c>
      <c r="F24" s="91">
        <v>44651</v>
      </c>
      <c r="G24" s="90" t="s">
        <v>985</v>
      </c>
      <c r="H24" s="90" t="s">
        <v>1534</v>
      </c>
      <c r="I24" s="90" t="s">
        <v>1543</v>
      </c>
      <c r="J24" s="90" t="s">
        <v>678</v>
      </c>
      <c r="K24" s="93">
        <v>760</v>
      </c>
    </row>
    <row r="25" spans="1:11" ht="14.6" x14ac:dyDescent="0.4">
      <c r="A25" s="90"/>
      <c r="B25" s="90"/>
      <c r="C25" s="90"/>
      <c r="D25" s="90"/>
      <c r="E25" s="90" t="s">
        <v>653</v>
      </c>
      <c r="F25" s="91">
        <v>44651</v>
      </c>
      <c r="G25" s="90" t="s">
        <v>985</v>
      </c>
      <c r="H25" s="90" t="s">
        <v>1230</v>
      </c>
      <c r="I25" s="90" t="s">
        <v>3278</v>
      </c>
      <c r="J25" s="90" t="s">
        <v>678</v>
      </c>
      <c r="K25" s="93">
        <v>1250</v>
      </c>
    </row>
    <row r="26" spans="1:11" ht="14.6" x14ac:dyDescent="0.4">
      <c r="A26" s="90"/>
      <c r="B26" s="90"/>
      <c r="C26" s="90"/>
      <c r="D26" s="90"/>
      <c r="E26" s="90" t="s">
        <v>653</v>
      </c>
      <c r="F26" s="91">
        <v>44651</v>
      </c>
      <c r="G26" s="90" t="s">
        <v>985</v>
      </c>
      <c r="H26" s="90" t="s">
        <v>1535</v>
      </c>
      <c r="I26" s="90" t="s">
        <v>1543</v>
      </c>
      <c r="J26" s="90" t="s">
        <v>678</v>
      </c>
      <c r="K26" s="93">
        <v>665</v>
      </c>
    </row>
    <row r="27" spans="1:11" ht="14.6" x14ac:dyDescent="0.4">
      <c r="A27" s="90"/>
      <c r="B27" s="90"/>
      <c r="C27" s="90"/>
      <c r="D27" s="90"/>
      <c r="E27" s="90" t="s">
        <v>653</v>
      </c>
      <c r="F27" s="91">
        <v>44651</v>
      </c>
      <c r="G27" s="90" t="s">
        <v>985</v>
      </c>
      <c r="H27" s="90" t="s">
        <v>1536</v>
      </c>
      <c r="I27" s="90" t="s">
        <v>1543</v>
      </c>
      <c r="J27" s="90" t="s">
        <v>678</v>
      </c>
      <c r="K27" s="93">
        <v>665</v>
      </c>
    </row>
    <row r="28" spans="1:11" ht="14.6" x14ac:dyDescent="0.4">
      <c r="A28" s="90"/>
      <c r="B28" s="90"/>
      <c r="C28" s="90"/>
      <c r="D28" s="90"/>
      <c r="E28" s="90" t="s">
        <v>653</v>
      </c>
      <c r="F28" s="91">
        <v>44651</v>
      </c>
      <c r="G28" s="90" t="s">
        <v>985</v>
      </c>
      <c r="H28" s="90" t="s">
        <v>1231</v>
      </c>
      <c r="I28" s="90" t="s">
        <v>1242</v>
      </c>
      <c r="J28" s="90" t="s">
        <v>678</v>
      </c>
      <c r="K28" s="93">
        <v>950</v>
      </c>
    </row>
    <row r="29" spans="1:11" ht="14.6" x14ac:dyDescent="0.4">
      <c r="A29" s="90"/>
      <c r="B29" s="90"/>
      <c r="C29" s="90"/>
      <c r="D29" s="90"/>
      <c r="E29" s="90" t="s">
        <v>653</v>
      </c>
      <c r="F29" s="91">
        <v>44651</v>
      </c>
      <c r="G29" s="90" t="s">
        <v>985</v>
      </c>
      <c r="H29" s="90" t="s">
        <v>1233</v>
      </c>
      <c r="I29" s="90" t="s">
        <v>1244</v>
      </c>
      <c r="J29" s="90" t="s">
        <v>678</v>
      </c>
      <c r="K29" s="93">
        <v>875</v>
      </c>
    </row>
    <row r="30" spans="1:11" ht="14.6" x14ac:dyDescent="0.4">
      <c r="A30" s="90"/>
      <c r="B30" s="90"/>
      <c r="C30" s="90"/>
      <c r="D30" s="90"/>
      <c r="E30" s="90" t="s">
        <v>653</v>
      </c>
      <c r="F30" s="91">
        <v>44651</v>
      </c>
      <c r="G30" s="90" t="s">
        <v>985</v>
      </c>
      <c r="H30" s="90" t="s">
        <v>1232</v>
      </c>
      <c r="I30" s="90" t="s">
        <v>1240</v>
      </c>
      <c r="J30" s="90" t="s">
        <v>678</v>
      </c>
      <c r="K30" s="93">
        <v>1000</v>
      </c>
    </row>
    <row r="31" spans="1:11" ht="14.6" x14ac:dyDescent="0.4">
      <c r="A31" s="90"/>
      <c r="B31" s="90"/>
      <c r="C31" s="90"/>
      <c r="D31" s="90"/>
      <c r="E31" s="90" t="s">
        <v>653</v>
      </c>
      <c r="F31" s="91">
        <v>44651</v>
      </c>
      <c r="G31" s="90" t="s">
        <v>985</v>
      </c>
      <c r="H31" s="90" t="s">
        <v>1232</v>
      </c>
      <c r="I31" s="90" t="s">
        <v>1243</v>
      </c>
      <c r="J31" s="90" t="s">
        <v>678</v>
      </c>
      <c r="K31" s="93">
        <v>60</v>
      </c>
    </row>
    <row r="32" spans="1:11" ht="14.6" x14ac:dyDescent="0.4">
      <c r="A32" s="90"/>
      <c r="B32" s="90"/>
      <c r="C32" s="90"/>
      <c r="D32" s="90"/>
      <c r="E32" s="90" t="s">
        <v>653</v>
      </c>
      <c r="F32" s="91">
        <v>44651</v>
      </c>
      <c r="G32" s="90" t="s">
        <v>985</v>
      </c>
      <c r="H32" s="90" t="s">
        <v>1234</v>
      </c>
      <c r="I32" s="90" t="s">
        <v>1240</v>
      </c>
      <c r="J32" s="90" t="s">
        <v>678</v>
      </c>
      <c r="K32" s="93">
        <v>1000</v>
      </c>
    </row>
    <row r="33" spans="1:11" ht="14.6" x14ac:dyDescent="0.4">
      <c r="A33" s="90"/>
      <c r="B33" s="90"/>
      <c r="C33" s="90"/>
      <c r="D33" s="90"/>
      <c r="E33" s="90" t="s">
        <v>653</v>
      </c>
      <c r="F33" s="91">
        <v>44651</v>
      </c>
      <c r="G33" s="90" t="s">
        <v>985</v>
      </c>
      <c r="H33" s="90" t="s">
        <v>1537</v>
      </c>
      <c r="I33" s="90" t="s">
        <v>1544</v>
      </c>
      <c r="J33" s="90" t="s">
        <v>678</v>
      </c>
      <c r="K33" s="93">
        <v>880</v>
      </c>
    </row>
    <row r="34" spans="1:11" ht="14.6" x14ac:dyDescent="0.4">
      <c r="A34" s="90"/>
      <c r="B34" s="90"/>
      <c r="C34" s="90"/>
      <c r="D34" s="90"/>
      <c r="E34" s="90" t="s">
        <v>653</v>
      </c>
      <c r="F34" s="91">
        <v>44651</v>
      </c>
      <c r="G34" s="90" t="s">
        <v>985</v>
      </c>
      <c r="H34" s="90" t="s">
        <v>1235</v>
      </c>
      <c r="I34" s="90" t="s">
        <v>1245</v>
      </c>
      <c r="J34" s="90" t="s">
        <v>678</v>
      </c>
      <c r="K34" s="93">
        <v>770</v>
      </c>
    </row>
    <row r="35" spans="1:11" ht="14.6" x14ac:dyDescent="0.4">
      <c r="A35" s="90"/>
      <c r="B35" s="90"/>
      <c r="C35" s="90"/>
      <c r="D35" s="90"/>
      <c r="E35" s="90" t="s">
        <v>653</v>
      </c>
      <c r="F35" s="91">
        <v>44651</v>
      </c>
      <c r="G35" s="90" t="s">
        <v>985</v>
      </c>
      <c r="H35" s="90" t="s">
        <v>1237</v>
      </c>
      <c r="I35" s="90" t="s">
        <v>1246</v>
      </c>
      <c r="J35" s="90" t="s">
        <v>678</v>
      </c>
      <c r="K35" s="93">
        <v>950</v>
      </c>
    </row>
    <row r="36" spans="1:11" ht="14.6" x14ac:dyDescent="0.4">
      <c r="A36" s="90"/>
      <c r="B36" s="90"/>
      <c r="C36" s="90"/>
      <c r="D36" s="90"/>
      <c r="E36" s="90" t="s">
        <v>653</v>
      </c>
      <c r="F36" s="91">
        <v>44651</v>
      </c>
      <c r="G36" s="90" t="s">
        <v>985</v>
      </c>
      <c r="H36" s="90" t="s">
        <v>1538</v>
      </c>
      <c r="I36" s="90" t="s">
        <v>1543</v>
      </c>
      <c r="J36" s="90" t="s">
        <v>678</v>
      </c>
      <c r="K36" s="93">
        <v>570</v>
      </c>
    </row>
    <row r="37" spans="1:11" ht="14.6" x14ac:dyDescent="0.4">
      <c r="A37" s="90"/>
      <c r="B37" s="90"/>
      <c r="C37" s="90"/>
      <c r="D37" s="90"/>
      <c r="E37" s="90" t="s">
        <v>653</v>
      </c>
      <c r="F37" s="91">
        <v>44651</v>
      </c>
      <c r="G37" s="90" t="s">
        <v>985</v>
      </c>
      <c r="H37" s="90" t="s">
        <v>1539</v>
      </c>
      <c r="I37" s="90" t="s">
        <v>1542</v>
      </c>
      <c r="J37" s="90" t="s">
        <v>678</v>
      </c>
      <c r="K37" s="93">
        <v>665</v>
      </c>
    </row>
    <row r="38" spans="1:11" ht="14.6" x14ac:dyDescent="0.4">
      <c r="A38" s="90"/>
      <c r="B38" s="90"/>
      <c r="C38" s="90"/>
      <c r="D38" s="90"/>
      <c r="E38" s="90" t="s">
        <v>653</v>
      </c>
      <c r="F38" s="91">
        <v>44651</v>
      </c>
      <c r="G38" s="90" t="s">
        <v>985</v>
      </c>
      <c r="H38" s="90" t="s">
        <v>1236</v>
      </c>
      <c r="I38" s="90" t="s">
        <v>1245</v>
      </c>
      <c r="J38" s="90" t="s">
        <v>678</v>
      </c>
      <c r="K38" s="93">
        <v>880</v>
      </c>
    </row>
    <row r="39" spans="1:11" ht="14.6" x14ac:dyDescent="0.4">
      <c r="A39" s="90"/>
      <c r="B39" s="90"/>
      <c r="C39" s="90"/>
      <c r="D39" s="90"/>
      <c r="E39" s="90" t="s">
        <v>653</v>
      </c>
      <c r="F39" s="91">
        <v>44651</v>
      </c>
      <c r="G39" s="90" t="s">
        <v>985</v>
      </c>
      <c r="H39" s="90" t="s">
        <v>1540</v>
      </c>
      <c r="I39" s="90" t="s">
        <v>1544</v>
      </c>
      <c r="J39" s="90" t="s">
        <v>678</v>
      </c>
      <c r="K39" s="93">
        <v>770</v>
      </c>
    </row>
    <row r="40" spans="1:11" ht="14.6" x14ac:dyDescent="0.4">
      <c r="A40" s="90"/>
      <c r="B40" s="90"/>
      <c r="C40" s="90"/>
      <c r="D40" s="90"/>
      <c r="E40" s="90" t="s">
        <v>653</v>
      </c>
      <c r="F40" s="91">
        <v>44651</v>
      </c>
      <c r="G40" s="90" t="s">
        <v>985</v>
      </c>
      <c r="H40" s="90" t="s">
        <v>1541</v>
      </c>
      <c r="I40" s="90" t="s">
        <v>1543</v>
      </c>
      <c r="J40" s="90" t="s">
        <v>678</v>
      </c>
      <c r="K40" s="93">
        <v>665</v>
      </c>
    </row>
    <row r="41" spans="1:11" ht="14.6" x14ac:dyDescent="0.4">
      <c r="A41" s="90"/>
      <c r="B41" s="90"/>
      <c r="C41" s="90"/>
      <c r="D41" s="90"/>
      <c r="E41" s="90" t="s">
        <v>653</v>
      </c>
      <c r="F41" s="91">
        <v>44677</v>
      </c>
      <c r="G41" s="90" t="s">
        <v>1420</v>
      </c>
      <c r="H41" s="90" t="s">
        <v>1229</v>
      </c>
      <c r="I41" s="90" t="s">
        <v>1241</v>
      </c>
      <c r="J41" s="90" t="s">
        <v>678</v>
      </c>
      <c r="K41" s="93">
        <v>1100</v>
      </c>
    </row>
    <row r="42" spans="1:11" ht="14.6" x14ac:dyDescent="0.4">
      <c r="A42" s="90"/>
      <c r="B42" s="90"/>
      <c r="C42" s="90"/>
      <c r="D42" s="90"/>
      <c r="E42" s="90" t="s">
        <v>653</v>
      </c>
      <c r="F42" s="91">
        <v>44677</v>
      </c>
      <c r="G42" s="90" t="s">
        <v>1420</v>
      </c>
      <c r="H42" s="90" t="s">
        <v>1533</v>
      </c>
      <c r="I42" s="90" t="s">
        <v>1542</v>
      </c>
      <c r="J42" s="90" t="s">
        <v>678</v>
      </c>
      <c r="K42" s="93">
        <v>570</v>
      </c>
    </row>
    <row r="43" spans="1:11" ht="14.6" x14ac:dyDescent="0.4">
      <c r="A43" s="90"/>
      <c r="B43" s="90"/>
      <c r="C43" s="90"/>
      <c r="D43" s="90"/>
      <c r="E43" s="90" t="s">
        <v>653</v>
      </c>
      <c r="F43" s="91">
        <v>44677</v>
      </c>
      <c r="G43" s="90" t="s">
        <v>1420</v>
      </c>
      <c r="H43" s="90" t="s">
        <v>1238</v>
      </c>
      <c r="I43" s="90" t="s">
        <v>1246</v>
      </c>
      <c r="J43" s="90" t="s">
        <v>678</v>
      </c>
      <c r="K43" s="93">
        <v>1520</v>
      </c>
    </row>
    <row r="44" spans="1:11" ht="14.6" x14ac:dyDescent="0.4">
      <c r="A44" s="90"/>
      <c r="B44" s="90"/>
      <c r="C44" s="90"/>
      <c r="D44" s="90"/>
      <c r="E44" s="90" t="s">
        <v>653</v>
      </c>
      <c r="F44" s="91">
        <v>44677</v>
      </c>
      <c r="G44" s="90" t="s">
        <v>1420</v>
      </c>
      <c r="H44" s="90" t="s">
        <v>1228</v>
      </c>
      <c r="I44" s="90" t="s">
        <v>1240</v>
      </c>
      <c r="J44" s="90" t="s">
        <v>678</v>
      </c>
      <c r="K44" s="93">
        <v>1000</v>
      </c>
    </row>
    <row r="45" spans="1:11" ht="15" customHeight="1" x14ac:dyDescent="0.4">
      <c r="A45" s="90"/>
      <c r="B45" s="90"/>
      <c r="C45" s="90"/>
      <c r="D45" s="90"/>
      <c r="E45" s="90" t="s">
        <v>653</v>
      </c>
      <c r="F45" s="91">
        <v>44677</v>
      </c>
      <c r="G45" s="90" t="s">
        <v>1420</v>
      </c>
      <c r="H45" s="90" t="s">
        <v>1534</v>
      </c>
      <c r="I45" s="90" t="s">
        <v>1543</v>
      </c>
      <c r="J45" s="90" t="s">
        <v>678</v>
      </c>
      <c r="K45" s="93">
        <v>190</v>
      </c>
    </row>
    <row r="46" spans="1:11" ht="15" customHeight="1" x14ac:dyDescent="0.4">
      <c r="A46" s="90"/>
      <c r="B46" s="90"/>
      <c r="C46" s="90"/>
      <c r="D46" s="90"/>
      <c r="E46" s="90" t="s">
        <v>653</v>
      </c>
      <c r="F46" s="91">
        <v>44677</v>
      </c>
      <c r="G46" s="90" t="s">
        <v>1420</v>
      </c>
      <c r="H46" s="90" t="s">
        <v>1535</v>
      </c>
      <c r="I46" s="90" t="s">
        <v>1543</v>
      </c>
      <c r="J46" s="90" t="s">
        <v>678</v>
      </c>
      <c r="K46" s="93">
        <v>570</v>
      </c>
    </row>
    <row r="47" spans="1:11" ht="15" customHeight="1" x14ac:dyDescent="0.4">
      <c r="A47" s="90"/>
      <c r="B47" s="90"/>
      <c r="C47" s="90"/>
      <c r="D47" s="90"/>
      <c r="E47" s="90" t="s">
        <v>653</v>
      </c>
      <c r="F47" s="91">
        <v>44677</v>
      </c>
      <c r="G47" s="90" t="s">
        <v>1420</v>
      </c>
      <c r="H47" s="90" t="s">
        <v>1536</v>
      </c>
      <c r="I47" s="90" t="s">
        <v>1543</v>
      </c>
      <c r="J47" s="90" t="s">
        <v>678</v>
      </c>
      <c r="K47" s="93">
        <v>190</v>
      </c>
    </row>
    <row r="48" spans="1:11" ht="15" customHeight="1" x14ac:dyDescent="0.4">
      <c r="A48" s="90"/>
      <c r="B48" s="90"/>
      <c r="C48" s="90"/>
      <c r="D48" s="90"/>
      <c r="E48" s="90" t="s">
        <v>653</v>
      </c>
      <c r="F48" s="91">
        <v>44677</v>
      </c>
      <c r="G48" s="90" t="s">
        <v>1420</v>
      </c>
      <c r="H48" s="90" t="s">
        <v>1231</v>
      </c>
      <c r="I48" s="90" t="s">
        <v>1242</v>
      </c>
      <c r="J48" s="90" t="s">
        <v>678</v>
      </c>
      <c r="K48" s="93">
        <v>760</v>
      </c>
    </row>
    <row r="49" spans="1:11" ht="15" customHeight="1" x14ac:dyDescent="0.4">
      <c r="A49" s="90"/>
      <c r="B49" s="90"/>
      <c r="C49" s="90"/>
      <c r="D49" s="90"/>
      <c r="E49" s="90" t="s">
        <v>653</v>
      </c>
      <c r="F49" s="91">
        <v>44677</v>
      </c>
      <c r="G49" s="90" t="s">
        <v>1420</v>
      </c>
      <c r="H49" s="90" t="s">
        <v>1237</v>
      </c>
      <c r="I49" s="90" t="s">
        <v>1246</v>
      </c>
      <c r="J49" s="90" t="s">
        <v>678</v>
      </c>
      <c r="K49" s="93">
        <v>1520</v>
      </c>
    </row>
    <row r="50" spans="1:11" ht="15" customHeight="1" x14ac:dyDescent="0.4">
      <c r="A50" s="90"/>
      <c r="B50" s="90"/>
      <c r="C50" s="90"/>
      <c r="D50" s="90"/>
      <c r="E50" s="90" t="s">
        <v>653</v>
      </c>
      <c r="F50" s="91">
        <v>44677</v>
      </c>
      <c r="G50" s="90" t="s">
        <v>1420</v>
      </c>
      <c r="H50" s="90" t="s">
        <v>1235</v>
      </c>
      <c r="I50" s="90" t="s">
        <v>1245</v>
      </c>
      <c r="J50" s="90" t="s">
        <v>678</v>
      </c>
      <c r="K50" s="93">
        <v>880</v>
      </c>
    </row>
    <row r="51" spans="1:11" ht="15" customHeight="1" x14ac:dyDescent="0.4">
      <c r="A51" s="90"/>
      <c r="B51" s="90"/>
      <c r="C51" s="90"/>
      <c r="D51" s="90"/>
      <c r="E51" s="90" t="s">
        <v>653</v>
      </c>
      <c r="F51" s="91">
        <v>44677</v>
      </c>
      <c r="G51" s="90" t="s">
        <v>1420</v>
      </c>
      <c r="H51" s="90" t="s">
        <v>1537</v>
      </c>
      <c r="I51" s="90" t="s">
        <v>1544</v>
      </c>
      <c r="J51" s="90" t="s">
        <v>678</v>
      </c>
      <c r="K51" s="93">
        <v>3300</v>
      </c>
    </row>
    <row r="52" spans="1:11" ht="15" customHeight="1" x14ac:dyDescent="0.4">
      <c r="A52" s="90"/>
      <c r="B52" s="90"/>
      <c r="C52" s="90"/>
      <c r="D52" s="90"/>
      <c r="E52" s="90" t="s">
        <v>653</v>
      </c>
      <c r="F52" s="91">
        <v>44677</v>
      </c>
      <c r="G52" s="90" t="s">
        <v>1420</v>
      </c>
      <c r="H52" s="90" t="s">
        <v>1234</v>
      </c>
      <c r="I52" s="90" t="s">
        <v>1240</v>
      </c>
      <c r="J52" s="90" t="s">
        <v>678</v>
      </c>
      <c r="K52" s="93">
        <v>2000</v>
      </c>
    </row>
    <row r="53" spans="1:11" ht="15" customHeight="1" x14ac:dyDescent="0.4">
      <c r="A53" s="90"/>
      <c r="B53" s="90"/>
      <c r="C53" s="90"/>
      <c r="D53" s="90"/>
      <c r="E53" s="90" t="s">
        <v>653</v>
      </c>
      <c r="F53" s="91">
        <v>44677</v>
      </c>
      <c r="G53" s="90" t="s">
        <v>1420</v>
      </c>
      <c r="H53" s="90" t="s">
        <v>1232</v>
      </c>
      <c r="I53" s="90" t="s">
        <v>1240</v>
      </c>
      <c r="J53" s="90" t="s">
        <v>678</v>
      </c>
      <c r="K53" s="93">
        <v>3250</v>
      </c>
    </row>
    <row r="54" spans="1:11" ht="15" customHeight="1" x14ac:dyDescent="0.4">
      <c r="A54" s="90"/>
      <c r="B54" s="90"/>
      <c r="C54" s="90"/>
      <c r="D54" s="90"/>
      <c r="E54" s="90" t="s">
        <v>653</v>
      </c>
      <c r="F54" s="91">
        <v>44677</v>
      </c>
      <c r="G54" s="90" t="s">
        <v>1420</v>
      </c>
      <c r="H54" s="90" t="s">
        <v>1232</v>
      </c>
      <c r="I54" s="90" t="s">
        <v>1243</v>
      </c>
      <c r="J54" s="90" t="s">
        <v>678</v>
      </c>
      <c r="K54" s="93">
        <v>195</v>
      </c>
    </row>
    <row r="55" spans="1:11" ht="15" customHeight="1" x14ac:dyDescent="0.4">
      <c r="A55" s="90"/>
      <c r="B55" s="90"/>
      <c r="C55" s="90"/>
      <c r="D55" s="90"/>
      <c r="E55" s="90" t="s">
        <v>653</v>
      </c>
      <c r="F55" s="91">
        <v>44677</v>
      </c>
      <c r="G55" s="90" t="s">
        <v>1420</v>
      </c>
      <c r="H55" s="90" t="s">
        <v>1233</v>
      </c>
      <c r="I55" s="90" t="s">
        <v>1244</v>
      </c>
      <c r="J55" s="90" t="s">
        <v>678</v>
      </c>
      <c r="K55" s="93">
        <v>3500</v>
      </c>
    </row>
    <row r="56" spans="1:11" ht="15" customHeight="1" x14ac:dyDescent="0.4">
      <c r="A56" s="90"/>
      <c r="B56" s="90"/>
      <c r="C56" s="90"/>
      <c r="D56" s="90"/>
      <c r="E56" s="90" t="s">
        <v>653</v>
      </c>
      <c r="F56" s="91">
        <v>44679</v>
      </c>
      <c r="G56" s="90" t="s">
        <v>1420</v>
      </c>
      <c r="H56" s="90" t="s">
        <v>1230</v>
      </c>
      <c r="I56" s="90" t="s">
        <v>3278</v>
      </c>
      <c r="J56" s="90" t="s">
        <v>678</v>
      </c>
      <c r="K56" s="93">
        <v>760</v>
      </c>
    </row>
    <row r="57" spans="1:11" ht="15" customHeight="1" x14ac:dyDescent="0.4">
      <c r="A57" s="90"/>
      <c r="B57" s="90"/>
      <c r="C57" s="90"/>
      <c r="D57" s="90"/>
      <c r="E57" s="90" t="s">
        <v>653</v>
      </c>
      <c r="F57" s="91">
        <v>44679</v>
      </c>
      <c r="G57" s="90" t="s">
        <v>1420</v>
      </c>
      <c r="H57" s="90" t="s">
        <v>1230</v>
      </c>
      <c r="I57" s="90" t="s">
        <v>3279</v>
      </c>
      <c r="J57" s="90" t="s">
        <v>678</v>
      </c>
      <c r="K57" s="93">
        <v>-332.5</v>
      </c>
    </row>
    <row r="58" spans="1:11" ht="15" customHeight="1" x14ac:dyDescent="0.4">
      <c r="A58" s="90"/>
      <c r="B58" s="90"/>
      <c r="C58" s="90"/>
      <c r="D58" s="90"/>
      <c r="E58" s="90" t="s">
        <v>653</v>
      </c>
      <c r="F58" s="91">
        <v>44679</v>
      </c>
      <c r="G58" s="90" t="s">
        <v>1420</v>
      </c>
      <c r="H58" s="90" t="s">
        <v>1239</v>
      </c>
      <c r="I58" s="90" t="s">
        <v>1240</v>
      </c>
      <c r="J58" s="90" t="s">
        <v>678</v>
      </c>
      <c r="K58" s="93">
        <v>3750</v>
      </c>
    </row>
    <row r="59" spans="1:11" ht="15" customHeight="1" x14ac:dyDescent="0.4">
      <c r="A59" s="90"/>
      <c r="B59" s="90"/>
      <c r="C59" s="90"/>
      <c r="D59" s="90"/>
      <c r="E59" s="90" t="s">
        <v>653</v>
      </c>
      <c r="F59" s="91">
        <v>44679</v>
      </c>
      <c r="G59" s="90" t="s">
        <v>1420</v>
      </c>
      <c r="H59" s="90" t="s">
        <v>1239</v>
      </c>
      <c r="I59" s="90" t="s">
        <v>1247</v>
      </c>
      <c r="J59" s="90" t="s">
        <v>678</v>
      </c>
      <c r="K59" s="93">
        <v>450</v>
      </c>
    </row>
    <row r="60" spans="1:11" ht="15" customHeight="1" x14ac:dyDescent="0.4">
      <c r="A60" s="90"/>
      <c r="B60" s="90"/>
      <c r="C60" s="90"/>
      <c r="D60" s="90"/>
      <c r="E60" s="90" t="s">
        <v>653</v>
      </c>
      <c r="F60" s="91">
        <v>44679</v>
      </c>
      <c r="G60" s="90" t="s">
        <v>1420</v>
      </c>
      <c r="H60" s="90" t="s">
        <v>1539</v>
      </c>
      <c r="I60" s="90" t="s">
        <v>1542</v>
      </c>
      <c r="J60" s="90" t="s">
        <v>678</v>
      </c>
      <c r="K60" s="93">
        <v>2850</v>
      </c>
    </row>
    <row r="61" spans="1:11" ht="15" customHeight="1" x14ac:dyDescent="0.4">
      <c r="A61" s="90"/>
      <c r="B61" s="90"/>
      <c r="C61" s="90"/>
      <c r="D61" s="90"/>
      <c r="E61" s="90" t="s">
        <v>653</v>
      </c>
      <c r="F61" s="91">
        <v>44679</v>
      </c>
      <c r="G61" s="90" t="s">
        <v>1420</v>
      </c>
      <c r="H61" s="90" t="s">
        <v>1541</v>
      </c>
      <c r="I61" s="90" t="s">
        <v>1543</v>
      </c>
      <c r="J61" s="90" t="s">
        <v>678</v>
      </c>
      <c r="K61" s="93">
        <v>380</v>
      </c>
    </row>
    <row r="62" spans="1:11" ht="15" customHeight="1" x14ac:dyDescent="0.4">
      <c r="A62" s="90"/>
      <c r="B62" s="90"/>
      <c r="C62" s="90"/>
      <c r="D62" s="90"/>
      <c r="E62" s="90" t="s">
        <v>653</v>
      </c>
      <c r="F62" s="91">
        <v>44679</v>
      </c>
      <c r="G62" s="90" t="s">
        <v>1420</v>
      </c>
      <c r="H62" s="90" t="s">
        <v>1540</v>
      </c>
      <c r="I62" s="90" t="s">
        <v>1544</v>
      </c>
      <c r="J62" s="90" t="s">
        <v>678</v>
      </c>
      <c r="K62" s="93">
        <v>1760</v>
      </c>
    </row>
    <row r="63" spans="1:11" ht="15" customHeight="1" x14ac:dyDescent="0.4">
      <c r="A63" s="90"/>
      <c r="B63" s="90"/>
      <c r="C63" s="90"/>
      <c r="D63" s="90"/>
      <c r="E63" s="90" t="s">
        <v>653</v>
      </c>
      <c r="F63" s="91">
        <v>44679</v>
      </c>
      <c r="G63" s="90" t="s">
        <v>1420</v>
      </c>
      <c r="H63" s="90" t="s">
        <v>1236</v>
      </c>
      <c r="I63" s="90" t="s">
        <v>1245</v>
      </c>
      <c r="J63" s="90" t="s">
        <v>678</v>
      </c>
      <c r="K63" s="93">
        <v>660</v>
      </c>
    </row>
    <row r="64" spans="1:11" ht="15" customHeight="1" x14ac:dyDescent="0.4">
      <c r="A64" s="90"/>
      <c r="B64" s="90"/>
      <c r="C64" s="90"/>
      <c r="D64" s="90"/>
      <c r="E64" s="90" t="s">
        <v>653</v>
      </c>
      <c r="F64" s="91">
        <v>44718</v>
      </c>
      <c r="G64" s="90" t="s">
        <v>2042</v>
      </c>
      <c r="H64" s="90" t="s">
        <v>1228</v>
      </c>
      <c r="I64" s="90" t="s">
        <v>1240</v>
      </c>
      <c r="J64" s="90" t="s">
        <v>678</v>
      </c>
      <c r="K64" s="93">
        <v>4125</v>
      </c>
    </row>
    <row r="65" spans="1:11" ht="15" customHeight="1" x14ac:dyDescent="0.4">
      <c r="A65" s="90"/>
      <c r="B65" s="90"/>
      <c r="C65" s="90"/>
      <c r="D65" s="90"/>
      <c r="E65" s="90" t="s">
        <v>653</v>
      </c>
      <c r="F65" s="91">
        <v>44718</v>
      </c>
      <c r="G65" s="90" t="s">
        <v>2042</v>
      </c>
      <c r="H65" s="90" t="s">
        <v>1229</v>
      </c>
      <c r="I65" s="90" t="s">
        <v>1241</v>
      </c>
      <c r="J65" s="90" t="s">
        <v>678</v>
      </c>
      <c r="K65" s="93">
        <v>2530</v>
      </c>
    </row>
    <row r="66" spans="1:11" ht="15" customHeight="1" x14ac:dyDescent="0.4">
      <c r="A66" s="90"/>
      <c r="B66" s="90"/>
      <c r="C66" s="90"/>
      <c r="D66" s="90"/>
      <c r="E66" s="90" t="s">
        <v>653</v>
      </c>
      <c r="F66" s="91">
        <v>44718</v>
      </c>
      <c r="G66" s="90" t="s">
        <v>2042</v>
      </c>
      <c r="H66" s="90" t="s">
        <v>1533</v>
      </c>
      <c r="I66" s="90" t="s">
        <v>1542</v>
      </c>
      <c r="J66" s="90" t="s">
        <v>678</v>
      </c>
      <c r="K66" s="93">
        <v>855</v>
      </c>
    </row>
    <row r="67" spans="1:11" ht="15" customHeight="1" x14ac:dyDescent="0.4">
      <c r="A67" s="90"/>
      <c r="B67" s="90"/>
      <c r="C67" s="90"/>
      <c r="D67" s="90"/>
      <c r="E67" s="90" t="s">
        <v>653</v>
      </c>
      <c r="F67" s="91">
        <v>44718</v>
      </c>
      <c r="G67" s="90" t="s">
        <v>2042</v>
      </c>
      <c r="H67" s="90" t="s">
        <v>1238</v>
      </c>
      <c r="I67" s="90" t="s">
        <v>1246</v>
      </c>
      <c r="J67" s="90" t="s">
        <v>678</v>
      </c>
      <c r="K67" s="93">
        <v>1805</v>
      </c>
    </row>
    <row r="68" spans="1:11" ht="15" customHeight="1" x14ac:dyDescent="0.4">
      <c r="A68" s="90"/>
      <c r="B68" s="90"/>
      <c r="C68" s="90"/>
      <c r="D68" s="90"/>
      <c r="E68" s="90" t="s">
        <v>653</v>
      </c>
      <c r="F68" s="91">
        <v>44718</v>
      </c>
      <c r="G68" s="90" t="s">
        <v>2042</v>
      </c>
      <c r="H68" s="90" t="s">
        <v>1239</v>
      </c>
      <c r="I68" s="90" t="s">
        <v>1240</v>
      </c>
      <c r="J68" s="90" t="s">
        <v>678</v>
      </c>
      <c r="K68" s="93">
        <v>4875</v>
      </c>
    </row>
    <row r="69" spans="1:11" ht="15" customHeight="1" x14ac:dyDescent="0.4">
      <c r="A69" s="90"/>
      <c r="B69" s="90"/>
      <c r="C69" s="90"/>
      <c r="D69" s="90"/>
      <c r="E69" s="90" t="s">
        <v>653</v>
      </c>
      <c r="F69" s="91">
        <v>44718</v>
      </c>
      <c r="G69" s="90" t="s">
        <v>2042</v>
      </c>
      <c r="H69" s="90" t="s">
        <v>1239</v>
      </c>
      <c r="I69" s="90" t="s">
        <v>1247</v>
      </c>
      <c r="J69" s="90" t="s">
        <v>678</v>
      </c>
      <c r="K69" s="93">
        <v>585</v>
      </c>
    </row>
    <row r="70" spans="1:11" ht="15" customHeight="1" x14ac:dyDescent="0.4">
      <c r="A70" s="90"/>
      <c r="B70" s="90"/>
      <c r="C70" s="90"/>
      <c r="D70" s="90"/>
      <c r="E70" s="90" t="s">
        <v>653</v>
      </c>
      <c r="F70" s="91">
        <v>44718</v>
      </c>
      <c r="G70" s="90" t="s">
        <v>2042</v>
      </c>
      <c r="H70" s="90" t="s">
        <v>1534</v>
      </c>
      <c r="I70" s="90" t="s">
        <v>1543</v>
      </c>
      <c r="J70" s="90" t="s">
        <v>678</v>
      </c>
      <c r="K70" s="93">
        <v>95</v>
      </c>
    </row>
    <row r="71" spans="1:11" ht="15" customHeight="1" x14ac:dyDescent="0.4">
      <c r="A71" s="90"/>
      <c r="B71" s="90"/>
      <c r="C71" s="90"/>
      <c r="D71" s="90"/>
      <c r="E71" s="90" t="s">
        <v>653</v>
      </c>
      <c r="F71" s="91">
        <v>44718</v>
      </c>
      <c r="G71" s="90" t="s">
        <v>2042</v>
      </c>
      <c r="H71" s="90" t="s">
        <v>1230</v>
      </c>
      <c r="I71" s="90" t="s">
        <v>3278</v>
      </c>
      <c r="J71" s="90" t="s">
        <v>678</v>
      </c>
      <c r="K71" s="93">
        <v>2565</v>
      </c>
    </row>
    <row r="72" spans="1:11" ht="15" customHeight="1" x14ac:dyDescent="0.4">
      <c r="A72" s="90"/>
      <c r="B72" s="90"/>
      <c r="C72" s="90"/>
      <c r="D72" s="90"/>
      <c r="E72" s="90" t="s">
        <v>653</v>
      </c>
      <c r="F72" s="91">
        <v>44718</v>
      </c>
      <c r="G72" s="90" t="s">
        <v>2042</v>
      </c>
      <c r="H72" s="90" t="s">
        <v>1535</v>
      </c>
      <c r="I72" s="90" t="s">
        <v>1543</v>
      </c>
      <c r="J72" s="90" t="s">
        <v>678</v>
      </c>
      <c r="K72" s="93">
        <v>2850</v>
      </c>
    </row>
    <row r="73" spans="1:11" ht="15" customHeight="1" x14ac:dyDescent="0.4">
      <c r="A73" s="90"/>
      <c r="B73" s="90"/>
      <c r="C73" s="90"/>
      <c r="D73" s="90"/>
      <c r="E73" s="90" t="s">
        <v>653</v>
      </c>
      <c r="F73" s="91">
        <v>44718</v>
      </c>
      <c r="G73" s="90" t="s">
        <v>2042</v>
      </c>
      <c r="H73" s="90" t="s">
        <v>1231</v>
      </c>
      <c r="I73" s="90" t="s">
        <v>1242</v>
      </c>
      <c r="J73" s="90" t="s">
        <v>678</v>
      </c>
      <c r="K73" s="93">
        <v>475</v>
      </c>
    </row>
    <row r="74" spans="1:11" ht="15" customHeight="1" x14ac:dyDescent="0.4">
      <c r="A74" s="90"/>
      <c r="B74" s="90"/>
      <c r="C74" s="90"/>
      <c r="D74" s="90"/>
      <c r="E74" s="90" t="s">
        <v>653</v>
      </c>
      <c r="F74" s="91">
        <v>44718</v>
      </c>
      <c r="G74" s="90" t="s">
        <v>2042</v>
      </c>
      <c r="H74" s="90" t="s">
        <v>1233</v>
      </c>
      <c r="I74" s="90" t="s">
        <v>1244</v>
      </c>
      <c r="J74" s="90" t="s">
        <v>678</v>
      </c>
      <c r="K74" s="93">
        <v>4125</v>
      </c>
    </row>
    <row r="75" spans="1:11" ht="15" customHeight="1" x14ac:dyDescent="0.4">
      <c r="A75" s="90"/>
      <c r="B75" s="90"/>
      <c r="C75" s="90"/>
      <c r="D75" s="90"/>
      <c r="E75" s="90" t="s">
        <v>653</v>
      </c>
      <c r="F75" s="91">
        <v>44718</v>
      </c>
      <c r="G75" s="90" t="s">
        <v>2042</v>
      </c>
      <c r="H75" s="90" t="s">
        <v>1232</v>
      </c>
      <c r="I75" s="90" t="s">
        <v>1240</v>
      </c>
      <c r="J75" s="90" t="s">
        <v>678</v>
      </c>
      <c r="K75" s="93">
        <v>4500</v>
      </c>
    </row>
    <row r="76" spans="1:11" ht="15" customHeight="1" x14ac:dyDescent="0.4">
      <c r="A76" s="90"/>
      <c r="B76" s="90"/>
      <c r="C76" s="90"/>
      <c r="D76" s="90"/>
      <c r="E76" s="90" t="s">
        <v>653</v>
      </c>
      <c r="F76" s="91">
        <v>44718</v>
      </c>
      <c r="G76" s="90" t="s">
        <v>2042</v>
      </c>
      <c r="H76" s="90" t="s">
        <v>1232</v>
      </c>
      <c r="I76" s="90" t="s">
        <v>1243</v>
      </c>
      <c r="J76" s="90" t="s">
        <v>678</v>
      </c>
      <c r="K76" s="93">
        <v>270</v>
      </c>
    </row>
    <row r="77" spans="1:11" ht="15" customHeight="1" x14ac:dyDescent="0.4">
      <c r="A77" s="90"/>
      <c r="B77" s="90"/>
      <c r="C77" s="90"/>
      <c r="D77" s="90"/>
      <c r="E77" s="90" t="s">
        <v>653</v>
      </c>
      <c r="F77" s="91">
        <v>44718</v>
      </c>
      <c r="G77" s="90" t="s">
        <v>2042</v>
      </c>
      <c r="H77" s="90" t="s">
        <v>1234</v>
      </c>
      <c r="I77" s="90" t="s">
        <v>1240</v>
      </c>
      <c r="J77" s="90" t="s">
        <v>678</v>
      </c>
      <c r="K77" s="93">
        <v>4625</v>
      </c>
    </row>
    <row r="78" spans="1:11" ht="15" customHeight="1" x14ac:dyDescent="0.4">
      <c r="A78" s="90"/>
      <c r="B78" s="90"/>
      <c r="C78" s="90"/>
      <c r="D78" s="90"/>
      <c r="E78" s="90" t="s">
        <v>653</v>
      </c>
      <c r="F78" s="91">
        <v>44718</v>
      </c>
      <c r="G78" s="90" t="s">
        <v>2042</v>
      </c>
      <c r="H78" s="90" t="s">
        <v>1537</v>
      </c>
      <c r="I78" s="90" t="s">
        <v>1544</v>
      </c>
      <c r="J78" s="90" t="s">
        <v>678</v>
      </c>
      <c r="K78" s="93">
        <v>4290</v>
      </c>
    </row>
    <row r="79" spans="1:11" ht="15" customHeight="1" x14ac:dyDescent="0.4">
      <c r="A79" s="90"/>
      <c r="B79" s="90"/>
      <c r="C79" s="90"/>
      <c r="D79" s="90"/>
      <c r="E79" s="90" t="s">
        <v>653</v>
      </c>
      <c r="F79" s="91">
        <v>44718</v>
      </c>
      <c r="G79" s="90" t="s">
        <v>2042</v>
      </c>
      <c r="H79" s="90" t="s">
        <v>1235</v>
      </c>
      <c r="I79" s="90" t="s">
        <v>1245</v>
      </c>
      <c r="J79" s="90" t="s">
        <v>678</v>
      </c>
      <c r="K79" s="93">
        <v>2200</v>
      </c>
    </row>
    <row r="80" spans="1:11" ht="15" customHeight="1" x14ac:dyDescent="0.4">
      <c r="A80" s="90"/>
      <c r="B80" s="90"/>
      <c r="C80" s="90"/>
      <c r="D80" s="90"/>
      <c r="E80" s="90" t="s">
        <v>653</v>
      </c>
      <c r="F80" s="91">
        <v>44718</v>
      </c>
      <c r="G80" s="90" t="s">
        <v>2042</v>
      </c>
      <c r="H80" s="90" t="s">
        <v>1237</v>
      </c>
      <c r="I80" s="90" t="s">
        <v>1246</v>
      </c>
      <c r="J80" s="90" t="s">
        <v>678</v>
      </c>
      <c r="K80" s="93">
        <v>1900</v>
      </c>
    </row>
    <row r="81" spans="1:11" ht="15" customHeight="1" x14ac:dyDescent="0.4">
      <c r="A81" s="90"/>
      <c r="B81" s="90"/>
      <c r="C81" s="90"/>
      <c r="D81" s="90"/>
      <c r="E81" s="90" t="s">
        <v>653</v>
      </c>
      <c r="F81" s="91">
        <v>44718</v>
      </c>
      <c r="G81" s="90" t="s">
        <v>2042</v>
      </c>
      <c r="H81" s="90" t="s">
        <v>1538</v>
      </c>
      <c r="I81" s="90" t="s">
        <v>1543</v>
      </c>
      <c r="J81" s="90" t="s">
        <v>678</v>
      </c>
      <c r="K81" s="93">
        <v>570</v>
      </c>
    </row>
    <row r="82" spans="1:11" ht="15" customHeight="1" x14ac:dyDescent="0.4">
      <c r="A82" s="90"/>
      <c r="B82" s="90"/>
      <c r="C82" s="90"/>
      <c r="D82" s="90"/>
      <c r="E82" s="90" t="s">
        <v>653</v>
      </c>
      <c r="F82" s="91">
        <v>44718</v>
      </c>
      <c r="G82" s="90" t="s">
        <v>2042</v>
      </c>
      <c r="H82" s="90" t="s">
        <v>1539</v>
      </c>
      <c r="I82" s="90" t="s">
        <v>1542</v>
      </c>
      <c r="J82" s="90" t="s">
        <v>678</v>
      </c>
      <c r="K82" s="93">
        <v>3515</v>
      </c>
    </row>
    <row r="83" spans="1:11" ht="15" customHeight="1" x14ac:dyDescent="0.4">
      <c r="A83" s="90"/>
      <c r="B83" s="90"/>
      <c r="C83" s="90"/>
      <c r="D83" s="90"/>
      <c r="E83" s="90" t="s">
        <v>653</v>
      </c>
      <c r="F83" s="91">
        <v>44718</v>
      </c>
      <c r="G83" s="90" t="s">
        <v>2042</v>
      </c>
      <c r="H83" s="90" t="s">
        <v>1236</v>
      </c>
      <c r="I83" s="90" t="s">
        <v>1245</v>
      </c>
      <c r="J83" s="90" t="s">
        <v>678</v>
      </c>
      <c r="K83" s="93">
        <v>1650</v>
      </c>
    </row>
    <row r="84" spans="1:11" ht="15" customHeight="1" x14ac:dyDescent="0.4">
      <c r="A84" s="90"/>
      <c r="B84" s="90"/>
      <c r="C84" s="90"/>
      <c r="D84" s="90"/>
      <c r="E84" s="90" t="s">
        <v>653</v>
      </c>
      <c r="F84" s="91">
        <v>44718</v>
      </c>
      <c r="G84" s="90" t="s">
        <v>2042</v>
      </c>
      <c r="H84" s="90" t="s">
        <v>1540</v>
      </c>
      <c r="I84" s="90" t="s">
        <v>1544</v>
      </c>
      <c r="J84" s="90" t="s">
        <v>678</v>
      </c>
      <c r="K84" s="93">
        <v>3520</v>
      </c>
    </row>
    <row r="85" spans="1:11" ht="15" customHeight="1" x14ac:dyDescent="0.4">
      <c r="A85" s="90"/>
      <c r="B85" s="90"/>
      <c r="C85" s="90"/>
      <c r="D85" s="90"/>
      <c r="E85" s="90" t="s">
        <v>653</v>
      </c>
      <c r="F85" s="91">
        <v>44718</v>
      </c>
      <c r="G85" s="90" t="s">
        <v>2042</v>
      </c>
      <c r="H85" s="90" t="s">
        <v>1541</v>
      </c>
      <c r="I85" s="90" t="s">
        <v>1543</v>
      </c>
      <c r="J85" s="90" t="s">
        <v>678</v>
      </c>
      <c r="K85" s="93">
        <v>665</v>
      </c>
    </row>
    <row r="86" spans="1:11" ht="15" customHeight="1" x14ac:dyDescent="0.4">
      <c r="A86" s="90"/>
      <c r="B86" s="90"/>
      <c r="C86" s="90"/>
      <c r="D86" s="90"/>
      <c r="E86" s="90" t="s">
        <v>653</v>
      </c>
      <c r="F86" s="91">
        <v>44740</v>
      </c>
      <c r="G86" s="90" t="s">
        <v>2660</v>
      </c>
      <c r="H86" s="90" t="s">
        <v>1228</v>
      </c>
      <c r="I86" s="90" t="s">
        <v>1240</v>
      </c>
      <c r="J86" s="90" t="s">
        <v>678</v>
      </c>
      <c r="K86" s="93">
        <v>1875</v>
      </c>
    </row>
    <row r="87" spans="1:11" ht="15" customHeight="1" x14ac:dyDescent="0.4">
      <c r="A87" s="90"/>
      <c r="B87" s="90"/>
      <c r="C87" s="90"/>
      <c r="D87" s="90"/>
      <c r="E87" s="90" t="s">
        <v>653</v>
      </c>
      <c r="F87" s="91">
        <v>44740</v>
      </c>
      <c r="G87" s="90" t="s">
        <v>2660</v>
      </c>
      <c r="H87" s="90" t="s">
        <v>1229</v>
      </c>
      <c r="I87" s="90" t="s">
        <v>1241</v>
      </c>
      <c r="J87" s="90" t="s">
        <v>678</v>
      </c>
      <c r="K87" s="93">
        <v>4400</v>
      </c>
    </row>
    <row r="88" spans="1:11" ht="15" customHeight="1" x14ac:dyDescent="0.4">
      <c r="A88" s="90"/>
      <c r="B88" s="90"/>
      <c r="C88" s="90"/>
      <c r="D88" s="90"/>
      <c r="E88" s="90" t="s">
        <v>653</v>
      </c>
      <c r="F88" s="91">
        <v>44740</v>
      </c>
      <c r="G88" s="90" t="s">
        <v>2660</v>
      </c>
      <c r="H88" s="90" t="s">
        <v>1533</v>
      </c>
      <c r="I88" s="90" t="s">
        <v>1542</v>
      </c>
      <c r="J88" s="90" t="s">
        <v>678</v>
      </c>
      <c r="K88" s="93">
        <v>2375</v>
      </c>
    </row>
    <row r="89" spans="1:11" ht="15" customHeight="1" x14ac:dyDescent="0.4">
      <c r="A89" s="90"/>
      <c r="B89" s="90"/>
      <c r="C89" s="90"/>
      <c r="D89" s="90"/>
      <c r="E89" s="90" t="s">
        <v>653</v>
      </c>
      <c r="F89" s="91">
        <v>44740</v>
      </c>
      <c r="G89" s="90" t="s">
        <v>2660</v>
      </c>
      <c r="H89" s="90" t="s">
        <v>1238</v>
      </c>
      <c r="I89" s="90" t="s">
        <v>1246</v>
      </c>
      <c r="J89" s="90" t="s">
        <v>678</v>
      </c>
      <c r="K89" s="93">
        <v>3800</v>
      </c>
    </row>
    <row r="90" spans="1:11" ht="15" customHeight="1" x14ac:dyDescent="0.4">
      <c r="A90" s="90"/>
      <c r="B90" s="90"/>
      <c r="C90" s="90"/>
      <c r="D90" s="90"/>
      <c r="E90" s="90" t="s">
        <v>653</v>
      </c>
      <c r="F90" s="91">
        <v>44740</v>
      </c>
      <c r="G90" s="90" t="s">
        <v>2660</v>
      </c>
      <c r="H90" s="90" t="s">
        <v>1239</v>
      </c>
      <c r="I90" s="90" t="s">
        <v>1240</v>
      </c>
      <c r="J90" s="90" t="s">
        <v>678</v>
      </c>
      <c r="K90" s="93">
        <v>4375</v>
      </c>
    </row>
    <row r="91" spans="1:11" ht="15" customHeight="1" x14ac:dyDescent="0.4">
      <c r="A91" s="90"/>
      <c r="B91" s="90"/>
      <c r="C91" s="90"/>
      <c r="D91" s="90"/>
      <c r="E91" s="90" t="s">
        <v>653</v>
      </c>
      <c r="F91" s="91">
        <v>44740</v>
      </c>
      <c r="G91" s="90" t="s">
        <v>2660</v>
      </c>
      <c r="H91" s="90" t="s">
        <v>1239</v>
      </c>
      <c r="I91" s="90" t="s">
        <v>1247</v>
      </c>
      <c r="J91" s="90" t="s">
        <v>678</v>
      </c>
      <c r="K91" s="93">
        <v>525</v>
      </c>
    </row>
    <row r="92" spans="1:11" ht="15" customHeight="1" x14ac:dyDescent="0.4">
      <c r="A92" s="90"/>
      <c r="B92" s="90"/>
      <c r="C92" s="90"/>
      <c r="D92" s="90"/>
      <c r="E92" s="90" t="s">
        <v>653</v>
      </c>
      <c r="F92" s="91">
        <v>44740</v>
      </c>
      <c r="G92" s="90" t="s">
        <v>2660</v>
      </c>
      <c r="H92" s="90" t="s">
        <v>1534</v>
      </c>
      <c r="I92" s="90" t="s">
        <v>1543</v>
      </c>
      <c r="J92" s="90" t="s">
        <v>678</v>
      </c>
      <c r="K92" s="93">
        <v>1330</v>
      </c>
    </row>
    <row r="93" spans="1:11" ht="15" customHeight="1" x14ac:dyDescent="0.4">
      <c r="A93" s="90"/>
      <c r="B93" s="90"/>
      <c r="C93" s="90"/>
      <c r="D93" s="90"/>
      <c r="E93" s="90" t="s">
        <v>653</v>
      </c>
      <c r="F93" s="91">
        <v>44740</v>
      </c>
      <c r="G93" s="90" t="s">
        <v>2660</v>
      </c>
      <c r="H93" s="90" t="s">
        <v>1230</v>
      </c>
      <c r="I93" s="90" t="s">
        <v>3278</v>
      </c>
      <c r="J93" s="90" t="s">
        <v>678</v>
      </c>
      <c r="K93" s="93">
        <v>3610</v>
      </c>
    </row>
    <row r="94" spans="1:11" ht="15" customHeight="1" x14ac:dyDescent="0.4">
      <c r="A94" s="90"/>
      <c r="B94" s="90"/>
      <c r="C94" s="90"/>
      <c r="D94" s="90"/>
      <c r="E94" s="90" t="s">
        <v>653</v>
      </c>
      <c r="F94" s="91">
        <v>44740</v>
      </c>
      <c r="G94" s="90" t="s">
        <v>2660</v>
      </c>
      <c r="H94" s="90" t="s">
        <v>1535</v>
      </c>
      <c r="I94" s="90" t="s">
        <v>1543</v>
      </c>
      <c r="J94" s="90" t="s">
        <v>678</v>
      </c>
      <c r="K94" s="93">
        <v>2280</v>
      </c>
    </row>
    <row r="95" spans="1:11" ht="15" customHeight="1" x14ac:dyDescent="0.4">
      <c r="A95" s="90"/>
      <c r="B95" s="90"/>
      <c r="C95" s="90"/>
      <c r="D95" s="90"/>
      <c r="E95" s="90" t="s">
        <v>653</v>
      </c>
      <c r="F95" s="91">
        <v>44740</v>
      </c>
      <c r="G95" s="90" t="s">
        <v>2660</v>
      </c>
      <c r="H95" s="90" t="s">
        <v>1231</v>
      </c>
      <c r="I95" s="90" t="s">
        <v>1242</v>
      </c>
      <c r="J95" s="90" t="s">
        <v>678</v>
      </c>
      <c r="K95" s="93">
        <v>3420</v>
      </c>
    </row>
    <row r="96" spans="1:11" ht="15" customHeight="1" x14ac:dyDescent="0.4">
      <c r="A96" s="90"/>
      <c r="B96" s="90"/>
      <c r="C96" s="90"/>
      <c r="D96" s="90"/>
      <c r="E96" s="90" t="s">
        <v>653</v>
      </c>
      <c r="F96" s="91">
        <v>44740</v>
      </c>
      <c r="G96" s="90" t="s">
        <v>2660</v>
      </c>
      <c r="H96" s="90" t="s">
        <v>1233</v>
      </c>
      <c r="I96" s="90" t="s">
        <v>1244</v>
      </c>
      <c r="J96" s="90" t="s">
        <v>678</v>
      </c>
      <c r="K96" s="93">
        <v>3750</v>
      </c>
    </row>
    <row r="97" spans="1:11" ht="15" customHeight="1" x14ac:dyDescent="0.4">
      <c r="A97" s="90"/>
      <c r="B97" s="90"/>
      <c r="C97" s="90"/>
      <c r="D97" s="90"/>
      <c r="E97" s="90" t="s">
        <v>653</v>
      </c>
      <c r="F97" s="91">
        <v>44740</v>
      </c>
      <c r="G97" s="90" t="s">
        <v>2660</v>
      </c>
      <c r="H97" s="90" t="s">
        <v>1232</v>
      </c>
      <c r="I97" s="90" t="s">
        <v>1240</v>
      </c>
      <c r="J97" s="90" t="s">
        <v>678</v>
      </c>
      <c r="K97" s="93">
        <v>5250</v>
      </c>
    </row>
    <row r="98" spans="1:11" ht="15" customHeight="1" x14ac:dyDescent="0.4">
      <c r="A98" s="90"/>
      <c r="B98" s="90"/>
      <c r="C98" s="90"/>
      <c r="D98" s="90"/>
      <c r="E98" s="90" t="s">
        <v>653</v>
      </c>
      <c r="F98" s="91">
        <v>44740</v>
      </c>
      <c r="G98" s="90" t="s">
        <v>2660</v>
      </c>
      <c r="H98" s="90" t="s">
        <v>1232</v>
      </c>
      <c r="I98" s="90" t="s">
        <v>1243</v>
      </c>
      <c r="J98" s="90" t="s">
        <v>678</v>
      </c>
      <c r="K98" s="93">
        <v>315</v>
      </c>
    </row>
    <row r="99" spans="1:11" ht="15" customHeight="1" x14ac:dyDescent="0.4">
      <c r="A99" s="90"/>
      <c r="B99" s="90"/>
      <c r="C99" s="90"/>
      <c r="D99" s="90"/>
      <c r="E99" s="90" t="s">
        <v>653</v>
      </c>
      <c r="F99" s="91">
        <v>44740</v>
      </c>
      <c r="G99" s="90" t="s">
        <v>2660</v>
      </c>
      <c r="H99" s="90" t="s">
        <v>1234</v>
      </c>
      <c r="I99" s="90" t="s">
        <v>1240</v>
      </c>
      <c r="J99" s="90" t="s">
        <v>678</v>
      </c>
      <c r="K99" s="93">
        <v>5375</v>
      </c>
    </row>
    <row r="100" spans="1:11" ht="15" customHeight="1" x14ac:dyDescent="0.4">
      <c r="A100" s="90"/>
      <c r="B100" s="90"/>
      <c r="C100" s="90"/>
      <c r="D100" s="90"/>
      <c r="E100" s="90" t="s">
        <v>653</v>
      </c>
      <c r="F100" s="91">
        <v>44740</v>
      </c>
      <c r="G100" s="90" t="s">
        <v>2660</v>
      </c>
      <c r="H100" s="90" t="s">
        <v>1537</v>
      </c>
      <c r="I100" s="90" t="s">
        <v>1544</v>
      </c>
      <c r="J100" s="90" t="s">
        <v>678</v>
      </c>
      <c r="K100" s="93">
        <v>3410</v>
      </c>
    </row>
    <row r="101" spans="1:11" ht="15" customHeight="1" x14ac:dyDescent="0.4">
      <c r="A101" s="90"/>
      <c r="B101" s="90"/>
      <c r="C101" s="90"/>
      <c r="D101" s="90"/>
      <c r="E101" s="90" t="s">
        <v>653</v>
      </c>
      <c r="F101" s="91">
        <v>44740</v>
      </c>
      <c r="G101" s="90" t="s">
        <v>2660</v>
      </c>
      <c r="H101" s="90" t="s">
        <v>1235</v>
      </c>
      <c r="I101" s="90" t="s">
        <v>1245</v>
      </c>
      <c r="J101" s="90" t="s">
        <v>678</v>
      </c>
      <c r="K101" s="93">
        <v>2860</v>
      </c>
    </row>
    <row r="102" spans="1:11" ht="15" customHeight="1" x14ac:dyDescent="0.4">
      <c r="A102" s="90"/>
      <c r="B102" s="90"/>
      <c r="C102" s="90"/>
      <c r="D102" s="90"/>
      <c r="E102" s="90" t="s">
        <v>653</v>
      </c>
      <c r="F102" s="91">
        <v>44740</v>
      </c>
      <c r="G102" s="90" t="s">
        <v>2660</v>
      </c>
      <c r="H102" s="90" t="s">
        <v>1237</v>
      </c>
      <c r="I102" s="90" t="s">
        <v>1246</v>
      </c>
      <c r="J102" s="90" t="s">
        <v>678</v>
      </c>
      <c r="K102" s="93">
        <v>3800</v>
      </c>
    </row>
    <row r="103" spans="1:11" ht="15" customHeight="1" x14ac:dyDescent="0.4">
      <c r="A103" s="90"/>
      <c r="B103" s="90"/>
      <c r="C103" s="90"/>
      <c r="D103" s="90"/>
      <c r="E103" s="90" t="s">
        <v>653</v>
      </c>
      <c r="F103" s="91">
        <v>44740</v>
      </c>
      <c r="G103" s="90" t="s">
        <v>2660</v>
      </c>
      <c r="H103" s="90" t="s">
        <v>1538</v>
      </c>
      <c r="I103" s="90" t="s">
        <v>1543</v>
      </c>
      <c r="J103" s="90" t="s">
        <v>678</v>
      </c>
      <c r="K103" s="93">
        <v>1045</v>
      </c>
    </row>
    <row r="104" spans="1:11" ht="15" customHeight="1" x14ac:dyDescent="0.4">
      <c r="A104" s="90"/>
      <c r="B104" s="90"/>
      <c r="C104" s="90"/>
      <c r="D104" s="90"/>
      <c r="E104" s="90" t="s">
        <v>653</v>
      </c>
      <c r="F104" s="91">
        <v>44740</v>
      </c>
      <c r="G104" s="90" t="s">
        <v>2660</v>
      </c>
      <c r="H104" s="90" t="s">
        <v>1539</v>
      </c>
      <c r="I104" s="90" t="s">
        <v>1542</v>
      </c>
      <c r="J104" s="90" t="s">
        <v>678</v>
      </c>
      <c r="K104" s="93">
        <v>4180</v>
      </c>
    </row>
    <row r="105" spans="1:11" ht="15" customHeight="1" x14ac:dyDescent="0.4">
      <c r="A105" s="90"/>
      <c r="B105" s="90"/>
      <c r="C105" s="90"/>
      <c r="D105" s="90"/>
      <c r="E105" s="90" t="s">
        <v>653</v>
      </c>
      <c r="F105" s="91">
        <v>44740</v>
      </c>
      <c r="G105" s="90" t="s">
        <v>2660</v>
      </c>
      <c r="H105" s="90" t="s">
        <v>1236</v>
      </c>
      <c r="I105" s="90" t="s">
        <v>1245</v>
      </c>
      <c r="J105" s="90" t="s">
        <v>678</v>
      </c>
      <c r="K105" s="93">
        <v>3960</v>
      </c>
    </row>
    <row r="106" spans="1:11" ht="15" customHeight="1" x14ac:dyDescent="0.4">
      <c r="A106" s="90"/>
      <c r="B106" s="90"/>
      <c r="C106" s="90"/>
      <c r="D106" s="90"/>
      <c r="E106" s="90" t="s">
        <v>653</v>
      </c>
      <c r="F106" s="91">
        <v>44740</v>
      </c>
      <c r="G106" s="90" t="s">
        <v>2660</v>
      </c>
      <c r="H106" s="90" t="s">
        <v>1540</v>
      </c>
      <c r="I106" s="90" t="s">
        <v>1544</v>
      </c>
      <c r="J106" s="90" t="s">
        <v>678</v>
      </c>
      <c r="K106" s="93">
        <v>4070</v>
      </c>
    </row>
    <row r="107" spans="1:11" ht="15" customHeight="1" x14ac:dyDescent="0.4">
      <c r="A107" s="90"/>
      <c r="B107" s="90"/>
      <c r="C107" s="90"/>
      <c r="D107" s="90"/>
      <c r="E107" s="90" t="s">
        <v>653</v>
      </c>
      <c r="F107" s="91">
        <v>44740</v>
      </c>
      <c r="G107" s="90" t="s">
        <v>2660</v>
      </c>
      <c r="H107" s="90" t="s">
        <v>1541</v>
      </c>
      <c r="I107" s="90" t="s">
        <v>1543</v>
      </c>
      <c r="J107" s="90" t="s">
        <v>678</v>
      </c>
      <c r="K107" s="93">
        <v>2470</v>
      </c>
    </row>
    <row r="108" spans="1:11" ht="15" customHeight="1" x14ac:dyDescent="0.4">
      <c r="A108" s="90"/>
      <c r="B108" s="90"/>
      <c r="C108" s="90"/>
      <c r="D108" s="90"/>
      <c r="E108" s="90" t="s">
        <v>653</v>
      </c>
      <c r="F108" s="91">
        <v>44774</v>
      </c>
      <c r="G108" s="90" t="s">
        <v>1381</v>
      </c>
      <c r="H108" s="90" t="s">
        <v>1538</v>
      </c>
      <c r="I108" s="90" t="s">
        <v>1543</v>
      </c>
      <c r="J108" s="90" t="s">
        <v>678</v>
      </c>
      <c r="K108" s="93">
        <v>1235</v>
      </c>
    </row>
    <row r="109" spans="1:11" ht="15" customHeight="1" x14ac:dyDescent="0.4">
      <c r="A109" s="90"/>
      <c r="B109" s="90"/>
      <c r="C109" s="90"/>
      <c r="D109" s="90"/>
      <c r="E109" s="90" t="s">
        <v>653</v>
      </c>
      <c r="F109" s="91">
        <v>44776</v>
      </c>
      <c r="G109" s="90" t="s">
        <v>1381</v>
      </c>
      <c r="H109" s="90" t="s">
        <v>1228</v>
      </c>
      <c r="I109" s="90" t="s">
        <v>1240</v>
      </c>
      <c r="J109" s="90" t="s">
        <v>678</v>
      </c>
      <c r="K109" s="93">
        <v>4125</v>
      </c>
    </row>
    <row r="110" spans="1:11" ht="15" customHeight="1" x14ac:dyDescent="0.4">
      <c r="A110" s="90"/>
      <c r="B110" s="90"/>
      <c r="C110" s="90"/>
      <c r="D110" s="90"/>
      <c r="E110" s="90" t="s">
        <v>653</v>
      </c>
      <c r="F110" s="91">
        <v>44776</v>
      </c>
      <c r="G110" s="90" t="s">
        <v>1381</v>
      </c>
      <c r="H110" s="90" t="s">
        <v>1229</v>
      </c>
      <c r="I110" s="90" t="s">
        <v>1241</v>
      </c>
      <c r="J110" s="90" t="s">
        <v>678</v>
      </c>
      <c r="K110" s="93">
        <v>2750</v>
      </c>
    </row>
    <row r="111" spans="1:11" ht="15" customHeight="1" x14ac:dyDescent="0.4">
      <c r="A111" s="90"/>
      <c r="B111" s="90"/>
      <c r="C111" s="90"/>
      <c r="D111" s="90"/>
      <c r="E111" s="90" t="s">
        <v>653</v>
      </c>
      <c r="F111" s="91">
        <v>44776</v>
      </c>
      <c r="G111" s="90" t="s">
        <v>1381</v>
      </c>
      <c r="H111" s="90" t="s">
        <v>1533</v>
      </c>
      <c r="I111" s="90" t="s">
        <v>1542</v>
      </c>
      <c r="J111" s="90" t="s">
        <v>678</v>
      </c>
      <c r="K111" s="93">
        <v>1520</v>
      </c>
    </row>
    <row r="112" spans="1:11" ht="15" customHeight="1" x14ac:dyDescent="0.4">
      <c r="A112" s="90"/>
      <c r="B112" s="90"/>
      <c r="C112" s="90"/>
      <c r="D112" s="90"/>
      <c r="E112" s="90" t="s">
        <v>653</v>
      </c>
      <c r="F112" s="91">
        <v>44776</v>
      </c>
      <c r="G112" s="90" t="s">
        <v>1381</v>
      </c>
      <c r="H112" s="90" t="s">
        <v>1238</v>
      </c>
      <c r="I112" s="90" t="s">
        <v>1246</v>
      </c>
      <c r="J112" s="90" t="s">
        <v>678</v>
      </c>
      <c r="K112" s="93">
        <v>3040</v>
      </c>
    </row>
    <row r="113" spans="1:11" ht="15" customHeight="1" x14ac:dyDescent="0.4">
      <c r="A113" s="90"/>
      <c r="B113" s="90"/>
      <c r="C113" s="90"/>
      <c r="D113" s="90"/>
      <c r="E113" s="90" t="s">
        <v>653</v>
      </c>
      <c r="F113" s="91">
        <v>44776</v>
      </c>
      <c r="G113" s="90" t="s">
        <v>1381</v>
      </c>
      <c r="H113" s="90" t="s">
        <v>1534</v>
      </c>
      <c r="I113" s="90" t="s">
        <v>1543</v>
      </c>
      <c r="J113" s="90" t="s">
        <v>678</v>
      </c>
      <c r="K113" s="93">
        <v>475</v>
      </c>
    </row>
    <row r="114" spans="1:11" ht="15" customHeight="1" x14ac:dyDescent="0.4">
      <c r="A114" s="90"/>
      <c r="B114" s="90"/>
      <c r="C114" s="90"/>
      <c r="D114" s="90"/>
      <c r="E114" s="90" t="s">
        <v>653</v>
      </c>
      <c r="F114" s="91">
        <v>44776</v>
      </c>
      <c r="G114" s="90" t="s">
        <v>1381</v>
      </c>
      <c r="H114" s="90" t="s">
        <v>1239</v>
      </c>
      <c r="I114" s="90" t="s">
        <v>1240</v>
      </c>
      <c r="J114" s="90" t="s">
        <v>678</v>
      </c>
      <c r="K114" s="93">
        <v>4500</v>
      </c>
    </row>
    <row r="115" spans="1:11" ht="15" customHeight="1" x14ac:dyDescent="0.4">
      <c r="A115" s="90"/>
      <c r="B115" s="90"/>
      <c r="C115" s="90"/>
      <c r="D115" s="90"/>
      <c r="E115" s="90" t="s">
        <v>653</v>
      </c>
      <c r="F115" s="91">
        <v>44776</v>
      </c>
      <c r="G115" s="90" t="s">
        <v>1381</v>
      </c>
      <c r="H115" s="90" t="s">
        <v>1239</v>
      </c>
      <c r="I115" s="90" t="s">
        <v>1247</v>
      </c>
      <c r="J115" s="90" t="s">
        <v>678</v>
      </c>
      <c r="K115" s="93">
        <v>540</v>
      </c>
    </row>
    <row r="116" spans="1:11" ht="15" customHeight="1" x14ac:dyDescent="0.4">
      <c r="A116" s="90"/>
      <c r="B116" s="90"/>
      <c r="C116" s="90"/>
      <c r="D116" s="90"/>
      <c r="E116" s="90" t="s">
        <v>653</v>
      </c>
      <c r="F116" s="91">
        <v>44776</v>
      </c>
      <c r="G116" s="90" t="s">
        <v>1381</v>
      </c>
      <c r="H116" s="90" t="s">
        <v>1230</v>
      </c>
      <c r="I116" s="90" t="s">
        <v>3278</v>
      </c>
      <c r="J116" s="90" t="s">
        <v>678</v>
      </c>
      <c r="K116" s="93">
        <v>3230</v>
      </c>
    </row>
    <row r="117" spans="1:11" ht="15" customHeight="1" x14ac:dyDescent="0.4">
      <c r="A117" s="90"/>
      <c r="B117" s="90"/>
      <c r="C117" s="90"/>
      <c r="D117" s="90"/>
      <c r="E117" s="90" t="s">
        <v>653</v>
      </c>
      <c r="F117" s="91">
        <v>44776</v>
      </c>
      <c r="G117" s="90" t="s">
        <v>1381</v>
      </c>
      <c r="H117" s="90" t="s">
        <v>1535</v>
      </c>
      <c r="I117" s="90" t="s">
        <v>1543</v>
      </c>
      <c r="J117" s="90" t="s">
        <v>678</v>
      </c>
      <c r="K117" s="93">
        <v>2660</v>
      </c>
    </row>
    <row r="118" spans="1:11" ht="15" customHeight="1" x14ac:dyDescent="0.4">
      <c r="A118" s="90"/>
      <c r="B118" s="90"/>
      <c r="C118" s="90"/>
      <c r="D118" s="90"/>
      <c r="E118" s="90" t="s">
        <v>653</v>
      </c>
      <c r="F118" s="91">
        <v>44776</v>
      </c>
      <c r="G118" s="90" t="s">
        <v>1381</v>
      </c>
      <c r="H118" s="90" t="s">
        <v>1231</v>
      </c>
      <c r="I118" s="90" t="s">
        <v>1242</v>
      </c>
      <c r="J118" s="90" t="s">
        <v>678</v>
      </c>
      <c r="K118" s="93">
        <v>2850</v>
      </c>
    </row>
    <row r="119" spans="1:11" ht="15" customHeight="1" x14ac:dyDescent="0.4">
      <c r="A119" s="90"/>
      <c r="B119" s="90"/>
      <c r="C119" s="90"/>
      <c r="D119" s="90"/>
      <c r="E119" s="90" t="s">
        <v>653</v>
      </c>
      <c r="F119" s="91">
        <v>44776</v>
      </c>
      <c r="G119" s="90" t="s">
        <v>1381</v>
      </c>
      <c r="H119" s="90" t="s">
        <v>1233</v>
      </c>
      <c r="I119" s="90" t="s">
        <v>1244</v>
      </c>
      <c r="J119" s="90" t="s">
        <v>678</v>
      </c>
      <c r="K119" s="93">
        <v>4500</v>
      </c>
    </row>
    <row r="120" spans="1:11" ht="15" customHeight="1" x14ac:dyDescent="0.4">
      <c r="A120" s="90"/>
      <c r="B120" s="90"/>
      <c r="C120" s="90"/>
      <c r="D120" s="90"/>
      <c r="E120" s="90" t="s">
        <v>653</v>
      </c>
      <c r="F120" s="91">
        <v>44776</v>
      </c>
      <c r="G120" s="90" t="s">
        <v>1381</v>
      </c>
      <c r="H120" s="90" t="s">
        <v>1234</v>
      </c>
      <c r="I120" s="90" t="s">
        <v>1240</v>
      </c>
      <c r="J120" s="90" t="s">
        <v>678</v>
      </c>
      <c r="K120" s="93">
        <v>4375</v>
      </c>
    </row>
    <row r="121" spans="1:11" ht="15" customHeight="1" x14ac:dyDescent="0.4">
      <c r="A121" s="90"/>
      <c r="B121" s="90"/>
      <c r="C121" s="90"/>
      <c r="D121" s="90"/>
      <c r="E121" s="90" t="s">
        <v>653</v>
      </c>
      <c r="F121" s="91">
        <v>44776</v>
      </c>
      <c r="G121" s="90" t="s">
        <v>1381</v>
      </c>
      <c r="H121" s="90" t="s">
        <v>1232</v>
      </c>
      <c r="I121" s="90" t="s">
        <v>1240</v>
      </c>
      <c r="J121" s="90" t="s">
        <v>678</v>
      </c>
      <c r="K121" s="93">
        <v>4500</v>
      </c>
    </row>
    <row r="122" spans="1:11" ht="15" customHeight="1" x14ac:dyDescent="0.4">
      <c r="A122" s="90"/>
      <c r="B122" s="90"/>
      <c r="C122" s="90"/>
      <c r="D122" s="90"/>
      <c r="E122" s="90" t="s">
        <v>653</v>
      </c>
      <c r="F122" s="91">
        <v>44776</v>
      </c>
      <c r="G122" s="90" t="s">
        <v>1381</v>
      </c>
      <c r="H122" s="90" t="s">
        <v>1232</v>
      </c>
      <c r="I122" s="90" t="s">
        <v>1243</v>
      </c>
      <c r="J122" s="90" t="s">
        <v>678</v>
      </c>
      <c r="K122" s="93">
        <v>270</v>
      </c>
    </row>
    <row r="123" spans="1:11" ht="15" customHeight="1" x14ac:dyDescent="0.4">
      <c r="A123" s="90"/>
      <c r="B123" s="90"/>
      <c r="C123" s="90"/>
      <c r="D123" s="90"/>
      <c r="E123" s="90" t="s">
        <v>653</v>
      </c>
      <c r="F123" s="91">
        <v>44776</v>
      </c>
      <c r="G123" s="90" t="s">
        <v>1381</v>
      </c>
      <c r="H123" s="90" t="s">
        <v>1537</v>
      </c>
      <c r="I123" s="90" t="s">
        <v>1544</v>
      </c>
      <c r="J123" s="90" t="s">
        <v>678</v>
      </c>
      <c r="K123" s="93">
        <v>3960</v>
      </c>
    </row>
    <row r="124" spans="1:11" ht="15" customHeight="1" x14ac:dyDescent="0.4">
      <c r="A124" s="90"/>
      <c r="B124" s="90"/>
      <c r="C124" s="90"/>
      <c r="D124" s="90"/>
      <c r="E124" s="90" t="s">
        <v>653</v>
      </c>
      <c r="F124" s="91">
        <v>44776</v>
      </c>
      <c r="G124" s="90" t="s">
        <v>1381</v>
      </c>
      <c r="H124" s="90" t="s">
        <v>1235</v>
      </c>
      <c r="I124" s="90" t="s">
        <v>1245</v>
      </c>
      <c r="J124" s="90" t="s">
        <v>678</v>
      </c>
      <c r="K124" s="93">
        <v>3960</v>
      </c>
    </row>
    <row r="125" spans="1:11" ht="15" customHeight="1" x14ac:dyDescent="0.4">
      <c r="A125" s="90"/>
      <c r="B125" s="90"/>
      <c r="C125" s="90"/>
      <c r="D125" s="90"/>
      <c r="E125" s="90" t="s">
        <v>653</v>
      </c>
      <c r="F125" s="91">
        <v>44776</v>
      </c>
      <c r="G125" s="90" t="s">
        <v>1381</v>
      </c>
      <c r="H125" s="90" t="s">
        <v>1539</v>
      </c>
      <c r="I125" s="90" t="s">
        <v>1542</v>
      </c>
      <c r="J125" s="90" t="s">
        <v>678</v>
      </c>
      <c r="K125" s="93">
        <v>3420</v>
      </c>
    </row>
    <row r="126" spans="1:11" ht="15" customHeight="1" x14ac:dyDescent="0.4">
      <c r="A126" s="90"/>
      <c r="B126" s="90"/>
      <c r="C126" s="90"/>
      <c r="D126" s="90"/>
      <c r="E126" s="90" t="s">
        <v>653</v>
      </c>
      <c r="F126" s="91">
        <v>44776</v>
      </c>
      <c r="G126" s="90" t="s">
        <v>1381</v>
      </c>
      <c r="H126" s="90" t="s">
        <v>1541</v>
      </c>
      <c r="I126" s="90" t="s">
        <v>1543</v>
      </c>
      <c r="J126" s="90" t="s">
        <v>678</v>
      </c>
      <c r="K126" s="93">
        <v>1330</v>
      </c>
    </row>
    <row r="127" spans="1:11" ht="15" customHeight="1" x14ac:dyDescent="0.4">
      <c r="A127" s="90"/>
      <c r="B127" s="90"/>
      <c r="C127" s="90"/>
      <c r="D127" s="90"/>
      <c r="E127" s="90" t="s">
        <v>653</v>
      </c>
      <c r="F127" s="91">
        <v>44776</v>
      </c>
      <c r="G127" s="90" t="s">
        <v>1381</v>
      </c>
      <c r="H127" s="90" t="s">
        <v>1540</v>
      </c>
      <c r="I127" s="90" t="s">
        <v>1544</v>
      </c>
      <c r="J127" s="90" t="s">
        <v>678</v>
      </c>
      <c r="K127" s="93">
        <v>3960</v>
      </c>
    </row>
    <row r="128" spans="1:11" ht="15" customHeight="1" x14ac:dyDescent="0.4">
      <c r="A128" s="90"/>
      <c r="B128" s="90"/>
      <c r="C128" s="90"/>
      <c r="D128" s="90"/>
      <c r="E128" s="90" t="s">
        <v>653</v>
      </c>
      <c r="F128" s="91">
        <v>44776</v>
      </c>
      <c r="G128" s="90" t="s">
        <v>1381</v>
      </c>
      <c r="H128" s="90" t="s">
        <v>1236</v>
      </c>
      <c r="I128" s="90" t="s">
        <v>1245</v>
      </c>
      <c r="J128" s="90" t="s">
        <v>678</v>
      </c>
      <c r="K128" s="93">
        <v>3740</v>
      </c>
    </row>
    <row r="129" spans="1:11" ht="15" customHeight="1" x14ac:dyDescent="0.4">
      <c r="A129" s="90"/>
      <c r="B129" s="90"/>
      <c r="C129" s="90"/>
      <c r="D129" s="90"/>
      <c r="E129" s="90" t="s">
        <v>653</v>
      </c>
      <c r="F129" s="91">
        <v>44798</v>
      </c>
      <c r="G129" s="90" t="s">
        <v>2061</v>
      </c>
      <c r="H129" s="90" t="s">
        <v>1228</v>
      </c>
      <c r="I129" s="90" t="s">
        <v>1240</v>
      </c>
      <c r="J129" s="90" t="s">
        <v>678</v>
      </c>
      <c r="K129" s="93">
        <v>1000</v>
      </c>
    </row>
    <row r="130" spans="1:11" ht="15" customHeight="1" x14ac:dyDescent="0.4">
      <c r="A130" s="90"/>
      <c r="B130" s="90"/>
      <c r="C130" s="90"/>
      <c r="D130" s="90"/>
      <c r="E130" s="90" t="s">
        <v>653</v>
      </c>
      <c r="F130" s="91">
        <v>44798</v>
      </c>
      <c r="G130" s="90" t="s">
        <v>2061</v>
      </c>
      <c r="H130" s="90" t="s">
        <v>1229</v>
      </c>
      <c r="I130" s="90" t="s">
        <v>1241</v>
      </c>
      <c r="J130" s="90" t="s">
        <v>678</v>
      </c>
      <c r="K130" s="93">
        <v>880</v>
      </c>
    </row>
    <row r="131" spans="1:11" ht="15" customHeight="1" x14ac:dyDescent="0.4">
      <c r="A131" s="90"/>
      <c r="B131" s="90"/>
      <c r="C131" s="90"/>
      <c r="D131" s="90"/>
      <c r="E131" s="90" t="s">
        <v>653</v>
      </c>
      <c r="F131" s="91">
        <v>44798</v>
      </c>
      <c r="G131" s="90" t="s">
        <v>2061</v>
      </c>
      <c r="H131" s="90" t="s">
        <v>1238</v>
      </c>
      <c r="I131" s="90" t="s">
        <v>1246</v>
      </c>
      <c r="J131" s="90" t="s">
        <v>678</v>
      </c>
      <c r="K131" s="93">
        <v>760</v>
      </c>
    </row>
    <row r="132" spans="1:11" ht="15" customHeight="1" x14ac:dyDescent="0.4">
      <c r="A132" s="90"/>
      <c r="B132" s="90"/>
      <c r="C132" s="90"/>
      <c r="D132" s="90"/>
      <c r="E132" s="90" t="s">
        <v>653</v>
      </c>
      <c r="F132" s="91">
        <v>44798</v>
      </c>
      <c r="G132" s="90" t="s">
        <v>2061</v>
      </c>
      <c r="H132" s="90" t="s">
        <v>1239</v>
      </c>
      <c r="I132" s="90" t="s">
        <v>1240</v>
      </c>
      <c r="J132" s="90" t="s">
        <v>678</v>
      </c>
      <c r="K132" s="93">
        <v>1000</v>
      </c>
    </row>
    <row r="133" spans="1:11" ht="15" customHeight="1" x14ac:dyDescent="0.4">
      <c r="A133" s="90"/>
      <c r="B133" s="90"/>
      <c r="C133" s="90"/>
      <c r="D133" s="90"/>
      <c r="E133" s="90" t="s">
        <v>653</v>
      </c>
      <c r="F133" s="91">
        <v>44798</v>
      </c>
      <c r="G133" s="90" t="s">
        <v>2061</v>
      </c>
      <c r="H133" s="90" t="s">
        <v>1239</v>
      </c>
      <c r="I133" s="90" t="s">
        <v>1247</v>
      </c>
      <c r="J133" s="90" t="s">
        <v>678</v>
      </c>
      <c r="K133" s="93">
        <v>120</v>
      </c>
    </row>
    <row r="134" spans="1:11" ht="15" customHeight="1" x14ac:dyDescent="0.4">
      <c r="A134" s="90"/>
      <c r="B134" s="90"/>
      <c r="C134" s="90"/>
      <c r="D134" s="90"/>
      <c r="E134" s="90" t="s">
        <v>653</v>
      </c>
      <c r="F134" s="91">
        <v>44798</v>
      </c>
      <c r="G134" s="90" t="s">
        <v>2061</v>
      </c>
      <c r="H134" s="90" t="s">
        <v>1230</v>
      </c>
      <c r="I134" s="90" t="s">
        <v>3278</v>
      </c>
      <c r="J134" s="90" t="s">
        <v>678</v>
      </c>
      <c r="K134" s="93">
        <v>760</v>
      </c>
    </row>
    <row r="135" spans="1:11" ht="15" customHeight="1" x14ac:dyDescent="0.4">
      <c r="A135" s="90"/>
      <c r="B135" s="90"/>
      <c r="C135" s="90"/>
      <c r="D135" s="90"/>
      <c r="E135" s="90" t="s">
        <v>653</v>
      </c>
      <c r="F135" s="91">
        <v>44798</v>
      </c>
      <c r="G135" s="90" t="s">
        <v>2061</v>
      </c>
      <c r="H135" s="90" t="s">
        <v>1535</v>
      </c>
      <c r="I135" s="90" t="s">
        <v>1543</v>
      </c>
      <c r="J135" s="90" t="s">
        <v>678</v>
      </c>
      <c r="K135" s="93">
        <v>760</v>
      </c>
    </row>
    <row r="136" spans="1:11" ht="15" customHeight="1" x14ac:dyDescent="0.4">
      <c r="A136" s="90"/>
      <c r="B136" s="90"/>
      <c r="C136" s="90"/>
      <c r="D136" s="90"/>
      <c r="E136" s="90" t="s">
        <v>653</v>
      </c>
      <c r="F136" s="91">
        <v>44798</v>
      </c>
      <c r="G136" s="90" t="s">
        <v>2061</v>
      </c>
      <c r="H136" s="90" t="s">
        <v>1231</v>
      </c>
      <c r="I136" s="90" t="s">
        <v>1242</v>
      </c>
      <c r="J136" s="90" t="s">
        <v>678</v>
      </c>
      <c r="K136" s="93">
        <v>760</v>
      </c>
    </row>
    <row r="137" spans="1:11" ht="15" customHeight="1" x14ac:dyDescent="0.4">
      <c r="A137" s="90"/>
      <c r="B137" s="90"/>
      <c r="C137" s="90"/>
      <c r="D137" s="90"/>
      <c r="E137" s="90" t="s">
        <v>653</v>
      </c>
      <c r="F137" s="91">
        <v>44798</v>
      </c>
      <c r="G137" s="90" t="s">
        <v>2061</v>
      </c>
      <c r="H137" s="90" t="s">
        <v>1233</v>
      </c>
      <c r="I137" s="90" t="s">
        <v>1244</v>
      </c>
      <c r="J137" s="90" t="s">
        <v>678</v>
      </c>
      <c r="K137" s="93">
        <v>1000</v>
      </c>
    </row>
    <row r="138" spans="1:11" ht="15" customHeight="1" x14ac:dyDescent="0.4">
      <c r="A138" s="90"/>
      <c r="B138" s="90"/>
      <c r="C138" s="90"/>
      <c r="D138" s="90"/>
      <c r="E138" s="90" t="s">
        <v>653</v>
      </c>
      <c r="F138" s="91">
        <v>44798</v>
      </c>
      <c r="G138" s="90" t="s">
        <v>2061</v>
      </c>
      <c r="H138" s="90" t="s">
        <v>1232</v>
      </c>
      <c r="I138" s="90" t="s">
        <v>1240</v>
      </c>
      <c r="J138" s="90" t="s">
        <v>678</v>
      </c>
      <c r="K138" s="93">
        <v>1750</v>
      </c>
    </row>
    <row r="139" spans="1:11" ht="15" customHeight="1" x14ac:dyDescent="0.4">
      <c r="A139" s="90"/>
      <c r="B139" s="90"/>
      <c r="C139" s="90"/>
      <c r="D139" s="90"/>
      <c r="E139" s="90" t="s">
        <v>653</v>
      </c>
      <c r="F139" s="91">
        <v>44798</v>
      </c>
      <c r="G139" s="90" t="s">
        <v>2061</v>
      </c>
      <c r="H139" s="90" t="s">
        <v>1232</v>
      </c>
      <c r="I139" s="90" t="s">
        <v>1243</v>
      </c>
      <c r="J139" s="90" t="s">
        <v>678</v>
      </c>
      <c r="K139" s="93">
        <v>105</v>
      </c>
    </row>
    <row r="140" spans="1:11" ht="15" customHeight="1" x14ac:dyDescent="0.4">
      <c r="A140" s="90"/>
      <c r="B140" s="90"/>
      <c r="C140" s="90"/>
      <c r="D140" s="90"/>
      <c r="E140" s="90" t="s">
        <v>653</v>
      </c>
      <c r="F140" s="91">
        <v>44798</v>
      </c>
      <c r="G140" s="90" t="s">
        <v>2061</v>
      </c>
      <c r="H140" s="90" t="s">
        <v>1234</v>
      </c>
      <c r="I140" s="90" t="s">
        <v>1240</v>
      </c>
      <c r="J140" s="90" t="s">
        <v>678</v>
      </c>
      <c r="K140" s="93">
        <v>1000</v>
      </c>
    </row>
    <row r="141" spans="1:11" ht="15" customHeight="1" x14ac:dyDescent="0.4">
      <c r="A141" s="90"/>
      <c r="B141" s="90"/>
      <c r="C141" s="90"/>
      <c r="D141" s="90"/>
      <c r="E141" s="90" t="s">
        <v>653</v>
      </c>
      <c r="F141" s="91">
        <v>44798</v>
      </c>
      <c r="G141" s="90" t="s">
        <v>2061</v>
      </c>
      <c r="H141" s="90" t="s">
        <v>1235</v>
      </c>
      <c r="I141" s="90" t="s">
        <v>1245</v>
      </c>
      <c r="J141" s="90" t="s">
        <v>678</v>
      </c>
      <c r="K141" s="93">
        <v>880</v>
      </c>
    </row>
    <row r="142" spans="1:11" ht="15" customHeight="1" x14ac:dyDescent="0.4">
      <c r="A142" s="90"/>
      <c r="B142" s="90"/>
      <c r="C142" s="90"/>
      <c r="D142" s="90"/>
      <c r="E142" s="90" t="s">
        <v>653</v>
      </c>
      <c r="F142" s="91">
        <v>44798</v>
      </c>
      <c r="G142" s="90" t="s">
        <v>2061</v>
      </c>
      <c r="H142" s="90" t="s">
        <v>1539</v>
      </c>
      <c r="I142" s="90" t="s">
        <v>1542</v>
      </c>
      <c r="J142" s="90" t="s">
        <v>678</v>
      </c>
      <c r="K142" s="93">
        <v>1045</v>
      </c>
    </row>
    <row r="143" spans="1:11" ht="15" customHeight="1" x14ac:dyDescent="0.4">
      <c r="A143" s="90"/>
      <c r="B143" s="90"/>
      <c r="C143" s="90"/>
      <c r="D143" s="90"/>
      <c r="E143" s="90" t="s">
        <v>653</v>
      </c>
      <c r="F143" s="91">
        <v>44798</v>
      </c>
      <c r="G143" s="90" t="s">
        <v>2061</v>
      </c>
      <c r="H143" s="90" t="s">
        <v>1236</v>
      </c>
      <c r="I143" s="90" t="s">
        <v>1245</v>
      </c>
      <c r="J143" s="90" t="s">
        <v>678</v>
      </c>
      <c r="K143" s="93">
        <v>880</v>
      </c>
    </row>
    <row r="144" spans="1:11" ht="15" customHeight="1" x14ac:dyDescent="0.4">
      <c r="A144" s="90"/>
      <c r="B144" s="90"/>
      <c r="C144" s="90"/>
      <c r="D144" s="90"/>
      <c r="E144" s="90" t="s">
        <v>653</v>
      </c>
      <c r="F144" s="91">
        <v>44798</v>
      </c>
      <c r="G144" s="90" t="s">
        <v>2061</v>
      </c>
      <c r="H144" s="90" t="s">
        <v>1540</v>
      </c>
      <c r="I144" s="90" t="s">
        <v>1544</v>
      </c>
      <c r="J144" s="90" t="s">
        <v>678</v>
      </c>
      <c r="K144" s="93">
        <v>880</v>
      </c>
    </row>
    <row r="145" spans="1:11" ht="15" customHeight="1" x14ac:dyDescent="0.4">
      <c r="A145" s="90"/>
      <c r="B145" s="90"/>
      <c r="C145" s="90"/>
      <c r="D145" s="90"/>
      <c r="E145" s="90" t="s">
        <v>653</v>
      </c>
      <c r="F145" s="91">
        <v>44831</v>
      </c>
      <c r="G145" s="90" t="s">
        <v>2140</v>
      </c>
      <c r="H145" s="90" t="s">
        <v>1228</v>
      </c>
      <c r="I145" s="90" t="s">
        <v>1240</v>
      </c>
      <c r="J145" s="90" t="s">
        <v>678</v>
      </c>
      <c r="K145" s="93">
        <v>500</v>
      </c>
    </row>
    <row r="146" spans="1:11" ht="15" customHeight="1" x14ac:dyDescent="0.4">
      <c r="A146" s="90"/>
      <c r="B146" s="90"/>
      <c r="C146" s="90"/>
      <c r="D146" s="90"/>
      <c r="E146" s="90" t="s">
        <v>653</v>
      </c>
      <c r="F146" s="91">
        <v>44831</v>
      </c>
      <c r="G146" s="90" t="s">
        <v>2140</v>
      </c>
      <c r="H146" s="90" t="s">
        <v>1533</v>
      </c>
      <c r="I146" s="90" t="s">
        <v>1542</v>
      </c>
      <c r="J146" s="90" t="s">
        <v>678</v>
      </c>
      <c r="K146" s="93">
        <v>380</v>
      </c>
    </row>
    <row r="147" spans="1:11" ht="15" customHeight="1" x14ac:dyDescent="0.4">
      <c r="A147" s="90"/>
      <c r="B147" s="90"/>
      <c r="C147" s="90"/>
      <c r="D147" s="90"/>
      <c r="E147" s="90" t="s">
        <v>653</v>
      </c>
      <c r="F147" s="91">
        <v>44831</v>
      </c>
      <c r="G147" s="90" t="s">
        <v>2140</v>
      </c>
      <c r="H147" s="90" t="s">
        <v>1238</v>
      </c>
      <c r="I147" s="90" t="s">
        <v>1246</v>
      </c>
      <c r="J147" s="90" t="s">
        <v>678</v>
      </c>
      <c r="K147" s="93">
        <v>380</v>
      </c>
    </row>
    <row r="148" spans="1:11" ht="15" customHeight="1" x14ac:dyDescent="0.4">
      <c r="A148" s="90"/>
      <c r="B148" s="90"/>
      <c r="C148" s="90"/>
      <c r="D148" s="90"/>
      <c r="E148" s="90" t="s">
        <v>653</v>
      </c>
      <c r="F148" s="91">
        <v>44831</v>
      </c>
      <c r="G148" s="90" t="s">
        <v>2140</v>
      </c>
      <c r="H148" s="90" t="s">
        <v>1239</v>
      </c>
      <c r="I148" s="90" t="s">
        <v>1240</v>
      </c>
      <c r="J148" s="90" t="s">
        <v>678</v>
      </c>
      <c r="K148" s="93">
        <v>750</v>
      </c>
    </row>
    <row r="149" spans="1:11" ht="15" customHeight="1" x14ac:dyDescent="0.4">
      <c r="A149" s="90"/>
      <c r="B149" s="90"/>
      <c r="C149" s="90"/>
      <c r="D149" s="90"/>
      <c r="E149" s="90" t="s">
        <v>653</v>
      </c>
      <c r="F149" s="91">
        <v>44831</v>
      </c>
      <c r="G149" s="90" t="s">
        <v>2140</v>
      </c>
      <c r="H149" s="90" t="s">
        <v>1239</v>
      </c>
      <c r="I149" s="90" t="s">
        <v>1247</v>
      </c>
      <c r="J149" s="90" t="s">
        <v>678</v>
      </c>
      <c r="K149" s="93">
        <v>90</v>
      </c>
    </row>
    <row r="150" spans="1:11" ht="15" customHeight="1" x14ac:dyDescent="0.4">
      <c r="A150" s="90"/>
      <c r="B150" s="90"/>
      <c r="C150" s="90"/>
      <c r="D150" s="90"/>
      <c r="E150" s="90" t="s">
        <v>653</v>
      </c>
      <c r="F150" s="91">
        <v>44831</v>
      </c>
      <c r="G150" s="90" t="s">
        <v>2140</v>
      </c>
      <c r="H150" s="90" t="s">
        <v>1230</v>
      </c>
      <c r="I150" s="90" t="s">
        <v>3278</v>
      </c>
      <c r="J150" s="90" t="s">
        <v>678</v>
      </c>
      <c r="K150" s="93">
        <v>380</v>
      </c>
    </row>
    <row r="151" spans="1:11" ht="15" customHeight="1" x14ac:dyDescent="0.4">
      <c r="A151" s="90"/>
      <c r="B151" s="90"/>
      <c r="C151" s="90"/>
      <c r="D151" s="90"/>
      <c r="E151" s="90" t="s">
        <v>653</v>
      </c>
      <c r="F151" s="91">
        <v>44831</v>
      </c>
      <c r="G151" s="90" t="s">
        <v>2140</v>
      </c>
      <c r="H151" s="90" t="s">
        <v>1535</v>
      </c>
      <c r="I151" s="90" t="s">
        <v>1543</v>
      </c>
      <c r="J151" s="90" t="s">
        <v>678</v>
      </c>
      <c r="K151" s="93">
        <v>380</v>
      </c>
    </row>
    <row r="152" spans="1:11" ht="15" customHeight="1" x14ac:dyDescent="0.4">
      <c r="A152" s="90"/>
      <c r="B152" s="90"/>
      <c r="C152" s="90"/>
      <c r="D152" s="90"/>
      <c r="E152" s="90" t="s">
        <v>653</v>
      </c>
      <c r="F152" s="91">
        <v>44831</v>
      </c>
      <c r="G152" s="90" t="s">
        <v>2140</v>
      </c>
      <c r="H152" s="90" t="s">
        <v>1231</v>
      </c>
      <c r="I152" s="90" t="s">
        <v>1242</v>
      </c>
      <c r="J152" s="90" t="s">
        <v>678</v>
      </c>
      <c r="K152" s="93">
        <v>380</v>
      </c>
    </row>
    <row r="153" spans="1:11" ht="15" customHeight="1" x14ac:dyDescent="0.4">
      <c r="A153" s="90"/>
      <c r="B153" s="90"/>
      <c r="C153" s="90"/>
      <c r="D153" s="90"/>
      <c r="E153" s="90" t="s">
        <v>653</v>
      </c>
      <c r="F153" s="91">
        <v>44831</v>
      </c>
      <c r="G153" s="90" t="s">
        <v>2140</v>
      </c>
      <c r="H153" s="90" t="s">
        <v>1233</v>
      </c>
      <c r="I153" s="90" t="s">
        <v>1244</v>
      </c>
      <c r="J153" s="90" t="s">
        <v>678</v>
      </c>
      <c r="K153" s="93">
        <v>250</v>
      </c>
    </row>
    <row r="154" spans="1:11" ht="15" customHeight="1" x14ac:dyDescent="0.4">
      <c r="A154" s="90"/>
      <c r="B154" s="90"/>
      <c r="C154" s="90"/>
      <c r="D154" s="90"/>
      <c r="E154" s="90" t="s">
        <v>653</v>
      </c>
      <c r="F154" s="91">
        <v>44831</v>
      </c>
      <c r="G154" s="90" t="s">
        <v>2140</v>
      </c>
      <c r="H154" s="90" t="s">
        <v>1234</v>
      </c>
      <c r="I154" s="90" t="s">
        <v>1240</v>
      </c>
      <c r="J154" s="90" t="s">
        <v>678</v>
      </c>
      <c r="K154" s="93">
        <v>500</v>
      </c>
    </row>
    <row r="155" spans="1:11" ht="15" customHeight="1" x14ac:dyDescent="0.4">
      <c r="A155" s="90"/>
      <c r="B155" s="90"/>
      <c r="C155" s="90"/>
      <c r="D155" s="90"/>
      <c r="E155" s="90" t="s">
        <v>653</v>
      </c>
      <c r="F155" s="91">
        <v>44831</v>
      </c>
      <c r="G155" s="90" t="s">
        <v>2140</v>
      </c>
      <c r="H155" s="90" t="s">
        <v>1537</v>
      </c>
      <c r="I155" s="90" t="s">
        <v>1544</v>
      </c>
      <c r="J155" s="90" t="s">
        <v>678</v>
      </c>
      <c r="K155" s="93">
        <v>440</v>
      </c>
    </row>
    <row r="156" spans="1:11" ht="15" customHeight="1" x14ac:dyDescent="0.4">
      <c r="A156" s="90"/>
      <c r="B156" s="90"/>
      <c r="C156" s="90"/>
      <c r="D156" s="90"/>
      <c r="E156" s="90" t="s">
        <v>653</v>
      </c>
      <c r="F156" s="91">
        <v>44831</v>
      </c>
      <c r="G156" s="90" t="s">
        <v>2140</v>
      </c>
      <c r="H156" s="90" t="s">
        <v>1235</v>
      </c>
      <c r="I156" s="90" t="s">
        <v>1245</v>
      </c>
      <c r="J156" s="90" t="s">
        <v>678</v>
      </c>
      <c r="K156" s="93">
        <v>440</v>
      </c>
    </row>
    <row r="157" spans="1:11" ht="15" customHeight="1" x14ac:dyDescent="0.4">
      <c r="A157" s="90"/>
      <c r="B157" s="90"/>
      <c r="C157" s="90"/>
      <c r="D157" s="90"/>
      <c r="E157" s="90" t="s">
        <v>653</v>
      </c>
      <c r="F157" s="91">
        <v>44831</v>
      </c>
      <c r="G157" s="90" t="s">
        <v>2140</v>
      </c>
      <c r="H157" s="90" t="s">
        <v>1538</v>
      </c>
      <c r="I157" s="90" t="s">
        <v>1543</v>
      </c>
      <c r="J157" s="90" t="s">
        <v>678</v>
      </c>
      <c r="K157" s="93">
        <v>380</v>
      </c>
    </row>
    <row r="158" spans="1:11" ht="15" customHeight="1" x14ac:dyDescent="0.4">
      <c r="A158" s="90"/>
      <c r="B158" s="90"/>
      <c r="C158" s="90"/>
      <c r="D158" s="90"/>
      <c r="E158" s="90" t="s">
        <v>653</v>
      </c>
      <c r="F158" s="91">
        <v>44831</v>
      </c>
      <c r="G158" s="90" t="s">
        <v>2140</v>
      </c>
      <c r="H158" s="90" t="s">
        <v>1539</v>
      </c>
      <c r="I158" s="90" t="s">
        <v>1542</v>
      </c>
      <c r="J158" s="90" t="s">
        <v>678</v>
      </c>
      <c r="K158" s="93">
        <v>855</v>
      </c>
    </row>
    <row r="159" spans="1:11" ht="15" customHeight="1" x14ac:dyDescent="0.4">
      <c r="A159" s="90"/>
      <c r="B159" s="90"/>
      <c r="C159" s="90"/>
      <c r="D159" s="90"/>
      <c r="E159" s="90" t="s">
        <v>653</v>
      </c>
      <c r="F159" s="91">
        <v>44831</v>
      </c>
      <c r="G159" s="90" t="s">
        <v>2140</v>
      </c>
      <c r="H159" s="90" t="s">
        <v>1236</v>
      </c>
      <c r="I159" s="90" t="s">
        <v>1245</v>
      </c>
      <c r="J159" s="90" t="s">
        <v>678</v>
      </c>
      <c r="K159" s="93">
        <v>440</v>
      </c>
    </row>
    <row r="160" spans="1:11" ht="15" customHeight="1" x14ac:dyDescent="0.4">
      <c r="A160" s="90"/>
      <c r="B160" s="90"/>
      <c r="C160" s="90"/>
      <c r="D160" s="90"/>
      <c r="E160" s="90" t="s">
        <v>653</v>
      </c>
      <c r="F160" s="91">
        <v>44831</v>
      </c>
      <c r="G160" s="90" t="s">
        <v>2140</v>
      </c>
      <c r="H160" s="90" t="s">
        <v>1540</v>
      </c>
      <c r="I160" s="90" t="s">
        <v>1544</v>
      </c>
      <c r="J160" s="90" t="s">
        <v>678</v>
      </c>
      <c r="K160" s="93">
        <v>440</v>
      </c>
    </row>
    <row r="161" spans="1:11" ht="15" customHeight="1" x14ac:dyDescent="0.4">
      <c r="A161" s="90"/>
      <c r="B161" s="90"/>
      <c r="C161" s="90"/>
      <c r="D161" s="90"/>
      <c r="E161" s="90" t="s">
        <v>653</v>
      </c>
      <c r="F161" s="91">
        <v>44831</v>
      </c>
      <c r="G161" s="90" t="s">
        <v>2140</v>
      </c>
      <c r="H161" s="90" t="s">
        <v>1541</v>
      </c>
      <c r="I161" s="90" t="s">
        <v>1543</v>
      </c>
      <c r="J161" s="90" t="s">
        <v>678</v>
      </c>
      <c r="K161" s="93">
        <v>380</v>
      </c>
    </row>
    <row r="162" spans="1:11" ht="15" customHeight="1" x14ac:dyDescent="0.4">
      <c r="A162" s="90"/>
      <c r="B162" s="90"/>
      <c r="C162" s="90"/>
      <c r="D162" s="90"/>
      <c r="E162" s="90" t="s">
        <v>653</v>
      </c>
      <c r="F162" s="91">
        <v>44833</v>
      </c>
      <c r="G162" s="90" t="s">
        <v>2140</v>
      </c>
      <c r="H162" s="90" t="s">
        <v>1232</v>
      </c>
      <c r="I162" s="90" t="s">
        <v>1240</v>
      </c>
      <c r="J162" s="90" t="s">
        <v>678</v>
      </c>
      <c r="K162" s="93">
        <v>1375</v>
      </c>
    </row>
    <row r="163" spans="1:11" ht="15" customHeight="1" x14ac:dyDescent="0.4">
      <c r="A163" s="90"/>
      <c r="B163" s="90"/>
      <c r="C163" s="90"/>
      <c r="D163" s="90"/>
      <c r="E163" s="90" t="s">
        <v>653</v>
      </c>
      <c r="F163" s="91">
        <v>44833</v>
      </c>
      <c r="G163" s="90" t="s">
        <v>2140</v>
      </c>
      <c r="H163" s="90" t="s">
        <v>1232</v>
      </c>
      <c r="I163" s="90" t="s">
        <v>1243</v>
      </c>
      <c r="J163" s="90" t="s">
        <v>678</v>
      </c>
      <c r="K163" s="93">
        <v>82.5</v>
      </c>
    </row>
    <row r="164" spans="1:11" ht="15" customHeight="1" x14ac:dyDescent="0.4">
      <c r="A164" s="90"/>
      <c r="B164" s="90"/>
      <c r="C164" s="90"/>
      <c r="D164" s="90"/>
      <c r="E164" s="90" t="s">
        <v>653</v>
      </c>
      <c r="F164" s="91">
        <v>44865</v>
      </c>
      <c r="G164" s="90" t="s">
        <v>2204</v>
      </c>
      <c r="H164" s="90" t="s">
        <v>1232</v>
      </c>
      <c r="I164" s="90" t="s">
        <v>1240</v>
      </c>
      <c r="J164" s="90" t="s">
        <v>678</v>
      </c>
      <c r="K164" s="93">
        <v>125</v>
      </c>
    </row>
    <row r="165" spans="1:11" ht="15" customHeight="1" x14ac:dyDescent="0.4">
      <c r="A165" s="90"/>
      <c r="B165" s="90"/>
      <c r="C165" s="90"/>
      <c r="D165" s="90"/>
      <c r="E165" s="90" t="s">
        <v>653</v>
      </c>
      <c r="F165" s="91">
        <v>44865</v>
      </c>
      <c r="G165" s="90" t="s">
        <v>2204</v>
      </c>
      <c r="H165" s="90" t="s">
        <v>1232</v>
      </c>
      <c r="I165" s="90" t="s">
        <v>1243</v>
      </c>
      <c r="J165" s="90" t="s">
        <v>678</v>
      </c>
      <c r="K165" s="93">
        <v>7.5</v>
      </c>
    </row>
    <row r="166" spans="1:11" ht="15" customHeight="1" x14ac:dyDescent="0.4">
      <c r="A166" s="90"/>
      <c r="B166" s="90"/>
      <c r="C166" s="90"/>
      <c r="D166" s="90"/>
      <c r="E166" s="90" t="s">
        <v>653</v>
      </c>
      <c r="F166" s="91">
        <v>44865</v>
      </c>
      <c r="G166" s="90" t="s">
        <v>2204</v>
      </c>
      <c r="H166" s="90" t="s">
        <v>1539</v>
      </c>
      <c r="I166" s="90" t="s">
        <v>1542</v>
      </c>
      <c r="J166" s="90" t="s">
        <v>678</v>
      </c>
      <c r="K166" s="93">
        <v>190</v>
      </c>
    </row>
    <row r="167" spans="1:11" ht="15" customHeight="1" x14ac:dyDescent="0.4">
      <c r="A167" s="90"/>
      <c r="B167" s="90"/>
      <c r="C167" s="90"/>
      <c r="D167" s="90"/>
      <c r="E167" s="90" t="s">
        <v>653</v>
      </c>
      <c r="F167" s="91">
        <v>44901</v>
      </c>
      <c r="G167" s="90" t="s">
        <v>2214</v>
      </c>
      <c r="H167" s="90" t="s">
        <v>1228</v>
      </c>
      <c r="I167" s="90" t="s">
        <v>1240</v>
      </c>
      <c r="J167" s="90" t="s">
        <v>678</v>
      </c>
      <c r="K167" s="93">
        <v>500</v>
      </c>
    </row>
    <row r="168" spans="1:11" ht="15" customHeight="1" x14ac:dyDescent="0.4">
      <c r="A168" s="90"/>
      <c r="B168" s="90"/>
      <c r="C168" s="90"/>
      <c r="D168" s="90"/>
      <c r="E168" s="90" t="s">
        <v>653</v>
      </c>
      <c r="F168" s="91">
        <v>44901</v>
      </c>
      <c r="G168" s="90" t="s">
        <v>2214</v>
      </c>
      <c r="H168" s="90" t="s">
        <v>1229</v>
      </c>
      <c r="I168" s="90" t="s">
        <v>1241</v>
      </c>
      <c r="J168" s="90" t="s">
        <v>678</v>
      </c>
      <c r="K168" s="93">
        <v>440</v>
      </c>
    </row>
    <row r="169" spans="1:11" ht="15" customHeight="1" x14ac:dyDescent="0.4">
      <c r="A169" s="90"/>
      <c r="B169" s="90"/>
      <c r="C169" s="90"/>
      <c r="D169" s="90"/>
      <c r="E169" s="90" t="s">
        <v>653</v>
      </c>
      <c r="F169" s="91">
        <v>44901</v>
      </c>
      <c r="G169" s="90" t="s">
        <v>2214</v>
      </c>
      <c r="H169" s="90" t="s">
        <v>1533</v>
      </c>
      <c r="I169" s="90" t="s">
        <v>1542</v>
      </c>
      <c r="J169" s="90" t="s">
        <v>678</v>
      </c>
      <c r="K169" s="93">
        <v>190</v>
      </c>
    </row>
    <row r="170" spans="1:11" ht="15" customHeight="1" x14ac:dyDescent="0.4">
      <c r="A170" s="90"/>
      <c r="B170" s="90"/>
      <c r="C170" s="90"/>
      <c r="D170" s="90"/>
      <c r="E170" s="90" t="s">
        <v>653</v>
      </c>
      <c r="F170" s="91">
        <v>44901</v>
      </c>
      <c r="G170" s="90" t="s">
        <v>2214</v>
      </c>
      <c r="H170" s="90" t="s">
        <v>1238</v>
      </c>
      <c r="I170" s="90" t="s">
        <v>1246</v>
      </c>
      <c r="J170" s="90" t="s">
        <v>678</v>
      </c>
      <c r="K170" s="93">
        <v>380</v>
      </c>
    </row>
    <row r="171" spans="1:11" ht="15" customHeight="1" x14ac:dyDescent="0.4">
      <c r="A171" s="90"/>
      <c r="B171" s="90"/>
      <c r="C171" s="90"/>
      <c r="D171" s="90"/>
      <c r="E171" s="90" t="s">
        <v>653</v>
      </c>
      <c r="F171" s="91">
        <v>44901</v>
      </c>
      <c r="G171" s="90" t="s">
        <v>2214</v>
      </c>
      <c r="H171" s="90" t="s">
        <v>1239</v>
      </c>
      <c r="I171" s="90" t="s">
        <v>1240</v>
      </c>
      <c r="J171" s="90" t="s">
        <v>678</v>
      </c>
      <c r="K171" s="93">
        <v>750</v>
      </c>
    </row>
    <row r="172" spans="1:11" ht="15" customHeight="1" x14ac:dyDescent="0.4">
      <c r="A172" s="90"/>
      <c r="B172" s="90"/>
      <c r="C172" s="90"/>
      <c r="D172" s="90"/>
      <c r="E172" s="90" t="s">
        <v>653</v>
      </c>
      <c r="F172" s="91">
        <v>44901</v>
      </c>
      <c r="G172" s="90" t="s">
        <v>2214</v>
      </c>
      <c r="H172" s="90" t="s">
        <v>1239</v>
      </c>
      <c r="I172" s="90" t="s">
        <v>1247</v>
      </c>
      <c r="J172" s="90" t="s">
        <v>678</v>
      </c>
      <c r="K172" s="93">
        <v>90</v>
      </c>
    </row>
    <row r="173" spans="1:11" ht="15" customHeight="1" x14ac:dyDescent="0.4">
      <c r="A173" s="90"/>
      <c r="B173" s="90"/>
      <c r="C173" s="90"/>
      <c r="D173" s="90"/>
      <c r="E173" s="90" t="s">
        <v>653</v>
      </c>
      <c r="F173" s="91">
        <v>44901</v>
      </c>
      <c r="G173" s="90" t="s">
        <v>2214</v>
      </c>
      <c r="H173" s="90" t="s">
        <v>1230</v>
      </c>
      <c r="I173" s="90" t="s">
        <v>3278</v>
      </c>
      <c r="J173" s="90" t="s">
        <v>678</v>
      </c>
      <c r="K173" s="93">
        <v>380</v>
      </c>
    </row>
    <row r="174" spans="1:11" ht="15" customHeight="1" x14ac:dyDescent="0.4">
      <c r="A174" s="90"/>
      <c r="B174" s="90"/>
      <c r="C174" s="90"/>
      <c r="D174" s="90"/>
      <c r="E174" s="90" t="s">
        <v>653</v>
      </c>
      <c r="F174" s="91">
        <v>44901</v>
      </c>
      <c r="G174" s="90" t="s">
        <v>2214</v>
      </c>
      <c r="H174" s="90" t="s">
        <v>1535</v>
      </c>
      <c r="I174" s="90" t="s">
        <v>1543</v>
      </c>
      <c r="J174" s="90" t="s">
        <v>678</v>
      </c>
      <c r="K174" s="93">
        <v>380</v>
      </c>
    </row>
    <row r="175" spans="1:11" ht="15" customHeight="1" x14ac:dyDescent="0.4">
      <c r="A175" s="90"/>
      <c r="B175" s="90"/>
      <c r="C175" s="90"/>
      <c r="D175" s="90"/>
      <c r="E175" s="90" t="s">
        <v>653</v>
      </c>
      <c r="F175" s="91">
        <v>44901</v>
      </c>
      <c r="G175" s="90" t="s">
        <v>2214</v>
      </c>
      <c r="H175" s="90" t="s">
        <v>1231</v>
      </c>
      <c r="I175" s="90" t="s">
        <v>1242</v>
      </c>
      <c r="J175" s="90" t="s">
        <v>678</v>
      </c>
      <c r="K175" s="93">
        <v>380</v>
      </c>
    </row>
    <row r="176" spans="1:11" ht="15" customHeight="1" x14ac:dyDescent="0.4">
      <c r="A176" s="90"/>
      <c r="B176" s="90"/>
      <c r="C176" s="90"/>
      <c r="D176" s="90"/>
      <c r="E176" s="90" t="s">
        <v>653</v>
      </c>
      <c r="F176" s="91">
        <v>44901</v>
      </c>
      <c r="G176" s="90" t="s">
        <v>2214</v>
      </c>
      <c r="H176" s="90" t="s">
        <v>1232</v>
      </c>
      <c r="I176" s="90" t="s">
        <v>1240</v>
      </c>
      <c r="J176" s="90" t="s">
        <v>678</v>
      </c>
      <c r="K176" s="93">
        <v>750</v>
      </c>
    </row>
    <row r="177" spans="1:11" ht="15" customHeight="1" x14ac:dyDescent="0.4">
      <c r="A177" s="90"/>
      <c r="B177" s="90"/>
      <c r="C177" s="90"/>
      <c r="D177" s="90"/>
      <c r="E177" s="90" t="s">
        <v>653</v>
      </c>
      <c r="F177" s="91">
        <v>44901</v>
      </c>
      <c r="G177" s="90" t="s">
        <v>2214</v>
      </c>
      <c r="H177" s="90" t="s">
        <v>1232</v>
      </c>
      <c r="I177" s="90" t="s">
        <v>1243</v>
      </c>
      <c r="J177" s="90" t="s">
        <v>678</v>
      </c>
      <c r="K177" s="93">
        <v>45</v>
      </c>
    </row>
    <row r="178" spans="1:11" ht="15" customHeight="1" x14ac:dyDescent="0.4">
      <c r="A178" s="90"/>
      <c r="B178" s="90"/>
      <c r="C178" s="90"/>
      <c r="D178" s="90"/>
      <c r="E178" s="90" t="s">
        <v>653</v>
      </c>
      <c r="F178" s="91">
        <v>44901</v>
      </c>
      <c r="G178" s="90" t="s">
        <v>2214</v>
      </c>
      <c r="H178" s="90" t="s">
        <v>1234</v>
      </c>
      <c r="I178" s="90" t="s">
        <v>1240</v>
      </c>
      <c r="J178" s="90" t="s">
        <v>678</v>
      </c>
      <c r="K178" s="93">
        <v>500</v>
      </c>
    </row>
    <row r="179" spans="1:11" ht="15" customHeight="1" x14ac:dyDescent="0.4">
      <c r="A179" s="90"/>
      <c r="B179" s="90"/>
      <c r="C179" s="90"/>
      <c r="D179" s="90"/>
      <c r="E179" s="90" t="s">
        <v>653</v>
      </c>
      <c r="F179" s="91">
        <v>44901</v>
      </c>
      <c r="G179" s="90" t="s">
        <v>2214</v>
      </c>
      <c r="H179" s="90" t="s">
        <v>1235</v>
      </c>
      <c r="I179" s="90" t="s">
        <v>1245</v>
      </c>
      <c r="J179" s="90" t="s">
        <v>678</v>
      </c>
      <c r="K179" s="93">
        <v>440</v>
      </c>
    </row>
    <row r="180" spans="1:11" ht="15" customHeight="1" x14ac:dyDescent="0.4">
      <c r="A180" s="90"/>
      <c r="B180" s="90"/>
      <c r="C180" s="90"/>
      <c r="D180" s="90"/>
      <c r="E180" s="90" t="s">
        <v>653</v>
      </c>
      <c r="F180" s="91">
        <v>44901</v>
      </c>
      <c r="G180" s="90" t="s">
        <v>2214</v>
      </c>
      <c r="H180" s="90" t="s">
        <v>1233</v>
      </c>
      <c r="I180" s="90" t="s">
        <v>1244</v>
      </c>
      <c r="J180" s="90" t="s">
        <v>678</v>
      </c>
      <c r="K180" s="93">
        <v>500</v>
      </c>
    </row>
    <row r="181" spans="1:11" ht="15" customHeight="1" x14ac:dyDescent="0.4">
      <c r="A181" s="90"/>
      <c r="B181" s="90"/>
      <c r="C181" s="90"/>
      <c r="D181" s="90"/>
      <c r="E181" s="90" t="s">
        <v>653</v>
      </c>
      <c r="F181" s="91">
        <v>44901</v>
      </c>
      <c r="G181" s="90" t="s">
        <v>2214</v>
      </c>
      <c r="H181" s="90" t="s">
        <v>1538</v>
      </c>
      <c r="I181" s="90" t="s">
        <v>1543</v>
      </c>
      <c r="J181" s="90" t="s">
        <v>678</v>
      </c>
      <c r="K181" s="93">
        <v>285</v>
      </c>
    </row>
    <row r="182" spans="1:11" ht="15" customHeight="1" x14ac:dyDescent="0.4">
      <c r="A182" s="90"/>
      <c r="B182" s="90"/>
      <c r="C182" s="90"/>
      <c r="D182" s="90"/>
      <c r="E182" s="90" t="s">
        <v>653</v>
      </c>
      <c r="F182" s="91">
        <v>44901</v>
      </c>
      <c r="G182" s="90" t="s">
        <v>2214</v>
      </c>
      <c r="H182" s="90" t="s">
        <v>1539</v>
      </c>
      <c r="I182" s="90" t="s">
        <v>1542</v>
      </c>
      <c r="J182" s="90" t="s">
        <v>678</v>
      </c>
      <c r="K182" s="93">
        <v>190</v>
      </c>
    </row>
    <row r="183" spans="1:11" ht="15" customHeight="1" x14ac:dyDescent="0.4">
      <c r="A183" s="90"/>
      <c r="B183" s="90"/>
      <c r="C183" s="90"/>
      <c r="D183" s="90"/>
      <c r="E183" s="90" t="s">
        <v>653</v>
      </c>
      <c r="F183" s="91">
        <v>44902</v>
      </c>
      <c r="G183" s="90" t="s">
        <v>2214</v>
      </c>
      <c r="H183" s="90" t="s">
        <v>1540</v>
      </c>
      <c r="I183" s="90" t="s">
        <v>1544</v>
      </c>
      <c r="J183" s="90" t="s">
        <v>678</v>
      </c>
      <c r="K183" s="93">
        <v>440</v>
      </c>
    </row>
    <row r="184" spans="1:11" ht="15" customHeight="1" x14ac:dyDescent="0.4">
      <c r="A184" s="90"/>
      <c r="B184" s="90"/>
      <c r="C184" s="90"/>
      <c r="D184" s="90"/>
      <c r="E184" s="90" t="s">
        <v>653</v>
      </c>
      <c r="F184" s="91">
        <v>44902</v>
      </c>
      <c r="G184" s="90" t="s">
        <v>2214</v>
      </c>
      <c r="H184" s="90" t="s">
        <v>1541</v>
      </c>
      <c r="I184" s="90" t="s">
        <v>1543</v>
      </c>
      <c r="J184" s="90" t="s">
        <v>678</v>
      </c>
      <c r="K184" s="93">
        <v>285</v>
      </c>
    </row>
    <row r="185" spans="1:11" ht="15" customHeight="1" x14ac:dyDescent="0.4">
      <c r="A185" s="90"/>
      <c r="B185" s="90"/>
      <c r="C185" s="90"/>
      <c r="D185" s="90"/>
      <c r="E185" s="90" t="s">
        <v>653</v>
      </c>
      <c r="F185" s="91">
        <v>44923</v>
      </c>
      <c r="G185" s="90" t="s">
        <v>1783</v>
      </c>
      <c r="H185" s="90" t="s">
        <v>1539</v>
      </c>
      <c r="I185" s="90" t="s">
        <v>1542</v>
      </c>
      <c r="J185" s="90" t="s">
        <v>678</v>
      </c>
      <c r="K185" s="93">
        <v>190</v>
      </c>
    </row>
    <row r="186" spans="1:11" ht="15" customHeight="1" x14ac:dyDescent="0.4">
      <c r="A186" s="90"/>
      <c r="B186" s="90"/>
      <c r="C186" s="90"/>
      <c r="D186" s="90"/>
      <c r="E186" s="90" t="s">
        <v>653</v>
      </c>
      <c r="F186" s="91">
        <v>44924</v>
      </c>
      <c r="G186" s="90" t="s">
        <v>1783</v>
      </c>
      <c r="H186" s="90" t="s">
        <v>1239</v>
      </c>
      <c r="I186" s="90" t="s">
        <v>1240</v>
      </c>
      <c r="J186" s="90" t="s">
        <v>678</v>
      </c>
      <c r="K186" s="93">
        <v>500</v>
      </c>
    </row>
    <row r="187" spans="1:11" ht="15" customHeight="1" x14ac:dyDescent="0.4">
      <c r="A187" s="90"/>
      <c r="B187" s="90"/>
      <c r="C187" s="90"/>
      <c r="D187" s="90"/>
      <c r="E187" s="90" t="s">
        <v>653</v>
      </c>
      <c r="F187" s="91">
        <v>44924</v>
      </c>
      <c r="G187" s="90" t="s">
        <v>1783</v>
      </c>
      <c r="H187" s="90" t="s">
        <v>1239</v>
      </c>
      <c r="I187" s="90" t="s">
        <v>1247</v>
      </c>
      <c r="J187" s="90" t="s">
        <v>678</v>
      </c>
      <c r="K187" s="93">
        <v>60</v>
      </c>
    </row>
    <row r="188" spans="1:11" ht="15" customHeight="1" x14ac:dyDescent="0.4">
      <c r="A188" s="90"/>
      <c r="B188" s="90"/>
      <c r="C188" s="90"/>
      <c r="D188" s="90"/>
      <c r="E188" s="90" t="s">
        <v>653</v>
      </c>
      <c r="F188" s="91">
        <v>44924</v>
      </c>
      <c r="G188" s="90" t="s">
        <v>1783</v>
      </c>
      <c r="H188" s="90" t="s">
        <v>1232</v>
      </c>
      <c r="I188" s="90" t="s">
        <v>1240</v>
      </c>
      <c r="J188" s="90" t="s">
        <v>678</v>
      </c>
      <c r="K188" s="93">
        <v>250</v>
      </c>
    </row>
    <row r="189" spans="1:11" ht="15" customHeight="1" thickBot="1" x14ac:dyDescent="0.45">
      <c r="A189" s="90"/>
      <c r="B189" s="90"/>
      <c r="C189" s="90"/>
      <c r="D189" s="90"/>
      <c r="E189" s="90" t="s">
        <v>653</v>
      </c>
      <c r="F189" s="91">
        <v>44924</v>
      </c>
      <c r="G189" s="90" t="s">
        <v>1783</v>
      </c>
      <c r="H189" s="90" t="s">
        <v>1232</v>
      </c>
      <c r="I189" s="90" t="s">
        <v>1243</v>
      </c>
      <c r="J189" s="90" t="s">
        <v>678</v>
      </c>
      <c r="K189" s="445">
        <v>15</v>
      </c>
    </row>
    <row r="190" spans="1:11" ht="15" customHeight="1" thickBot="1" x14ac:dyDescent="0.45">
      <c r="A190" s="90"/>
      <c r="B190" s="90"/>
      <c r="C190" s="90" t="s">
        <v>1226</v>
      </c>
      <c r="D190" s="90"/>
      <c r="E190" s="90"/>
      <c r="F190" s="91"/>
      <c r="G190" s="90"/>
      <c r="H190" s="90"/>
      <c r="I190" s="90"/>
      <c r="J190" s="90"/>
      <c r="K190" s="446">
        <f>ROUND(SUM(K3:K189),5)</f>
        <v>264587.5</v>
      </c>
    </row>
    <row r="191" spans="1:11" ht="15" customHeight="1" thickBot="1" x14ac:dyDescent="0.45">
      <c r="A191" s="90"/>
      <c r="B191" s="90" t="s">
        <v>1227</v>
      </c>
      <c r="C191" s="90"/>
      <c r="D191" s="90"/>
      <c r="E191" s="90"/>
      <c r="F191" s="91"/>
      <c r="G191" s="90"/>
      <c r="H191" s="90"/>
      <c r="I191" s="90"/>
      <c r="J191" s="90"/>
      <c r="K191" s="446">
        <f>K190</f>
        <v>264587.5</v>
      </c>
    </row>
    <row r="192" spans="1:11" ht="15" customHeight="1" thickBot="1" x14ac:dyDescent="0.45">
      <c r="A192" s="90" t="s">
        <v>158</v>
      </c>
      <c r="B192" s="90"/>
      <c r="C192" s="90"/>
      <c r="D192" s="90"/>
      <c r="E192" s="90"/>
      <c r="F192" s="91"/>
      <c r="G192" s="90"/>
      <c r="H192" s="90"/>
      <c r="I192" s="90"/>
      <c r="J192" s="90"/>
      <c r="K192" s="447">
        <f>K191</f>
        <v>264587.5</v>
      </c>
    </row>
    <row r="193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2:50 PM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878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8789" r:id="rId4" name="FILTER"/>
      </mc:Fallback>
    </mc:AlternateContent>
    <mc:AlternateContent xmlns:mc="http://schemas.openxmlformats.org/markup-compatibility/2006">
      <mc:Choice Requires="x14">
        <control shapeId="11879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8790" r:id="rId6" name="HEADER"/>
      </mc:Fallback>
    </mc:AlternateContent>
  </control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/>
  <dimension ref="A1:K1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3.3046875" customWidth="1"/>
    <col min="4" max="4" width="2.3046875" customWidth="1"/>
    <col min="5" max="5" width="5.3046875" bestFit="1" customWidth="1"/>
    <col min="6" max="6" width="10.69140625" bestFit="1" customWidth="1"/>
    <col min="7" max="7" width="17.69140625" bestFit="1" customWidth="1"/>
    <col min="8" max="8" width="26.15234375" bestFit="1" customWidth="1"/>
    <col min="9" max="9" width="30.69140625" customWidth="1"/>
    <col min="10" max="10" width="22.3046875" bestFit="1" customWidth="1"/>
    <col min="11" max="11" width="8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1224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1545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44616</v>
      </c>
      <c r="G4" s="90" t="s">
        <v>1257</v>
      </c>
      <c r="H4" s="90" t="s">
        <v>668</v>
      </c>
      <c r="I4" s="90" t="s">
        <v>1549</v>
      </c>
      <c r="J4" s="90" t="s">
        <v>678</v>
      </c>
      <c r="K4" s="93">
        <v>102.34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44631</v>
      </c>
      <c r="G5" s="90" t="s">
        <v>1259</v>
      </c>
      <c r="H5" s="90" t="s">
        <v>1711</v>
      </c>
      <c r="I5" s="90" t="s">
        <v>1550</v>
      </c>
      <c r="J5" s="90" t="s">
        <v>678</v>
      </c>
      <c r="K5" s="93">
        <v>12.77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44641</v>
      </c>
      <c r="G6" s="90" t="s">
        <v>1547</v>
      </c>
      <c r="H6" s="90" t="s">
        <v>744</v>
      </c>
      <c r="I6" s="90" t="s">
        <v>1551</v>
      </c>
      <c r="J6" s="90" t="s">
        <v>678</v>
      </c>
      <c r="K6" s="93">
        <v>499.95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44656</v>
      </c>
      <c r="G7" s="90" t="s">
        <v>1548</v>
      </c>
      <c r="H7" s="90" t="s">
        <v>671</v>
      </c>
      <c r="I7" s="90" t="s">
        <v>1552</v>
      </c>
      <c r="J7" s="90" t="s">
        <v>678</v>
      </c>
      <c r="K7" s="93">
        <v>63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44682</v>
      </c>
      <c r="G8" s="90" t="s">
        <v>1625</v>
      </c>
      <c r="H8" s="90" t="s">
        <v>1711</v>
      </c>
      <c r="I8" s="90" t="s">
        <v>3281</v>
      </c>
      <c r="J8" s="90" t="s">
        <v>678</v>
      </c>
      <c r="K8" s="93">
        <v>5.05</v>
      </c>
    </row>
    <row r="9" spans="1:11" thickBot="1" x14ac:dyDescent="0.45">
      <c r="A9" s="90"/>
      <c r="B9" s="90"/>
      <c r="C9" s="90"/>
      <c r="D9" s="90"/>
      <c r="E9" s="90" t="s">
        <v>653</v>
      </c>
      <c r="F9" s="91">
        <v>44750</v>
      </c>
      <c r="G9" s="90" t="s">
        <v>3280</v>
      </c>
      <c r="H9" s="90" t="s">
        <v>744</v>
      </c>
      <c r="I9" s="90" t="s">
        <v>3282</v>
      </c>
      <c r="J9" s="90" t="s">
        <v>678</v>
      </c>
      <c r="K9" s="445">
        <v>14.65</v>
      </c>
    </row>
    <row r="10" spans="1:11" thickBot="1" x14ac:dyDescent="0.45">
      <c r="A10" s="90"/>
      <c r="B10" s="90"/>
      <c r="C10" s="90" t="s">
        <v>1546</v>
      </c>
      <c r="D10" s="90"/>
      <c r="E10" s="90"/>
      <c r="F10" s="91"/>
      <c r="G10" s="90"/>
      <c r="H10" s="90"/>
      <c r="I10" s="90"/>
      <c r="J10" s="90"/>
      <c r="K10" s="446">
        <f>ROUND(SUM(K3:K9),5)</f>
        <v>697.76</v>
      </c>
    </row>
    <row r="11" spans="1:11" thickBot="1" x14ac:dyDescent="0.45">
      <c r="A11" s="90"/>
      <c r="B11" s="90" t="s">
        <v>1227</v>
      </c>
      <c r="C11" s="90"/>
      <c r="D11" s="90"/>
      <c r="E11" s="90"/>
      <c r="F11" s="91"/>
      <c r="G11" s="90"/>
      <c r="H11" s="90"/>
      <c r="I11" s="90"/>
      <c r="J11" s="90"/>
      <c r="K11" s="446">
        <f>K10</f>
        <v>697.76</v>
      </c>
    </row>
    <row r="12" spans="1:11" ht="15" customHeight="1" thickBot="1" x14ac:dyDescent="0.45">
      <c r="A12" s="90" t="s">
        <v>158</v>
      </c>
      <c r="B12" s="90"/>
      <c r="C12" s="90"/>
      <c r="D12" s="90"/>
      <c r="E12" s="90"/>
      <c r="F12" s="91"/>
      <c r="G12" s="90"/>
      <c r="H12" s="90"/>
      <c r="I12" s="90"/>
      <c r="J12" s="90"/>
      <c r="K12" s="447">
        <f>K11</f>
        <v>697.76</v>
      </c>
    </row>
    <row r="13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3:05 PM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107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1075" r:id="rId4" name="FILTER"/>
      </mc:Fallback>
    </mc:AlternateContent>
    <mc:AlternateContent xmlns:mc="http://schemas.openxmlformats.org/markup-compatibility/2006">
      <mc:Choice Requires="x14">
        <control shapeId="13107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31076" r:id="rId6" name="HEADER"/>
      </mc:Fallback>
    </mc:AlternateContent>
  </control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6"/>
  <dimension ref="A1:K2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I14" sqref="I14"/>
    </sheetView>
  </sheetViews>
  <sheetFormatPr defaultColWidth="14.3828125" defaultRowHeight="15" customHeight="1" x14ac:dyDescent="0.4"/>
  <cols>
    <col min="1" max="2" width="3" style="966" customWidth="1"/>
    <col min="3" max="3" width="30.69140625" style="966" customWidth="1"/>
    <col min="4" max="4" width="2.3046875" style="966" customWidth="1"/>
    <col min="5" max="5" width="5.3046875" style="966" bestFit="1" customWidth="1"/>
    <col min="6" max="6" width="10.69140625" style="966" bestFit="1" customWidth="1"/>
    <col min="7" max="7" width="15.69140625" style="966" bestFit="1" customWidth="1"/>
    <col min="8" max="9" width="30.69140625" style="966" customWidth="1"/>
    <col min="10" max="10" width="22.3046875" style="966" bestFit="1" customWidth="1"/>
    <col min="11" max="11" width="9.15234375" style="966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1224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1248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44606</v>
      </c>
      <c r="G4" s="90" t="s">
        <v>1023</v>
      </c>
      <c r="H4" s="90" t="s">
        <v>1038</v>
      </c>
      <c r="I4" s="90" t="s">
        <v>1250</v>
      </c>
      <c r="J4" s="90" t="s">
        <v>678</v>
      </c>
      <c r="K4" s="93">
        <v>210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44653</v>
      </c>
      <c r="G5" s="90" t="s">
        <v>985</v>
      </c>
      <c r="H5" s="90" t="s">
        <v>670</v>
      </c>
      <c r="I5" s="90" t="s">
        <v>3288</v>
      </c>
      <c r="J5" s="90" t="s">
        <v>678</v>
      </c>
      <c r="K5" s="93">
        <v>4000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44653</v>
      </c>
      <c r="G6" s="90" t="s">
        <v>985</v>
      </c>
      <c r="H6" s="90" t="s">
        <v>670</v>
      </c>
      <c r="I6" s="90" t="s">
        <v>3289</v>
      </c>
      <c r="J6" s="90" t="s">
        <v>678</v>
      </c>
      <c r="K6" s="93">
        <v>4000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44684</v>
      </c>
      <c r="G7" s="90" t="s">
        <v>1420</v>
      </c>
      <c r="H7" s="90" t="s">
        <v>670</v>
      </c>
      <c r="I7" s="90" t="s">
        <v>3288</v>
      </c>
      <c r="J7" s="90" t="s">
        <v>678</v>
      </c>
      <c r="K7" s="93">
        <v>4000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44684</v>
      </c>
      <c r="G8" s="90" t="s">
        <v>1420</v>
      </c>
      <c r="H8" s="90" t="s">
        <v>670</v>
      </c>
      <c r="I8" s="90" t="s">
        <v>3290</v>
      </c>
      <c r="J8" s="90" t="s">
        <v>678</v>
      </c>
      <c r="K8" s="93">
        <v>152.65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44684</v>
      </c>
      <c r="G9" s="90" t="s">
        <v>3283</v>
      </c>
      <c r="H9" s="90" t="s">
        <v>3286</v>
      </c>
      <c r="I9" s="90" t="s">
        <v>3291</v>
      </c>
      <c r="J9" s="90" t="s">
        <v>678</v>
      </c>
      <c r="K9" s="93">
        <v>1677.57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44715</v>
      </c>
      <c r="G10" s="90" t="s">
        <v>2041</v>
      </c>
      <c r="H10" s="90" t="s">
        <v>670</v>
      </c>
      <c r="I10" s="90" t="s">
        <v>3288</v>
      </c>
      <c r="J10" s="90" t="s">
        <v>678</v>
      </c>
      <c r="K10" s="93">
        <v>3502.92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44776</v>
      </c>
      <c r="G11" s="90" t="s">
        <v>1656</v>
      </c>
      <c r="H11" s="90" t="s">
        <v>670</v>
      </c>
      <c r="I11" s="90" t="s">
        <v>3292</v>
      </c>
      <c r="J11" s="90" t="s">
        <v>678</v>
      </c>
      <c r="K11" s="93">
        <v>3500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44808</v>
      </c>
      <c r="G12" s="90" t="s">
        <v>2096</v>
      </c>
      <c r="H12" s="90" t="s">
        <v>670</v>
      </c>
      <c r="I12" s="90" t="s">
        <v>3292</v>
      </c>
      <c r="J12" s="90" t="s">
        <v>678</v>
      </c>
      <c r="K12" s="93">
        <v>7061.87</v>
      </c>
    </row>
    <row r="13" spans="1:11" ht="14.6" x14ac:dyDescent="0.4">
      <c r="A13" s="90"/>
      <c r="B13" s="90"/>
      <c r="C13" s="90"/>
      <c r="D13" s="90"/>
      <c r="E13" s="90" t="s">
        <v>653</v>
      </c>
      <c r="F13" s="91">
        <v>44812</v>
      </c>
      <c r="G13" s="90" t="s">
        <v>3284</v>
      </c>
      <c r="H13" s="90" t="s">
        <v>3287</v>
      </c>
      <c r="I13" s="90" t="s">
        <v>3305</v>
      </c>
      <c r="J13" s="90" t="s">
        <v>678</v>
      </c>
      <c r="K13" s="93">
        <v>515</v>
      </c>
    </row>
    <row r="14" spans="1:11" ht="14.6" x14ac:dyDescent="0.4">
      <c r="A14" s="90"/>
      <c r="B14" s="90"/>
      <c r="C14" s="90"/>
      <c r="D14" s="90"/>
      <c r="E14" s="90" t="s">
        <v>653</v>
      </c>
      <c r="F14" s="91">
        <v>44812</v>
      </c>
      <c r="G14" s="90" t="s">
        <v>3285</v>
      </c>
      <c r="H14" s="90" t="s">
        <v>3287</v>
      </c>
      <c r="I14" s="90" t="s">
        <v>3304</v>
      </c>
      <c r="J14" s="90" t="s">
        <v>678</v>
      </c>
      <c r="K14" s="93">
        <v>620</v>
      </c>
    </row>
    <row r="15" spans="1:11" ht="14.6" x14ac:dyDescent="0.4">
      <c r="A15" s="90"/>
      <c r="B15" s="90"/>
      <c r="C15" s="90"/>
      <c r="D15" s="90"/>
      <c r="E15" s="90" t="s">
        <v>653</v>
      </c>
      <c r="F15" s="91">
        <v>44812</v>
      </c>
      <c r="G15" s="90" t="s">
        <v>3285</v>
      </c>
      <c r="H15" s="90" t="s">
        <v>3287</v>
      </c>
      <c r="I15" s="90" t="s">
        <v>3293</v>
      </c>
      <c r="J15" s="90" t="s">
        <v>678</v>
      </c>
      <c r="K15" s="93">
        <v>640</v>
      </c>
    </row>
    <row r="16" spans="1:11" ht="14.6" x14ac:dyDescent="0.4">
      <c r="A16" s="90"/>
      <c r="B16" s="90"/>
      <c r="C16" s="90"/>
      <c r="D16" s="90"/>
      <c r="E16" s="90" t="s">
        <v>653</v>
      </c>
      <c r="F16" s="91">
        <v>44812</v>
      </c>
      <c r="G16" s="90" t="s">
        <v>3285</v>
      </c>
      <c r="H16" s="90" t="s">
        <v>3287</v>
      </c>
      <c r="I16" s="90" t="s">
        <v>3294</v>
      </c>
      <c r="J16" s="90" t="s">
        <v>678</v>
      </c>
      <c r="K16" s="93">
        <v>515</v>
      </c>
    </row>
    <row r="17" spans="1:11" thickBot="1" x14ac:dyDescent="0.45">
      <c r="A17" s="90"/>
      <c r="B17" s="90"/>
      <c r="C17" s="90"/>
      <c r="D17" s="90"/>
      <c r="E17" s="90" t="s">
        <v>653</v>
      </c>
      <c r="F17" s="91">
        <v>44812</v>
      </c>
      <c r="G17" s="90" t="s">
        <v>3285</v>
      </c>
      <c r="H17" s="90" t="s">
        <v>3287</v>
      </c>
      <c r="I17" s="90" t="s">
        <v>3295</v>
      </c>
      <c r="J17" s="90" t="s">
        <v>678</v>
      </c>
      <c r="K17" s="445">
        <v>515</v>
      </c>
    </row>
    <row r="18" spans="1:11" thickBot="1" x14ac:dyDescent="0.45">
      <c r="A18" s="90"/>
      <c r="B18" s="90"/>
      <c r="C18" s="90" t="s">
        <v>1249</v>
      </c>
      <c r="D18" s="90"/>
      <c r="E18" s="90"/>
      <c r="F18" s="91"/>
      <c r="G18" s="90"/>
      <c r="H18" s="90"/>
      <c r="I18" s="90"/>
      <c r="J18" s="90"/>
      <c r="K18" s="446">
        <f>ROUND(SUM(K3:K17),5)</f>
        <v>30910.01</v>
      </c>
    </row>
    <row r="19" spans="1:11" thickBot="1" x14ac:dyDescent="0.45">
      <c r="A19" s="90"/>
      <c r="B19" s="90" t="s">
        <v>1227</v>
      </c>
      <c r="C19" s="90"/>
      <c r="D19" s="90"/>
      <c r="E19" s="90"/>
      <c r="F19" s="91"/>
      <c r="G19" s="90"/>
      <c r="H19" s="90"/>
      <c r="I19" s="90"/>
      <c r="J19" s="90"/>
      <c r="K19" s="446">
        <f>K18</f>
        <v>30910.01</v>
      </c>
    </row>
    <row r="20" spans="1:11" thickBot="1" x14ac:dyDescent="0.45">
      <c r="A20" s="90" t="s">
        <v>158</v>
      </c>
      <c r="B20" s="90"/>
      <c r="C20" s="90"/>
      <c r="D20" s="90"/>
      <c r="E20" s="90"/>
      <c r="F20" s="91"/>
      <c r="G20" s="90"/>
      <c r="H20" s="90"/>
      <c r="I20" s="90"/>
      <c r="J20" s="90"/>
      <c r="K20" s="447">
        <f>K19</f>
        <v>30910.01</v>
      </c>
    </row>
    <row r="21" spans="1:11" thickTop="1" x14ac:dyDescent="0.4"/>
  </sheetData>
  <pageMargins left="0.7" right="0.7" top="0.75" bottom="0.75" header="0.1" footer="0"/>
  <pageSetup orientation="landscape" r:id="rId1"/>
  <headerFooter>
    <oddHeader>&amp;L&amp;"Arial,Bold"&amp;8 10:29 AM
&amp;"Arial,Bold"&amp;8 08/11/23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083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0839" r:id="rId4" name="FILTER"/>
      </mc:Fallback>
    </mc:AlternateContent>
  </control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2"/>
  <sheetViews>
    <sheetView workbookViewId="0">
      <selection sqref="A1:XFD1048576"/>
    </sheetView>
  </sheetViews>
  <sheetFormatPr defaultColWidth="14.3828125" defaultRowHeight="15" customHeight="1" x14ac:dyDescent="0.4"/>
  <cols>
    <col min="1" max="26" width="8.69140625" customWidth="1"/>
  </cols>
  <sheetData>
    <row r="1" spans="1:26" ht="15" customHeight="1" x14ac:dyDescent="0.75">
      <c r="A1" s="986"/>
      <c r="B1" s="971"/>
      <c r="C1" s="971"/>
      <c r="D1" s="971"/>
      <c r="E1" s="971"/>
      <c r="F1" s="971"/>
      <c r="G1" s="971"/>
      <c r="H1" s="451"/>
      <c r="I1" s="451"/>
    </row>
    <row r="2" spans="1:26" ht="14.6" x14ac:dyDescent="0.4">
      <c r="A2" s="88"/>
      <c r="B2" s="88"/>
      <c r="C2" s="88"/>
      <c r="D2" s="88"/>
      <c r="E2" s="89"/>
      <c r="F2" s="88"/>
      <c r="G2" s="88"/>
      <c r="H2" s="89"/>
      <c r="I2" s="88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</row>
  </sheetData>
  <mergeCells count="1">
    <mergeCell ref="A1:G1"/>
  </mergeCells>
  <pageMargins left="0.7" right="0.7" top="0.75" bottom="0.75" header="0" footer="0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31"/>
  <dimension ref="A1:K1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966" customWidth="1"/>
    <col min="3" max="3" width="24" style="966" customWidth="1"/>
    <col min="4" max="4" width="2.3046875" style="966" customWidth="1"/>
    <col min="5" max="5" width="5.3046875" style="966" bestFit="1" customWidth="1"/>
    <col min="6" max="6" width="10.69140625" style="966" bestFit="1" customWidth="1"/>
    <col min="7" max="7" width="5.3046875" style="966" bestFit="1" customWidth="1"/>
    <col min="8" max="8" width="22.3046875" style="966" bestFit="1" customWidth="1"/>
    <col min="9" max="9" width="30.69140625" style="966" customWidth="1"/>
    <col min="10" max="10" width="22.3046875" style="966" bestFit="1" customWidth="1"/>
    <col min="11" max="11" width="8.15234375" style="966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1224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1251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44568</v>
      </c>
      <c r="G4" s="90" t="s">
        <v>1019</v>
      </c>
      <c r="H4" s="90" t="s">
        <v>1253</v>
      </c>
      <c r="I4" s="90" t="s">
        <v>1254</v>
      </c>
      <c r="J4" s="90" t="s">
        <v>678</v>
      </c>
      <c r="K4" s="93">
        <v>1000</v>
      </c>
    </row>
    <row r="5" spans="1:11" ht="14.6" x14ac:dyDescent="0.4">
      <c r="A5" s="90"/>
      <c r="B5" s="90"/>
      <c r="C5" s="90"/>
      <c r="D5" s="90"/>
      <c r="E5" s="90" t="s">
        <v>653</v>
      </c>
      <c r="F5" s="91">
        <v>44648</v>
      </c>
      <c r="G5" s="90" t="s">
        <v>1553</v>
      </c>
      <c r="H5" s="90" t="s">
        <v>1253</v>
      </c>
      <c r="I5" s="90" t="s">
        <v>1558</v>
      </c>
      <c r="J5" s="90" t="s">
        <v>678</v>
      </c>
      <c r="K5" s="93">
        <v>350</v>
      </c>
    </row>
    <row r="6" spans="1:11" ht="14.6" x14ac:dyDescent="0.4">
      <c r="A6" s="90"/>
      <c r="B6" s="90"/>
      <c r="C6" s="90"/>
      <c r="D6" s="90"/>
      <c r="E6" s="90" t="s">
        <v>653</v>
      </c>
      <c r="F6" s="91">
        <v>44648</v>
      </c>
      <c r="G6" s="90" t="s">
        <v>1554</v>
      </c>
      <c r="H6" s="90" t="s">
        <v>1253</v>
      </c>
      <c r="I6" s="90" t="s">
        <v>1559</v>
      </c>
      <c r="J6" s="90" t="s">
        <v>678</v>
      </c>
      <c r="K6" s="93">
        <v>150</v>
      </c>
    </row>
    <row r="7" spans="1:11" ht="14.6" x14ac:dyDescent="0.4">
      <c r="A7" s="90"/>
      <c r="B7" s="90"/>
      <c r="C7" s="90"/>
      <c r="D7" s="90"/>
      <c r="E7" s="90" t="s">
        <v>653</v>
      </c>
      <c r="F7" s="91">
        <v>44648</v>
      </c>
      <c r="G7" s="90" t="s">
        <v>1555</v>
      </c>
      <c r="H7" s="90" t="s">
        <v>1253</v>
      </c>
      <c r="I7" s="90" t="s">
        <v>1560</v>
      </c>
      <c r="J7" s="90" t="s">
        <v>678</v>
      </c>
      <c r="K7" s="93">
        <v>500</v>
      </c>
    </row>
    <row r="8" spans="1:11" ht="14.6" x14ac:dyDescent="0.4">
      <c r="A8" s="90"/>
      <c r="B8" s="90"/>
      <c r="C8" s="90"/>
      <c r="D8" s="90"/>
      <c r="E8" s="90" t="s">
        <v>653</v>
      </c>
      <c r="F8" s="91">
        <v>44648</v>
      </c>
      <c r="G8" s="90" t="s">
        <v>1556</v>
      </c>
      <c r="H8" s="90" t="s">
        <v>1253</v>
      </c>
      <c r="I8" s="90" t="s">
        <v>1561</v>
      </c>
      <c r="J8" s="90" t="s">
        <v>678</v>
      </c>
      <c r="K8" s="93">
        <v>1400</v>
      </c>
    </row>
    <row r="9" spans="1:11" ht="14.6" x14ac:dyDescent="0.4">
      <c r="A9" s="90"/>
      <c r="B9" s="90"/>
      <c r="C9" s="90"/>
      <c r="D9" s="90"/>
      <c r="E9" s="90" t="s">
        <v>653</v>
      </c>
      <c r="F9" s="91">
        <v>44648</v>
      </c>
      <c r="G9" s="90" t="s">
        <v>1557</v>
      </c>
      <c r="H9" s="90" t="s">
        <v>1253</v>
      </c>
      <c r="I9" s="90" t="s">
        <v>1562</v>
      </c>
      <c r="J9" s="90" t="s">
        <v>678</v>
      </c>
      <c r="K9" s="93">
        <v>250</v>
      </c>
    </row>
    <row r="10" spans="1:11" ht="14.6" x14ac:dyDescent="0.4">
      <c r="A10" s="90"/>
      <c r="B10" s="90"/>
      <c r="C10" s="90"/>
      <c r="D10" s="90"/>
      <c r="E10" s="90" t="s">
        <v>653</v>
      </c>
      <c r="F10" s="91">
        <v>44707</v>
      </c>
      <c r="G10" s="90" t="s">
        <v>3296</v>
      </c>
      <c r="H10" s="90" t="s">
        <v>1253</v>
      </c>
      <c r="I10" s="90" t="s">
        <v>3299</v>
      </c>
      <c r="J10" s="90" t="s">
        <v>678</v>
      </c>
      <c r="K10" s="93">
        <v>1500</v>
      </c>
    </row>
    <row r="11" spans="1:11" ht="14.6" x14ac:dyDescent="0.4">
      <c r="A11" s="90"/>
      <c r="B11" s="90"/>
      <c r="C11" s="90"/>
      <c r="D11" s="90"/>
      <c r="E11" s="90" t="s">
        <v>653</v>
      </c>
      <c r="F11" s="91">
        <v>44841</v>
      </c>
      <c r="G11" s="90" t="s">
        <v>3297</v>
      </c>
      <c r="H11" s="90" t="s">
        <v>1253</v>
      </c>
      <c r="I11" s="90" t="s">
        <v>3300</v>
      </c>
      <c r="J11" s="90" t="s">
        <v>678</v>
      </c>
      <c r="K11" s="93">
        <v>400</v>
      </c>
    </row>
    <row r="12" spans="1:11" ht="14.6" x14ac:dyDescent="0.4">
      <c r="A12" s="90"/>
      <c r="B12" s="90"/>
      <c r="C12" s="90"/>
      <c r="D12" s="90"/>
      <c r="E12" s="90" t="s">
        <v>653</v>
      </c>
      <c r="F12" s="91">
        <v>44842</v>
      </c>
      <c r="G12" s="90" t="s">
        <v>3298</v>
      </c>
      <c r="H12" s="90" t="s">
        <v>1253</v>
      </c>
      <c r="I12" s="90" t="s">
        <v>3301</v>
      </c>
      <c r="J12" s="90" t="s">
        <v>678</v>
      </c>
      <c r="K12" s="93">
        <v>250</v>
      </c>
    </row>
    <row r="13" spans="1:11" thickBot="1" x14ac:dyDescent="0.45">
      <c r="A13" s="90"/>
      <c r="B13" s="90"/>
      <c r="C13" s="90"/>
      <c r="D13" s="90"/>
      <c r="E13" s="90" t="s">
        <v>653</v>
      </c>
      <c r="F13" s="91">
        <v>44926</v>
      </c>
      <c r="G13" s="90" t="s">
        <v>3306</v>
      </c>
      <c r="H13" s="90" t="s">
        <v>1253</v>
      </c>
      <c r="I13" s="90" t="s">
        <v>3307</v>
      </c>
      <c r="J13" s="90" t="s">
        <v>678</v>
      </c>
      <c r="K13" s="445">
        <v>2000</v>
      </c>
    </row>
    <row r="14" spans="1:11" thickBot="1" x14ac:dyDescent="0.45">
      <c r="A14" s="90"/>
      <c r="B14" s="90"/>
      <c r="C14" s="90" t="s">
        <v>1252</v>
      </c>
      <c r="D14" s="90"/>
      <c r="E14" s="90"/>
      <c r="F14" s="91"/>
      <c r="G14" s="90"/>
      <c r="H14" s="90"/>
      <c r="I14" s="90"/>
      <c r="J14" s="90"/>
      <c r="K14" s="446">
        <f>ROUND(SUM(K3:K13),5)</f>
        <v>7800</v>
      </c>
    </row>
    <row r="15" spans="1:11" thickBot="1" x14ac:dyDescent="0.45">
      <c r="A15" s="90"/>
      <c r="B15" s="90" t="s">
        <v>1227</v>
      </c>
      <c r="C15" s="90"/>
      <c r="D15" s="90"/>
      <c r="E15" s="90"/>
      <c r="F15" s="91"/>
      <c r="G15" s="90"/>
      <c r="H15" s="90"/>
      <c r="I15" s="90"/>
      <c r="J15" s="90"/>
      <c r="K15" s="446">
        <f>K14</f>
        <v>7800</v>
      </c>
    </row>
    <row r="16" spans="1:11" thickBot="1" x14ac:dyDescent="0.45">
      <c r="A16" s="90" t="s">
        <v>158</v>
      </c>
      <c r="B16" s="90"/>
      <c r="C16" s="90"/>
      <c r="D16" s="90"/>
      <c r="E16" s="90"/>
      <c r="F16" s="91"/>
      <c r="G16" s="90"/>
      <c r="H16" s="90"/>
      <c r="I16" s="90"/>
      <c r="J16" s="90"/>
      <c r="K16" s="447">
        <f>K15</f>
        <v>7800</v>
      </c>
    </row>
    <row r="17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10:33 AM
&amp;"Arial,Bold"&amp;8 08/11/23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162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1623" r:id="rId4" name="FILTER"/>
      </mc:Fallback>
    </mc:AlternateContent>
  </control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4"/>
  <dimension ref="A1:L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L5" sqref="L5"/>
    </sheetView>
  </sheetViews>
  <sheetFormatPr defaultRowHeight="14.6" x14ac:dyDescent="0.4"/>
  <cols>
    <col min="1" max="2" width="3" customWidth="1"/>
    <col min="3" max="3" width="29.3828125" customWidth="1"/>
    <col min="4" max="4" width="2.3046875" customWidth="1"/>
    <col min="5" max="5" width="6.3046875" bestFit="1" customWidth="1"/>
    <col min="6" max="6" width="10.69140625" bestFit="1" customWidth="1"/>
    <col min="7" max="7" width="8.3828125" bestFit="1" customWidth="1"/>
    <col min="8" max="8" width="22.53515625" bestFit="1" customWidth="1"/>
    <col min="9" max="9" width="30.69140625" customWidth="1"/>
    <col min="10" max="10" width="28.3828125" bestFit="1" customWidth="1"/>
    <col min="11" max="12" width="10.15234375" bestFit="1" customWidth="1"/>
  </cols>
  <sheetData>
    <row r="1" spans="1:12" s="451" customFormat="1" ht="15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2" ht="15" thickTop="1" x14ac:dyDescent="0.4">
      <c r="A2" s="90"/>
      <c r="B2" s="90" t="s">
        <v>1215</v>
      </c>
      <c r="C2" s="90"/>
      <c r="D2" s="90"/>
      <c r="E2" s="90"/>
      <c r="F2" s="91"/>
      <c r="G2" s="90"/>
      <c r="H2" s="90"/>
      <c r="I2" s="90"/>
      <c r="J2" s="90"/>
      <c r="K2" s="93"/>
    </row>
    <row r="3" spans="1:12" x14ac:dyDescent="0.4">
      <c r="A3" s="90"/>
      <c r="B3" s="90"/>
      <c r="C3" s="90" t="s">
        <v>1216</v>
      </c>
      <c r="D3" s="90"/>
      <c r="E3" s="90"/>
      <c r="F3" s="91"/>
      <c r="G3" s="90"/>
      <c r="H3" s="90"/>
      <c r="I3" s="90"/>
      <c r="J3" s="90"/>
      <c r="K3" s="93"/>
    </row>
    <row r="4" spans="1:12" x14ac:dyDescent="0.4">
      <c r="A4" s="90"/>
      <c r="B4" s="90"/>
      <c r="C4" s="90"/>
      <c r="D4" s="90"/>
      <c r="E4" s="90" t="s">
        <v>653</v>
      </c>
      <c r="F4" s="91">
        <v>44562</v>
      </c>
      <c r="G4" s="90" t="s">
        <v>1219</v>
      </c>
      <c r="H4" s="90" t="s">
        <v>1221</v>
      </c>
      <c r="I4" s="90" t="s">
        <v>1222</v>
      </c>
      <c r="J4" s="90" t="s">
        <v>678</v>
      </c>
      <c r="K4" s="93">
        <v>34754.239999999998</v>
      </c>
    </row>
    <row r="5" spans="1:12" ht="15" thickBot="1" x14ac:dyDescent="0.45">
      <c r="A5" s="90"/>
      <c r="B5" s="90"/>
      <c r="C5" s="90"/>
      <c r="D5" s="90"/>
      <c r="E5" s="90" t="s">
        <v>654</v>
      </c>
      <c r="F5" s="91">
        <v>44574</v>
      </c>
      <c r="G5" s="90" t="s">
        <v>1220</v>
      </c>
      <c r="H5" s="90" t="s">
        <v>1221</v>
      </c>
      <c r="I5" s="90" t="s">
        <v>1223</v>
      </c>
      <c r="J5" s="90" t="s">
        <v>679</v>
      </c>
      <c r="L5" s="445">
        <v>210633.81</v>
      </c>
    </row>
    <row r="6" spans="1:12" ht="15" thickBot="1" x14ac:dyDescent="0.45">
      <c r="A6" s="90"/>
      <c r="B6" s="90"/>
      <c r="C6" s="90" t="s">
        <v>1217</v>
      </c>
      <c r="D6" s="90"/>
      <c r="E6" s="90"/>
      <c r="F6" s="91"/>
      <c r="G6" s="90"/>
      <c r="H6" s="90"/>
      <c r="I6" s="90"/>
      <c r="J6" s="90"/>
      <c r="K6" s="446">
        <f>ROUND(SUM(K3:K5),5)</f>
        <v>34754.239999999998</v>
      </c>
    </row>
    <row r="7" spans="1:12" ht="15" thickBot="1" x14ac:dyDescent="0.45">
      <c r="A7" s="90"/>
      <c r="B7" s="90" t="s">
        <v>1218</v>
      </c>
      <c r="C7" s="90"/>
      <c r="D7" s="90"/>
      <c r="E7" s="90"/>
      <c r="F7" s="91"/>
      <c r="G7" s="90"/>
      <c r="H7" s="90"/>
      <c r="I7" s="90"/>
      <c r="J7" s="90"/>
      <c r="K7" s="446">
        <f>K6</f>
        <v>34754.239999999998</v>
      </c>
    </row>
    <row r="8" spans="1:12" ht="15" thickBot="1" x14ac:dyDescent="0.45">
      <c r="A8" s="90" t="s">
        <v>158</v>
      </c>
      <c r="B8" s="90"/>
      <c r="C8" s="90"/>
      <c r="D8" s="90"/>
      <c r="E8" s="90"/>
      <c r="F8" s="91"/>
      <c r="G8" s="90"/>
      <c r="H8" s="90"/>
      <c r="I8" s="90"/>
      <c r="J8" s="90"/>
      <c r="K8" s="447">
        <f>K7</f>
        <v>34754.239999999998</v>
      </c>
    </row>
    <row r="9" spans="1:12" ht="15" thickTop="1" x14ac:dyDescent="0.4"/>
  </sheetData>
  <pageMargins left="0.7" right="0.7" top="0.75" bottom="0.75" header="0.1" footer="0.3"/>
  <pageSetup orientation="portrait" r:id="rId1"/>
  <headerFooter>
    <oddHeader>&amp;L&amp;"Arial,Bold"&amp;8 1:54 PM
&amp;"Arial,Bold"&amp;8 03/15/22
&amp;"Arial,Bold"&amp;8 Accrual Basis&amp;C&amp;"Arial,Bold"&amp;12 Williamson Central Appraisal District
&amp;"Arial,Bold"&amp;14 Account QuickReport
&amp;"Arial,Bold"&amp;10 January 1 through March 15,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4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2642" r:id="rId4" name="HEADER"/>
      </mc:Fallback>
    </mc:AlternateContent>
    <mc:AlternateContent xmlns:mc="http://schemas.openxmlformats.org/markup-compatibility/2006">
      <mc:Choice Requires="x14">
        <control shapeId="11264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12641" r:id="rId6" name="FILTER"/>
      </mc:Fallback>
    </mc:AlternateContent>
  </control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3"/>
  <dimension ref="A1:K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customWidth="1"/>
    <col min="3" max="3" width="27.3046875" customWidth="1"/>
    <col min="4" max="4" width="2.3046875" customWidth="1"/>
    <col min="5" max="5" width="5.3046875" bestFit="1" customWidth="1"/>
    <col min="6" max="6" width="10.69140625" bestFit="1" customWidth="1"/>
    <col min="7" max="7" width="12" bestFit="1" customWidth="1"/>
    <col min="8" max="8" width="6.3046875" bestFit="1" customWidth="1"/>
    <col min="9" max="9" width="30.69140625" customWidth="1"/>
    <col min="10" max="10" width="22.3046875" bestFit="1" customWidth="1"/>
    <col min="11" max="11" width="9.15234375" bestFit="1" customWidth="1"/>
  </cols>
  <sheetData>
    <row r="1" spans="1:11" s="451" customFormat="1" thickBot="1" x14ac:dyDescent="0.45">
      <c r="A1" s="448"/>
      <c r="B1" s="448"/>
      <c r="C1" s="448"/>
      <c r="D1" s="448"/>
      <c r="E1" s="449" t="s">
        <v>641</v>
      </c>
      <c r="F1" s="449" t="s">
        <v>642</v>
      </c>
      <c r="G1" s="449" t="s">
        <v>643</v>
      </c>
      <c r="H1" s="449" t="s">
        <v>644</v>
      </c>
      <c r="I1" s="449" t="s">
        <v>645</v>
      </c>
      <c r="J1" s="449" t="s">
        <v>646</v>
      </c>
      <c r="K1" s="449" t="s">
        <v>647</v>
      </c>
    </row>
    <row r="2" spans="1:11" thickTop="1" x14ac:dyDescent="0.4">
      <c r="A2" s="90"/>
      <c r="B2" s="90" t="s">
        <v>1208</v>
      </c>
      <c r="C2" s="90"/>
      <c r="D2" s="90"/>
      <c r="E2" s="90"/>
      <c r="F2" s="91"/>
      <c r="G2" s="90"/>
      <c r="H2" s="90"/>
      <c r="I2" s="90"/>
      <c r="J2" s="90"/>
      <c r="K2" s="93"/>
    </row>
    <row r="3" spans="1:11" ht="14.6" x14ac:dyDescent="0.4">
      <c r="A3" s="90"/>
      <c r="B3" s="90"/>
      <c r="C3" s="90" t="s">
        <v>1209</v>
      </c>
      <c r="D3" s="90"/>
      <c r="E3" s="90"/>
      <c r="F3" s="91"/>
      <c r="G3" s="90"/>
      <c r="H3" s="90"/>
      <c r="I3" s="90"/>
      <c r="J3" s="90"/>
      <c r="K3" s="93"/>
    </row>
    <row r="4" spans="1:11" ht="14.6" x14ac:dyDescent="0.4">
      <c r="A4" s="90"/>
      <c r="B4" s="90"/>
      <c r="C4" s="90"/>
      <c r="D4" s="90"/>
      <c r="E4" s="90" t="s">
        <v>653</v>
      </c>
      <c r="F4" s="91">
        <v>44567</v>
      </c>
      <c r="G4" s="90" t="s">
        <v>1212</v>
      </c>
      <c r="H4" s="90" t="s">
        <v>1213</v>
      </c>
      <c r="I4" s="90" t="s">
        <v>1214</v>
      </c>
      <c r="J4" s="90" t="s">
        <v>678</v>
      </c>
      <c r="K4" s="93">
        <v>97.48</v>
      </c>
    </row>
    <row r="5" spans="1:11" thickBot="1" x14ac:dyDescent="0.45">
      <c r="A5" s="90"/>
      <c r="B5" s="90"/>
      <c r="C5" s="90"/>
      <c r="D5" s="90"/>
      <c r="E5" s="90" t="s">
        <v>653</v>
      </c>
      <c r="F5" s="91">
        <v>44926</v>
      </c>
      <c r="G5" s="90" t="s">
        <v>3276</v>
      </c>
      <c r="H5" s="90" t="s">
        <v>742</v>
      </c>
      <c r="I5" s="90" t="s">
        <v>3277</v>
      </c>
      <c r="J5" s="90" t="s">
        <v>678</v>
      </c>
      <c r="K5" s="445">
        <v>32789.410000000003</v>
      </c>
    </row>
    <row r="6" spans="1:11" thickBot="1" x14ac:dyDescent="0.45">
      <c r="A6" s="90"/>
      <c r="B6" s="90"/>
      <c r="C6" s="90" t="s">
        <v>1210</v>
      </c>
      <c r="D6" s="90"/>
      <c r="E6" s="90"/>
      <c r="F6" s="91"/>
      <c r="G6" s="90"/>
      <c r="H6" s="90"/>
      <c r="I6" s="90"/>
      <c r="J6" s="90"/>
      <c r="K6" s="446">
        <f>ROUND(SUM(K3:K5),5)</f>
        <v>32886.89</v>
      </c>
    </row>
    <row r="7" spans="1:11" thickBot="1" x14ac:dyDescent="0.45">
      <c r="A7" s="90"/>
      <c r="B7" s="90" t="s">
        <v>1211</v>
      </c>
      <c r="C7" s="90"/>
      <c r="D7" s="90"/>
      <c r="E7" s="90"/>
      <c r="F7" s="91"/>
      <c r="G7" s="90"/>
      <c r="H7" s="90"/>
      <c r="I7" s="90"/>
      <c r="J7" s="90"/>
      <c r="K7" s="446">
        <f>K6</f>
        <v>32886.89</v>
      </c>
    </row>
    <row r="8" spans="1:11" thickBot="1" x14ac:dyDescent="0.45">
      <c r="A8" s="90" t="s">
        <v>158</v>
      </c>
      <c r="B8" s="90"/>
      <c r="C8" s="90"/>
      <c r="D8" s="90"/>
      <c r="E8" s="90"/>
      <c r="F8" s="91"/>
      <c r="G8" s="90"/>
      <c r="H8" s="90"/>
      <c r="I8" s="90"/>
      <c r="J8" s="90"/>
      <c r="K8" s="447">
        <f>K7</f>
        <v>32886.89</v>
      </c>
    </row>
    <row r="9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2:46 PM
&amp;"Arial,Bold"&amp;8 02/13/23
&amp;"Arial,Bold"&amp;8 Accrual Basis&amp;C&amp;"Arial,Bold"&amp;12 Williamson Central Appraisal District
&amp;"Arial,Bold"&amp;14 Account QuickReport
&amp;"Arial,Bold"&amp;10 January through December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2288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2883" r:id="rId4" name="FILTER"/>
      </mc:Fallback>
    </mc:AlternateContent>
    <mc:AlternateContent xmlns:mc="http://schemas.openxmlformats.org/markup-compatibility/2006">
      <mc:Choice Requires="x14">
        <control shapeId="12288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12288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15A5-E10B-436A-8BEE-BDB078C2C13A}">
  <sheetPr>
    <pageSetUpPr fitToPage="1"/>
  </sheetPr>
  <dimension ref="A1:T92"/>
  <sheetViews>
    <sheetView zoomScale="90" zoomScaleNormal="90" workbookViewId="0">
      <selection activeCell="A5" sqref="A5:K5"/>
    </sheetView>
  </sheetViews>
  <sheetFormatPr defaultColWidth="14.3828125" defaultRowHeight="14.6" x14ac:dyDescent="0.4"/>
  <cols>
    <col min="1" max="1" width="48" bestFit="1" customWidth="1"/>
    <col min="2" max="4" width="12.15234375" bestFit="1" customWidth="1"/>
    <col min="5" max="5" width="12.15234375" customWidth="1"/>
    <col min="6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26.15" x14ac:dyDescent="0.7">
      <c r="A1" s="972" t="s">
        <v>159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</row>
    <row r="2" spans="1:20" ht="45" customHeight="1" x14ac:dyDescent="0.4">
      <c r="A2" s="316" t="s">
        <v>1</v>
      </c>
      <c r="B2" s="317" t="s">
        <v>54</v>
      </c>
      <c r="C2" s="317" t="s">
        <v>55</v>
      </c>
      <c r="D2" s="317" t="s">
        <v>56</v>
      </c>
      <c r="E2" s="317" t="s">
        <v>57</v>
      </c>
      <c r="F2" s="317" t="s">
        <v>58</v>
      </c>
      <c r="G2" s="317" t="s">
        <v>59</v>
      </c>
      <c r="H2" s="317" t="s">
        <v>60</v>
      </c>
      <c r="I2" s="317" t="s">
        <v>2</v>
      </c>
      <c r="J2" s="317" t="s">
        <v>61</v>
      </c>
      <c r="K2" s="318" t="s">
        <v>62</v>
      </c>
      <c r="L2" s="1"/>
      <c r="M2" s="1"/>
      <c r="N2" t="s">
        <v>63</v>
      </c>
    </row>
    <row r="3" spans="1:20" x14ac:dyDescent="0.4">
      <c r="A3" s="161" t="s">
        <v>9</v>
      </c>
      <c r="B3" s="153">
        <v>3942800</v>
      </c>
      <c r="C3" s="153">
        <v>3852722</v>
      </c>
      <c r="D3" s="153">
        <v>4225900</v>
      </c>
      <c r="E3" s="153">
        <v>4114339</v>
      </c>
      <c r="F3" s="153">
        <v>4348900</v>
      </c>
      <c r="G3" s="153">
        <v>4237072</v>
      </c>
      <c r="H3" s="153">
        <v>4350500</v>
      </c>
      <c r="I3" s="153">
        <v>4650100</v>
      </c>
      <c r="J3" s="162">
        <f>SUM(ROUNDUP('2% Personnel'!E10,-2))</f>
        <v>4781600</v>
      </c>
      <c r="K3" s="163">
        <f>(J3-I3)/I3</f>
        <v>2.8278961742758221E-2</v>
      </c>
      <c r="L3" s="1"/>
      <c r="M3" s="3">
        <v>2020</v>
      </c>
      <c r="N3">
        <v>2021</v>
      </c>
    </row>
    <row r="4" spans="1:20" x14ac:dyDescent="0.4">
      <c r="A4" s="3" t="s">
        <v>10</v>
      </c>
      <c r="B4" s="5">
        <v>229700</v>
      </c>
      <c r="C4" s="5">
        <v>215369</v>
      </c>
      <c r="D4" s="4">
        <v>257800</v>
      </c>
      <c r="E4" s="4">
        <v>231208</v>
      </c>
      <c r="F4" s="4">
        <v>255600</v>
      </c>
      <c r="G4" s="4">
        <v>236554</v>
      </c>
      <c r="H4" s="4">
        <v>253000</v>
      </c>
      <c r="I4" s="4">
        <v>265800</v>
      </c>
      <c r="J4" s="4">
        <f>SUM(ROUNDUP('2% Personnel'!E34,-2))</f>
        <v>269300</v>
      </c>
      <c r="K4" s="164">
        <f t="shared" ref="K4:K31" si="0">(J4-I4)/I4</f>
        <v>1.3167795334838224E-2</v>
      </c>
      <c r="L4" s="1"/>
      <c r="M4" s="973" t="s">
        <v>64</v>
      </c>
      <c r="N4" s="971"/>
    </row>
    <row r="5" spans="1:20" x14ac:dyDescent="0.4">
      <c r="A5" s="161" t="s">
        <v>11</v>
      </c>
      <c r="B5" s="153">
        <v>551200</v>
      </c>
      <c r="C5" s="153">
        <v>523428</v>
      </c>
      <c r="D5" s="153">
        <v>568800</v>
      </c>
      <c r="E5" s="153">
        <v>541872</v>
      </c>
      <c r="F5" s="153">
        <v>603100</v>
      </c>
      <c r="G5" s="153">
        <v>557116</v>
      </c>
      <c r="H5" s="153">
        <v>626700</v>
      </c>
      <c r="I5" s="153">
        <v>675600</v>
      </c>
      <c r="J5" s="162">
        <f>SUM(ROUNDUP('2% Personnel'!E43,-2))</f>
        <v>656400</v>
      </c>
      <c r="K5" s="163">
        <f t="shared" si="0"/>
        <v>-2.8419182948490232E-2</v>
      </c>
      <c r="L5" s="1"/>
      <c r="M5" s="4">
        <f>SUM(I3:I8)</f>
        <v>6553600</v>
      </c>
      <c r="N5" s="5">
        <f>SUM(J3:J8)</f>
        <v>6696900</v>
      </c>
      <c r="O5" s="141">
        <f>N5/N35</f>
        <v>0.69642578592152748</v>
      </c>
    </row>
    <row r="6" spans="1:20" x14ac:dyDescent="0.4">
      <c r="A6" s="3" t="s">
        <v>12</v>
      </c>
      <c r="B6" s="5">
        <v>674900</v>
      </c>
      <c r="C6" s="5">
        <v>715849</v>
      </c>
      <c r="D6" s="5">
        <v>751300</v>
      </c>
      <c r="E6" s="5">
        <v>678833</v>
      </c>
      <c r="F6" s="5">
        <v>752100</v>
      </c>
      <c r="G6" s="5">
        <v>697225</v>
      </c>
      <c r="H6" s="5">
        <v>717700</v>
      </c>
      <c r="I6" s="5">
        <v>882200</v>
      </c>
      <c r="J6" s="4">
        <f>SUM(ROUNDUP('2% Personnel'!E57,-2))</f>
        <v>907800</v>
      </c>
      <c r="K6" s="164">
        <f t="shared" si="0"/>
        <v>2.9018363182951711E-2</v>
      </c>
      <c r="L6" s="1"/>
      <c r="M6" s="1"/>
      <c r="O6" s="142"/>
      <c r="R6" s="301" t="s">
        <v>65</v>
      </c>
      <c r="S6" s="302" t="s">
        <v>66</v>
      </c>
      <c r="T6" s="303" t="s">
        <v>67</v>
      </c>
    </row>
    <row r="7" spans="1:20" x14ac:dyDescent="0.4">
      <c r="A7" s="165" t="s">
        <v>13</v>
      </c>
      <c r="B7" s="154">
        <v>8800</v>
      </c>
      <c r="C7" s="154">
        <v>8159</v>
      </c>
      <c r="D7" s="154">
        <v>8900</v>
      </c>
      <c r="E7" s="154">
        <v>8492</v>
      </c>
      <c r="F7" s="154">
        <v>8900</v>
      </c>
      <c r="G7" s="154">
        <v>8302</v>
      </c>
      <c r="H7" s="154">
        <v>8900</v>
      </c>
      <c r="I7" s="154">
        <v>8900</v>
      </c>
      <c r="J7" s="166">
        <f>SUM(ROUNDUP('2% Personnel'!E63,-2))</f>
        <v>8900</v>
      </c>
      <c r="K7" s="163">
        <f t="shared" si="0"/>
        <v>0</v>
      </c>
      <c r="L7" s="1"/>
      <c r="M7" s="1"/>
      <c r="O7" s="142"/>
      <c r="R7" s="289" t="s">
        <v>64</v>
      </c>
      <c r="S7" s="290">
        <f>SUM(N5)</f>
        <v>6696900</v>
      </c>
      <c r="T7" s="291">
        <f t="shared" ref="T7:T12" si="1">S7/$S$13</f>
        <v>0.69642578592152748</v>
      </c>
    </row>
    <row r="8" spans="1:20" x14ac:dyDescent="0.4">
      <c r="A8" s="3" t="s">
        <v>14</v>
      </c>
      <c r="B8" s="5">
        <v>62900</v>
      </c>
      <c r="C8" s="5">
        <v>54592</v>
      </c>
      <c r="D8" s="5">
        <v>67400</v>
      </c>
      <c r="E8" s="5">
        <v>58060</v>
      </c>
      <c r="F8" s="5">
        <v>67900</v>
      </c>
      <c r="G8" s="5">
        <v>60053</v>
      </c>
      <c r="H8" s="5">
        <v>67400</v>
      </c>
      <c r="I8" s="5">
        <v>71000</v>
      </c>
      <c r="J8" s="4">
        <f>SUM(ROUNDUP('2% Personnel'!E77,-2))</f>
        <v>72900</v>
      </c>
      <c r="K8" s="164">
        <f t="shared" si="0"/>
        <v>2.6760563380281689E-2</v>
      </c>
      <c r="L8" s="1"/>
      <c r="M8" s="1"/>
      <c r="O8" s="142"/>
      <c r="R8" s="292" t="s">
        <v>68</v>
      </c>
      <c r="S8" s="293">
        <f>SUM(N11)</f>
        <v>447300</v>
      </c>
      <c r="T8" s="294">
        <f t="shared" si="1"/>
        <v>4.651573922900136E-2</v>
      </c>
    </row>
    <row r="9" spans="1:20" x14ac:dyDescent="0.4">
      <c r="A9" s="165" t="s">
        <v>16</v>
      </c>
      <c r="B9" s="154">
        <v>12600</v>
      </c>
      <c r="C9" s="154">
        <v>10891</v>
      </c>
      <c r="D9" s="154">
        <v>12070</v>
      </c>
      <c r="E9" s="154">
        <v>9363</v>
      </c>
      <c r="F9" s="154">
        <v>15100</v>
      </c>
      <c r="G9" s="154">
        <v>11279</v>
      </c>
      <c r="H9" s="154">
        <v>14100</v>
      </c>
      <c r="I9" s="154">
        <v>13600</v>
      </c>
      <c r="J9" s="166">
        <f>SUM(ROUNDUP('Budget-Services'!H15,-2))</f>
        <v>13900</v>
      </c>
      <c r="K9" s="163">
        <f t="shared" si="0"/>
        <v>2.2058823529411766E-2</v>
      </c>
      <c r="L9" s="1"/>
      <c r="M9" s="1"/>
      <c r="O9" s="142"/>
      <c r="R9" s="289" t="s">
        <v>69</v>
      </c>
      <c r="S9" s="290">
        <f>SUM(N17)</f>
        <v>2159500</v>
      </c>
      <c r="T9" s="291">
        <f t="shared" si="1"/>
        <v>0.22457129189588296</v>
      </c>
    </row>
    <row r="10" spans="1:20" x14ac:dyDescent="0.4">
      <c r="A10" s="3" t="s">
        <v>18</v>
      </c>
      <c r="B10" s="5">
        <v>93900</v>
      </c>
      <c r="C10" s="5">
        <v>93900</v>
      </c>
      <c r="D10" s="5">
        <v>109400</v>
      </c>
      <c r="E10" s="5">
        <v>108514</v>
      </c>
      <c r="F10" s="5">
        <v>116900</v>
      </c>
      <c r="G10" s="5">
        <v>108342</v>
      </c>
      <c r="H10" s="5">
        <v>129900</v>
      </c>
      <c r="I10" s="5">
        <v>210900</v>
      </c>
      <c r="J10" s="4">
        <f>SUM(ROUNDUP('Budget-Services'!H38,-2))</f>
        <v>228000</v>
      </c>
      <c r="K10" s="164">
        <f t="shared" si="0"/>
        <v>8.1081081081081086E-2</v>
      </c>
      <c r="L10" s="1"/>
      <c r="M10" s="973" t="s">
        <v>70</v>
      </c>
      <c r="N10" s="971"/>
      <c r="O10" s="142"/>
      <c r="R10" s="292" t="s">
        <v>71</v>
      </c>
      <c r="S10" s="293">
        <f>SUM(N28)</f>
        <v>0</v>
      </c>
      <c r="T10" s="294">
        <f t="shared" si="1"/>
        <v>0</v>
      </c>
    </row>
    <row r="11" spans="1:20" x14ac:dyDescent="0.4">
      <c r="A11" s="267" t="s">
        <v>20</v>
      </c>
      <c r="B11" s="268">
        <v>44200</v>
      </c>
      <c r="C11" s="268">
        <v>44200</v>
      </c>
      <c r="D11" s="268">
        <v>48400</v>
      </c>
      <c r="E11" s="268">
        <v>53093</v>
      </c>
      <c r="F11" s="268">
        <v>53400</v>
      </c>
      <c r="G11" s="268">
        <v>50379</v>
      </c>
      <c r="H11" s="268">
        <v>58800</v>
      </c>
      <c r="I11" s="268">
        <v>85000</v>
      </c>
      <c r="J11" s="269">
        <f>SUM(ROUNDUP('Budget-Services'!H62,-2))</f>
        <v>97100</v>
      </c>
      <c r="K11" s="163">
        <f t="shared" si="0"/>
        <v>0.1423529411764706</v>
      </c>
      <c r="L11" s="1"/>
      <c r="M11" s="4">
        <f>SUM(I9:I14)</f>
        <v>411000</v>
      </c>
      <c r="N11" s="5">
        <f>SUM(J9:J14)</f>
        <v>447300</v>
      </c>
      <c r="O11" s="141">
        <f>N11/N35</f>
        <v>4.651573922900136E-2</v>
      </c>
      <c r="R11" s="289" t="s">
        <v>72</v>
      </c>
      <c r="S11" s="290">
        <f>SUM(N31)</f>
        <v>70000</v>
      </c>
      <c r="T11" s="291">
        <f t="shared" si="1"/>
        <v>7.2794584082944225E-3</v>
      </c>
    </row>
    <row r="12" spans="1:20" ht="15" thickBot="1" x14ac:dyDescent="0.45">
      <c r="A12" s="3" t="s">
        <v>22</v>
      </c>
      <c r="B12" s="5">
        <v>4800</v>
      </c>
      <c r="C12" s="5">
        <v>4800</v>
      </c>
      <c r="D12" s="5">
        <v>5830</v>
      </c>
      <c r="E12" s="5">
        <v>5827</v>
      </c>
      <c r="F12" s="5">
        <v>6000</v>
      </c>
      <c r="G12" s="5">
        <v>6243</v>
      </c>
      <c r="H12" s="5">
        <v>7200</v>
      </c>
      <c r="I12" s="5">
        <v>7200</v>
      </c>
      <c r="J12" s="4">
        <f>SUM(ROUNDUP('Budget-Services'!H66,-2))</f>
        <v>7200</v>
      </c>
      <c r="K12" s="164">
        <f t="shared" si="0"/>
        <v>0</v>
      </c>
      <c r="L12" s="1"/>
      <c r="M12" s="1"/>
      <c r="O12" s="142"/>
      <c r="R12" s="295" t="s">
        <v>73</v>
      </c>
      <c r="S12" s="296">
        <f>SUM(N34)</f>
        <v>242400</v>
      </c>
      <c r="T12" s="297">
        <f t="shared" si="1"/>
        <v>2.5207724545293832E-2</v>
      </c>
    </row>
    <row r="13" spans="1:20" ht="15" thickBot="1" x14ac:dyDescent="0.45">
      <c r="A13" s="161" t="s">
        <v>24</v>
      </c>
      <c r="B13" s="153">
        <v>61000</v>
      </c>
      <c r="C13" s="153">
        <v>109071</v>
      </c>
      <c r="D13" s="153">
        <v>72300</v>
      </c>
      <c r="E13" s="153">
        <v>68848</v>
      </c>
      <c r="F13" s="153">
        <v>72800</v>
      </c>
      <c r="G13" s="153">
        <v>76288</v>
      </c>
      <c r="H13" s="153">
        <v>78900</v>
      </c>
      <c r="I13" s="153">
        <v>80800</v>
      </c>
      <c r="J13" s="162">
        <f>SUM(ROUNDUP('Budget-Services'!H82,-2))</f>
        <v>87700</v>
      </c>
      <c r="K13" s="163">
        <f t="shared" si="0"/>
        <v>8.5396039603960402E-2</v>
      </c>
      <c r="L13" s="1"/>
      <c r="M13" s="1"/>
      <c r="O13" s="142"/>
      <c r="R13" s="300" t="s">
        <v>74</v>
      </c>
      <c r="S13" s="298">
        <f>SUM(S7:S12)</f>
        <v>9616100</v>
      </c>
      <c r="T13" s="299">
        <f>SUM(T7:T12)</f>
        <v>1</v>
      </c>
    </row>
    <row r="14" spans="1:20" x14ac:dyDescent="0.4">
      <c r="A14" s="3" t="s">
        <v>26</v>
      </c>
      <c r="B14" s="5">
        <v>30600</v>
      </c>
      <c r="C14" s="5">
        <v>17822</v>
      </c>
      <c r="D14" s="5">
        <v>15210</v>
      </c>
      <c r="E14" s="5">
        <v>12829</v>
      </c>
      <c r="F14" s="5">
        <v>18500</v>
      </c>
      <c r="G14" s="5">
        <v>6455</v>
      </c>
      <c r="H14" s="5">
        <v>14300</v>
      </c>
      <c r="I14" s="5">
        <v>13500</v>
      </c>
      <c r="J14" s="4">
        <f>SUM(ROUNDUP('Budget-Services'!H97,-2))</f>
        <v>13400</v>
      </c>
      <c r="K14" s="164">
        <f t="shared" si="0"/>
        <v>-7.4074074074074077E-3</v>
      </c>
      <c r="L14" s="1"/>
      <c r="M14" s="1"/>
      <c r="O14" s="142"/>
    </row>
    <row r="15" spans="1:20" x14ac:dyDescent="0.4">
      <c r="A15" s="267" t="s">
        <v>28</v>
      </c>
      <c r="B15" s="268">
        <v>89800</v>
      </c>
      <c r="C15" s="268">
        <v>72828</v>
      </c>
      <c r="D15" s="268">
        <v>102500</v>
      </c>
      <c r="E15" s="268">
        <v>99861</v>
      </c>
      <c r="F15" s="268">
        <v>90100</v>
      </c>
      <c r="G15" s="268">
        <v>97252</v>
      </c>
      <c r="H15" s="268">
        <v>106900</v>
      </c>
      <c r="I15" s="268">
        <v>111700</v>
      </c>
      <c r="J15" s="269">
        <f>SUM(ROUNDUP('Budget-Services'!H135,-2))</f>
        <v>123400</v>
      </c>
      <c r="K15" s="163">
        <f t="shared" si="0"/>
        <v>0.10474485228290063</v>
      </c>
      <c r="L15" s="1"/>
      <c r="M15" s="1"/>
      <c r="O15" s="142"/>
    </row>
    <row r="16" spans="1:20" x14ac:dyDescent="0.4">
      <c r="A16" s="167" t="s">
        <v>29</v>
      </c>
      <c r="B16" s="155">
        <v>53400</v>
      </c>
      <c r="C16" s="155">
        <v>42720</v>
      </c>
      <c r="D16" s="155">
        <v>47990</v>
      </c>
      <c r="E16" s="155">
        <v>47989</v>
      </c>
      <c r="F16" s="155">
        <v>41400</v>
      </c>
      <c r="G16" s="155">
        <v>25290</v>
      </c>
      <c r="H16" s="155">
        <v>40000</v>
      </c>
      <c r="I16" s="155">
        <v>40000</v>
      </c>
      <c r="J16" s="168">
        <f>SUM(ROUNDUP('Budget-Services'!H144,-2))</f>
        <v>41100</v>
      </c>
      <c r="K16" s="164">
        <f t="shared" si="0"/>
        <v>2.75E-2</v>
      </c>
      <c r="L16" s="1"/>
      <c r="M16" s="973" t="s">
        <v>69</v>
      </c>
      <c r="N16" s="971"/>
      <c r="O16" s="142"/>
    </row>
    <row r="17" spans="1:16" x14ac:dyDescent="0.4">
      <c r="A17" s="267" t="s">
        <v>30</v>
      </c>
      <c r="B17" s="268">
        <v>156400</v>
      </c>
      <c r="C17" s="268">
        <v>145935</v>
      </c>
      <c r="D17" s="268">
        <v>157990</v>
      </c>
      <c r="E17" s="268">
        <v>157984</v>
      </c>
      <c r="F17" s="268">
        <v>155000</v>
      </c>
      <c r="G17" s="268">
        <v>156639</v>
      </c>
      <c r="H17" s="268">
        <v>158400</v>
      </c>
      <c r="I17" s="268">
        <v>167300</v>
      </c>
      <c r="J17" s="269">
        <f>SUM(ROUNDUP('Budget-Services'!H155,-2))</f>
        <v>215900</v>
      </c>
      <c r="K17" s="163">
        <f t="shared" si="0"/>
        <v>0.2904961147638972</v>
      </c>
      <c r="L17" s="1"/>
      <c r="M17" s="4">
        <f>SUM(I15:I27)</f>
        <v>1827300</v>
      </c>
      <c r="N17" s="5">
        <f>SUM(J15:J27)</f>
        <v>2159500</v>
      </c>
      <c r="O17" s="141">
        <f>N17/N35</f>
        <v>0.22457129189588296</v>
      </c>
    </row>
    <row r="18" spans="1:16" x14ac:dyDescent="0.4">
      <c r="A18" s="167" t="s">
        <v>31</v>
      </c>
      <c r="B18" s="155">
        <v>84800</v>
      </c>
      <c r="C18" s="155">
        <v>114375</v>
      </c>
      <c r="D18" s="155">
        <v>98710</v>
      </c>
      <c r="E18" s="155">
        <v>158880</v>
      </c>
      <c r="F18" s="5">
        <v>106500</v>
      </c>
      <c r="G18" s="5">
        <v>111418</v>
      </c>
      <c r="H18" s="5">
        <v>128000</v>
      </c>
      <c r="I18" s="5">
        <v>129300</v>
      </c>
      <c r="J18" s="4">
        <f>SUM(ROUNDUP('Budget-Services'!H183,-2))</f>
        <v>154200</v>
      </c>
      <c r="K18" s="164">
        <f t="shared" si="0"/>
        <v>0.1925754060324826</v>
      </c>
      <c r="L18" s="1"/>
      <c r="M18" s="1"/>
      <c r="O18" s="142"/>
    </row>
    <row r="19" spans="1:16" x14ac:dyDescent="0.4">
      <c r="A19" s="267" t="s">
        <v>32</v>
      </c>
      <c r="B19" s="268">
        <v>7800</v>
      </c>
      <c r="C19" s="268">
        <v>7800</v>
      </c>
      <c r="D19" s="268">
        <v>8250</v>
      </c>
      <c r="E19" s="268">
        <v>8250</v>
      </c>
      <c r="F19" s="268">
        <v>8400</v>
      </c>
      <c r="G19" s="268">
        <v>9300</v>
      </c>
      <c r="H19" s="268">
        <v>10100</v>
      </c>
      <c r="I19" s="268">
        <v>10200</v>
      </c>
      <c r="J19" s="269">
        <f>SUM(ROUNDUP('Budget-Services'!H189,-2))</f>
        <v>12000</v>
      </c>
      <c r="K19" s="163">
        <f t="shared" si="0"/>
        <v>0.17647058823529413</v>
      </c>
      <c r="L19" s="1"/>
      <c r="M19" s="6"/>
      <c r="N19" s="5"/>
      <c r="O19" s="142"/>
    </row>
    <row r="20" spans="1:16" x14ac:dyDescent="0.4">
      <c r="A20" s="3" t="s">
        <v>33</v>
      </c>
      <c r="B20" s="5">
        <v>4500</v>
      </c>
      <c r="C20" s="5">
        <v>4500</v>
      </c>
      <c r="D20" s="5">
        <v>6000</v>
      </c>
      <c r="E20" s="5">
        <v>4703</v>
      </c>
      <c r="F20" s="5">
        <v>6000</v>
      </c>
      <c r="G20" s="5">
        <v>5833</v>
      </c>
      <c r="H20" s="5">
        <v>6000</v>
      </c>
      <c r="I20" s="5">
        <v>6000</v>
      </c>
      <c r="J20" s="4">
        <f>SUM(ROUNDUP('Budget-Services'!H193,-2))</f>
        <v>6000</v>
      </c>
      <c r="K20" s="164">
        <f t="shared" si="0"/>
        <v>0</v>
      </c>
      <c r="L20" s="1"/>
      <c r="M20" s="1"/>
      <c r="O20" s="142"/>
    </row>
    <row r="21" spans="1:16" x14ac:dyDescent="0.4">
      <c r="A21" s="165" t="s">
        <v>34</v>
      </c>
      <c r="B21" s="154">
        <v>44600</v>
      </c>
      <c r="C21" s="154">
        <v>40997</v>
      </c>
      <c r="D21" s="154">
        <v>47100</v>
      </c>
      <c r="E21" s="154">
        <v>43537</v>
      </c>
      <c r="F21" s="154">
        <v>45700</v>
      </c>
      <c r="G21" s="154">
        <v>75711</v>
      </c>
      <c r="H21" s="154">
        <v>47200</v>
      </c>
      <c r="I21" s="154">
        <v>85300</v>
      </c>
      <c r="J21" s="166">
        <f>SUM(ROUNDUP('Budget-Services'!H236,-2))</f>
        <v>109500</v>
      </c>
      <c r="K21" s="163">
        <f t="shared" si="0"/>
        <v>0.28370457209847599</v>
      </c>
      <c r="L21" s="1"/>
      <c r="M21" s="1"/>
      <c r="O21" s="142"/>
    </row>
    <row r="22" spans="1:16" x14ac:dyDescent="0.4">
      <c r="A22" s="167" t="s">
        <v>35</v>
      </c>
      <c r="B22" s="155">
        <v>500</v>
      </c>
      <c r="C22" s="155">
        <v>0</v>
      </c>
      <c r="D22" s="155">
        <v>500</v>
      </c>
      <c r="E22" s="155">
        <v>0</v>
      </c>
      <c r="F22" s="155">
        <v>500</v>
      </c>
      <c r="G22" s="155">
        <v>0</v>
      </c>
      <c r="H22" s="155">
        <v>500</v>
      </c>
      <c r="I22" s="155">
        <v>500</v>
      </c>
      <c r="J22" s="168">
        <f>SUM(ROUNDUP('Budget-Services'!H240,-2))</f>
        <v>500</v>
      </c>
      <c r="K22" s="164">
        <f t="shared" si="0"/>
        <v>0</v>
      </c>
      <c r="L22" s="1"/>
      <c r="M22" s="1"/>
      <c r="O22" s="142"/>
    </row>
    <row r="23" spans="1:16" x14ac:dyDescent="0.4">
      <c r="A23" s="161" t="s">
        <v>36</v>
      </c>
      <c r="B23" s="153">
        <v>446500</v>
      </c>
      <c r="C23" s="153">
        <v>399678</v>
      </c>
      <c r="D23" s="153">
        <v>783300</v>
      </c>
      <c r="E23" s="153">
        <v>630893</v>
      </c>
      <c r="F23" s="153">
        <v>822700</v>
      </c>
      <c r="G23" s="153">
        <v>802957</v>
      </c>
      <c r="H23" s="153">
        <v>840700</v>
      </c>
      <c r="I23" s="153">
        <v>857700</v>
      </c>
      <c r="J23" s="162">
        <f>SUM(ROUNDUP('Budget-Services'!H259,-2))</f>
        <v>924600</v>
      </c>
      <c r="K23" s="163">
        <f t="shared" si="0"/>
        <v>7.7999300454704448E-2</v>
      </c>
      <c r="L23" s="1"/>
      <c r="M23" s="1"/>
      <c r="O23" s="142"/>
    </row>
    <row r="24" spans="1:16" x14ac:dyDescent="0.4">
      <c r="A24" s="167" t="s">
        <v>37</v>
      </c>
      <c r="B24" s="155">
        <v>237900</v>
      </c>
      <c r="C24" s="155">
        <v>189905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68">
        <v>0</v>
      </c>
      <c r="K24" s="164"/>
      <c r="L24" s="1"/>
      <c r="M24" s="1"/>
      <c r="O24" s="142"/>
    </row>
    <row r="25" spans="1:16" x14ac:dyDescent="0.4">
      <c r="A25" s="349" t="s">
        <v>38</v>
      </c>
      <c r="B25" s="353">
        <v>310000</v>
      </c>
      <c r="C25" s="353">
        <v>319353</v>
      </c>
      <c r="D25" s="353">
        <v>262350</v>
      </c>
      <c r="E25" s="353">
        <v>241812</v>
      </c>
      <c r="F25" s="353">
        <v>274000</v>
      </c>
      <c r="G25" s="353">
        <v>223432</v>
      </c>
      <c r="H25" s="353">
        <v>270800</v>
      </c>
      <c r="I25" s="353">
        <v>277600</v>
      </c>
      <c r="J25" s="354">
        <f>SUM(ROUNDUP('Budget-Services'!H306,-2))</f>
        <v>394700</v>
      </c>
      <c r="K25" s="352">
        <f t="shared" si="0"/>
        <v>0.42182997118155618</v>
      </c>
      <c r="L25" s="1"/>
      <c r="M25" s="1"/>
      <c r="O25" s="142"/>
    </row>
    <row r="26" spans="1:16" x14ac:dyDescent="0.4">
      <c r="A26" s="3" t="s">
        <v>39</v>
      </c>
      <c r="B26" s="5">
        <v>31300</v>
      </c>
      <c r="C26" s="5">
        <v>4110</v>
      </c>
      <c r="D26" s="5">
        <v>65700</v>
      </c>
      <c r="E26" s="5">
        <v>24540</v>
      </c>
      <c r="F26" s="5">
        <f>63700-1900</f>
        <v>61800</v>
      </c>
      <c r="G26" s="5">
        <v>81161</v>
      </c>
      <c r="H26" s="5">
        <v>96400</v>
      </c>
      <c r="I26" s="5">
        <v>123900</v>
      </c>
      <c r="J26" s="4">
        <f>SUM(ROUNDUP('Budget-Services'!H327,-2))</f>
        <v>157800</v>
      </c>
      <c r="K26" s="164">
        <f t="shared" si="0"/>
        <v>0.27360774818401939</v>
      </c>
      <c r="L26" s="1"/>
      <c r="M26" s="1"/>
      <c r="O26" s="142"/>
    </row>
    <row r="27" spans="1:16" x14ac:dyDescent="0.4">
      <c r="A27" s="165" t="s">
        <v>40</v>
      </c>
      <c r="B27" s="154">
        <v>17400</v>
      </c>
      <c r="C27" s="154">
        <v>13820</v>
      </c>
      <c r="D27" s="154">
        <v>16300</v>
      </c>
      <c r="E27" s="154">
        <v>16298</v>
      </c>
      <c r="F27" s="154">
        <v>15200</v>
      </c>
      <c r="G27" s="154">
        <v>16586</v>
      </c>
      <c r="H27" s="154">
        <v>17500</v>
      </c>
      <c r="I27" s="154">
        <v>17800</v>
      </c>
      <c r="J27" s="166">
        <f>SUM(ROUNDUP('Budget-Services'!H335,-2))</f>
        <v>19800</v>
      </c>
      <c r="K27" s="163">
        <f t="shared" si="0"/>
        <v>0.11235955056179775</v>
      </c>
      <c r="L27" s="1"/>
      <c r="M27" s="973" t="s">
        <v>71</v>
      </c>
      <c r="N27" s="971"/>
      <c r="O27" s="142"/>
    </row>
    <row r="28" spans="1:16" x14ac:dyDescent="0.4">
      <c r="A28" s="3" t="s">
        <v>41</v>
      </c>
      <c r="B28" s="5">
        <v>425600</v>
      </c>
      <c r="C28" s="5">
        <v>425517</v>
      </c>
      <c r="D28" s="5">
        <v>425600</v>
      </c>
      <c r="E28" s="5">
        <f>356665+68852</f>
        <v>425517</v>
      </c>
      <c r="F28" s="5">
        <v>425600</v>
      </c>
      <c r="G28" s="5">
        <f>369169+56348</f>
        <v>425517</v>
      </c>
      <c r="H28" s="5">
        <v>425600</v>
      </c>
      <c r="I28" s="5">
        <v>425600</v>
      </c>
      <c r="J28" s="4">
        <f>SUM(ROUNDUP('Budget-Services'!H339,-2))</f>
        <v>0</v>
      </c>
      <c r="K28" s="164">
        <f t="shared" si="0"/>
        <v>-1</v>
      </c>
      <c r="L28" s="1"/>
      <c r="M28" s="4">
        <f>SUM(I28)</f>
        <v>425600</v>
      </c>
      <c r="N28" s="5">
        <f>SUM(J28)</f>
        <v>0</v>
      </c>
      <c r="O28" s="141">
        <f>N28/N35</f>
        <v>0</v>
      </c>
    </row>
    <row r="29" spans="1:16" x14ac:dyDescent="0.4">
      <c r="A29" s="165" t="s">
        <v>42</v>
      </c>
      <c r="B29" s="154">
        <v>50000</v>
      </c>
      <c r="C29" s="154">
        <v>110591</v>
      </c>
      <c r="D29" s="154">
        <v>66500</v>
      </c>
      <c r="E29" s="154">
        <v>41191</v>
      </c>
      <c r="F29" s="154">
        <v>55000</v>
      </c>
      <c r="G29" s="154">
        <v>105866</v>
      </c>
      <c r="H29" s="154">
        <v>80000</v>
      </c>
      <c r="I29" s="154">
        <v>61200</v>
      </c>
      <c r="J29" s="166">
        <f>SUM(ROUNDUP('Budget-Services'!H345,-2))</f>
        <v>65000</v>
      </c>
      <c r="K29" s="163">
        <f t="shared" si="0"/>
        <v>6.2091503267973858E-2</v>
      </c>
      <c r="L29" s="1"/>
      <c r="M29" s="1"/>
      <c r="O29" s="142"/>
    </row>
    <row r="30" spans="1:16" x14ac:dyDescent="0.4">
      <c r="A30" s="3" t="s">
        <v>43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4">
        <f>SUM(ROUNDUP('Budget-Services'!H349,-2))</f>
        <v>0</v>
      </c>
      <c r="K30" s="164"/>
      <c r="L30" s="1"/>
      <c r="M30" s="970" t="s">
        <v>72</v>
      </c>
      <c r="N30" s="971"/>
      <c r="O30" s="142"/>
    </row>
    <row r="31" spans="1:16" x14ac:dyDescent="0.4">
      <c r="A31" s="165" t="s">
        <v>44</v>
      </c>
      <c r="B31" s="156">
        <v>5000</v>
      </c>
      <c r="C31" s="156">
        <v>0</v>
      </c>
      <c r="D31" s="156">
        <v>5000</v>
      </c>
      <c r="E31" s="156">
        <v>0</v>
      </c>
      <c r="F31" s="156">
        <v>5000</v>
      </c>
      <c r="G31" s="156">
        <v>0</v>
      </c>
      <c r="H31" s="156">
        <v>5000</v>
      </c>
      <c r="I31" s="156">
        <v>5000</v>
      </c>
      <c r="J31" s="169">
        <v>5000</v>
      </c>
      <c r="K31" s="163">
        <f t="shared" si="0"/>
        <v>0</v>
      </c>
      <c r="L31" s="1"/>
      <c r="M31" s="4">
        <f>SUM(I29:I31)</f>
        <v>66200</v>
      </c>
      <c r="N31" s="5">
        <f>SUM(J29:J31)</f>
        <v>70000</v>
      </c>
      <c r="O31" s="141">
        <f>N31/N35</f>
        <v>7.2794584082944225E-3</v>
      </c>
    </row>
    <row r="32" spans="1:16" ht="15" thickBot="1" x14ac:dyDescent="0.45">
      <c r="A32" s="21" t="s">
        <v>45</v>
      </c>
      <c r="B32" s="23">
        <f t="shared" ref="B32:F32" si="2">SUM(B3:B31)</f>
        <v>7682900</v>
      </c>
      <c r="C32" s="23">
        <f t="shared" si="2"/>
        <v>7542932</v>
      </c>
      <c r="D32" s="23">
        <f t="shared" si="2"/>
        <v>8237100</v>
      </c>
      <c r="E32" s="23">
        <f>SUM(E3:E31)</f>
        <v>7792733</v>
      </c>
      <c r="F32" s="23">
        <f t="shared" si="2"/>
        <v>8432100</v>
      </c>
      <c r="G32" s="23">
        <f>SUM(G3:G31)</f>
        <v>8192270</v>
      </c>
      <c r="H32" s="23">
        <f>SUM(H3:H31)</f>
        <v>8560500</v>
      </c>
      <c r="I32" s="23">
        <f>SUM(I3:I31)</f>
        <v>9283700</v>
      </c>
      <c r="J32" s="22">
        <f>SUM(J3:J31)</f>
        <v>9373700</v>
      </c>
      <c r="K32" s="170">
        <f>(J32-I32)/I32</f>
        <v>9.6944106336913083E-3</v>
      </c>
      <c r="L32" s="1"/>
      <c r="M32" s="160">
        <f>SUM(M31+M28+M17+M11+M5)</f>
        <v>9283700</v>
      </c>
      <c r="N32" s="123">
        <f>SUM(N31+N28+N17+N11+N5)</f>
        <v>9373700</v>
      </c>
      <c r="O32" s="142"/>
      <c r="P32" s="341">
        <f>N32-M32</f>
        <v>90000</v>
      </c>
    </row>
    <row r="33" spans="1:16" ht="15" thickTop="1" x14ac:dyDescent="0.4">
      <c r="A33" s="165"/>
      <c r="B33" s="157"/>
      <c r="C33" s="157"/>
      <c r="D33" s="157"/>
      <c r="E33" s="157"/>
      <c r="F33" s="157"/>
      <c r="G33" s="157"/>
      <c r="H33" s="157"/>
      <c r="I33" s="157"/>
      <c r="J33" s="157"/>
      <c r="K33" s="171"/>
      <c r="L33" s="1"/>
      <c r="M33" s="3"/>
      <c r="O33" s="142"/>
    </row>
    <row r="34" spans="1:16" x14ac:dyDescent="0.4">
      <c r="A34" s="3" t="s">
        <v>46</v>
      </c>
      <c r="B34" s="263">
        <v>166300</v>
      </c>
      <c r="C34" s="263">
        <v>172982</v>
      </c>
      <c r="D34" s="263">
        <v>185900</v>
      </c>
      <c r="E34" s="263">
        <v>152449</v>
      </c>
      <c r="F34" s="263">
        <v>187100</v>
      </c>
      <c r="G34" s="263">
        <v>127911</v>
      </c>
      <c r="H34" s="263">
        <v>195300</v>
      </c>
      <c r="I34" s="263">
        <v>227800</v>
      </c>
      <c r="J34" s="264">
        <f>SUM(ROUNDUP('ARB Budget'!F39,-2))</f>
        <v>242400</v>
      </c>
      <c r="K34" s="164">
        <f>(J34-I34)/I34</f>
        <v>6.4091308165057065E-2</v>
      </c>
      <c r="L34" s="1"/>
      <c r="M34" s="4">
        <f>SUM(I34)</f>
        <v>227800</v>
      </c>
      <c r="N34" s="265">
        <f>SUM(J34)</f>
        <v>242400</v>
      </c>
      <c r="O34" s="266">
        <f>N34/N35</f>
        <v>2.5207724545293832E-2</v>
      </c>
    </row>
    <row r="35" spans="1:16" ht="15" thickBot="1" x14ac:dyDescent="0.45">
      <c r="A35" s="172" t="s">
        <v>47</v>
      </c>
      <c r="B35" s="158">
        <f t="shared" ref="B35:J35" si="3">SUM(B32:B34)</f>
        <v>7849200</v>
      </c>
      <c r="C35" s="158">
        <f t="shared" si="3"/>
        <v>7715914</v>
      </c>
      <c r="D35" s="158">
        <f t="shared" si="3"/>
        <v>8423000</v>
      </c>
      <c r="E35" s="158">
        <f>SUM(E32:E34)</f>
        <v>7945182</v>
      </c>
      <c r="F35" s="158">
        <f t="shared" si="3"/>
        <v>8619200</v>
      </c>
      <c r="G35" s="158">
        <f>SUM(G32:G34)</f>
        <v>8320181</v>
      </c>
      <c r="H35" s="158">
        <f>SUM(H32:H34)</f>
        <v>8755800</v>
      </c>
      <c r="I35" s="158">
        <f>SUM(I32:I34)</f>
        <v>9511500</v>
      </c>
      <c r="J35" s="173">
        <f t="shared" si="3"/>
        <v>9616100</v>
      </c>
      <c r="K35" s="174">
        <f>(J35-I35)/I35</f>
        <v>1.0997213898964412E-2</v>
      </c>
      <c r="L35" s="1"/>
      <c r="M35" s="123">
        <f>SUM(M32:M34)</f>
        <v>9511500</v>
      </c>
      <c r="N35" s="139">
        <f>SUM(N32:N34)</f>
        <v>9616100</v>
      </c>
      <c r="O35" s="142">
        <f>SUM(O5:O34)</f>
        <v>1</v>
      </c>
      <c r="P35" s="5">
        <f>N35-M35</f>
        <v>104600</v>
      </c>
    </row>
    <row r="36" spans="1:16" ht="15" thickTop="1" x14ac:dyDescent="0.4">
      <c r="A36" s="175" t="s">
        <v>48</v>
      </c>
      <c r="B36" s="159"/>
      <c r="C36" s="159"/>
      <c r="D36" s="159"/>
      <c r="E36" s="159"/>
      <c r="F36" s="159"/>
      <c r="G36" s="159"/>
      <c r="H36" s="159"/>
      <c r="I36" s="159"/>
      <c r="J36" s="168"/>
      <c r="K36" s="164"/>
    </row>
    <row r="37" spans="1:16" ht="15" thickBot="1" x14ac:dyDescent="0.45">
      <c r="A37" s="267" t="s">
        <v>49</v>
      </c>
      <c r="B37" s="279"/>
      <c r="C37" s="279"/>
      <c r="D37" s="373">
        <v>-247604</v>
      </c>
      <c r="E37" s="373"/>
      <c r="F37" s="373">
        <v>-200000</v>
      </c>
      <c r="G37" s="373"/>
      <c r="H37" s="373"/>
      <c r="I37" s="373">
        <v>-158000</v>
      </c>
      <c r="J37" s="374">
        <f>-(322053+50000)</f>
        <v>-372053</v>
      </c>
      <c r="K37" s="375"/>
      <c r="L37" s="1"/>
      <c r="M37" s="1"/>
    </row>
    <row r="38" spans="1:16" ht="15.45" thickTop="1" thickBot="1" x14ac:dyDescent="0.45">
      <c r="A38" s="29" t="s">
        <v>50</v>
      </c>
      <c r="B38" s="30">
        <f>SUM(B35)</f>
        <v>7849200</v>
      </c>
      <c r="C38" s="30"/>
      <c r="D38" s="30">
        <f t="shared" ref="D38:J38" si="4">SUM(D35:D37)</f>
        <v>8175396</v>
      </c>
      <c r="E38" s="30"/>
      <c r="F38" s="30">
        <f t="shared" si="4"/>
        <v>8419200</v>
      </c>
      <c r="G38" s="30"/>
      <c r="H38" s="30">
        <f>SUM(H35:H37)</f>
        <v>8755800</v>
      </c>
      <c r="I38" s="30">
        <f>SUM(I35:I37)</f>
        <v>9353500</v>
      </c>
      <c r="J38" s="31">
        <f t="shared" si="4"/>
        <v>9244047</v>
      </c>
      <c r="K38" s="177">
        <f>(J38-I38)/I38</f>
        <v>-1.1701822847062596E-2</v>
      </c>
      <c r="O38" s="5"/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"/>
      <c r="M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M40" s="1"/>
    </row>
    <row r="41" spans="1:16" x14ac:dyDescent="0.4">
      <c r="A41" s="26"/>
      <c r="B41" s="32"/>
      <c r="C41" s="32"/>
      <c r="D41" s="32"/>
      <c r="E41" s="32"/>
      <c r="F41" s="32"/>
      <c r="G41" s="32"/>
      <c r="H41" s="32"/>
      <c r="I41" s="32"/>
      <c r="J41" s="32"/>
      <c r="K41" s="26"/>
      <c r="L41" s="1"/>
      <c r="M41" s="1"/>
    </row>
    <row r="42" spans="1:16" x14ac:dyDescent="0.4">
      <c r="J42" s="3"/>
      <c r="K42" s="3"/>
      <c r="L42" s="1"/>
      <c r="M42" s="1"/>
    </row>
    <row r="43" spans="1:16" x14ac:dyDescent="0.4">
      <c r="J43" s="3"/>
      <c r="K43" s="3"/>
      <c r="L43" s="1"/>
      <c r="M43" s="1"/>
    </row>
    <row r="44" spans="1:16" x14ac:dyDescent="0.4">
      <c r="J44" s="3"/>
      <c r="K44" s="3"/>
      <c r="L44" s="1"/>
      <c r="M44" s="1"/>
    </row>
    <row r="45" spans="1:16" x14ac:dyDescent="0.4">
      <c r="L45" s="1"/>
      <c r="M45" s="1"/>
    </row>
    <row r="46" spans="1:16" x14ac:dyDescent="0.4">
      <c r="L46" s="1"/>
      <c r="M46" s="1"/>
    </row>
    <row r="47" spans="1:16" x14ac:dyDescent="0.4">
      <c r="L47" s="1"/>
      <c r="M47" s="1"/>
    </row>
    <row r="48" spans="1:16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L91" s="1"/>
      <c r="M91" s="1"/>
    </row>
    <row r="92" spans="1:13" x14ac:dyDescent="0.4">
      <c r="A92" s="2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1"/>
      <c r="M92" s="1"/>
    </row>
  </sheetData>
  <mergeCells count="6">
    <mergeCell ref="M30:N30"/>
    <mergeCell ref="A1:K1"/>
    <mergeCell ref="M4:N4"/>
    <mergeCell ref="M10:N10"/>
    <mergeCell ref="M16:N16"/>
    <mergeCell ref="M27:N27"/>
  </mergeCells>
  <conditionalFormatting sqref="K3:K38">
    <cfRule type="cellIs" dxfId="143" priority="1" stopIfTrue="1" operator="lessThan">
      <formula>0</formula>
    </cfRule>
    <cfRule type="cellIs" dxfId="142" priority="2" stopIfTrue="1" operator="greaterThan">
      <formula>0</formula>
    </cfRule>
    <cfRule type="cellIs" dxfId="141" priority="3" stopIfTrue="1" operator="equal">
      <formula>0</formula>
    </cfRule>
  </conditionalFormatting>
  <printOptions horizontalCentered="1"/>
  <pageMargins left="0.25" right="0.25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2BEA-CB5D-4DCF-8EF0-E91196F0054C}">
  <dimension ref="A1:N1002"/>
  <sheetViews>
    <sheetView topLeftCell="A16" zoomScaleNormal="100" workbookViewId="0">
      <selection activeCell="B25" sqref="B25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3.15234375" customWidth="1"/>
    <col min="6" max="6" width="7.3828125" hidden="1" customWidth="1"/>
    <col min="7" max="7" width="11.3828125" hidden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26.15" x14ac:dyDescent="0.7">
      <c r="A1" s="968" t="s">
        <v>160</v>
      </c>
      <c r="B1" s="968"/>
      <c r="C1" s="968"/>
      <c r="D1" s="968"/>
      <c r="E1" s="968"/>
      <c r="F1" s="968"/>
      <c r="G1" s="968"/>
      <c r="H1" s="968"/>
    </row>
    <row r="2" spans="1:14" ht="45" customHeight="1" x14ac:dyDescent="0.4">
      <c r="A2" s="306" t="s">
        <v>76</v>
      </c>
      <c r="B2" s="306" t="s">
        <v>77</v>
      </c>
      <c r="C2" s="306"/>
      <c r="D2" s="309"/>
      <c r="E2" s="307" t="s">
        <v>78</v>
      </c>
      <c r="F2" s="307" t="s">
        <v>79</v>
      </c>
      <c r="G2" s="307" t="s">
        <v>80</v>
      </c>
      <c r="H2" s="307" t="s">
        <v>81</v>
      </c>
      <c r="I2" s="2"/>
    </row>
    <row r="3" spans="1:14" ht="19.5" customHeight="1" x14ac:dyDescent="0.5">
      <c r="A3" s="974" t="s">
        <v>9</v>
      </c>
      <c r="B3" s="974"/>
      <c r="C3" s="974"/>
      <c r="D3" s="974"/>
      <c r="E3" s="974"/>
      <c r="F3" s="974"/>
      <c r="G3" s="974"/>
      <c r="H3" s="974"/>
      <c r="I3" s="7"/>
    </row>
    <row r="4" spans="1:14" x14ac:dyDescent="0.4">
      <c r="A4" s="270"/>
      <c r="B4" s="8" t="s">
        <v>82</v>
      </c>
      <c r="C4" s="9"/>
      <c r="D4" s="8"/>
      <c r="E4" s="10">
        <f>(H5*2)+(H4)</f>
        <v>4541680</v>
      </c>
      <c r="F4" s="271"/>
      <c r="G4" s="271"/>
      <c r="H4" s="11">
        <v>4367000</v>
      </c>
      <c r="I4" s="12" t="s">
        <v>83</v>
      </c>
      <c r="J4" s="61"/>
    </row>
    <row r="5" spans="1:14" x14ac:dyDescent="0.4">
      <c r="A5" s="272" t="s">
        <v>84</v>
      </c>
      <c r="B5" s="273" t="s">
        <v>161</v>
      </c>
      <c r="C5" s="274"/>
      <c r="D5" s="275"/>
      <c r="E5" s="107">
        <f>(E4*2%)*50%</f>
        <v>45416.800000000003</v>
      </c>
      <c r="F5" s="276"/>
      <c r="G5" s="276"/>
      <c r="H5" s="277">
        <v>87340</v>
      </c>
      <c r="I5" s="2"/>
      <c r="M5" s="124">
        <v>3797336</v>
      </c>
      <c r="N5" t="s">
        <v>86</v>
      </c>
    </row>
    <row r="6" spans="1:14" x14ac:dyDescent="0.4">
      <c r="A6" s="13"/>
      <c r="B6" s="14" t="s">
        <v>87</v>
      </c>
      <c r="C6" s="9"/>
      <c r="D6" s="14"/>
      <c r="E6" s="10">
        <v>17000</v>
      </c>
      <c r="F6" s="15"/>
      <c r="G6" s="15"/>
      <c r="H6" s="16">
        <v>17000</v>
      </c>
      <c r="I6" s="2"/>
      <c r="M6" s="125">
        <v>0.03</v>
      </c>
      <c r="N6" t="s">
        <v>88</v>
      </c>
    </row>
    <row r="7" spans="1:14" x14ac:dyDescent="0.4">
      <c r="A7" s="181"/>
      <c r="B7" s="182" t="s">
        <v>89</v>
      </c>
      <c r="C7" s="180"/>
      <c r="D7" s="182"/>
      <c r="E7" s="107">
        <v>27500</v>
      </c>
      <c r="F7" s="183"/>
      <c r="G7" s="183"/>
      <c r="H7" s="184">
        <v>28750</v>
      </c>
      <c r="I7" s="12"/>
      <c r="M7" s="124">
        <f>M5*M6</f>
        <v>113920.08</v>
      </c>
      <c r="N7" t="s">
        <v>90</v>
      </c>
    </row>
    <row r="8" spans="1:14" x14ac:dyDescent="0.4">
      <c r="A8" s="144" t="s">
        <v>91</v>
      </c>
      <c r="B8" s="8" t="s">
        <v>92</v>
      </c>
      <c r="C8" s="9"/>
      <c r="D8" s="8"/>
      <c r="E8" s="10">
        <v>120000</v>
      </c>
      <c r="F8" s="11"/>
      <c r="G8" s="11"/>
      <c r="H8" s="11">
        <v>120000</v>
      </c>
      <c r="I8" s="2"/>
      <c r="M8" s="124">
        <f>M7*0.25</f>
        <v>28480.02</v>
      </c>
      <c r="N8" t="s">
        <v>93</v>
      </c>
    </row>
    <row r="9" spans="1:14" x14ac:dyDescent="0.4">
      <c r="A9" s="185" t="s">
        <v>94</v>
      </c>
      <c r="B9" s="186" t="s">
        <v>95</v>
      </c>
      <c r="C9" s="187"/>
      <c r="D9" s="186"/>
      <c r="E9" s="107">
        <v>30000</v>
      </c>
      <c r="F9" s="183"/>
      <c r="G9" s="183"/>
      <c r="H9" s="184">
        <v>30000</v>
      </c>
      <c r="I9" s="2"/>
      <c r="M9" s="124">
        <f>M5+M7</f>
        <v>3911256.08</v>
      </c>
      <c r="N9" t="s">
        <v>96</v>
      </c>
    </row>
    <row r="10" spans="1:14" ht="15" thickBot="1" x14ac:dyDescent="0.45">
      <c r="A10" s="17"/>
      <c r="B10" s="18" t="s">
        <v>97</v>
      </c>
      <c r="C10" s="19"/>
      <c r="D10" s="110">
        <f>SUM(Summary!F3)</f>
        <v>2.8278961742758221E-2</v>
      </c>
      <c r="E10" s="108">
        <f>(SUM(E4:E9))</f>
        <v>4781596.8</v>
      </c>
      <c r="F10" s="188"/>
      <c r="G10" s="188"/>
      <c r="H10" s="189">
        <f>SUM(H4:H9)</f>
        <v>4650090</v>
      </c>
      <c r="I10" s="345" t="s">
        <v>162</v>
      </c>
      <c r="M10" s="124"/>
    </row>
    <row r="11" spans="1:14" ht="13.5" customHeight="1" thickTop="1" x14ac:dyDescent="0.4">
      <c r="A11" s="24"/>
      <c r="B11" s="24"/>
      <c r="C11" s="25"/>
      <c r="D11" s="26"/>
      <c r="E11" s="27"/>
      <c r="F11" s="27"/>
      <c r="G11" s="27"/>
      <c r="H11" s="27"/>
      <c r="I11" s="2"/>
      <c r="M11" s="124">
        <v>4239580</v>
      </c>
      <c r="N11" t="s">
        <v>98</v>
      </c>
    </row>
    <row r="12" spans="1:14" ht="19.5" customHeight="1" x14ac:dyDescent="0.5">
      <c r="A12" s="976" t="s">
        <v>10</v>
      </c>
      <c r="B12" s="976"/>
      <c r="C12" s="976"/>
      <c r="D12" s="976"/>
      <c r="E12" s="976"/>
      <c r="F12" s="976"/>
      <c r="G12" s="976"/>
      <c r="H12" s="976"/>
      <c r="I12" s="7"/>
      <c r="M12" s="124">
        <f>M11-M9</f>
        <v>328323.91999999993</v>
      </c>
      <c r="N12" t="s">
        <v>99</v>
      </c>
    </row>
    <row r="13" spans="1:14" x14ac:dyDescent="0.4">
      <c r="A13" s="13"/>
      <c r="B13" s="28" t="s">
        <v>100</v>
      </c>
      <c r="C13" s="190"/>
      <c r="D13" s="3"/>
      <c r="E13" s="3"/>
      <c r="F13" s="3"/>
      <c r="G13" s="3"/>
      <c r="H13" s="3"/>
      <c r="I13" s="2"/>
      <c r="M13" s="124">
        <v>140000</v>
      </c>
      <c r="N13" t="s">
        <v>101</v>
      </c>
    </row>
    <row r="14" spans="1:14" x14ac:dyDescent="0.4">
      <c r="A14" s="278"/>
      <c r="B14" s="273" t="s">
        <v>102</v>
      </c>
      <c r="C14" s="274"/>
      <c r="D14" s="275"/>
      <c r="E14" s="279">
        <f>((600*12)*34)*0.95</f>
        <v>232560</v>
      </c>
      <c r="F14" s="280"/>
      <c r="G14" s="280"/>
      <c r="H14" s="280">
        <v>232560</v>
      </c>
      <c r="I14" s="2"/>
      <c r="M14" s="124">
        <f>M11-M13</f>
        <v>4099580</v>
      </c>
      <c r="N14" t="s">
        <v>103</v>
      </c>
    </row>
    <row r="15" spans="1:14" x14ac:dyDescent="0.4">
      <c r="A15" s="13"/>
      <c r="B15" s="14" t="s">
        <v>104</v>
      </c>
      <c r="C15" s="9"/>
      <c r="D15" s="8"/>
      <c r="E15" s="191">
        <f>600*12</f>
        <v>7200</v>
      </c>
      <c r="F15" s="11"/>
      <c r="G15" s="11"/>
      <c r="H15" s="11">
        <v>7200</v>
      </c>
      <c r="I15" s="2"/>
      <c r="M15" s="124"/>
    </row>
    <row r="16" spans="1:14" x14ac:dyDescent="0.4">
      <c r="A16" s="178"/>
      <c r="B16" s="192" t="s">
        <v>105</v>
      </c>
      <c r="C16" s="180"/>
      <c r="D16" s="180"/>
      <c r="E16" s="109">
        <v>1000</v>
      </c>
      <c r="F16" s="193"/>
      <c r="G16" s="193"/>
      <c r="H16" s="194">
        <v>1000</v>
      </c>
      <c r="I16" s="2"/>
    </row>
    <row r="17" spans="1:14" x14ac:dyDescent="0.4">
      <c r="A17" s="24"/>
      <c r="B17" s="36" t="s">
        <v>106</v>
      </c>
      <c r="C17" s="38"/>
      <c r="E17" s="195">
        <f>SUM(E14:E16)</f>
        <v>240760</v>
      </c>
      <c r="F17" s="39"/>
      <c r="G17" s="39"/>
      <c r="H17" s="41">
        <f>SUM(H14:H16)</f>
        <v>240760</v>
      </c>
      <c r="I17" s="2"/>
    </row>
    <row r="18" spans="1:14" x14ac:dyDescent="0.4">
      <c r="A18" s="13"/>
      <c r="C18" s="451"/>
      <c r="E18" s="3"/>
      <c r="H18" s="3"/>
      <c r="I18" s="2"/>
      <c r="N18" s="52">
        <f>H4*1.03</f>
        <v>4498010</v>
      </c>
    </row>
    <row r="19" spans="1:14" x14ac:dyDescent="0.4">
      <c r="A19" s="13"/>
      <c r="B19" s="196" t="s">
        <v>107</v>
      </c>
      <c r="C19" s="197"/>
      <c r="D19" s="8"/>
      <c r="H19" s="3"/>
      <c r="I19" s="2"/>
    </row>
    <row r="20" spans="1:14" x14ac:dyDescent="0.4">
      <c r="A20" s="178"/>
      <c r="B20" s="182" t="s">
        <v>108</v>
      </c>
      <c r="C20" s="180"/>
      <c r="D20" s="198"/>
      <c r="E20" s="176">
        <f>(1*110)*12</f>
        <v>1320</v>
      </c>
      <c r="F20" s="199"/>
      <c r="G20" s="199"/>
      <c r="H20" s="199">
        <v>1320</v>
      </c>
      <c r="I20" s="2" t="s">
        <v>109</v>
      </c>
    </row>
    <row r="21" spans="1:14" x14ac:dyDescent="0.4">
      <c r="A21" s="43"/>
      <c r="B21" s="8" t="s">
        <v>110</v>
      </c>
      <c r="C21" s="9"/>
      <c r="E21" s="191">
        <f>(90*5)*12</f>
        <v>5400</v>
      </c>
      <c r="F21" s="11"/>
      <c r="G21" s="11"/>
      <c r="H21" s="11">
        <v>5400</v>
      </c>
      <c r="I21" s="2" t="s">
        <v>111</v>
      </c>
    </row>
    <row r="22" spans="1:14" x14ac:dyDescent="0.4">
      <c r="A22" s="200"/>
      <c r="B22" s="182" t="s">
        <v>112</v>
      </c>
      <c r="C22" s="180"/>
      <c r="D22" s="198"/>
      <c r="E22" s="109">
        <f>(70*11)*12</f>
        <v>9240</v>
      </c>
      <c r="F22" s="201"/>
      <c r="G22" s="201"/>
      <c r="H22" s="201">
        <v>9240</v>
      </c>
      <c r="I22" s="2" t="s">
        <v>113</v>
      </c>
    </row>
    <row r="23" spans="1:14" x14ac:dyDescent="0.4">
      <c r="A23" s="24"/>
      <c r="B23" s="36" t="s">
        <v>106</v>
      </c>
      <c r="C23" s="38"/>
      <c r="E23" s="195">
        <f>SUM(E20:E22)</f>
        <v>15960</v>
      </c>
      <c r="F23" s="41"/>
      <c r="G23" s="41"/>
      <c r="H23" s="41">
        <f>SUM(H20:H22)</f>
        <v>15960</v>
      </c>
      <c r="I23" s="2"/>
    </row>
    <row r="24" spans="1:14" x14ac:dyDescent="0.4">
      <c r="A24" s="24"/>
      <c r="B24" s="36"/>
      <c r="C24" s="38"/>
      <c r="E24" s="41"/>
      <c r="F24" s="41"/>
      <c r="G24" s="41"/>
      <c r="H24" s="41"/>
      <c r="I24" s="2"/>
    </row>
    <row r="25" spans="1:14" x14ac:dyDescent="0.4">
      <c r="A25" s="24"/>
      <c r="B25" s="44" t="s">
        <v>114</v>
      </c>
      <c r="C25" s="45"/>
      <c r="E25" s="41"/>
      <c r="F25" s="41"/>
      <c r="G25" s="41"/>
      <c r="H25" s="41"/>
      <c r="I25" s="2"/>
    </row>
    <row r="26" spans="1:14" x14ac:dyDescent="0.4">
      <c r="A26" s="202"/>
      <c r="B26" s="203" t="s">
        <v>115</v>
      </c>
      <c r="C26" s="204"/>
      <c r="D26" s="154">
        <v>1000</v>
      </c>
      <c r="E26" s="176">
        <f t="shared" ref="E26:E31" si="0">C26*D26</f>
        <v>0</v>
      </c>
      <c r="F26" s="205"/>
      <c r="G26" s="205"/>
      <c r="H26" s="199">
        <v>0</v>
      </c>
      <c r="I26" s="2"/>
    </row>
    <row r="27" spans="1:14" x14ac:dyDescent="0.4">
      <c r="A27" s="46"/>
      <c r="B27" s="14" t="s">
        <v>116</v>
      </c>
      <c r="C27" s="47">
        <v>1</v>
      </c>
      <c r="D27" s="5">
        <v>1000</v>
      </c>
      <c r="E27" s="191">
        <f t="shared" si="0"/>
        <v>1000</v>
      </c>
      <c r="F27" s="41"/>
      <c r="G27" s="41"/>
      <c r="H27" s="11">
        <v>1000</v>
      </c>
      <c r="I27" s="2" t="s">
        <v>117</v>
      </c>
    </row>
    <row r="28" spans="1:14" x14ac:dyDescent="0.4">
      <c r="A28" s="202"/>
      <c r="B28" s="203" t="s">
        <v>118</v>
      </c>
      <c r="C28" s="204"/>
      <c r="D28" s="154">
        <v>1000</v>
      </c>
      <c r="E28" s="176">
        <f t="shared" si="0"/>
        <v>0</v>
      </c>
      <c r="F28" s="205"/>
      <c r="G28" s="205"/>
      <c r="H28" s="199">
        <v>0</v>
      </c>
      <c r="I28" s="2"/>
    </row>
    <row r="29" spans="1:14" x14ac:dyDescent="0.4">
      <c r="A29" s="46"/>
      <c r="B29" s="14" t="s">
        <v>119</v>
      </c>
      <c r="C29" s="47">
        <v>1</v>
      </c>
      <c r="D29" s="5">
        <v>1500</v>
      </c>
      <c r="E29" s="191">
        <f t="shared" si="0"/>
        <v>1500</v>
      </c>
      <c r="F29" s="41"/>
      <c r="G29" s="41"/>
      <c r="H29" s="11">
        <v>0</v>
      </c>
      <c r="I29" s="2" t="s">
        <v>120</v>
      </c>
    </row>
    <row r="30" spans="1:14" x14ac:dyDescent="0.4">
      <c r="A30" s="202"/>
      <c r="B30" s="203" t="s">
        <v>121</v>
      </c>
      <c r="C30" s="204">
        <v>4</v>
      </c>
      <c r="D30" s="154">
        <v>2000</v>
      </c>
      <c r="E30" s="176">
        <f t="shared" si="0"/>
        <v>8000</v>
      </c>
      <c r="F30" s="205"/>
      <c r="G30" s="205"/>
      <c r="H30" s="199">
        <v>8000</v>
      </c>
      <c r="I30" s="2" t="s">
        <v>122</v>
      </c>
    </row>
    <row r="31" spans="1:14" x14ac:dyDescent="0.4">
      <c r="A31" s="310"/>
      <c r="B31" s="311" t="s">
        <v>123</v>
      </c>
      <c r="C31" s="312">
        <v>1</v>
      </c>
      <c r="D31" s="155">
        <v>2000</v>
      </c>
      <c r="E31" s="313">
        <f t="shared" si="0"/>
        <v>2000</v>
      </c>
      <c r="F31" s="314"/>
      <c r="G31" s="314"/>
      <c r="H31" s="315">
        <v>0</v>
      </c>
      <c r="I31" s="2" t="s">
        <v>163</v>
      </c>
    </row>
    <row r="32" spans="1:14" x14ac:dyDescent="0.4">
      <c r="A32" s="24"/>
      <c r="B32" s="14"/>
      <c r="C32" s="9"/>
      <c r="E32" s="195">
        <f>SUM(E26:E31)</f>
        <v>12500</v>
      </c>
      <c r="F32" s="41"/>
      <c r="G32" s="41"/>
      <c r="H32" s="41">
        <f>SUM(H26:H31)</f>
        <v>9000</v>
      </c>
      <c r="I32" s="2"/>
    </row>
    <row r="33" spans="1:9" x14ac:dyDescent="0.4">
      <c r="A33" s="24"/>
      <c r="B33" s="14"/>
      <c r="C33" s="9"/>
      <c r="E33" s="11"/>
      <c r="F33" s="41"/>
      <c r="G33" s="41"/>
      <c r="H33" s="11"/>
      <c r="I33" s="2"/>
    </row>
    <row r="34" spans="1:9" ht="15" thickBot="1" x14ac:dyDescent="0.45">
      <c r="A34" s="24"/>
      <c r="B34" s="18" t="s">
        <v>97</v>
      </c>
      <c r="C34" s="19"/>
      <c r="D34" s="110">
        <f>SUM(Summary!F4)</f>
        <v>1.3167795334838224E-2</v>
      </c>
      <c r="E34" s="108">
        <f>SUM(E17+E23+E32)</f>
        <v>269220</v>
      </c>
      <c r="F34" s="188"/>
      <c r="G34" s="188"/>
      <c r="H34" s="189">
        <f>SUM(H17+H23+H32)</f>
        <v>265720</v>
      </c>
      <c r="I34" s="2"/>
    </row>
    <row r="35" spans="1:9" ht="15" thickTop="1" x14ac:dyDescent="0.4">
      <c r="A35" s="13"/>
      <c r="B35" s="13"/>
      <c r="C35" s="51"/>
      <c r="D35" s="13"/>
      <c r="E35" s="13"/>
      <c r="F35" s="13"/>
      <c r="G35" s="13"/>
      <c r="H35" s="26"/>
      <c r="I35" s="2"/>
    </row>
    <row r="36" spans="1:9" ht="19.5" customHeight="1" x14ac:dyDescent="0.5">
      <c r="A36" s="976" t="s">
        <v>125</v>
      </c>
      <c r="B36" s="976"/>
      <c r="C36" s="976"/>
      <c r="D36" s="976"/>
      <c r="E36" s="976"/>
      <c r="F36" s="976"/>
      <c r="G36" s="976"/>
      <c r="H36" s="976"/>
      <c r="I36" s="7"/>
    </row>
    <row r="37" spans="1:9" x14ac:dyDescent="0.4">
      <c r="A37" s="144" t="s">
        <v>127</v>
      </c>
      <c r="B37" s="14" t="s">
        <v>128</v>
      </c>
      <c r="C37" s="9"/>
      <c r="D37" s="304"/>
      <c r="E37" s="191">
        <f>ROUND((36.51*73*8)+((36.51*105%)*73*4),0)</f>
        <v>32516</v>
      </c>
      <c r="F37" s="379"/>
      <c r="G37" s="379"/>
      <c r="H37" s="4">
        <v>29224</v>
      </c>
      <c r="I37" s="2"/>
    </row>
    <row r="38" spans="1:9" x14ac:dyDescent="0.4">
      <c r="A38" s="380" t="s">
        <v>127</v>
      </c>
      <c r="B38" s="381" t="s">
        <v>129</v>
      </c>
      <c r="C38" s="382"/>
      <c r="D38" s="383"/>
      <c r="E38" s="384">
        <f>((621.8-10)*73*8)+(((621.8-10)*115%)*73*4)</f>
        <v>562733.6399999999</v>
      </c>
      <c r="F38" s="385"/>
      <c r="G38" s="385"/>
      <c r="H38" s="386">
        <v>588602</v>
      </c>
      <c r="I38" s="2"/>
    </row>
    <row r="39" spans="1:9" x14ac:dyDescent="0.4">
      <c r="A39" s="144"/>
      <c r="B39" s="14" t="s">
        <v>130</v>
      </c>
      <c r="C39" s="9"/>
      <c r="D39" s="304"/>
      <c r="E39" s="191">
        <f>(140*20*12)</f>
        <v>33600</v>
      </c>
      <c r="F39" s="11"/>
      <c r="G39" s="11"/>
      <c r="H39" s="11">
        <v>32232</v>
      </c>
      <c r="I39" s="2"/>
    </row>
    <row r="40" spans="1:9" x14ac:dyDescent="0.4">
      <c r="A40" s="380" t="s">
        <v>127</v>
      </c>
      <c r="B40" s="381" t="s">
        <v>131</v>
      </c>
      <c r="C40" s="382"/>
      <c r="D40" s="383"/>
      <c r="E40" s="384">
        <f>((7.28*73)*8)+((7.28*105%)*73*4)</f>
        <v>6483.5680000000011</v>
      </c>
      <c r="F40" s="386"/>
      <c r="G40" s="386"/>
      <c r="H40" s="386">
        <v>5590</v>
      </c>
      <c r="I40" s="2"/>
    </row>
    <row r="41" spans="1:9" x14ac:dyDescent="0.4">
      <c r="A41" s="144" t="s">
        <v>132</v>
      </c>
      <c r="B41" s="14" t="s">
        <v>133</v>
      </c>
      <c r="C41" s="9"/>
      <c r="D41" s="304"/>
      <c r="E41" s="191">
        <f>((((4*73)*12)+2370))</f>
        <v>5874</v>
      </c>
      <c r="F41" s="11"/>
      <c r="G41" s="11"/>
      <c r="H41" s="11">
        <v>5821</v>
      </c>
    </row>
    <row r="42" spans="1:9" x14ac:dyDescent="0.4">
      <c r="A42" s="380" t="s">
        <v>132</v>
      </c>
      <c r="B42" s="387" t="s">
        <v>134</v>
      </c>
      <c r="C42" s="388"/>
      <c r="D42" s="389"/>
      <c r="E42" s="384">
        <f>(((E4+E5)*0.331%))</f>
        <v>15183.290407999999</v>
      </c>
      <c r="F42" s="386"/>
      <c r="G42" s="386"/>
      <c r="H42" s="386">
        <v>14031</v>
      </c>
      <c r="I42" s="2"/>
    </row>
    <row r="43" spans="1:9" ht="15" thickBot="1" x14ac:dyDescent="0.45">
      <c r="A43" s="206"/>
      <c r="B43" s="18" t="s">
        <v>97</v>
      </c>
      <c r="C43" s="19"/>
      <c r="D43" s="110">
        <f>SUM(Summary!F5)</f>
        <v>-2.8419182948490232E-2</v>
      </c>
      <c r="E43" s="108">
        <f>SUM(E37:E42)</f>
        <v>656390.49840799987</v>
      </c>
      <c r="F43" s="188"/>
      <c r="G43" s="188"/>
      <c r="H43" s="207">
        <f>SUM(H37:H42)</f>
        <v>675500</v>
      </c>
      <c r="I43" s="58"/>
    </row>
    <row r="44" spans="1:9" ht="19.75" thickTop="1" x14ac:dyDescent="0.5">
      <c r="A44" s="208"/>
      <c r="B44" s="209"/>
      <c r="C44" s="210"/>
      <c r="D44" s="305"/>
      <c r="E44" s="209"/>
      <c r="F44" s="209"/>
      <c r="G44" s="209"/>
      <c r="H44" s="209"/>
      <c r="I44" s="2"/>
    </row>
    <row r="45" spans="1:9" ht="20.25" customHeight="1" x14ac:dyDescent="0.5">
      <c r="A45" s="976" t="s">
        <v>12</v>
      </c>
      <c r="B45" s="976"/>
      <c r="C45" s="976"/>
      <c r="D45" s="976"/>
      <c r="E45" s="976"/>
      <c r="F45" s="976"/>
      <c r="G45" s="976"/>
      <c r="H45" s="976"/>
      <c r="I45" s="211"/>
    </row>
    <row r="46" spans="1:9" x14ac:dyDescent="0.4">
      <c r="A46" s="128" t="s">
        <v>135</v>
      </c>
      <c r="B46" s="14" t="s">
        <v>136</v>
      </c>
      <c r="C46" s="9"/>
      <c r="D46" s="9"/>
      <c r="E46" s="191">
        <f>SUM(E4:E7)*0.97</f>
        <v>4492648.8959999997</v>
      </c>
      <c r="F46" s="271"/>
      <c r="G46" s="271"/>
      <c r="H46" s="61">
        <v>4365087</v>
      </c>
      <c r="I46" s="7"/>
    </row>
    <row r="47" spans="1:9" x14ac:dyDescent="0.4">
      <c r="A47" s="281"/>
      <c r="B47" s="275" t="s">
        <v>137</v>
      </c>
      <c r="C47" s="274"/>
      <c r="D47" s="282"/>
      <c r="E47" s="283">
        <f>SUM(E14+E15+E32)</f>
        <v>252260</v>
      </c>
      <c r="F47" s="284"/>
      <c r="G47" s="284"/>
      <c r="H47" s="284">
        <v>248760</v>
      </c>
      <c r="I47" s="2"/>
    </row>
    <row r="48" spans="1:9" x14ac:dyDescent="0.4">
      <c r="A48" s="127"/>
      <c r="B48" s="14"/>
      <c r="C48" s="9"/>
      <c r="D48" s="3"/>
      <c r="E48" s="191">
        <f>SUM(E46:E47)</f>
        <v>4744908.8959999997</v>
      </c>
      <c r="F48" s="39"/>
      <c r="G48" s="39"/>
      <c r="H48" s="41">
        <f>SUM(H46:H47)</f>
        <v>4613847</v>
      </c>
      <c r="I48" s="2"/>
    </row>
    <row r="49" spans="1:9" x14ac:dyDescent="0.4">
      <c r="A49" s="128"/>
      <c r="B49" s="8"/>
      <c r="C49" s="9"/>
      <c r="D49" s="9"/>
      <c r="E49" s="11"/>
      <c r="F49" s="11"/>
      <c r="G49" s="11"/>
      <c r="H49" s="11"/>
      <c r="I49" s="2"/>
    </row>
    <row r="50" spans="1:9" x14ac:dyDescent="0.4">
      <c r="A50" s="212" t="s">
        <v>138</v>
      </c>
      <c r="B50" s="213" t="s">
        <v>139</v>
      </c>
      <c r="C50" s="214"/>
      <c r="D50" s="215"/>
      <c r="E50" s="109">
        <f>E48*0.12%</f>
        <v>5693.8906751999994</v>
      </c>
      <c r="F50" s="216"/>
      <c r="G50" s="216"/>
      <c r="H50" s="217">
        <v>5537</v>
      </c>
      <c r="I50" s="2"/>
    </row>
    <row r="51" spans="1:9" ht="15" thickBot="1" x14ac:dyDescent="0.45">
      <c r="A51" s="128"/>
      <c r="B51" s="18"/>
      <c r="C51" s="19"/>
      <c r="E51" s="191">
        <f>SUM(E50)</f>
        <v>5693.8906751999994</v>
      </c>
      <c r="F51" s="218"/>
      <c r="G51" s="218"/>
      <c r="H51" s="115">
        <f>SUM(H50)</f>
        <v>5537</v>
      </c>
      <c r="I51" s="2"/>
    </row>
    <row r="52" spans="1:9" ht="15" thickTop="1" x14ac:dyDescent="0.4">
      <c r="A52" s="128"/>
      <c r="B52" s="13"/>
      <c r="C52" s="51"/>
      <c r="D52" s="13"/>
      <c r="E52" s="13"/>
      <c r="F52" s="13"/>
      <c r="G52" s="13"/>
      <c r="H52" s="27"/>
      <c r="I52" s="2"/>
    </row>
    <row r="53" spans="1:9" x14ac:dyDescent="0.4">
      <c r="A53" s="128" t="s">
        <v>140</v>
      </c>
      <c r="B53" s="219" t="s">
        <v>141</v>
      </c>
      <c r="C53" s="62"/>
      <c r="D53" s="13"/>
      <c r="E53" s="191">
        <f>E48*16.75%</f>
        <v>794772.24008000002</v>
      </c>
      <c r="F53" s="64"/>
      <c r="G53" s="64"/>
      <c r="H53" s="27">
        <v>825417</v>
      </c>
      <c r="I53" s="7"/>
    </row>
    <row r="54" spans="1:9" x14ac:dyDescent="0.4">
      <c r="A54" s="285" t="s">
        <v>138</v>
      </c>
      <c r="B54" s="213" t="s">
        <v>142</v>
      </c>
      <c r="C54" s="214"/>
      <c r="D54" s="178"/>
      <c r="E54" s="109">
        <f>E48*0.13%</f>
        <v>6168.3815647999991</v>
      </c>
      <c r="F54" s="220"/>
      <c r="G54" s="220"/>
      <c r="H54" s="221">
        <v>5537</v>
      </c>
      <c r="I54" s="346" t="s">
        <v>164</v>
      </c>
    </row>
    <row r="55" spans="1:9" x14ac:dyDescent="0.4">
      <c r="A55" s="129"/>
      <c r="B55" s="18"/>
      <c r="C55" s="70"/>
      <c r="D55" s="110">
        <f>(E55-H55)/H55</f>
        <v>-3.611918151329669E-2</v>
      </c>
      <c r="E55" s="191">
        <f>SUM(E53:E54)</f>
        <v>800940.62164480006</v>
      </c>
      <c r="F55" s="64"/>
      <c r="G55" s="64"/>
      <c r="H55" s="116">
        <f>SUM(H53:H54)</f>
        <v>830954</v>
      </c>
      <c r="I55" s="7"/>
    </row>
    <row r="56" spans="1:9" x14ac:dyDescent="0.4">
      <c r="A56" s="127"/>
      <c r="B56" s="64"/>
      <c r="C56" s="70"/>
      <c r="D56" s="20"/>
      <c r="E56" s="74"/>
      <c r="F56" s="64"/>
      <c r="G56" s="64"/>
      <c r="H56" s="27"/>
      <c r="I56" s="7"/>
    </row>
    <row r="57" spans="1:9" x14ac:dyDescent="0.4">
      <c r="A57" s="212" t="s">
        <v>143</v>
      </c>
      <c r="B57" s="343" t="s">
        <v>144</v>
      </c>
      <c r="C57" s="222"/>
      <c r="D57" s="215"/>
      <c r="E57" s="176">
        <f>E48*19.13%</f>
        <v>907701.07180479995</v>
      </c>
      <c r="F57" s="220"/>
      <c r="G57" s="220"/>
      <c r="H57" s="221">
        <v>882168</v>
      </c>
      <c r="I57" s="7"/>
    </row>
    <row r="58" spans="1:9" x14ac:dyDescent="0.4">
      <c r="A58" s="128" t="s">
        <v>145</v>
      </c>
      <c r="B58" s="344" t="s">
        <v>146</v>
      </c>
      <c r="C58" s="70"/>
      <c r="D58" s="20"/>
      <c r="E58" s="74"/>
      <c r="F58" s="64"/>
      <c r="G58" s="64"/>
      <c r="H58" s="27"/>
      <c r="I58" s="7"/>
    </row>
    <row r="59" spans="1:9" ht="15" thickBot="1" x14ac:dyDescent="0.45">
      <c r="A59" s="127"/>
      <c r="B59" s="18" t="s">
        <v>97</v>
      </c>
      <c r="C59" s="70"/>
      <c r="D59" s="110">
        <f>SUM(Summary!$F$6)</f>
        <v>2.9018363182951711E-2</v>
      </c>
      <c r="E59" s="108">
        <f>SUM(E57:E58)</f>
        <v>907701.07180479995</v>
      </c>
      <c r="F59" s="78"/>
      <c r="G59" s="78"/>
      <c r="H59" s="223">
        <f>SUM(H57:H58)</f>
        <v>882168</v>
      </c>
      <c r="I59" s="7"/>
    </row>
    <row r="60" spans="1:9" ht="15" thickTop="1" x14ac:dyDescent="0.4">
      <c r="A60" s="13"/>
      <c r="B60" s="64"/>
      <c r="C60" s="70"/>
      <c r="D60" s="13"/>
      <c r="E60" s="64"/>
      <c r="F60" s="64"/>
      <c r="G60" s="64"/>
      <c r="H60" s="26"/>
      <c r="I60" s="7"/>
    </row>
    <row r="61" spans="1:9" ht="19.5" customHeight="1" x14ac:dyDescent="0.5">
      <c r="A61" s="974" t="s">
        <v>147</v>
      </c>
      <c r="B61" s="975"/>
      <c r="C61" s="975"/>
      <c r="D61" s="975"/>
      <c r="E61" s="975"/>
      <c r="F61" s="975"/>
      <c r="G61" s="975"/>
      <c r="H61" s="975"/>
      <c r="I61" s="7"/>
    </row>
    <row r="62" spans="1:9" x14ac:dyDescent="0.4">
      <c r="A62" s="13"/>
      <c r="B62" t="s">
        <v>148</v>
      </c>
      <c r="C62" s="451"/>
      <c r="E62" s="191">
        <f>(2003*4)*110%</f>
        <v>8813.2000000000007</v>
      </c>
      <c r="F62" s="79"/>
      <c r="G62" s="79"/>
      <c r="H62" s="61">
        <v>8813.2000000000007</v>
      </c>
      <c r="I62" s="2"/>
    </row>
    <row r="63" spans="1:9" ht="15" thickBot="1" x14ac:dyDescent="0.45">
      <c r="A63" s="224"/>
      <c r="B63" s="225" t="s">
        <v>97</v>
      </c>
      <c r="C63" s="226"/>
      <c r="D63" s="111">
        <f>SUM(Summary!$H$7)</f>
        <v>0</v>
      </c>
      <c r="E63" s="114">
        <f>SUM(E62)</f>
        <v>8813.2000000000007</v>
      </c>
      <c r="F63" s="80"/>
      <c r="G63" s="80"/>
      <c r="H63" s="117">
        <f>SUM(H62)</f>
        <v>8813.2000000000007</v>
      </c>
      <c r="I63" s="2"/>
    </row>
    <row r="64" spans="1:9" ht="15" thickTop="1" x14ac:dyDescent="0.4">
      <c r="A64" s="13"/>
      <c r="B64" s="13"/>
      <c r="C64" s="51"/>
      <c r="D64" s="13"/>
      <c r="E64" s="13"/>
      <c r="F64" s="13"/>
      <c r="G64" s="13"/>
      <c r="H64" s="26"/>
      <c r="I64" s="2"/>
    </row>
    <row r="65" spans="1:9" ht="19.5" customHeight="1" x14ac:dyDescent="0.5">
      <c r="A65" s="974" t="s">
        <v>149</v>
      </c>
      <c r="B65" s="975"/>
      <c r="C65" s="975"/>
      <c r="D65" s="975"/>
      <c r="E65" s="975"/>
      <c r="F65" s="975"/>
      <c r="G65" s="975"/>
      <c r="H65" s="975"/>
      <c r="I65" s="7"/>
    </row>
    <row r="66" spans="1:9" x14ac:dyDescent="0.4">
      <c r="A66" s="13"/>
      <c r="B66" s="227" t="s">
        <v>150</v>
      </c>
      <c r="C66" s="197"/>
      <c r="D66" s="8"/>
      <c r="E66" s="8"/>
      <c r="F66" s="8"/>
      <c r="G66" s="8"/>
      <c r="H66" s="8"/>
      <c r="I66" s="2"/>
    </row>
    <row r="67" spans="1:9" x14ac:dyDescent="0.4">
      <c r="A67" s="13"/>
      <c r="B67" s="14" t="s">
        <v>151</v>
      </c>
      <c r="C67" s="9"/>
      <c r="D67" s="14"/>
      <c r="E67" s="191">
        <f>SUM(E4+E5+E6+E7+E8+E14+E15+E32)</f>
        <v>5003856.8</v>
      </c>
      <c r="F67" s="81"/>
      <c r="G67" s="81"/>
      <c r="H67" s="61">
        <f>SUM(H4+H5+H6+H7+H8+H14+H15+H32)</f>
        <v>4868850</v>
      </c>
      <c r="I67" s="2"/>
    </row>
    <row r="68" spans="1:9" x14ac:dyDescent="0.4">
      <c r="A68" s="178"/>
      <c r="B68" s="179" t="s">
        <v>152</v>
      </c>
      <c r="C68" s="180"/>
      <c r="D68" s="180"/>
      <c r="E68" s="228">
        <v>1.4500000000000001E-2</v>
      </c>
      <c r="F68" s="229"/>
      <c r="G68" s="229"/>
      <c r="H68" s="228">
        <v>1.4500000000000001E-2</v>
      </c>
      <c r="I68" s="2"/>
    </row>
    <row r="69" spans="1:9" x14ac:dyDescent="0.4">
      <c r="A69" s="13"/>
      <c r="B69" s="36" t="s">
        <v>153</v>
      </c>
      <c r="C69" s="38"/>
      <c r="D69" s="8"/>
      <c r="E69" s="191">
        <f>(E67*E68)</f>
        <v>72555.923599999995</v>
      </c>
      <c r="F69" s="81"/>
      <c r="G69" s="81"/>
      <c r="H69" s="11">
        <f>H67*H68</f>
        <v>70598.324999999997</v>
      </c>
      <c r="I69" s="2"/>
    </row>
    <row r="70" spans="1:9" x14ac:dyDescent="0.4">
      <c r="A70" s="13"/>
      <c r="B70" s="227"/>
      <c r="C70" s="197"/>
      <c r="D70" s="8"/>
      <c r="E70" s="76"/>
      <c r="F70" s="76"/>
      <c r="G70" s="76"/>
      <c r="H70" s="76"/>
      <c r="I70" s="2"/>
    </row>
    <row r="71" spans="1:9" x14ac:dyDescent="0.4">
      <c r="A71" s="13"/>
      <c r="B71" s="227"/>
      <c r="C71" s="197"/>
      <c r="D71" s="8"/>
      <c r="E71" s="76"/>
      <c r="F71" s="76"/>
      <c r="G71" s="76"/>
      <c r="H71" s="76"/>
      <c r="I71" s="2"/>
    </row>
    <row r="72" spans="1:9" x14ac:dyDescent="0.4">
      <c r="A72" s="13"/>
      <c r="B72" s="227" t="s">
        <v>154</v>
      </c>
      <c r="C72" s="197"/>
      <c r="D72" s="8"/>
      <c r="E72" s="8"/>
      <c r="F72" s="8"/>
      <c r="G72" s="8"/>
      <c r="H72" s="8"/>
      <c r="I72" s="2"/>
    </row>
    <row r="73" spans="1:9" x14ac:dyDescent="0.4">
      <c r="A73" s="128" t="s">
        <v>155</v>
      </c>
      <c r="B73" s="14" t="s">
        <v>156</v>
      </c>
      <c r="C73" s="9"/>
      <c r="D73" s="14"/>
      <c r="E73" s="230">
        <v>5000</v>
      </c>
      <c r="F73" s="11"/>
      <c r="G73" s="11"/>
      <c r="H73" s="11">
        <v>5000</v>
      </c>
      <c r="I73" s="2"/>
    </row>
    <row r="74" spans="1:9" x14ac:dyDescent="0.4">
      <c r="A74" s="178"/>
      <c r="B74" s="179" t="s">
        <v>157</v>
      </c>
      <c r="C74" s="180"/>
      <c r="D74" s="179"/>
      <c r="E74" s="112">
        <v>6.2E-2</v>
      </c>
      <c r="F74" s="229"/>
      <c r="G74" s="229"/>
      <c r="H74" s="228">
        <v>6.2E-2</v>
      </c>
      <c r="I74" s="2"/>
    </row>
    <row r="75" spans="1:9" x14ac:dyDescent="0.4">
      <c r="A75" s="24"/>
      <c r="B75" s="36" t="s">
        <v>153</v>
      </c>
      <c r="C75" s="38"/>
      <c r="D75" s="8"/>
      <c r="E75" s="191">
        <f>E73*E74</f>
        <v>310</v>
      </c>
      <c r="F75" s="76"/>
      <c r="G75" s="76"/>
      <c r="H75" s="11">
        <f>H73*H74</f>
        <v>310</v>
      </c>
      <c r="I75" s="2"/>
    </row>
    <row r="76" spans="1:9" x14ac:dyDescent="0.4">
      <c r="A76" s="13"/>
      <c r="C76" s="451"/>
      <c r="E76" s="3"/>
      <c r="F76" s="3"/>
      <c r="G76" s="3"/>
      <c r="H76" s="3"/>
      <c r="I76" s="2"/>
    </row>
    <row r="77" spans="1:9" ht="15" thickBot="1" x14ac:dyDescent="0.45">
      <c r="A77" s="13"/>
      <c r="B77" s="18" t="s">
        <v>97</v>
      </c>
      <c r="C77" s="19"/>
      <c r="D77" s="110">
        <f>SUM(Summary!$F$8)</f>
        <v>2.6760563380281689E-2</v>
      </c>
      <c r="E77" s="108">
        <f>SUM(E69+E75)</f>
        <v>72865.923599999995</v>
      </c>
      <c r="F77" s="231"/>
      <c r="G77" s="231"/>
      <c r="H77" s="189">
        <f>SUM(H69+H75)</f>
        <v>70908.324999999997</v>
      </c>
      <c r="I77" s="2"/>
    </row>
    <row r="78" spans="1:9" ht="15.45" thickTop="1" thickBot="1" x14ac:dyDescent="0.45">
      <c r="A78" s="13"/>
      <c r="C78" s="451"/>
      <c r="H78" s="3"/>
      <c r="I78" s="2"/>
    </row>
    <row r="79" spans="1:9" ht="15" thickBot="1" x14ac:dyDescent="0.45">
      <c r="A79" s="13"/>
      <c r="B79" s="63" t="s">
        <v>158</v>
      </c>
      <c r="C79" s="342"/>
      <c r="D79" s="110">
        <f>(E79-H79)/H79</f>
        <v>2.1880604774169456E-2</v>
      </c>
      <c r="E79" s="113">
        <f>SUM(E10+E34+E43+E59+E63+E77)</f>
        <v>6696587.4938128004</v>
      </c>
      <c r="F79" s="84"/>
      <c r="G79" s="84"/>
      <c r="H79" s="85">
        <f>SUM(H10+H34+H43+H59+H63+H77)</f>
        <v>6553199.5250000004</v>
      </c>
      <c r="I79" s="2"/>
    </row>
    <row r="80" spans="1:9" ht="13.5" customHeight="1" x14ac:dyDescent="0.4">
      <c r="A80" s="13"/>
      <c r="B80" s="13"/>
      <c r="C80" s="51"/>
      <c r="D80" s="86"/>
      <c r="E80" s="13"/>
      <c r="F80" s="13"/>
      <c r="G80" s="13"/>
      <c r="H80" s="26"/>
      <c r="I80" s="2"/>
    </row>
    <row r="81" spans="3:9" x14ac:dyDescent="0.4">
      <c r="C81" s="451"/>
      <c r="I81" s="347" t="s">
        <v>165</v>
      </c>
    </row>
    <row r="82" spans="3:9" x14ac:dyDescent="0.4">
      <c r="C82" s="451"/>
      <c r="I82" s="58"/>
    </row>
    <row r="83" spans="3:9" x14ac:dyDescent="0.4">
      <c r="I83" s="58"/>
    </row>
    <row r="84" spans="3:9" x14ac:dyDescent="0.4">
      <c r="I84" s="58"/>
    </row>
    <row r="85" spans="3:9" x14ac:dyDescent="0.4">
      <c r="I85" s="58"/>
    </row>
    <row r="86" spans="3:9" x14ac:dyDescent="0.4">
      <c r="I86" s="58"/>
    </row>
    <row r="87" spans="3:9" x14ac:dyDescent="0.4">
      <c r="I87" s="58"/>
    </row>
    <row r="88" spans="3:9" x14ac:dyDescent="0.4">
      <c r="I88" s="58"/>
    </row>
    <row r="89" spans="3:9" x14ac:dyDescent="0.4">
      <c r="I89" s="58"/>
    </row>
    <row r="90" spans="3:9" x14ac:dyDescent="0.4">
      <c r="I90" s="58"/>
    </row>
    <row r="91" spans="3:9" x14ac:dyDescent="0.4">
      <c r="I91" s="58"/>
    </row>
    <row r="92" spans="3:9" x14ac:dyDescent="0.4">
      <c r="I92" s="58"/>
    </row>
    <row r="93" spans="3:9" x14ac:dyDescent="0.4">
      <c r="I93" s="58"/>
    </row>
    <row r="94" spans="3:9" x14ac:dyDescent="0.4">
      <c r="I94" s="58"/>
    </row>
    <row r="95" spans="3:9" x14ac:dyDescent="0.4">
      <c r="I95" s="58"/>
    </row>
    <row r="96" spans="3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</sheetData>
  <mergeCells count="7">
    <mergeCell ref="A1:H1"/>
    <mergeCell ref="A65:H65"/>
    <mergeCell ref="A3:H3"/>
    <mergeCell ref="A12:H12"/>
    <mergeCell ref="A36:H36"/>
    <mergeCell ref="A45:H45"/>
    <mergeCell ref="A61:H61"/>
  </mergeCells>
  <conditionalFormatting sqref="D10">
    <cfRule type="cellIs" dxfId="140" priority="10" operator="lessThan">
      <formula>0</formula>
    </cfRule>
    <cfRule type="cellIs" dxfId="139" priority="11" operator="greaterThan">
      <formula>0</formula>
    </cfRule>
    <cfRule type="cellIs" dxfId="138" priority="12" operator="equal">
      <formula>0</formula>
    </cfRule>
  </conditionalFormatting>
  <conditionalFormatting sqref="D34">
    <cfRule type="cellIs" dxfId="137" priority="7" operator="lessThan">
      <formula>0</formula>
    </cfRule>
    <cfRule type="cellIs" dxfId="136" priority="8" operator="greaterThan">
      <formula>0</formula>
    </cfRule>
    <cfRule type="cellIs" dxfId="135" priority="9" operator="equal">
      <formula>0</formula>
    </cfRule>
  </conditionalFormatting>
  <conditionalFormatting sqref="D43 D55 D59 D63 D77 D79">
    <cfRule type="cellIs" dxfId="134" priority="4" operator="lessThan">
      <formula>0</formula>
    </cfRule>
    <cfRule type="cellIs" dxfId="133" priority="5" operator="greaterThan">
      <formula>0</formula>
    </cfRule>
    <cfRule type="cellIs" dxfId="132" priority="6" operator="equal">
      <formula>0</formula>
    </cfRule>
  </conditionalFormatting>
  <conditionalFormatting sqref="E4:E11 E13:E35 E37:E44 E46:E1048576">
    <cfRule type="expression" dxfId="131" priority="1">
      <formula>E4&lt;H4</formula>
    </cfRule>
    <cfRule type="expression" dxfId="130" priority="2">
      <formula>E4&gt;H4</formula>
    </cfRule>
    <cfRule type="expression" dxfId="129" priority="3">
      <formula>E4=H4</formula>
    </cfRule>
  </conditionalFormatting>
  <printOptions horizontalCentered="1"/>
  <pageMargins left="0.25" right="0.25" top="0.75" bottom="0.75" header="0.3" footer="0.3"/>
  <pageSetup scale="92" orientation="landscape" r:id="rId1"/>
  <rowBreaks count="2" manualBreakCount="2">
    <brk id="34" max="7" man="1"/>
    <brk id="64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2"/>
  <sheetViews>
    <sheetView tabSelected="1" zoomScaleNormal="100" workbookViewId="0">
      <selection activeCell="E2" sqref="E2"/>
    </sheetView>
  </sheetViews>
  <sheetFormatPr defaultColWidth="14.3828125" defaultRowHeight="14.6" x14ac:dyDescent="0.4"/>
  <cols>
    <col min="1" max="1" width="48" bestFit="1" customWidth="1"/>
    <col min="2" max="2" width="11.69140625" bestFit="1" customWidth="1"/>
    <col min="3" max="3" width="12.3046875" bestFit="1" customWidth="1"/>
    <col min="4" max="4" width="11.69140625" bestFit="1" customWidth="1"/>
    <col min="5" max="5" width="12.3046875" bestFit="1" customWidth="1"/>
    <col min="6" max="6" width="11.69140625" bestFit="1" customWidth="1"/>
    <col min="7" max="7" width="12.3046875" bestFit="1" customWidth="1"/>
    <col min="8" max="8" width="11.69140625" bestFit="1" customWidth="1"/>
    <col min="9" max="9" width="12.3046875" bestFit="1" customWidth="1"/>
    <col min="10" max="10" width="14.3046875" customWidth="1"/>
    <col min="11" max="11" width="13.3828125" bestFit="1" customWidth="1"/>
    <col min="12" max="12" width="9.69140625" bestFit="1" customWidth="1"/>
    <col min="13" max="13" width="11.84375" bestFit="1" customWidth="1"/>
    <col min="14" max="14" width="12.53515625" bestFit="1" customWidth="1"/>
    <col min="15" max="15" width="15" bestFit="1" customWidth="1"/>
    <col min="16" max="17" width="13.3046875" customWidth="1"/>
    <col min="18" max="18" width="4.3828125" customWidth="1"/>
    <col min="19" max="19" width="13.53515625" bestFit="1" customWidth="1"/>
    <col min="20" max="20" width="15" bestFit="1" customWidth="1"/>
    <col min="21" max="25" width="13.3046875" customWidth="1"/>
    <col min="26" max="28" width="15.15234375" customWidth="1"/>
  </cols>
  <sheetData>
    <row r="1" spans="1:21" ht="48" customHeight="1" x14ac:dyDescent="0.7">
      <c r="A1" s="444"/>
      <c r="B1" s="977" t="s">
        <v>632</v>
      </c>
      <c r="C1" s="977"/>
      <c r="D1" s="977"/>
      <c r="E1" s="977"/>
      <c r="F1" s="977"/>
      <c r="G1" s="977"/>
      <c r="H1" s="977"/>
      <c r="I1" s="977"/>
      <c r="J1" s="977"/>
      <c r="K1" s="977"/>
      <c r="L1" s="977"/>
    </row>
    <row r="2" spans="1:21" ht="45" customHeight="1" x14ac:dyDescent="0.4">
      <c r="A2" s="551" t="s">
        <v>1</v>
      </c>
      <c r="B2" s="552" t="s">
        <v>56</v>
      </c>
      <c r="C2" s="552" t="s">
        <v>57</v>
      </c>
      <c r="D2" s="552" t="s">
        <v>58</v>
      </c>
      <c r="E2" s="552" t="s">
        <v>59</v>
      </c>
      <c r="F2" s="552" t="s">
        <v>60</v>
      </c>
      <c r="G2" s="552" t="s">
        <v>166</v>
      </c>
      <c r="H2" s="552" t="s">
        <v>2</v>
      </c>
      <c r="I2" s="552" t="s">
        <v>636</v>
      </c>
      <c r="J2" s="552" t="s">
        <v>167</v>
      </c>
      <c r="K2" s="552" t="s">
        <v>633</v>
      </c>
      <c r="L2" s="553" t="s">
        <v>62</v>
      </c>
      <c r="M2" s="1"/>
      <c r="N2" s="1"/>
      <c r="O2" t="s">
        <v>63</v>
      </c>
    </row>
    <row r="3" spans="1:21" x14ac:dyDescent="0.4">
      <c r="A3" s="921" t="s">
        <v>9</v>
      </c>
      <c r="B3" s="922">
        <v>4225900</v>
      </c>
      <c r="C3" s="922">
        <v>4114339</v>
      </c>
      <c r="D3" s="922">
        <v>4348900</v>
      </c>
      <c r="E3" s="922">
        <v>4237072</v>
      </c>
      <c r="F3" s="922">
        <v>4350500</v>
      </c>
      <c r="G3" s="922">
        <v>4337424</v>
      </c>
      <c r="H3" s="922">
        <v>4650100</v>
      </c>
      <c r="I3" s="922">
        <v>4558805</v>
      </c>
      <c r="J3" s="922">
        <v>4804400</v>
      </c>
      <c r="K3" s="923">
        <f>SUM(ROUNDUP('3% Personnel'!E11,-2))</f>
        <v>5200600</v>
      </c>
      <c r="L3" s="924">
        <f>(K3-J3)/J3</f>
        <v>8.2466072766630594E-2</v>
      </c>
      <c r="M3" s="1"/>
      <c r="N3" s="3">
        <v>2021</v>
      </c>
      <c r="O3">
        <v>2022</v>
      </c>
    </row>
    <row r="4" spans="1:21" x14ac:dyDescent="0.4">
      <c r="A4" s="865" t="s">
        <v>10</v>
      </c>
      <c r="B4" s="867">
        <v>257800</v>
      </c>
      <c r="C4" s="867">
        <v>231208</v>
      </c>
      <c r="D4" s="867">
        <v>255600</v>
      </c>
      <c r="E4" s="867">
        <v>236554</v>
      </c>
      <c r="F4" s="867">
        <v>253000</v>
      </c>
      <c r="G4" s="867">
        <v>252719</v>
      </c>
      <c r="H4" s="867">
        <v>265800</v>
      </c>
      <c r="I4" s="867">
        <v>277637</v>
      </c>
      <c r="J4" s="867">
        <v>269300</v>
      </c>
      <c r="K4" s="867">
        <f>SUM(ROUNDUP('3% Personnel'!E35,-2))</f>
        <v>319100</v>
      </c>
      <c r="L4" s="868">
        <f>(K4-J4)/J4</f>
        <v>0.18492387671741553</v>
      </c>
      <c r="M4" s="1"/>
      <c r="N4" s="973" t="s">
        <v>64</v>
      </c>
      <c r="O4" s="971"/>
    </row>
    <row r="5" spans="1:21" x14ac:dyDescent="0.4">
      <c r="A5" s="869" t="s">
        <v>11</v>
      </c>
      <c r="B5" s="870">
        <v>568800</v>
      </c>
      <c r="C5" s="870">
        <v>541872</v>
      </c>
      <c r="D5" s="870">
        <v>603100</v>
      </c>
      <c r="E5" s="870">
        <v>557116</v>
      </c>
      <c r="F5" s="870">
        <v>626700</v>
      </c>
      <c r="G5" s="870">
        <v>547794</v>
      </c>
      <c r="H5" s="870">
        <v>675600</v>
      </c>
      <c r="I5" s="870">
        <v>571411</v>
      </c>
      <c r="J5" s="870">
        <v>656500</v>
      </c>
      <c r="K5" s="871">
        <f>SUM(ROUNDUP('3% Personnel'!E44,-2))</f>
        <v>729800</v>
      </c>
      <c r="L5" s="861">
        <f>(K5-J5)/J5</f>
        <v>0.11165270373191165</v>
      </c>
      <c r="M5" s="1"/>
      <c r="N5" s="4">
        <f>SUM(J3:J8)</f>
        <v>6724300</v>
      </c>
      <c r="O5" s="5">
        <f>SUM(K3:K8)</f>
        <v>7338700</v>
      </c>
      <c r="P5" s="141">
        <f>O5/O35</f>
        <v>0.71541933534154167</v>
      </c>
    </row>
    <row r="6" spans="1:21" x14ac:dyDescent="0.4">
      <c r="A6" s="865" t="s">
        <v>12</v>
      </c>
      <c r="B6" s="866">
        <v>751300</v>
      </c>
      <c r="C6" s="866">
        <v>678833</v>
      </c>
      <c r="D6" s="866">
        <v>752100</v>
      </c>
      <c r="E6" s="866">
        <v>697225</v>
      </c>
      <c r="F6" s="866">
        <v>717700</v>
      </c>
      <c r="G6" s="866">
        <v>716552</v>
      </c>
      <c r="H6" s="866">
        <v>882200</v>
      </c>
      <c r="I6" s="866">
        <v>926287</v>
      </c>
      <c r="J6" s="866">
        <v>912000</v>
      </c>
      <c r="K6" s="867">
        <f>SUM(ROUNDUP('3% Personnel'!E58,-2))</f>
        <v>1000600</v>
      </c>
      <c r="L6" s="868">
        <f>(K6-J6)/J6</f>
        <v>9.7149122807017541E-2</v>
      </c>
      <c r="M6" s="1"/>
      <c r="N6" s="1"/>
      <c r="P6" s="142"/>
      <c r="S6" s="944" t="s">
        <v>65</v>
      </c>
      <c r="T6" s="945" t="s">
        <v>66</v>
      </c>
      <c r="U6" s="946" t="s">
        <v>67</v>
      </c>
    </row>
    <row r="7" spans="1:21" x14ac:dyDescent="0.4">
      <c r="A7" s="858" t="s">
        <v>13</v>
      </c>
      <c r="B7" s="859">
        <v>8900</v>
      </c>
      <c r="C7" s="859">
        <v>8492</v>
      </c>
      <c r="D7" s="859">
        <v>8900</v>
      </c>
      <c r="E7" s="859">
        <v>8302</v>
      </c>
      <c r="F7" s="859">
        <v>8900</v>
      </c>
      <c r="G7" s="859">
        <v>7602</v>
      </c>
      <c r="H7" s="859">
        <v>8900</v>
      </c>
      <c r="I7" s="859">
        <v>8214</v>
      </c>
      <c r="J7" s="859">
        <v>8900</v>
      </c>
      <c r="K7" s="860">
        <f>SUM(ROUNDUP('3% Personnel'!E64,-2))</f>
        <v>8900</v>
      </c>
      <c r="L7" s="861">
        <f t="shared" ref="L7:L23" si="0">(K7-J7)/J7</f>
        <v>0</v>
      </c>
      <c r="M7" s="1"/>
      <c r="N7" s="1"/>
      <c r="P7" s="142"/>
      <c r="S7" s="289" t="s">
        <v>64</v>
      </c>
      <c r="T7" s="290">
        <f>SUM(O5)</f>
        <v>7338700</v>
      </c>
      <c r="U7" s="291">
        <f t="shared" ref="U7:U12" si="1">T7/$T$13</f>
        <v>0.71541933534154167</v>
      </c>
    </row>
    <row r="8" spans="1:21" x14ac:dyDescent="0.4">
      <c r="A8" s="865" t="s">
        <v>14</v>
      </c>
      <c r="B8" s="866">
        <v>67400</v>
      </c>
      <c r="C8" s="866">
        <v>58060</v>
      </c>
      <c r="D8" s="866">
        <v>67900</v>
      </c>
      <c r="E8" s="866">
        <v>60053</v>
      </c>
      <c r="F8" s="866">
        <v>67400</v>
      </c>
      <c r="G8" s="866">
        <v>59413</v>
      </c>
      <c r="H8" s="866">
        <v>71000</v>
      </c>
      <c r="I8" s="866">
        <v>67271</v>
      </c>
      <c r="J8" s="866">
        <v>73200</v>
      </c>
      <c r="K8" s="867">
        <f>SUM(ROUNDUP('3% Personnel'!E78,-2))</f>
        <v>79700</v>
      </c>
      <c r="L8" s="868">
        <f>(K8-J8)/J8</f>
        <v>8.8797814207650275E-2</v>
      </c>
      <c r="M8" s="6"/>
      <c r="N8" s="1"/>
      <c r="P8" s="142"/>
      <c r="S8" s="292" t="s">
        <v>68</v>
      </c>
      <c r="T8" s="293">
        <f>SUM(O11)</f>
        <v>447300</v>
      </c>
      <c r="U8" s="294">
        <f t="shared" si="1"/>
        <v>4.3605416313280493E-2</v>
      </c>
    </row>
    <row r="9" spans="1:21" x14ac:dyDescent="0.4">
      <c r="A9" s="858" t="s">
        <v>16</v>
      </c>
      <c r="B9" s="859">
        <v>12070</v>
      </c>
      <c r="C9" s="859">
        <v>9363</v>
      </c>
      <c r="D9" s="859">
        <v>15100</v>
      </c>
      <c r="E9" s="859">
        <v>11279</v>
      </c>
      <c r="F9" s="859">
        <v>14100</v>
      </c>
      <c r="G9" s="859">
        <v>10489</v>
      </c>
      <c r="H9" s="859">
        <v>13600</v>
      </c>
      <c r="I9" s="859">
        <v>9810</v>
      </c>
      <c r="J9" s="859">
        <v>12500</v>
      </c>
      <c r="K9" s="860">
        <f>SUM(ROUNDUP('Budget-Services'!H15,-2))</f>
        <v>13900</v>
      </c>
      <c r="L9" s="861">
        <f t="shared" si="0"/>
        <v>0.112</v>
      </c>
      <c r="M9" s="1"/>
      <c r="N9" s="1"/>
      <c r="P9" s="142"/>
      <c r="S9" s="289" t="s">
        <v>69</v>
      </c>
      <c r="T9" s="290">
        <f>SUM(O17)</f>
        <v>2159500</v>
      </c>
      <c r="U9" s="291">
        <f t="shared" si="1"/>
        <v>0.21052067187241053</v>
      </c>
    </row>
    <row r="10" spans="1:21" x14ac:dyDescent="0.4">
      <c r="A10" s="865" t="s">
        <v>18</v>
      </c>
      <c r="B10" s="866">
        <v>109400</v>
      </c>
      <c r="C10" s="866">
        <v>108514</v>
      </c>
      <c r="D10" s="866">
        <v>116900</v>
      </c>
      <c r="E10" s="866">
        <v>108342</v>
      </c>
      <c r="F10" s="866">
        <v>129900</v>
      </c>
      <c r="G10" s="866">
        <v>93217</v>
      </c>
      <c r="H10" s="866">
        <v>210900</v>
      </c>
      <c r="I10" s="866">
        <v>143617</v>
      </c>
      <c r="J10" s="866">
        <v>223300</v>
      </c>
      <c r="K10" s="867">
        <f>SUM(ROUNDUP('Budget-Services'!H38,-2))</f>
        <v>228000</v>
      </c>
      <c r="L10" s="868">
        <f t="shared" si="0"/>
        <v>2.1047917599641738E-2</v>
      </c>
      <c r="M10" s="1"/>
      <c r="N10" s="973" t="s">
        <v>70</v>
      </c>
      <c r="O10" s="971"/>
      <c r="P10" s="142"/>
      <c r="S10" s="292" t="s">
        <v>71</v>
      </c>
      <c r="T10" s="293">
        <f>SUM(O28)</f>
        <v>0</v>
      </c>
      <c r="U10" s="294">
        <f t="shared" si="1"/>
        <v>0</v>
      </c>
    </row>
    <row r="11" spans="1:21" x14ac:dyDescent="0.4">
      <c r="A11" s="862" t="s">
        <v>20</v>
      </c>
      <c r="B11" s="863">
        <v>48400</v>
      </c>
      <c r="C11" s="863">
        <v>53093</v>
      </c>
      <c r="D11" s="863">
        <v>53400</v>
      </c>
      <c r="E11" s="863">
        <v>50379</v>
      </c>
      <c r="F11" s="863">
        <v>58800</v>
      </c>
      <c r="G11" s="863">
        <v>49723</v>
      </c>
      <c r="H11" s="863">
        <v>85000</v>
      </c>
      <c r="I11" s="863">
        <v>67388</v>
      </c>
      <c r="J11" s="863">
        <v>88200</v>
      </c>
      <c r="K11" s="864">
        <f>SUM(ROUNDUP('Budget-Services'!H62,-2))</f>
        <v>97100</v>
      </c>
      <c r="L11" s="861">
        <f t="shared" si="0"/>
        <v>0.10090702947845805</v>
      </c>
      <c r="M11" s="1"/>
      <c r="N11" s="4">
        <f>SUM(J9:J14)</f>
        <v>425100</v>
      </c>
      <c r="O11" s="5">
        <f>SUM(K9:K14)</f>
        <v>447300</v>
      </c>
      <c r="P11" s="141">
        <f>O11/O35</f>
        <v>4.3605416313280493E-2</v>
      </c>
      <c r="S11" s="289" t="s">
        <v>72</v>
      </c>
      <c r="T11" s="290">
        <f>SUM(O31)</f>
        <v>70000</v>
      </c>
      <c r="U11" s="291">
        <f t="shared" si="1"/>
        <v>6.8240088127199524E-3</v>
      </c>
    </row>
    <row r="12" spans="1:21" ht="15" thickBot="1" x14ac:dyDescent="0.45">
      <c r="A12" s="865" t="s">
        <v>22</v>
      </c>
      <c r="B12" s="866">
        <v>5830</v>
      </c>
      <c r="C12" s="866">
        <v>5827</v>
      </c>
      <c r="D12" s="866">
        <v>6000</v>
      </c>
      <c r="E12" s="866">
        <v>6243</v>
      </c>
      <c r="F12" s="866">
        <v>7200</v>
      </c>
      <c r="G12" s="866">
        <v>6938</v>
      </c>
      <c r="H12" s="866">
        <v>7200</v>
      </c>
      <c r="I12" s="866">
        <v>5470</v>
      </c>
      <c r="J12" s="866">
        <v>7200</v>
      </c>
      <c r="K12" s="867">
        <f>SUM(ROUNDUP('Budget-Services'!H66,-2))</f>
        <v>7200</v>
      </c>
      <c r="L12" s="868">
        <f t="shared" si="0"/>
        <v>0</v>
      </c>
      <c r="M12" s="1"/>
      <c r="N12" s="1"/>
      <c r="P12" s="142"/>
      <c r="S12" s="295" t="s">
        <v>73</v>
      </c>
      <c r="T12" s="296">
        <f>SUM(O34)</f>
        <v>242400</v>
      </c>
      <c r="U12" s="297">
        <f t="shared" si="1"/>
        <v>2.3630567660047379E-2</v>
      </c>
    </row>
    <row r="13" spans="1:21" ht="15" thickBot="1" x14ac:dyDescent="0.45">
      <c r="A13" s="869" t="s">
        <v>24</v>
      </c>
      <c r="B13" s="870">
        <v>72300</v>
      </c>
      <c r="C13" s="870">
        <v>68848</v>
      </c>
      <c r="D13" s="870">
        <v>72800</v>
      </c>
      <c r="E13" s="870">
        <v>76288</v>
      </c>
      <c r="F13" s="870">
        <v>78900</v>
      </c>
      <c r="G13" s="870">
        <v>69408</v>
      </c>
      <c r="H13" s="870">
        <v>80800</v>
      </c>
      <c r="I13" s="870">
        <v>70311</v>
      </c>
      <c r="J13" s="870">
        <v>80300</v>
      </c>
      <c r="K13" s="871">
        <f>SUM(ROUNDUP('Budget-Services'!H82,-2))</f>
        <v>87700</v>
      </c>
      <c r="L13" s="861">
        <f t="shared" si="0"/>
        <v>9.2154420921544203E-2</v>
      </c>
      <c r="M13" s="1"/>
      <c r="N13" s="1"/>
      <c r="P13" s="142"/>
      <c r="S13" s="300" t="s">
        <v>74</v>
      </c>
      <c r="T13" s="298">
        <f>SUM(T7:T12)</f>
        <v>10257900</v>
      </c>
      <c r="U13" s="299">
        <f>SUM(U7:U12)</f>
        <v>1</v>
      </c>
    </row>
    <row r="14" spans="1:21" x14ac:dyDescent="0.4">
      <c r="A14" s="865" t="s">
        <v>26</v>
      </c>
      <c r="B14" s="866">
        <v>15210</v>
      </c>
      <c r="C14" s="866">
        <v>12829</v>
      </c>
      <c r="D14" s="866">
        <v>18500</v>
      </c>
      <c r="E14" s="866">
        <v>6455</v>
      </c>
      <c r="F14" s="866">
        <v>14300</v>
      </c>
      <c r="G14" s="866">
        <v>2922</v>
      </c>
      <c r="H14" s="866">
        <v>13500</v>
      </c>
      <c r="I14" s="866">
        <v>13042</v>
      </c>
      <c r="J14" s="866">
        <v>13600</v>
      </c>
      <c r="K14" s="867">
        <f>SUM(ROUNDUP('Budget-Services'!H97,-2))</f>
        <v>13400</v>
      </c>
      <c r="L14" s="868">
        <f t="shared" si="0"/>
        <v>-1.4705882352941176E-2</v>
      </c>
      <c r="M14" s="6"/>
      <c r="N14" s="1"/>
      <c r="P14" s="142"/>
    </row>
    <row r="15" spans="1:21" x14ac:dyDescent="0.4">
      <c r="A15" s="862" t="s">
        <v>28</v>
      </c>
      <c r="B15" s="863">
        <v>102500</v>
      </c>
      <c r="C15" s="863">
        <v>99861</v>
      </c>
      <c r="D15" s="863">
        <v>90100</v>
      </c>
      <c r="E15" s="863">
        <v>97252</v>
      </c>
      <c r="F15" s="863">
        <v>106900</v>
      </c>
      <c r="G15" s="863">
        <v>104363</v>
      </c>
      <c r="H15" s="863">
        <v>111700</v>
      </c>
      <c r="I15" s="863">
        <v>67544</v>
      </c>
      <c r="J15" s="863">
        <v>109200</v>
      </c>
      <c r="K15" s="864">
        <f>SUM(ROUNDUP('Budget-Services'!H135,-2))</f>
        <v>123400</v>
      </c>
      <c r="L15" s="861">
        <f t="shared" si="0"/>
        <v>0.13003663003663005</v>
      </c>
      <c r="M15" s="1"/>
      <c r="N15" s="1"/>
      <c r="P15" s="142"/>
    </row>
    <row r="16" spans="1:21" x14ac:dyDescent="0.4">
      <c r="A16" s="865" t="s">
        <v>29</v>
      </c>
      <c r="B16" s="866">
        <v>47990</v>
      </c>
      <c r="C16" s="866">
        <v>47989</v>
      </c>
      <c r="D16" s="866">
        <v>41400</v>
      </c>
      <c r="E16" s="866">
        <v>25290</v>
      </c>
      <c r="F16" s="866">
        <v>40000</v>
      </c>
      <c r="G16" s="866">
        <v>32522</v>
      </c>
      <c r="H16" s="866">
        <v>40000</v>
      </c>
      <c r="I16" s="866">
        <v>31432</v>
      </c>
      <c r="J16" s="866">
        <v>41100</v>
      </c>
      <c r="K16" s="867">
        <f>SUM(ROUNDUP('Budget-Services'!H144,-2))</f>
        <v>41100</v>
      </c>
      <c r="L16" s="868">
        <f t="shared" si="0"/>
        <v>0</v>
      </c>
      <c r="M16" s="1"/>
      <c r="N16" s="973" t="s">
        <v>69</v>
      </c>
      <c r="O16" s="971"/>
      <c r="P16" s="142"/>
    </row>
    <row r="17" spans="1:17" x14ac:dyDescent="0.4">
      <c r="A17" s="862" t="s">
        <v>30</v>
      </c>
      <c r="B17" s="863">
        <v>157990</v>
      </c>
      <c r="C17" s="863">
        <v>157984</v>
      </c>
      <c r="D17" s="863">
        <v>155000</v>
      </c>
      <c r="E17" s="863">
        <v>156639</v>
      </c>
      <c r="F17" s="863">
        <v>158400</v>
      </c>
      <c r="G17" s="863">
        <v>184080</v>
      </c>
      <c r="H17" s="863">
        <v>167300</v>
      </c>
      <c r="I17" s="863">
        <v>204582</v>
      </c>
      <c r="J17" s="863">
        <v>217400</v>
      </c>
      <c r="K17" s="864">
        <f>SUM(ROUNDUP('Budget-Services'!H155,-2))</f>
        <v>215900</v>
      </c>
      <c r="L17" s="861">
        <f t="shared" si="0"/>
        <v>-6.8997240110395585E-3</v>
      </c>
      <c r="M17" s="1"/>
      <c r="N17" s="4">
        <f>SUM(J15:J27)</f>
        <v>1985800</v>
      </c>
      <c r="O17" s="5">
        <f>SUM(K15:K27)</f>
        <v>2159500</v>
      </c>
      <c r="P17" s="141">
        <f>O17/O35</f>
        <v>0.21052067187241053</v>
      </c>
    </row>
    <row r="18" spans="1:17" x14ac:dyDescent="0.4">
      <c r="A18" s="865" t="s">
        <v>31</v>
      </c>
      <c r="B18" s="866">
        <v>98710</v>
      </c>
      <c r="C18" s="866">
        <v>158880</v>
      </c>
      <c r="D18" s="866">
        <v>106500</v>
      </c>
      <c r="E18" s="866">
        <v>111418</v>
      </c>
      <c r="F18" s="866">
        <v>128000</v>
      </c>
      <c r="G18" s="866">
        <v>19178</v>
      </c>
      <c r="H18" s="866">
        <v>129300</v>
      </c>
      <c r="I18" s="866">
        <v>110054</v>
      </c>
      <c r="J18" s="866">
        <v>148400</v>
      </c>
      <c r="K18" s="867">
        <f>SUM(ROUNDUP('Budget-Services'!H183,-2))</f>
        <v>154200</v>
      </c>
      <c r="L18" s="868">
        <f t="shared" si="0"/>
        <v>3.9083557951482481E-2</v>
      </c>
      <c r="M18" s="1"/>
      <c r="N18" s="1"/>
      <c r="P18" s="142"/>
    </row>
    <row r="19" spans="1:17" x14ac:dyDescent="0.4">
      <c r="A19" s="862" t="s">
        <v>32</v>
      </c>
      <c r="B19" s="863">
        <v>8250</v>
      </c>
      <c r="C19" s="863">
        <v>8250</v>
      </c>
      <c r="D19" s="863">
        <v>8400</v>
      </c>
      <c r="E19" s="863">
        <v>9300</v>
      </c>
      <c r="F19" s="863">
        <v>10100</v>
      </c>
      <c r="G19" s="863">
        <v>10451</v>
      </c>
      <c r="H19" s="863">
        <v>10200</v>
      </c>
      <c r="I19" s="863">
        <v>11100</v>
      </c>
      <c r="J19" s="863">
        <v>11900</v>
      </c>
      <c r="K19" s="864">
        <f>SUM(ROUNDUP('Budget-Services'!H189,-2))</f>
        <v>12000</v>
      </c>
      <c r="L19" s="861">
        <f t="shared" si="0"/>
        <v>8.4033613445378148E-3</v>
      </c>
      <c r="M19" s="1"/>
      <c r="N19" s="6"/>
      <c r="O19" s="5"/>
      <c r="P19" s="142"/>
    </row>
    <row r="20" spans="1:17" x14ac:dyDescent="0.4">
      <c r="A20" s="865" t="s">
        <v>33</v>
      </c>
      <c r="B20" s="866">
        <v>6000</v>
      </c>
      <c r="C20" s="866">
        <v>4703</v>
      </c>
      <c r="D20" s="866">
        <v>6000</v>
      </c>
      <c r="E20" s="866">
        <v>5833</v>
      </c>
      <c r="F20" s="866">
        <v>6000</v>
      </c>
      <c r="G20" s="866">
        <v>2026</v>
      </c>
      <c r="H20" s="866">
        <v>6000</v>
      </c>
      <c r="I20" s="866">
        <v>3934</v>
      </c>
      <c r="J20" s="866">
        <v>6000</v>
      </c>
      <c r="K20" s="867">
        <f>SUM(ROUNDUP('Budget-Services'!H193,-2))</f>
        <v>6000</v>
      </c>
      <c r="L20" s="868">
        <f t="shared" si="0"/>
        <v>0</v>
      </c>
      <c r="M20" s="1"/>
      <c r="N20" s="1"/>
      <c r="P20" s="142"/>
    </row>
    <row r="21" spans="1:17" x14ac:dyDescent="0.4">
      <c r="A21" s="858" t="s">
        <v>34</v>
      </c>
      <c r="B21" s="859">
        <v>47100</v>
      </c>
      <c r="C21" s="859">
        <v>43537</v>
      </c>
      <c r="D21" s="859">
        <v>45700</v>
      </c>
      <c r="E21" s="859">
        <v>75711</v>
      </c>
      <c r="F21" s="859">
        <v>47200</v>
      </c>
      <c r="G21" s="859">
        <v>40593</v>
      </c>
      <c r="H21" s="859">
        <v>85300</v>
      </c>
      <c r="I21" s="859">
        <v>92252</v>
      </c>
      <c r="J21" s="859">
        <v>113300</v>
      </c>
      <c r="K21" s="860">
        <f>SUM(ROUNDUP('Budget-Services'!H236,-2))</f>
        <v>109500</v>
      </c>
      <c r="L21" s="861">
        <f t="shared" si="0"/>
        <v>-3.3539276257722857E-2</v>
      </c>
      <c r="M21" s="1"/>
      <c r="N21" s="1"/>
      <c r="P21" s="142"/>
    </row>
    <row r="22" spans="1:17" x14ac:dyDescent="0.4">
      <c r="A22" s="865" t="s">
        <v>35</v>
      </c>
      <c r="B22" s="866">
        <v>500</v>
      </c>
      <c r="C22" s="866">
        <v>0</v>
      </c>
      <c r="D22" s="866">
        <v>500</v>
      </c>
      <c r="E22" s="866">
        <v>0</v>
      </c>
      <c r="F22" s="866">
        <v>500</v>
      </c>
      <c r="G22" s="866">
        <v>0</v>
      </c>
      <c r="H22" s="866">
        <v>500</v>
      </c>
      <c r="I22" s="866">
        <v>18443</v>
      </c>
      <c r="J22" s="866">
        <v>500</v>
      </c>
      <c r="K22" s="867">
        <f>SUM(ROUNDUP('Budget-Services'!H240,-2))</f>
        <v>500</v>
      </c>
      <c r="L22" s="868">
        <f t="shared" si="0"/>
        <v>0</v>
      </c>
      <c r="M22" s="1"/>
      <c r="N22" s="1"/>
      <c r="P22" s="142"/>
    </row>
    <row r="23" spans="1:17" x14ac:dyDescent="0.4">
      <c r="A23" s="869" t="s">
        <v>36</v>
      </c>
      <c r="B23" s="870">
        <v>783300</v>
      </c>
      <c r="C23" s="870">
        <v>630893</v>
      </c>
      <c r="D23" s="870">
        <v>822700</v>
      </c>
      <c r="E23" s="870">
        <v>802957</v>
      </c>
      <c r="F23" s="870">
        <v>840700</v>
      </c>
      <c r="G23" s="870">
        <v>841497</v>
      </c>
      <c r="H23" s="870">
        <v>857700</v>
      </c>
      <c r="I23" s="870">
        <v>717223</v>
      </c>
      <c r="J23" s="870">
        <v>899100</v>
      </c>
      <c r="K23" s="871">
        <f>SUM(ROUNDUP('Budget-Services'!H259,-2))</f>
        <v>924600</v>
      </c>
      <c r="L23" s="861">
        <f t="shared" si="0"/>
        <v>2.8361695028361694E-2</v>
      </c>
      <c r="M23" s="1"/>
      <c r="N23" s="1"/>
      <c r="P23" s="142"/>
    </row>
    <row r="24" spans="1:17" x14ac:dyDescent="0.4">
      <c r="A24" s="865" t="s">
        <v>37</v>
      </c>
      <c r="B24" s="866">
        <v>0</v>
      </c>
      <c r="C24" s="866">
        <v>0</v>
      </c>
      <c r="D24" s="866">
        <v>0</v>
      </c>
      <c r="E24" s="866">
        <v>0</v>
      </c>
      <c r="F24" s="866">
        <v>0</v>
      </c>
      <c r="G24" s="866">
        <v>0</v>
      </c>
      <c r="H24" s="866">
        <v>0</v>
      </c>
      <c r="I24" s="866">
        <v>0</v>
      </c>
      <c r="J24" s="866">
        <v>0</v>
      </c>
      <c r="K24" s="867">
        <v>0</v>
      </c>
      <c r="L24" s="868"/>
      <c r="M24" s="1"/>
      <c r="N24" s="1"/>
      <c r="P24" s="142"/>
    </row>
    <row r="25" spans="1:17" x14ac:dyDescent="0.4">
      <c r="A25" s="869" t="s">
        <v>38</v>
      </c>
      <c r="B25" s="870">
        <v>262350</v>
      </c>
      <c r="C25" s="870">
        <v>241812</v>
      </c>
      <c r="D25" s="870">
        <v>274000</v>
      </c>
      <c r="E25" s="870">
        <v>223432</v>
      </c>
      <c r="F25" s="870">
        <v>270800</v>
      </c>
      <c r="G25" s="870">
        <v>222027</v>
      </c>
      <c r="H25" s="870">
        <v>277600</v>
      </c>
      <c r="I25" s="870">
        <v>248154</v>
      </c>
      <c r="J25" s="870">
        <v>285800</v>
      </c>
      <c r="K25" s="871">
        <f>SUM(ROUNDUP('Budget-Services'!H306,-2))</f>
        <v>394700</v>
      </c>
      <c r="L25" s="861">
        <f>(K25-J25)/J25</f>
        <v>0.38103568929321202</v>
      </c>
      <c r="M25" s="1"/>
      <c r="N25" s="1"/>
      <c r="P25" s="142"/>
    </row>
    <row r="26" spans="1:17" x14ac:dyDescent="0.4">
      <c r="A26" s="865" t="s">
        <v>39</v>
      </c>
      <c r="B26" s="866">
        <v>65700</v>
      </c>
      <c r="C26" s="866">
        <v>24540</v>
      </c>
      <c r="D26" s="866">
        <f>63700-1900</f>
        <v>61800</v>
      </c>
      <c r="E26" s="866">
        <v>81161</v>
      </c>
      <c r="F26" s="866">
        <v>96400</v>
      </c>
      <c r="G26" s="866">
        <v>104209</v>
      </c>
      <c r="H26" s="866">
        <v>123900</v>
      </c>
      <c r="I26" s="866">
        <v>123797</v>
      </c>
      <c r="J26" s="866">
        <v>135300</v>
      </c>
      <c r="K26" s="867">
        <f>SUM(ROUNDUP('Budget-Services'!H327,-2))</f>
        <v>157800</v>
      </c>
      <c r="L26" s="868">
        <f t="shared" ref="L26:L29" si="2">(K26-J26)/J26</f>
        <v>0.16629711751662971</v>
      </c>
      <c r="M26" s="1"/>
      <c r="N26" s="1"/>
      <c r="P26" s="142"/>
    </row>
    <row r="27" spans="1:17" x14ac:dyDescent="0.4">
      <c r="A27" s="858" t="s">
        <v>40</v>
      </c>
      <c r="B27" s="859">
        <v>16300</v>
      </c>
      <c r="C27" s="859">
        <v>16298</v>
      </c>
      <c r="D27" s="859">
        <v>15200</v>
      </c>
      <c r="E27" s="859">
        <v>16586</v>
      </c>
      <c r="F27" s="859">
        <v>17500</v>
      </c>
      <c r="G27" s="859">
        <v>16574</v>
      </c>
      <c r="H27" s="859">
        <v>17800</v>
      </c>
      <c r="I27" s="859">
        <v>18060</v>
      </c>
      <c r="J27" s="859">
        <v>17800</v>
      </c>
      <c r="K27" s="860">
        <f>SUM(ROUNDUP('Budget-Services'!H335,-2))</f>
        <v>19800</v>
      </c>
      <c r="L27" s="861">
        <f t="shared" si="2"/>
        <v>0.11235955056179775</v>
      </c>
      <c r="M27" s="1"/>
      <c r="N27" s="973" t="s">
        <v>71</v>
      </c>
      <c r="O27" s="971"/>
      <c r="P27" s="142"/>
    </row>
    <row r="28" spans="1:17" x14ac:dyDescent="0.4">
      <c r="A28" s="865" t="s">
        <v>41</v>
      </c>
      <c r="B28" s="866">
        <v>425600</v>
      </c>
      <c r="C28" s="866">
        <f>356665+68852</f>
        <v>425517</v>
      </c>
      <c r="D28" s="866">
        <v>425600</v>
      </c>
      <c r="E28" s="866">
        <f>369169+56348</f>
        <v>425517</v>
      </c>
      <c r="F28" s="866">
        <v>425600</v>
      </c>
      <c r="G28" s="866">
        <f>382105+43412</f>
        <v>425517</v>
      </c>
      <c r="H28" s="866">
        <v>425600</v>
      </c>
      <c r="I28" s="866">
        <f>395502+30015</f>
        <v>425517</v>
      </c>
      <c r="J28" s="866">
        <v>425600</v>
      </c>
      <c r="K28" s="867">
        <f>SUM(ROUNDUP('Budget-Services'!H339,-2))</f>
        <v>0</v>
      </c>
      <c r="L28" s="868">
        <f t="shared" si="2"/>
        <v>-1</v>
      </c>
      <c r="M28" s="1"/>
      <c r="N28" s="4">
        <f>SUM(J28)</f>
        <v>425600</v>
      </c>
      <c r="O28" s="5">
        <f>SUM(K28)</f>
        <v>0</v>
      </c>
      <c r="P28" s="141">
        <f>O28/O35</f>
        <v>0</v>
      </c>
    </row>
    <row r="29" spans="1:17" x14ac:dyDescent="0.4">
      <c r="A29" s="858" t="s">
        <v>42</v>
      </c>
      <c r="B29" s="859">
        <v>66500</v>
      </c>
      <c r="C29" s="859">
        <v>41191</v>
      </c>
      <c r="D29" s="859">
        <v>55000</v>
      </c>
      <c r="E29" s="859">
        <v>105866</v>
      </c>
      <c r="F29" s="859">
        <v>80000</v>
      </c>
      <c r="G29" s="859">
        <v>79007</v>
      </c>
      <c r="H29" s="859">
        <v>61200</v>
      </c>
      <c r="I29" s="859">
        <v>53495</v>
      </c>
      <c r="J29" s="859">
        <v>65000</v>
      </c>
      <c r="K29" s="860">
        <f>SUM(ROUNDUP('Budget-Services'!H345,-2))</f>
        <v>65000</v>
      </c>
      <c r="L29" s="861">
        <f t="shared" si="2"/>
        <v>0</v>
      </c>
      <c r="M29" s="1"/>
      <c r="N29" s="1"/>
      <c r="P29" s="142"/>
    </row>
    <row r="30" spans="1:17" x14ac:dyDescent="0.4">
      <c r="A30" s="865" t="s">
        <v>43</v>
      </c>
      <c r="B30" s="866">
        <v>0</v>
      </c>
      <c r="C30" s="866">
        <v>0</v>
      </c>
      <c r="D30" s="866">
        <v>0</v>
      </c>
      <c r="E30" s="866">
        <v>0</v>
      </c>
      <c r="F30" s="866">
        <v>0</v>
      </c>
      <c r="G30" s="866">
        <v>0</v>
      </c>
      <c r="H30" s="866">
        <v>0</v>
      </c>
      <c r="I30" s="866">
        <v>0</v>
      </c>
      <c r="J30" s="866">
        <v>0</v>
      </c>
      <c r="K30" s="867">
        <f>SUM(ROUNDUP('Budget-Services'!H349,-2))</f>
        <v>0</v>
      </c>
      <c r="L30" s="868"/>
      <c r="M30" s="1"/>
      <c r="N30" s="970" t="s">
        <v>72</v>
      </c>
      <c r="O30" s="971"/>
      <c r="P30" s="142"/>
    </row>
    <row r="31" spans="1:17" x14ac:dyDescent="0.4">
      <c r="A31" s="872" t="s">
        <v>44</v>
      </c>
      <c r="B31" s="873">
        <v>5000</v>
      </c>
      <c r="C31" s="873">
        <v>0</v>
      </c>
      <c r="D31" s="873">
        <v>5000</v>
      </c>
      <c r="E31" s="873">
        <v>0</v>
      </c>
      <c r="F31" s="873">
        <v>5000</v>
      </c>
      <c r="G31" s="873">
        <v>0</v>
      </c>
      <c r="H31" s="873">
        <v>5000</v>
      </c>
      <c r="I31" s="873">
        <v>0</v>
      </c>
      <c r="J31" s="873">
        <v>5000</v>
      </c>
      <c r="K31" s="874">
        <v>5000</v>
      </c>
      <c r="L31" s="875">
        <f>(K31-J31)/J31</f>
        <v>0</v>
      </c>
      <c r="M31" s="1"/>
      <c r="N31" s="4">
        <f>SUM(J29:J31)</f>
        <v>70000</v>
      </c>
      <c r="O31" s="5">
        <f>SUM(K29:K31)</f>
        <v>70000</v>
      </c>
      <c r="P31" s="141">
        <f>O31/O35</f>
        <v>6.8240088127199524E-3</v>
      </c>
    </row>
    <row r="32" spans="1:17" ht="15" thickBot="1" x14ac:dyDescent="0.45">
      <c r="A32" s="558" t="s">
        <v>45</v>
      </c>
      <c r="B32" s="559">
        <f t="shared" ref="B32:D32" si="3">SUM(B3:B31)</f>
        <v>8237100</v>
      </c>
      <c r="C32" s="559">
        <f>SUM(C3:C31)</f>
        <v>7792733</v>
      </c>
      <c r="D32" s="559">
        <f t="shared" si="3"/>
        <v>8432100</v>
      </c>
      <c r="E32" s="559">
        <f t="shared" ref="E32:K32" si="4">SUM(E3:E31)</f>
        <v>8192270</v>
      </c>
      <c r="F32" s="559">
        <f t="shared" si="4"/>
        <v>8560500</v>
      </c>
      <c r="G32" s="559">
        <f t="shared" si="4"/>
        <v>8236245</v>
      </c>
      <c r="H32" s="559">
        <f t="shared" si="4"/>
        <v>9283700</v>
      </c>
      <c r="I32" s="559">
        <f>SUM(I3:I31)</f>
        <v>8844850</v>
      </c>
      <c r="J32" s="559">
        <f t="shared" si="4"/>
        <v>9630800</v>
      </c>
      <c r="K32" s="560">
        <f t="shared" si="4"/>
        <v>10015500</v>
      </c>
      <c r="L32" s="561">
        <f>(K32-J32)/J32</f>
        <v>3.9944760559870417E-2</v>
      </c>
      <c r="M32" s="1"/>
      <c r="N32" s="160">
        <f>SUM(N31+N28+N17+N11+N5)</f>
        <v>9630800</v>
      </c>
      <c r="O32" s="123">
        <f>SUM(O31+O28+O17+O11+O5)</f>
        <v>10015500</v>
      </c>
      <c r="P32" s="142"/>
      <c r="Q32" s="5">
        <f>O32-N32</f>
        <v>384700</v>
      </c>
    </row>
    <row r="33" spans="1:16" ht="15" thickTop="1" x14ac:dyDescent="0.4">
      <c r="A33" s="554"/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3"/>
      <c r="M33" s="1"/>
      <c r="N33" s="3"/>
      <c r="P33" s="142"/>
    </row>
    <row r="34" spans="1:16" x14ac:dyDescent="0.4">
      <c r="A34" s="486" t="s">
        <v>46</v>
      </c>
      <c r="B34" s="919">
        <v>185900</v>
      </c>
      <c r="C34" s="919">
        <v>152449</v>
      </c>
      <c r="D34" s="919">
        <v>187100</v>
      </c>
      <c r="E34" s="919">
        <v>127911</v>
      </c>
      <c r="F34" s="919">
        <v>195300</v>
      </c>
      <c r="G34" s="919">
        <v>161888</v>
      </c>
      <c r="H34" s="919">
        <v>227800</v>
      </c>
      <c r="I34" s="919">
        <v>200915</v>
      </c>
      <c r="J34" s="919">
        <v>244500</v>
      </c>
      <c r="K34" s="920">
        <f>SUM(ROUNDUP('ARB Budget'!F39,-2))</f>
        <v>242400</v>
      </c>
      <c r="L34" s="569">
        <f>(K34-J34)/J34</f>
        <v>-8.5889570552147246E-3</v>
      </c>
      <c r="M34" s="1"/>
      <c r="N34" s="4">
        <f>SUM(J34)</f>
        <v>244500</v>
      </c>
      <c r="O34" s="265">
        <f>SUM(K34)</f>
        <v>242400</v>
      </c>
      <c r="P34" s="266">
        <f>O34/O35</f>
        <v>2.3630567660047379E-2</v>
      </c>
    </row>
    <row r="35" spans="1:16" ht="15" thickBot="1" x14ac:dyDescent="0.45">
      <c r="A35" s="564" t="s">
        <v>47</v>
      </c>
      <c r="B35" s="565">
        <f t="shared" ref="B35:K35" si="5">SUM(B32:B34)</f>
        <v>8423000</v>
      </c>
      <c r="C35" s="565">
        <f>SUM(C32:C34)</f>
        <v>7945182</v>
      </c>
      <c r="D35" s="565">
        <f t="shared" si="5"/>
        <v>8619200</v>
      </c>
      <c r="E35" s="565">
        <f t="shared" ref="E35:J35" si="6">SUM(E32:E34)</f>
        <v>8320181</v>
      </c>
      <c r="F35" s="565">
        <f t="shared" si="6"/>
        <v>8755800</v>
      </c>
      <c r="G35" s="565">
        <f t="shared" si="6"/>
        <v>8398133</v>
      </c>
      <c r="H35" s="565">
        <f t="shared" si="6"/>
        <v>9511500</v>
      </c>
      <c r="I35" s="565">
        <f t="shared" si="6"/>
        <v>9045765</v>
      </c>
      <c r="J35" s="565">
        <f t="shared" si="6"/>
        <v>9875300</v>
      </c>
      <c r="K35" s="967">
        <f t="shared" si="5"/>
        <v>10257900</v>
      </c>
      <c r="L35" s="566">
        <f>(K35-J35)/J35</f>
        <v>3.8743126791084825E-2</v>
      </c>
      <c r="M35" s="1"/>
      <c r="N35" s="123">
        <f>SUM(N32:N34)</f>
        <v>9875300</v>
      </c>
      <c r="O35" s="139">
        <f>SUM(O32:O34)</f>
        <v>10257900</v>
      </c>
      <c r="P35" s="140">
        <f>SUM(P5:P34)</f>
        <v>1</v>
      </c>
    </row>
    <row r="36" spans="1:16" ht="15" thickTop="1" x14ac:dyDescent="0.4">
      <c r="A36" s="567" t="s">
        <v>48</v>
      </c>
      <c r="B36" s="568"/>
      <c r="C36" s="568"/>
      <c r="D36" s="568"/>
      <c r="E36" s="568"/>
      <c r="F36" s="568"/>
      <c r="G36" s="568"/>
      <c r="H36" s="568"/>
      <c r="I36" s="568"/>
      <c r="J36" s="568"/>
      <c r="K36" s="557"/>
      <c r="L36" s="569"/>
    </row>
    <row r="37" spans="1:16" ht="15" thickBot="1" x14ac:dyDescent="0.45">
      <c r="A37" s="555" t="s">
        <v>49</v>
      </c>
      <c r="B37" s="570">
        <v>-247604</v>
      </c>
      <c r="C37" s="570"/>
      <c r="D37" s="570">
        <v>-200000</v>
      </c>
      <c r="E37" s="570"/>
      <c r="F37" s="570"/>
      <c r="G37" s="570"/>
      <c r="H37" s="570">
        <v>-158000</v>
      </c>
      <c r="I37" s="570"/>
      <c r="J37" s="570">
        <v>-399453</v>
      </c>
      <c r="K37" s="571">
        <v>-300000</v>
      </c>
      <c r="L37" s="572"/>
      <c r="M37" s="1"/>
      <c r="N37" s="1"/>
    </row>
    <row r="38" spans="1:16" ht="15.45" thickTop="1" thickBot="1" x14ac:dyDescent="0.45">
      <c r="A38" s="573" t="s">
        <v>50</v>
      </c>
      <c r="B38" s="574">
        <f t="shared" ref="B38:D38" si="7">SUM(B35:B37)</f>
        <v>8175396</v>
      </c>
      <c r="C38" s="574"/>
      <c r="D38" s="574">
        <f t="shared" si="7"/>
        <v>8419200</v>
      </c>
      <c r="E38" s="574"/>
      <c r="F38" s="574">
        <f>SUM(F35:F37)</f>
        <v>8755800</v>
      </c>
      <c r="G38" s="574"/>
      <c r="H38" s="574">
        <f>SUM(H35:H37)</f>
        <v>9353500</v>
      </c>
      <c r="I38" s="574"/>
      <c r="J38" s="574">
        <f>SUM(J35:J37)</f>
        <v>9475847</v>
      </c>
      <c r="K38" s="575">
        <f>SUM(K35:K37)</f>
        <v>9957900</v>
      </c>
      <c r="L38" s="576">
        <f>(K38-J38)/J38</f>
        <v>5.0871758482381575E-2</v>
      </c>
      <c r="P38" s="5">
        <f>O35-N35</f>
        <v>382600</v>
      </c>
    </row>
    <row r="39" spans="1:16" ht="15" thickTop="1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1"/>
      <c r="N39" s="1"/>
    </row>
    <row r="40" spans="1:16" x14ac:dyDescent="0.4">
      <c r="A40" s="26"/>
      <c r="B40" s="26"/>
      <c r="C40" s="26"/>
      <c r="D40" s="26"/>
      <c r="E40" s="26"/>
      <c r="F40" s="26"/>
      <c r="G40" s="26"/>
      <c r="H40" s="26"/>
      <c r="I40" s="26"/>
      <c r="J40" s="32"/>
      <c r="K40" s="947"/>
      <c r="M40" s="1"/>
      <c r="N40" s="1"/>
    </row>
    <row r="41" spans="1:16" x14ac:dyDescent="0.4">
      <c r="A41" s="26"/>
      <c r="B41" s="32"/>
      <c r="C41" s="32"/>
      <c r="D41" s="32"/>
      <c r="E41" s="32"/>
      <c r="F41" s="32"/>
      <c r="G41" s="32"/>
      <c r="H41" s="32"/>
      <c r="I41" s="32"/>
      <c r="J41" s="32"/>
      <c r="K41" s="948"/>
      <c r="M41" s="1"/>
      <c r="N41" s="1"/>
    </row>
    <row r="42" spans="1:16" x14ac:dyDescent="0.4">
      <c r="K42" s="3"/>
      <c r="L42" s="3"/>
      <c r="M42" s="1"/>
      <c r="N42" s="1"/>
    </row>
    <row r="43" spans="1:16" x14ac:dyDescent="0.4">
      <c r="J43" s="950"/>
      <c r="K43" s="949"/>
      <c r="M43" s="1"/>
      <c r="N43" s="1"/>
    </row>
    <row r="44" spans="1:16" x14ac:dyDescent="0.4">
      <c r="J44" s="951"/>
      <c r="K44" s="4"/>
      <c r="L44" s="3"/>
      <c r="M44" s="1"/>
      <c r="N44" s="1"/>
    </row>
    <row r="45" spans="1:16" x14ac:dyDescent="0.4">
      <c r="M45" s="1"/>
      <c r="N45" s="1"/>
    </row>
    <row r="46" spans="1:16" x14ac:dyDescent="0.4">
      <c r="M46" s="1"/>
      <c r="N46" s="1"/>
    </row>
    <row r="47" spans="1:16" x14ac:dyDescent="0.4">
      <c r="M47" s="1"/>
      <c r="N47" s="1"/>
    </row>
    <row r="48" spans="1:16" x14ac:dyDescent="0.4">
      <c r="M48" s="1"/>
      <c r="N48" s="1"/>
    </row>
    <row r="49" spans="13:14" x14ac:dyDescent="0.4">
      <c r="M49" s="1"/>
      <c r="N49" s="1"/>
    </row>
    <row r="50" spans="13:14" x14ac:dyDescent="0.4">
      <c r="M50" s="1"/>
      <c r="N50" s="1"/>
    </row>
    <row r="51" spans="13:14" x14ac:dyDescent="0.4">
      <c r="M51" s="1"/>
      <c r="N51" s="1"/>
    </row>
    <row r="52" spans="13:14" x14ac:dyDescent="0.4">
      <c r="M52" s="1"/>
      <c r="N52" s="1"/>
    </row>
    <row r="53" spans="13:14" x14ac:dyDescent="0.4">
      <c r="M53" s="1"/>
      <c r="N53" s="1"/>
    </row>
    <row r="54" spans="13:14" x14ac:dyDescent="0.4">
      <c r="M54" s="1"/>
      <c r="N54" s="1"/>
    </row>
    <row r="55" spans="13:14" x14ac:dyDescent="0.4">
      <c r="M55" s="1"/>
      <c r="N55" s="1"/>
    </row>
    <row r="56" spans="13:14" x14ac:dyDescent="0.4">
      <c r="M56" s="1"/>
      <c r="N56" s="1"/>
    </row>
    <row r="57" spans="13:14" x14ac:dyDescent="0.4">
      <c r="M57" s="1"/>
      <c r="N57" s="1"/>
    </row>
    <row r="58" spans="13:14" x14ac:dyDescent="0.4">
      <c r="M58" s="1"/>
      <c r="N58" s="1"/>
    </row>
    <row r="59" spans="13:14" x14ac:dyDescent="0.4">
      <c r="M59" s="1"/>
      <c r="N59" s="1"/>
    </row>
    <row r="60" spans="13:14" x14ac:dyDescent="0.4">
      <c r="M60" s="1"/>
      <c r="N60" s="1"/>
    </row>
    <row r="61" spans="13:14" x14ac:dyDescent="0.4">
      <c r="M61" s="1"/>
      <c r="N61" s="1"/>
    </row>
    <row r="62" spans="13:14" x14ac:dyDescent="0.4">
      <c r="M62" s="1"/>
      <c r="N62" s="1"/>
    </row>
    <row r="63" spans="13:14" x14ac:dyDescent="0.4">
      <c r="M63" s="1"/>
      <c r="N63" s="1"/>
    </row>
    <row r="64" spans="13:14" x14ac:dyDescent="0.4">
      <c r="M64" s="1"/>
      <c r="N64" s="1"/>
    </row>
    <row r="65" spans="13:14" x14ac:dyDescent="0.4">
      <c r="M65" s="1"/>
      <c r="N65" s="1"/>
    </row>
    <row r="66" spans="13:14" x14ac:dyDescent="0.4">
      <c r="M66" s="1"/>
      <c r="N66" s="1"/>
    </row>
    <row r="67" spans="13:14" x14ac:dyDescent="0.4">
      <c r="M67" s="1"/>
      <c r="N67" s="1"/>
    </row>
    <row r="68" spans="13:14" x14ac:dyDescent="0.4">
      <c r="M68" s="1"/>
      <c r="N68" s="1"/>
    </row>
    <row r="69" spans="13:14" x14ac:dyDescent="0.4">
      <c r="M69" s="1"/>
      <c r="N69" s="1"/>
    </row>
    <row r="70" spans="13:14" x14ac:dyDescent="0.4">
      <c r="M70" s="1"/>
      <c r="N70" s="1"/>
    </row>
    <row r="71" spans="13:14" x14ac:dyDescent="0.4">
      <c r="M71" s="1"/>
      <c r="N71" s="1"/>
    </row>
    <row r="72" spans="13:14" x14ac:dyDescent="0.4">
      <c r="M72" s="1"/>
      <c r="N72" s="1"/>
    </row>
    <row r="73" spans="13:14" x14ac:dyDescent="0.4">
      <c r="M73" s="1"/>
      <c r="N73" s="1"/>
    </row>
    <row r="74" spans="13:14" x14ac:dyDescent="0.4">
      <c r="M74" s="1"/>
      <c r="N74" s="1"/>
    </row>
    <row r="75" spans="13:14" x14ac:dyDescent="0.4">
      <c r="M75" s="1"/>
      <c r="N75" s="1"/>
    </row>
    <row r="76" spans="13:14" x14ac:dyDescent="0.4">
      <c r="M76" s="1"/>
      <c r="N76" s="1"/>
    </row>
    <row r="77" spans="13:14" x14ac:dyDescent="0.4">
      <c r="M77" s="1"/>
      <c r="N77" s="1"/>
    </row>
    <row r="78" spans="13:14" x14ac:dyDescent="0.4">
      <c r="M78" s="1"/>
      <c r="N78" s="1"/>
    </row>
    <row r="79" spans="13:14" x14ac:dyDescent="0.4">
      <c r="M79" s="1"/>
      <c r="N79" s="1"/>
    </row>
    <row r="80" spans="13:14" x14ac:dyDescent="0.4">
      <c r="M80" s="1"/>
      <c r="N80" s="1"/>
    </row>
    <row r="81" spans="1:14" x14ac:dyDescent="0.4">
      <c r="M81" s="1"/>
      <c r="N81" s="1"/>
    </row>
    <row r="82" spans="1:14" x14ac:dyDescent="0.4">
      <c r="M82" s="1"/>
      <c r="N82" s="1"/>
    </row>
    <row r="83" spans="1:14" x14ac:dyDescent="0.4">
      <c r="M83" s="1"/>
      <c r="N83" s="1"/>
    </row>
    <row r="84" spans="1:14" x14ac:dyDescent="0.4">
      <c r="M84" s="1"/>
      <c r="N84" s="1"/>
    </row>
    <row r="85" spans="1:14" x14ac:dyDescent="0.4">
      <c r="M85" s="1"/>
      <c r="N85" s="1"/>
    </row>
    <row r="86" spans="1:14" x14ac:dyDescent="0.4">
      <c r="M86" s="1"/>
      <c r="N86" s="1"/>
    </row>
    <row r="87" spans="1:14" x14ac:dyDescent="0.4">
      <c r="M87" s="1"/>
      <c r="N87" s="1"/>
    </row>
    <row r="88" spans="1:14" x14ac:dyDescent="0.4">
      <c r="M88" s="1"/>
      <c r="N88" s="1"/>
    </row>
    <row r="89" spans="1:14" x14ac:dyDescent="0.4">
      <c r="M89" s="1"/>
      <c r="N89" s="1"/>
    </row>
    <row r="90" spans="1:14" x14ac:dyDescent="0.4">
      <c r="M90" s="1"/>
      <c r="N90" s="1"/>
    </row>
    <row r="91" spans="1:14" x14ac:dyDescent="0.4">
      <c r="M91" s="1"/>
      <c r="N91" s="1"/>
    </row>
    <row r="92" spans="1:14" x14ac:dyDescent="0.4">
      <c r="A92" s="2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1"/>
      <c r="N92" s="1"/>
    </row>
  </sheetData>
  <mergeCells count="6">
    <mergeCell ref="B1:L1"/>
    <mergeCell ref="N30:O30"/>
    <mergeCell ref="N4:O4"/>
    <mergeCell ref="N10:O10"/>
    <mergeCell ref="N16:O16"/>
    <mergeCell ref="N27:O27"/>
  </mergeCells>
  <conditionalFormatting sqref="L3:L38">
    <cfRule type="cellIs" dxfId="128" priority="1" stopIfTrue="1" operator="lessThan">
      <formula>0</formula>
    </cfRule>
    <cfRule type="cellIs" dxfId="127" priority="2" stopIfTrue="1" operator="greaterThan">
      <formula>0</formula>
    </cfRule>
    <cfRule type="cellIs" dxfId="126" priority="3" stopIfTrue="1" operator="equal">
      <formula>0</formula>
    </cfRule>
  </conditionalFormatting>
  <printOptions horizontalCentered="1" verticalCentered="1"/>
  <pageMargins left="0.25" right="0.25" top="0.5" bottom="0.5" header="0.3" footer="0.3"/>
  <pageSetup scale="78" orientation="landscape" r:id="rId1"/>
  <ignoredErrors>
    <ignoredError sqref="N5 N11 N17 N3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3"/>
  <sheetViews>
    <sheetView zoomScale="110" zoomScaleNormal="110" zoomScalePageLayoutView="70" workbookViewId="0">
      <selection activeCell="F2" sqref="F1:G1048576"/>
    </sheetView>
  </sheetViews>
  <sheetFormatPr defaultColWidth="14.3828125" defaultRowHeight="14.6" x14ac:dyDescent="0.4"/>
  <cols>
    <col min="1" max="1" width="29.3046875" bestFit="1" customWidth="1"/>
    <col min="2" max="2" width="66.15234375" customWidth="1"/>
    <col min="3" max="3" width="2.3828125" customWidth="1"/>
    <col min="4" max="4" width="13.3828125" customWidth="1"/>
    <col min="5" max="5" width="12.3046875" customWidth="1"/>
    <col min="6" max="6" width="6.15234375" hidden="1" customWidth="1"/>
    <col min="7" max="7" width="9.3828125" hidden="1" customWidth="1"/>
    <col min="8" max="8" width="11.53515625" customWidth="1"/>
    <col min="9" max="9" width="70.3046875" customWidth="1"/>
    <col min="10" max="10" width="31.53515625" bestFit="1" customWidth="1"/>
    <col min="11" max="11" width="10.53515625" bestFit="1" customWidth="1"/>
    <col min="12" max="13" width="13.3046875" customWidth="1"/>
    <col min="14" max="14" width="10.3046875" customWidth="1"/>
    <col min="15" max="16" width="13.3046875" customWidth="1"/>
    <col min="17" max="17" width="4.3828125" customWidth="1"/>
    <col min="18" max="19" width="13.3046875" customWidth="1"/>
    <col min="20" max="26" width="15.15234375" customWidth="1"/>
  </cols>
  <sheetData>
    <row r="1" spans="1:13" ht="26.15" x14ac:dyDescent="0.7">
      <c r="A1" s="968" t="s">
        <v>638</v>
      </c>
      <c r="B1" s="968"/>
      <c r="C1" s="968"/>
      <c r="D1" s="968"/>
      <c r="E1" s="968"/>
      <c r="F1" s="968"/>
      <c r="G1" s="968"/>
      <c r="H1" s="968"/>
    </row>
    <row r="2" spans="1:13" ht="45" customHeight="1" x14ac:dyDescent="0.4">
      <c r="A2" s="473" t="s">
        <v>76</v>
      </c>
      <c r="B2" s="474" t="s">
        <v>77</v>
      </c>
      <c r="C2" s="473"/>
      <c r="D2" s="475"/>
      <c r="E2" s="476" t="s">
        <v>634</v>
      </c>
      <c r="F2" s="476" t="s">
        <v>79</v>
      </c>
      <c r="G2" s="476" t="s">
        <v>80</v>
      </c>
      <c r="H2" s="476" t="s">
        <v>168</v>
      </c>
      <c r="I2" s="2"/>
    </row>
    <row r="3" spans="1:13" ht="19.5" customHeight="1" x14ac:dyDescent="0.5">
      <c r="A3" s="978" t="s">
        <v>9</v>
      </c>
      <c r="B3" s="978"/>
      <c r="C3" s="978"/>
      <c r="D3" s="978"/>
      <c r="E3" s="978"/>
      <c r="F3" s="978"/>
      <c r="G3" s="978"/>
      <c r="H3" s="978"/>
      <c r="I3" s="7"/>
    </row>
    <row r="4" spans="1:13" x14ac:dyDescent="0.4">
      <c r="A4" s="857" t="s">
        <v>601</v>
      </c>
      <c r="B4" s="472" t="s">
        <v>169</v>
      </c>
      <c r="C4" s="439"/>
      <c r="D4" s="438"/>
      <c r="E4" s="489">
        <f>(H6*2)+(4518707)+K10</f>
        <v>4916833.0999999996</v>
      </c>
      <c r="F4" s="463"/>
      <c r="G4" s="463"/>
      <c r="H4" s="893">
        <v>4360580</v>
      </c>
      <c r="I4" s="12"/>
      <c r="J4" t="s">
        <v>527</v>
      </c>
      <c r="K4" s="265">
        <v>50000</v>
      </c>
    </row>
    <row r="5" spans="1:13" x14ac:dyDescent="0.4">
      <c r="A5" s="876" t="s">
        <v>593</v>
      </c>
      <c r="B5" s="894" t="s">
        <v>170</v>
      </c>
      <c r="C5" s="388"/>
      <c r="D5" s="895"/>
      <c r="E5" s="887"/>
      <c r="F5" s="892"/>
      <c r="G5" s="892"/>
      <c r="H5" s="888">
        <v>181100</v>
      </c>
      <c r="I5" s="12"/>
      <c r="J5" t="s">
        <v>528</v>
      </c>
      <c r="K5" s="265">
        <v>70000</v>
      </c>
    </row>
    <row r="6" spans="1:13" x14ac:dyDescent="0.4">
      <c r="A6" s="852" t="s">
        <v>84</v>
      </c>
      <c r="B6" s="469" t="s">
        <v>171</v>
      </c>
      <c r="C6" s="435"/>
      <c r="D6" s="436"/>
      <c r="E6" s="456">
        <f>(E4*3%)*50%</f>
        <v>73752.496499999994</v>
      </c>
      <c r="F6" s="459"/>
      <c r="G6" s="459"/>
      <c r="H6" s="460">
        <v>68125</v>
      </c>
      <c r="I6" s="2"/>
      <c r="J6" t="s">
        <v>529</v>
      </c>
      <c r="K6" s="124">
        <v>38000</v>
      </c>
      <c r="M6" s="124"/>
    </row>
    <row r="7" spans="1:13" x14ac:dyDescent="0.4">
      <c r="A7" s="855"/>
      <c r="B7" s="470" t="s">
        <v>87</v>
      </c>
      <c r="C7" s="441"/>
      <c r="D7" s="442"/>
      <c r="E7" s="457">
        <v>17000</v>
      </c>
      <c r="F7" s="461"/>
      <c r="G7" s="461"/>
      <c r="H7" s="462">
        <v>17000</v>
      </c>
      <c r="I7" s="2"/>
      <c r="J7" s="134" t="s">
        <v>610</v>
      </c>
      <c r="K7" s="124">
        <f>1*38000</f>
        <v>38000</v>
      </c>
      <c r="M7" s="125"/>
    </row>
    <row r="8" spans="1:13" x14ac:dyDescent="0.4">
      <c r="A8" s="852" t="s">
        <v>596</v>
      </c>
      <c r="B8" s="471" t="s">
        <v>89</v>
      </c>
      <c r="C8" s="435"/>
      <c r="D8" s="437"/>
      <c r="E8" s="456">
        <v>78000</v>
      </c>
      <c r="F8" s="463"/>
      <c r="G8" s="463"/>
      <c r="H8" s="464">
        <v>27500</v>
      </c>
      <c r="I8" s="12"/>
      <c r="J8" s="134" t="s">
        <v>611</v>
      </c>
      <c r="K8" s="124">
        <f>1*45000</f>
        <v>45000</v>
      </c>
      <c r="M8" s="124"/>
    </row>
    <row r="9" spans="1:13" x14ac:dyDescent="0.4">
      <c r="A9" s="856" t="s">
        <v>531</v>
      </c>
      <c r="B9" s="468" t="s">
        <v>92</v>
      </c>
      <c r="C9" s="441"/>
      <c r="D9" s="440"/>
      <c r="E9" s="457">
        <f>120000-35000</f>
        <v>85000</v>
      </c>
      <c r="F9" s="458"/>
      <c r="G9" s="458"/>
      <c r="H9" s="458">
        <v>120000</v>
      </c>
      <c r="I9" s="325"/>
      <c r="J9" t="s">
        <v>530</v>
      </c>
      <c r="K9" s="124">
        <f>208761*10%</f>
        <v>20876.100000000002</v>
      </c>
      <c r="L9" s="124"/>
      <c r="M9" s="124"/>
    </row>
    <row r="10" spans="1:13" ht="15" customHeight="1" thickBot="1" x14ac:dyDescent="0.45">
      <c r="A10" s="857" t="s">
        <v>94</v>
      </c>
      <c r="B10" s="472" t="s">
        <v>95</v>
      </c>
      <c r="C10" s="439"/>
      <c r="D10" s="438"/>
      <c r="E10" s="456">
        <v>30000</v>
      </c>
      <c r="F10" s="463"/>
      <c r="G10" s="463"/>
      <c r="H10" s="464">
        <v>30000</v>
      </c>
      <c r="I10" s="2"/>
      <c r="J10" s="63" t="s">
        <v>532</v>
      </c>
      <c r="K10" s="139">
        <f>SUM(K4:K9)</f>
        <v>261876.1</v>
      </c>
      <c r="L10" s="124"/>
      <c r="M10" s="124"/>
    </row>
    <row r="11" spans="1:13" ht="15.45" thickTop="1" thickBot="1" x14ac:dyDescent="0.45">
      <c r="A11" s="577"/>
      <c r="B11" s="18"/>
      <c r="C11" s="19"/>
      <c r="D11" s="110">
        <f>(E11-H11)/H11</f>
        <v>8.2484479336761507E-2</v>
      </c>
      <c r="E11" s="465">
        <f>(SUM(E4:E10))</f>
        <v>5200585.5965</v>
      </c>
      <c r="F11" s="466"/>
      <c r="G11" s="466"/>
      <c r="H11" s="467">
        <f>SUM(H4:H10)</f>
        <v>4804305</v>
      </c>
      <c r="I11" s="2"/>
      <c r="L11" s="124"/>
      <c r="M11" s="124"/>
    </row>
    <row r="12" spans="1:13" ht="13.5" customHeight="1" thickTop="1" x14ac:dyDescent="0.4">
      <c r="A12" s="24"/>
      <c r="B12" s="24"/>
      <c r="C12" s="25"/>
      <c r="D12" s="26"/>
      <c r="E12" s="27"/>
      <c r="F12" s="27"/>
      <c r="G12" s="27"/>
      <c r="H12" s="27"/>
      <c r="I12" s="2"/>
      <c r="L12" s="124"/>
      <c r="M12" s="124"/>
    </row>
    <row r="13" spans="1:13" ht="19.5" customHeight="1" x14ac:dyDescent="0.5">
      <c r="A13" s="980" t="s">
        <v>10</v>
      </c>
      <c r="B13" s="980"/>
      <c r="C13" s="980"/>
      <c r="D13" s="980"/>
      <c r="E13" s="980"/>
      <c r="F13" s="980"/>
      <c r="G13" s="980"/>
      <c r="H13" s="980"/>
      <c r="I13" s="7"/>
      <c r="L13" s="124"/>
      <c r="M13" s="124"/>
    </row>
    <row r="14" spans="1:13" x14ac:dyDescent="0.4">
      <c r="A14" s="480"/>
      <c r="B14" s="484" t="s">
        <v>100</v>
      </c>
      <c r="C14" s="485"/>
      <c r="D14" s="486"/>
      <c r="E14" s="486"/>
      <c r="F14" s="486"/>
      <c r="G14" s="486"/>
      <c r="H14" s="486"/>
      <c r="I14" s="2"/>
      <c r="L14" s="124"/>
      <c r="M14" s="124"/>
    </row>
    <row r="15" spans="1:13" ht="22.3" x14ac:dyDescent="0.4">
      <c r="A15" s="877" t="s">
        <v>614</v>
      </c>
      <c r="B15" s="878" t="s">
        <v>613</v>
      </c>
      <c r="C15" s="879"/>
      <c r="D15" s="878"/>
      <c r="E15" s="880">
        <f>((700*12)*35)*0.95</f>
        <v>279300</v>
      </c>
      <c r="F15" s="881"/>
      <c r="G15" s="881"/>
      <c r="H15" s="881">
        <v>232560</v>
      </c>
      <c r="I15" s="2"/>
      <c r="M15" s="124"/>
    </row>
    <row r="16" spans="1:13" x14ac:dyDescent="0.4">
      <c r="A16" s="851" t="s">
        <v>595</v>
      </c>
      <c r="B16" s="487" t="s">
        <v>594</v>
      </c>
      <c r="C16" s="488"/>
      <c r="D16" s="455"/>
      <c r="E16" s="489">
        <f>700*12</f>
        <v>8400</v>
      </c>
      <c r="F16" s="490"/>
      <c r="G16" s="490"/>
      <c r="H16" s="490">
        <v>7200</v>
      </c>
      <c r="I16" s="2"/>
      <c r="M16" s="124"/>
    </row>
    <row r="17" spans="1:14" x14ac:dyDescent="0.4">
      <c r="A17" s="481"/>
      <c r="B17" s="491" t="s">
        <v>105</v>
      </c>
      <c r="C17" s="492"/>
      <c r="D17" s="492"/>
      <c r="E17" s="493">
        <v>1000</v>
      </c>
      <c r="F17" s="494"/>
      <c r="G17" s="494"/>
      <c r="H17" s="495">
        <v>1000</v>
      </c>
      <c r="I17" s="2"/>
    </row>
    <row r="18" spans="1:14" x14ac:dyDescent="0.4">
      <c r="A18" s="482"/>
      <c r="B18" s="496" t="s">
        <v>106</v>
      </c>
      <c r="C18" s="497"/>
      <c r="D18" s="498"/>
      <c r="E18" s="499">
        <f>SUM(E15:E17)</f>
        <v>288700</v>
      </c>
      <c r="F18" s="500"/>
      <c r="G18" s="500"/>
      <c r="H18" s="501">
        <f>SUM(H15:H17)</f>
        <v>240760</v>
      </c>
      <c r="I18" s="2"/>
    </row>
    <row r="19" spans="1:14" ht="9.75" customHeight="1" x14ac:dyDescent="0.4">
      <c r="A19" s="480"/>
      <c r="B19" s="498"/>
      <c r="C19" s="502"/>
      <c r="D19" s="498"/>
      <c r="E19" s="486"/>
      <c r="F19" s="498"/>
      <c r="G19" s="498"/>
      <c r="H19" s="486"/>
      <c r="I19" s="2"/>
      <c r="N19" s="52"/>
    </row>
    <row r="20" spans="1:14" x14ac:dyDescent="0.4">
      <c r="A20" s="480"/>
      <c r="B20" s="503" t="s">
        <v>637</v>
      </c>
      <c r="C20" s="504"/>
      <c r="D20" s="455"/>
      <c r="E20" s="498"/>
      <c r="F20" s="498"/>
      <c r="G20" s="498"/>
      <c r="H20" s="486"/>
      <c r="I20" s="2"/>
    </row>
    <row r="21" spans="1:14" x14ac:dyDescent="0.4">
      <c r="A21" s="481"/>
      <c r="B21" s="505" t="s">
        <v>108</v>
      </c>
      <c r="C21" s="492"/>
      <c r="D21" s="506"/>
      <c r="E21" s="507">
        <f>(1*110)*12</f>
        <v>1320</v>
      </c>
      <c r="F21" s="508"/>
      <c r="G21" s="508"/>
      <c r="H21" s="508">
        <v>1320</v>
      </c>
      <c r="I21" s="2"/>
    </row>
    <row r="22" spans="1:14" x14ac:dyDescent="0.4">
      <c r="A22" s="851" t="s">
        <v>172</v>
      </c>
      <c r="B22" s="455" t="s">
        <v>173</v>
      </c>
      <c r="C22" s="488"/>
      <c r="D22" s="498"/>
      <c r="E22" s="489">
        <f>(90*6)*12</f>
        <v>6480</v>
      </c>
      <c r="F22" s="490"/>
      <c r="G22" s="490"/>
      <c r="H22" s="490">
        <v>5400</v>
      </c>
      <c r="I22" s="2"/>
    </row>
    <row r="23" spans="1:14" x14ac:dyDescent="0.4">
      <c r="A23" s="853" t="s">
        <v>174</v>
      </c>
      <c r="B23" s="505" t="s">
        <v>175</v>
      </c>
      <c r="C23" s="492"/>
      <c r="D23" s="506"/>
      <c r="E23" s="493">
        <f>(70*12)*12</f>
        <v>10080</v>
      </c>
      <c r="F23" s="509"/>
      <c r="G23" s="509"/>
      <c r="H23" s="509">
        <v>9240</v>
      </c>
      <c r="I23" s="2"/>
    </row>
    <row r="24" spans="1:14" x14ac:dyDescent="0.4">
      <c r="A24" s="854"/>
      <c r="B24" s="496" t="s">
        <v>106</v>
      </c>
      <c r="C24" s="497"/>
      <c r="D24" s="498"/>
      <c r="E24" s="499">
        <f>SUM(E21:E23)</f>
        <v>17880</v>
      </c>
      <c r="F24" s="501"/>
      <c r="G24" s="501"/>
      <c r="H24" s="501">
        <f>SUM(H21:H23)</f>
        <v>15960</v>
      </c>
      <c r="I24" s="2"/>
    </row>
    <row r="25" spans="1:14" x14ac:dyDescent="0.4">
      <c r="A25" s="854"/>
      <c r="B25" s="496"/>
      <c r="C25" s="497"/>
      <c r="D25" s="498"/>
      <c r="E25" s="501"/>
      <c r="F25" s="501"/>
      <c r="G25" s="501"/>
      <c r="H25" s="501"/>
      <c r="I25" s="2"/>
    </row>
    <row r="26" spans="1:14" x14ac:dyDescent="0.4">
      <c r="A26" s="482"/>
      <c r="B26" s="510" t="s">
        <v>114</v>
      </c>
      <c r="C26" s="511"/>
      <c r="D26" s="498"/>
      <c r="E26" s="501"/>
      <c r="F26" s="501"/>
      <c r="G26" s="501"/>
      <c r="H26" s="501"/>
      <c r="I26" s="2"/>
    </row>
    <row r="27" spans="1:14" x14ac:dyDescent="0.4">
      <c r="A27" s="477"/>
      <c r="B27" s="512" t="s">
        <v>115</v>
      </c>
      <c r="C27" s="513"/>
      <c r="D27" s="514">
        <v>1000</v>
      </c>
      <c r="E27" s="507">
        <f t="shared" ref="E27:E32" si="0">C27*D27</f>
        <v>0</v>
      </c>
      <c r="F27" s="515"/>
      <c r="G27" s="515"/>
      <c r="H27" s="508">
        <v>0</v>
      </c>
      <c r="I27" s="2"/>
    </row>
    <row r="28" spans="1:14" x14ac:dyDescent="0.4">
      <c r="A28" s="478"/>
      <c r="B28" s="487" t="s">
        <v>116</v>
      </c>
      <c r="C28" s="516">
        <v>1</v>
      </c>
      <c r="D28" s="517">
        <v>1000</v>
      </c>
      <c r="E28" s="489">
        <f t="shared" si="0"/>
        <v>1000</v>
      </c>
      <c r="F28" s="501"/>
      <c r="G28" s="501"/>
      <c r="H28" s="490">
        <v>1000</v>
      </c>
      <c r="I28" s="2"/>
    </row>
    <row r="29" spans="1:14" x14ac:dyDescent="0.4">
      <c r="A29" s="477"/>
      <c r="B29" s="512" t="s">
        <v>118</v>
      </c>
      <c r="C29" s="513"/>
      <c r="D29" s="514">
        <v>1000</v>
      </c>
      <c r="E29" s="507">
        <f t="shared" si="0"/>
        <v>0</v>
      </c>
      <c r="F29" s="515"/>
      <c r="G29" s="515"/>
      <c r="H29" s="508">
        <v>0</v>
      </c>
      <c r="I29" s="2"/>
    </row>
    <row r="30" spans="1:14" x14ac:dyDescent="0.4">
      <c r="A30" s="478"/>
      <c r="B30" s="487" t="s">
        <v>119</v>
      </c>
      <c r="C30" s="516">
        <v>1</v>
      </c>
      <c r="D30" s="517">
        <v>1500</v>
      </c>
      <c r="E30" s="489">
        <f t="shared" si="0"/>
        <v>1500</v>
      </c>
      <c r="F30" s="501"/>
      <c r="G30" s="501"/>
      <c r="H30" s="490">
        <v>1500</v>
      </c>
      <c r="I30" s="2"/>
    </row>
    <row r="31" spans="1:14" x14ac:dyDescent="0.4">
      <c r="A31" s="477"/>
      <c r="B31" s="512" t="s">
        <v>121</v>
      </c>
      <c r="C31" s="513">
        <v>4</v>
      </c>
      <c r="D31" s="514">
        <v>2000</v>
      </c>
      <c r="E31" s="507">
        <f t="shared" si="0"/>
        <v>8000</v>
      </c>
      <c r="F31" s="515"/>
      <c r="G31" s="515"/>
      <c r="H31" s="508">
        <v>8000</v>
      </c>
      <c r="I31" s="2"/>
    </row>
    <row r="32" spans="1:14" x14ac:dyDescent="0.4">
      <c r="A32" s="479"/>
      <c r="B32" s="518" t="s">
        <v>123</v>
      </c>
      <c r="C32" s="519">
        <v>1</v>
      </c>
      <c r="D32" s="520">
        <v>2000</v>
      </c>
      <c r="E32" s="521">
        <f t="shared" si="0"/>
        <v>2000</v>
      </c>
      <c r="F32" s="522"/>
      <c r="G32" s="522"/>
      <c r="H32" s="523">
        <v>2000</v>
      </c>
      <c r="I32" s="2"/>
    </row>
    <row r="33" spans="1:9" x14ac:dyDescent="0.4">
      <c r="A33" s="483"/>
      <c r="B33" s="487"/>
      <c r="C33" s="488"/>
      <c r="D33" s="498"/>
      <c r="E33" s="499">
        <f>SUM(E27:E32)</f>
        <v>12500</v>
      </c>
      <c r="F33" s="501"/>
      <c r="G33" s="501"/>
      <c r="H33" s="501">
        <f>SUM(H27:H32)</f>
        <v>12500</v>
      </c>
      <c r="I33" s="2"/>
    </row>
    <row r="34" spans="1:9" x14ac:dyDescent="0.4">
      <c r="A34" s="24"/>
      <c r="B34" s="487"/>
      <c r="C34" s="488"/>
      <c r="D34" s="498"/>
      <c r="E34" s="490"/>
      <c r="F34" s="501"/>
      <c r="G34" s="501"/>
      <c r="H34" s="490"/>
      <c r="I34" s="2"/>
    </row>
    <row r="35" spans="1:9" ht="15" thickBot="1" x14ac:dyDescent="0.45">
      <c r="A35" s="24"/>
      <c r="B35" s="454"/>
      <c r="C35" s="497"/>
      <c r="D35" s="524">
        <f>(E35-H35)/H35</f>
        <v>0.18520169378203699</v>
      </c>
      <c r="E35" s="465">
        <f>SUM(E18+E24+E33)</f>
        <v>319080</v>
      </c>
      <c r="F35" s="466"/>
      <c r="G35" s="466"/>
      <c r="H35" s="467">
        <f>SUM(H18+H24+H33)</f>
        <v>269220</v>
      </c>
      <c r="I35" s="2"/>
    </row>
    <row r="36" spans="1:9" ht="15" thickTop="1" x14ac:dyDescent="0.4">
      <c r="A36" s="13"/>
      <c r="B36" s="13"/>
      <c r="C36" s="51"/>
      <c r="D36" s="13"/>
      <c r="E36" s="13"/>
      <c r="F36" s="13"/>
      <c r="G36" s="13"/>
      <c r="H36" s="26"/>
      <c r="I36" s="2"/>
    </row>
    <row r="37" spans="1:9" ht="19.5" customHeight="1" x14ac:dyDescent="0.5">
      <c r="A37" s="980" t="s">
        <v>125</v>
      </c>
      <c r="B37" s="980"/>
      <c r="C37" s="980"/>
      <c r="D37" s="980"/>
      <c r="E37" s="980"/>
      <c r="F37" s="980"/>
      <c r="G37" s="980"/>
      <c r="H37" s="980"/>
      <c r="I37" s="7"/>
    </row>
    <row r="38" spans="1:9" x14ac:dyDescent="0.4">
      <c r="A38" s="852" t="s">
        <v>176</v>
      </c>
      <c r="B38" s="518" t="s">
        <v>625</v>
      </c>
      <c r="C38" s="578"/>
      <c r="D38" s="882"/>
      <c r="E38" s="489">
        <f>ROUND((36.51*78*8)+((36.51*105%)*78*4),0)</f>
        <v>34743</v>
      </c>
      <c r="F38" s="954"/>
      <c r="G38" s="954"/>
      <c r="H38" s="557">
        <v>32516</v>
      </c>
      <c r="I38" s="339"/>
    </row>
    <row r="39" spans="1:9" x14ac:dyDescent="0.4">
      <c r="A39" s="889" t="s">
        <v>177</v>
      </c>
      <c r="B39" s="890" t="s">
        <v>627</v>
      </c>
      <c r="C39" s="891"/>
      <c r="D39" s="955"/>
      <c r="E39" s="887">
        <f>((652.89-10)*78*8)+(((652.89-10)*115%)*78*4)</f>
        <v>631832.29200000002</v>
      </c>
      <c r="F39" s="892"/>
      <c r="G39" s="892"/>
      <c r="H39" s="888">
        <v>562734</v>
      </c>
      <c r="I39" s="2"/>
    </row>
    <row r="40" spans="1:9" x14ac:dyDescent="0.4">
      <c r="A40" s="852"/>
      <c r="B40" s="518" t="s">
        <v>130</v>
      </c>
      <c r="C40" s="578"/>
      <c r="D40" s="882"/>
      <c r="E40" s="489">
        <f>(140*20*12)</f>
        <v>33600</v>
      </c>
      <c r="F40" s="893"/>
      <c r="G40" s="893"/>
      <c r="H40" s="893">
        <v>33600</v>
      </c>
      <c r="I40" s="2"/>
    </row>
    <row r="41" spans="1:9" x14ac:dyDescent="0.4">
      <c r="A41" s="889" t="s">
        <v>176</v>
      </c>
      <c r="B41" s="890" t="s">
        <v>626</v>
      </c>
      <c r="C41" s="891"/>
      <c r="D41" s="955"/>
      <c r="E41" s="887">
        <f>((7.28*78)*8)+((7.28*105%)*78*4)</f>
        <v>6927.648000000001</v>
      </c>
      <c r="F41" s="888"/>
      <c r="G41" s="888"/>
      <c r="H41" s="888">
        <v>6484</v>
      </c>
      <c r="I41" s="2"/>
    </row>
    <row r="42" spans="1:9" x14ac:dyDescent="0.4">
      <c r="A42" s="852"/>
      <c r="B42" s="518" t="s">
        <v>612</v>
      </c>
      <c r="C42" s="578"/>
      <c r="D42" s="882"/>
      <c r="E42" s="489">
        <f>((((4*78)*12)+2370))</f>
        <v>6114</v>
      </c>
      <c r="F42" s="893"/>
      <c r="G42" s="893"/>
      <c r="H42" s="893">
        <v>5874</v>
      </c>
    </row>
    <row r="43" spans="1:9" x14ac:dyDescent="0.4">
      <c r="A43" s="883"/>
      <c r="B43" s="884" t="s">
        <v>134</v>
      </c>
      <c r="C43" s="885"/>
      <c r="D43" s="886"/>
      <c r="E43" s="887">
        <f>(((E4+E5+E6)*0.331%))</f>
        <v>16518.838324414999</v>
      </c>
      <c r="F43" s="888"/>
      <c r="G43" s="888"/>
      <c r="H43" s="888">
        <v>15258</v>
      </c>
      <c r="I43" s="2"/>
    </row>
    <row r="44" spans="1:9" ht="15" thickBot="1" x14ac:dyDescent="0.45">
      <c r="A44" s="482"/>
      <c r="B44" s="18"/>
      <c r="C44" s="19"/>
      <c r="D44" s="524">
        <f>(E44-H44)/H44</f>
        <v>0.11161244957760964</v>
      </c>
      <c r="E44" s="465">
        <f>SUM(E38:E43)</f>
        <v>729735.77832441509</v>
      </c>
      <c r="F44" s="466"/>
      <c r="G44" s="466"/>
      <c r="H44" s="525">
        <f>SUM(H38:H43)</f>
        <v>656466</v>
      </c>
      <c r="I44" s="58"/>
    </row>
    <row r="45" spans="1:9" ht="19.75" thickTop="1" x14ac:dyDescent="0.5">
      <c r="A45" s="208"/>
      <c r="B45" s="209"/>
      <c r="C45" s="210"/>
      <c r="D45" s="305"/>
      <c r="E45" s="209"/>
      <c r="F45" s="209"/>
      <c r="G45" s="209"/>
      <c r="H45" s="209"/>
      <c r="I45" s="2"/>
    </row>
    <row r="46" spans="1:9" ht="20.25" customHeight="1" x14ac:dyDescent="0.5">
      <c r="A46" s="980" t="s">
        <v>12</v>
      </c>
      <c r="B46" s="980"/>
      <c r="C46" s="980"/>
      <c r="D46" s="980"/>
      <c r="E46" s="980"/>
      <c r="F46" s="980"/>
      <c r="G46" s="980"/>
      <c r="H46" s="980"/>
      <c r="I46" s="211"/>
    </row>
    <row r="47" spans="1:9" x14ac:dyDescent="0.4">
      <c r="A47" s="852" t="s">
        <v>602</v>
      </c>
      <c r="B47" s="518" t="s">
        <v>136</v>
      </c>
      <c r="C47" s="578"/>
      <c r="D47" s="578"/>
      <c r="E47" s="489">
        <f>SUM(E4:E8)*0.97</f>
        <v>4933018.0286050001</v>
      </c>
      <c r="F47" s="463"/>
      <c r="G47" s="463"/>
      <c r="H47" s="464">
        <v>4514676</v>
      </c>
      <c r="I47" s="7"/>
    </row>
    <row r="48" spans="1:9" x14ac:dyDescent="0.4">
      <c r="A48" s="281"/>
      <c r="B48" s="878" t="s">
        <v>137</v>
      </c>
      <c r="C48" s="879"/>
      <c r="D48" s="905"/>
      <c r="E48" s="910">
        <f>SUM(E15+E16+E33)</f>
        <v>300200</v>
      </c>
      <c r="F48" s="913"/>
      <c r="G48" s="913"/>
      <c r="H48" s="913">
        <v>252260</v>
      </c>
      <c r="I48" s="2"/>
    </row>
    <row r="49" spans="1:9" x14ac:dyDescent="0.4">
      <c r="A49" s="899"/>
      <c r="B49" s="518"/>
      <c r="C49" s="578"/>
      <c r="D49" s="556"/>
      <c r="E49" s="489">
        <f>SUM(E47:E48)</f>
        <v>5233218.0286050001</v>
      </c>
      <c r="F49" s="900"/>
      <c r="G49" s="900"/>
      <c r="H49" s="901">
        <f>SUM(H47:H48)</f>
        <v>4766936</v>
      </c>
      <c r="I49" s="2"/>
    </row>
    <row r="50" spans="1:9" x14ac:dyDescent="0.4">
      <c r="A50" s="852"/>
      <c r="B50" s="472"/>
      <c r="C50" s="578"/>
      <c r="D50" s="578"/>
      <c r="E50" s="893"/>
      <c r="F50" s="893"/>
      <c r="G50" s="893"/>
      <c r="H50" s="893"/>
      <c r="I50" s="2"/>
    </row>
    <row r="51" spans="1:9" x14ac:dyDescent="0.4">
      <c r="A51" s="281" t="s">
        <v>178</v>
      </c>
      <c r="B51" s="907" t="s">
        <v>139</v>
      </c>
      <c r="C51" s="908"/>
      <c r="D51" s="909"/>
      <c r="E51" s="910">
        <f>E49*0.12%</f>
        <v>6279.8616343259991</v>
      </c>
      <c r="F51" s="911"/>
      <c r="G51" s="911"/>
      <c r="H51" s="912">
        <v>6197</v>
      </c>
      <c r="I51" s="2"/>
    </row>
    <row r="52" spans="1:9" x14ac:dyDescent="0.4">
      <c r="A52" s="852"/>
      <c r="B52" s="896"/>
      <c r="C52" s="902"/>
      <c r="D52" s="579"/>
      <c r="E52" s="489">
        <f>SUM(E51)</f>
        <v>6279.8616343259991</v>
      </c>
      <c r="F52" s="903"/>
      <c r="G52" s="903"/>
      <c r="H52" s="904">
        <f>SUM(H51)</f>
        <v>6197</v>
      </c>
      <c r="I52" s="2"/>
    </row>
    <row r="53" spans="1:9" x14ac:dyDescent="0.4">
      <c r="A53" s="852"/>
      <c r="B53" s="579"/>
      <c r="C53" s="580"/>
      <c r="D53" s="579"/>
      <c r="E53" s="579"/>
      <c r="F53" s="579"/>
      <c r="G53" s="579"/>
      <c r="H53" s="893"/>
      <c r="I53" s="2"/>
    </row>
    <row r="54" spans="1:9" x14ac:dyDescent="0.4">
      <c r="A54" s="852" t="s">
        <v>179</v>
      </c>
      <c r="B54" s="472" t="s">
        <v>525</v>
      </c>
      <c r="C54" s="578"/>
      <c r="D54" s="579"/>
      <c r="E54" s="489">
        <f>E49*18.1%</f>
        <v>947212.46317750518</v>
      </c>
      <c r="F54" s="677"/>
      <c r="G54" s="677"/>
      <c r="H54" s="893">
        <v>798462</v>
      </c>
      <c r="I54" s="7"/>
    </row>
    <row r="55" spans="1:9" x14ac:dyDescent="0.4">
      <c r="A55" s="915" t="s">
        <v>178</v>
      </c>
      <c r="B55" s="894" t="s">
        <v>139</v>
      </c>
      <c r="C55" s="885"/>
      <c r="D55" s="848"/>
      <c r="E55" s="916">
        <f>E49*0.12%</f>
        <v>6279.8616343259991</v>
      </c>
      <c r="F55" s="917"/>
      <c r="G55" s="917"/>
      <c r="H55" s="918">
        <v>6197</v>
      </c>
      <c r="I55" s="7"/>
    </row>
    <row r="56" spans="1:9" x14ac:dyDescent="0.4">
      <c r="A56" s="852"/>
      <c r="B56" s="896"/>
      <c r="C56" s="897"/>
      <c r="D56" s="898">
        <f>(E56-H56)/H56</f>
        <v>0.18496446918735915</v>
      </c>
      <c r="E56" s="489">
        <f>SUM(E54:E55)</f>
        <v>953492.32481183123</v>
      </c>
      <c r="F56" s="677"/>
      <c r="G56" s="677"/>
      <c r="H56" s="893">
        <f>SUM(H54:H55)</f>
        <v>804659</v>
      </c>
      <c r="I56" s="7"/>
    </row>
    <row r="57" spans="1:9" x14ac:dyDescent="0.4">
      <c r="A57" s="793"/>
      <c r="B57" s="452"/>
      <c r="C57" s="527"/>
      <c r="D57" s="526"/>
      <c r="E57" s="456"/>
      <c r="F57" s="452"/>
      <c r="G57" s="452"/>
      <c r="H57" s="490"/>
      <c r="I57" s="7"/>
    </row>
    <row r="58" spans="1:9" x14ac:dyDescent="0.4">
      <c r="A58" s="281" t="s">
        <v>143</v>
      </c>
      <c r="B58" s="842" t="s">
        <v>526</v>
      </c>
      <c r="C58" s="914"/>
      <c r="D58" s="909"/>
      <c r="E58" s="880">
        <f>E49*19.12%</f>
        <v>1000591.2870692761</v>
      </c>
      <c r="F58" s="842"/>
      <c r="G58" s="842"/>
      <c r="H58" s="906">
        <v>911915</v>
      </c>
      <c r="I58" s="7"/>
    </row>
    <row r="59" spans="1:9" x14ac:dyDescent="0.4">
      <c r="A59" s="851" t="s">
        <v>534</v>
      </c>
      <c r="B59" s="452" t="s">
        <v>622</v>
      </c>
      <c r="C59" s="527"/>
      <c r="D59" s="456">
        <v>150291.72</v>
      </c>
      <c r="E59" s="498"/>
      <c r="F59" s="452"/>
      <c r="G59" s="452"/>
      <c r="H59" s="490"/>
      <c r="I59" s="7"/>
    </row>
    <row r="60" spans="1:9" ht="15" thickBot="1" x14ac:dyDescent="0.45">
      <c r="A60" s="793"/>
      <c r="B60" s="454"/>
      <c r="C60" s="527"/>
      <c r="D60" s="524">
        <f>(E60-H60)/H60</f>
        <v>9.7241834018824219E-2</v>
      </c>
      <c r="E60" s="465">
        <f>SUM(E58:E59)</f>
        <v>1000591.2870692761</v>
      </c>
      <c r="F60" s="528"/>
      <c r="G60" s="528"/>
      <c r="H60" s="467">
        <f>SUM(H58:H59)</f>
        <v>911915</v>
      </c>
      <c r="I60" s="7"/>
    </row>
    <row r="61" spans="1:9" ht="15" thickTop="1" x14ac:dyDescent="0.4">
      <c r="A61" s="480"/>
      <c r="B61" s="64"/>
      <c r="C61" s="70"/>
      <c r="D61" s="13"/>
      <c r="E61" s="64"/>
      <c r="F61" s="64"/>
      <c r="G61" s="64"/>
      <c r="H61" s="26"/>
      <c r="I61" s="7"/>
    </row>
    <row r="62" spans="1:9" ht="19.5" customHeight="1" x14ac:dyDescent="0.5">
      <c r="A62" s="978" t="s">
        <v>147</v>
      </c>
      <c r="B62" s="979"/>
      <c r="C62" s="979"/>
      <c r="D62" s="979"/>
      <c r="E62" s="979"/>
      <c r="F62" s="979"/>
      <c r="G62" s="979"/>
      <c r="H62" s="979"/>
      <c r="I62" s="7"/>
    </row>
    <row r="63" spans="1:9" x14ac:dyDescent="0.4">
      <c r="A63" s="480"/>
      <c r="B63" s="498" t="s">
        <v>148</v>
      </c>
      <c r="C63" s="502"/>
      <c r="D63" s="498"/>
      <c r="E63" s="489">
        <f>(2113*4)*105%</f>
        <v>8874.6</v>
      </c>
      <c r="F63" s="530"/>
      <c r="G63" s="530"/>
      <c r="H63" s="531">
        <v>8813.2000000000007</v>
      </c>
      <c r="I63" s="2"/>
    </row>
    <row r="64" spans="1:9" ht="15" thickBot="1" x14ac:dyDescent="0.45">
      <c r="A64" s="529"/>
      <c r="B64" s="532"/>
      <c r="C64" s="537"/>
      <c r="D64" s="533">
        <f>(E64-H64)/H64</f>
        <v>6.966822493532387E-3</v>
      </c>
      <c r="E64" s="534">
        <f>SUM(E63)</f>
        <v>8874.6</v>
      </c>
      <c r="F64" s="535"/>
      <c r="G64" s="535"/>
      <c r="H64" s="536">
        <f>SUM(H63)</f>
        <v>8813.2000000000007</v>
      </c>
      <c r="I64" s="2"/>
    </row>
    <row r="65" spans="1:9" ht="15" thickTop="1" x14ac:dyDescent="0.4">
      <c r="A65" s="13"/>
      <c r="B65" s="13"/>
      <c r="C65" s="51"/>
      <c r="D65" s="13"/>
      <c r="E65" s="13"/>
      <c r="F65" s="13"/>
      <c r="G65" s="13"/>
      <c r="H65" s="26"/>
      <c r="I65" s="2"/>
    </row>
    <row r="66" spans="1:9" ht="19.5" customHeight="1" x14ac:dyDescent="0.5">
      <c r="A66" s="978" t="s">
        <v>149</v>
      </c>
      <c r="B66" s="979"/>
      <c r="C66" s="979"/>
      <c r="D66" s="979"/>
      <c r="E66" s="979"/>
      <c r="F66" s="979"/>
      <c r="G66" s="979"/>
      <c r="H66" s="979"/>
      <c r="I66" s="7"/>
    </row>
    <row r="67" spans="1:9" x14ac:dyDescent="0.4">
      <c r="A67" s="480"/>
      <c r="B67" s="538" t="s">
        <v>150</v>
      </c>
      <c r="C67" s="504"/>
      <c r="D67" s="455"/>
      <c r="E67" s="455"/>
      <c r="F67" s="455"/>
      <c r="G67" s="455"/>
      <c r="H67" s="455"/>
      <c r="I67" s="2"/>
    </row>
    <row r="68" spans="1:9" x14ac:dyDescent="0.4">
      <c r="A68" s="480"/>
      <c r="B68" s="487" t="s">
        <v>151</v>
      </c>
      <c r="C68" s="488"/>
      <c r="D68" s="487"/>
      <c r="E68" s="489">
        <f>SUM(E4+E5+E6+E7+E8+E9+E15+E16+E33)</f>
        <v>5470785.5965</v>
      </c>
      <c r="F68" s="541"/>
      <c r="G68" s="541"/>
      <c r="H68" s="531">
        <v>5026565</v>
      </c>
      <c r="I68" s="2"/>
    </row>
    <row r="69" spans="1:9" x14ac:dyDescent="0.4">
      <c r="A69" s="481"/>
      <c r="B69" s="491" t="s">
        <v>152</v>
      </c>
      <c r="C69" s="492"/>
      <c r="D69" s="492"/>
      <c r="E69" s="539">
        <v>1.4500000000000001E-2</v>
      </c>
      <c r="F69" s="540"/>
      <c r="G69" s="540"/>
      <c r="H69" s="539">
        <v>1.4500000000000001E-2</v>
      </c>
      <c r="I69" s="2"/>
    </row>
    <row r="70" spans="1:9" x14ac:dyDescent="0.4">
      <c r="A70" s="480"/>
      <c r="B70" s="496" t="s">
        <v>153</v>
      </c>
      <c r="C70" s="497"/>
      <c r="D70" s="455"/>
      <c r="E70" s="489">
        <f>(E68*E69)</f>
        <v>79326.391149250005</v>
      </c>
      <c r="F70" s="541"/>
      <c r="G70" s="541"/>
      <c r="H70" s="490">
        <f>H68*H69</f>
        <v>72885.192500000005</v>
      </c>
      <c r="I70" s="2"/>
    </row>
    <row r="71" spans="1:9" x14ac:dyDescent="0.4">
      <c r="A71" s="480"/>
      <c r="B71" s="538"/>
      <c r="C71" s="504"/>
      <c r="D71" s="455"/>
      <c r="E71" s="542"/>
      <c r="F71" s="542"/>
      <c r="G71" s="542"/>
      <c r="H71" s="542"/>
      <c r="I71" s="2"/>
    </row>
    <row r="72" spans="1:9" x14ac:dyDescent="0.4">
      <c r="A72" s="480"/>
      <c r="B72" s="538"/>
      <c r="C72" s="504"/>
      <c r="D72" s="455"/>
      <c r="E72" s="542"/>
      <c r="F72" s="542"/>
      <c r="G72" s="542"/>
      <c r="H72" s="542"/>
      <c r="I72" s="2"/>
    </row>
    <row r="73" spans="1:9" x14ac:dyDescent="0.4">
      <c r="A73" s="480"/>
      <c r="B73" s="538" t="s">
        <v>154</v>
      </c>
      <c r="C73" s="504"/>
      <c r="D73" s="455"/>
      <c r="E73" s="455"/>
      <c r="F73" s="455"/>
      <c r="G73" s="455"/>
      <c r="H73" s="455"/>
      <c r="I73" s="2"/>
    </row>
    <row r="74" spans="1:9" x14ac:dyDescent="0.4">
      <c r="A74" s="128" t="s">
        <v>155</v>
      </c>
      <c r="B74" s="487" t="s">
        <v>156</v>
      </c>
      <c r="C74" s="488"/>
      <c r="D74" s="487"/>
      <c r="E74" s="543">
        <v>5000</v>
      </c>
      <c r="F74" s="490"/>
      <c r="G74" s="490"/>
      <c r="H74" s="490">
        <v>5000</v>
      </c>
      <c r="I74" s="2"/>
    </row>
    <row r="75" spans="1:9" x14ac:dyDescent="0.4">
      <c r="A75" s="481"/>
      <c r="B75" s="491" t="s">
        <v>157</v>
      </c>
      <c r="C75" s="492"/>
      <c r="D75" s="491"/>
      <c r="E75" s="544">
        <v>6.2E-2</v>
      </c>
      <c r="F75" s="540"/>
      <c r="G75" s="540"/>
      <c r="H75" s="539">
        <v>6.2E-2</v>
      </c>
      <c r="I75" s="2"/>
    </row>
    <row r="76" spans="1:9" x14ac:dyDescent="0.4">
      <c r="A76" s="482"/>
      <c r="B76" s="496" t="s">
        <v>153</v>
      </c>
      <c r="C76" s="497"/>
      <c r="D76" s="455"/>
      <c r="E76" s="489">
        <f>E74*E75</f>
        <v>310</v>
      </c>
      <c r="F76" s="542"/>
      <c r="G76" s="542"/>
      <c r="H76" s="490">
        <f>H74*H75</f>
        <v>310</v>
      </c>
      <c r="I76" s="2"/>
    </row>
    <row r="77" spans="1:9" x14ac:dyDescent="0.4">
      <c r="A77" s="480"/>
      <c r="B77" s="498"/>
      <c r="C77" s="502"/>
      <c r="D77" s="498"/>
      <c r="E77" s="486"/>
      <c r="F77" s="486"/>
      <c r="G77" s="486"/>
      <c r="H77" s="486"/>
      <c r="I77" s="2"/>
    </row>
    <row r="78" spans="1:9" ht="15" thickBot="1" x14ac:dyDescent="0.45">
      <c r="A78" s="480"/>
      <c r="B78" s="454"/>
      <c r="C78" s="497"/>
      <c r="D78" s="524">
        <f>(E78-H78)/H78</f>
        <v>8.8000296593932714E-2</v>
      </c>
      <c r="E78" s="465">
        <f>SUM(E70+E76)</f>
        <v>79636.391149250005</v>
      </c>
      <c r="F78" s="545"/>
      <c r="G78" s="545"/>
      <c r="H78" s="467">
        <f>SUM(H70+H76)</f>
        <v>73195.192500000005</v>
      </c>
      <c r="I78" s="2"/>
    </row>
    <row r="79" spans="1:9" ht="15.45" thickTop="1" thickBot="1" x14ac:dyDescent="0.45">
      <c r="A79" s="13"/>
      <c r="C79" s="451"/>
      <c r="H79" s="3"/>
      <c r="I79" s="2"/>
    </row>
    <row r="80" spans="1:9" ht="15" thickBot="1" x14ac:dyDescent="0.45">
      <c r="A80" s="13"/>
      <c r="B80" s="546" t="s">
        <v>158</v>
      </c>
      <c r="C80" s="547"/>
      <c r="D80" s="524">
        <f>(E80-H80)/H80</f>
        <v>9.140349276731817E-2</v>
      </c>
      <c r="E80" s="548">
        <f>SUM(E11+E35+E44+E60+E64+E78)</f>
        <v>7338503.6530429404</v>
      </c>
      <c r="F80" s="549"/>
      <c r="G80" s="549"/>
      <c r="H80" s="550">
        <f>SUM(H11+H35+H44+H60+H64+H78)</f>
        <v>6723914.3925000001</v>
      </c>
      <c r="I80" s="2"/>
    </row>
    <row r="81" spans="1:9" ht="13.5" customHeight="1" x14ac:dyDescent="0.4">
      <c r="A81" s="13"/>
      <c r="B81" s="13"/>
      <c r="C81" s="51"/>
      <c r="D81" s="86"/>
      <c r="E81" s="13"/>
      <c r="F81" s="13"/>
      <c r="G81" s="13"/>
      <c r="H81" s="26"/>
      <c r="I81" s="2"/>
    </row>
    <row r="82" spans="1:9" x14ac:dyDescent="0.4">
      <c r="C82" s="451"/>
      <c r="I82" s="58"/>
    </row>
    <row r="83" spans="1:9" x14ac:dyDescent="0.4">
      <c r="C83" s="451"/>
      <c r="I83" s="58"/>
    </row>
    <row r="84" spans="1:9" x14ac:dyDescent="0.4">
      <c r="I84" s="58"/>
    </row>
    <row r="85" spans="1:9" x14ac:dyDescent="0.4">
      <c r="I85" s="58"/>
    </row>
    <row r="86" spans="1:9" x14ac:dyDescent="0.4">
      <c r="I86" s="58"/>
    </row>
    <row r="87" spans="1:9" x14ac:dyDescent="0.4">
      <c r="I87" s="58"/>
    </row>
    <row r="88" spans="1:9" x14ac:dyDescent="0.4">
      <c r="I88" s="58"/>
    </row>
    <row r="89" spans="1:9" x14ac:dyDescent="0.4">
      <c r="I89" s="58"/>
    </row>
    <row r="90" spans="1:9" x14ac:dyDescent="0.4">
      <c r="I90" s="58"/>
    </row>
    <row r="91" spans="1:9" x14ac:dyDescent="0.4">
      <c r="I91" s="58"/>
    </row>
    <row r="92" spans="1:9" x14ac:dyDescent="0.4">
      <c r="I92" s="58"/>
    </row>
    <row r="93" spans="1:9" x14ac:dyDescent="0.4">
      <c r="I93" s="58"/>
    </row>
    <row r="94" spans="1:9" x14ac:dyDescent="0.4">
      <c r="I94" s="58"/>
    </row>
    <row r="95" spans="1:9" x14ac:dyDescent="0.4">
      <c r="I95" s="58"/>
    </row>
    <row r="96" spans="1:9" x14ac:dyDescent="0.4">
      <c r="I96" s="58"/>
    </row>
    <row r="97" spans="9:9" x14ac:dyDescent="0.4">
      <c r="I97" s="58"/>
    </row>
    <row r="98" spans="9:9" x14ac:dyDescent="0.4">
      <c r="I98" s="58"/>
    </row>
    <row r="99" spans="9:9" x14ac:dyDescent="0.4">
      <c r="I99" s="58"/>
    </row>
    <row r="100" spans="9:9" x14ac:dyDescent="0.4">
      <c r="I100" s="58"/>
    </row>
    <row r="101" spans="9:9" x14ac:dyDescent="0.4">
      <c r="I101" s="58"/>
    </row>
    <row r="102" spans="9:9" x14ac:dyDescent="0.4">
      <c r="I102" s="58"/>
    </row>
    <row r="103" spans="9:9" x14ac:dyDescent="0.4">
      <c r="I103" s="58"/>
    </row>
    <row r="104" spans="9:9" x14ac:dyDescent="0.4">
      <c r="I104" s="58"/>
    </row>
    <row r="105" spans="9:9" x14ac:dyDescent="0.4">
      <c r="I105" s="58"/>
    </row>
    <row r="106" spans="9:9" x14ac:dyDescent="0.4">
      <c r="I106" s="58"/>
    </row>
    <row r="107" spans="9:9" x14ac:dyDescent="0.4">
      <c r="I107" s="58"/>
    </row>
    <row r="108" spans="9:9" x14ac:dyDescent="0.4">
      <c r="I108" s="58"/>
    </row>
    <row r="109" spans="9:9" x14ac:dyDescent="0.4">
      <c r="I109" s="58"/>
    </row>
    <row r="110" spans="9:9" x14ac:dyDescent="0.4">
      <c r="I110" s="58"/>
    </row>
    <row r="111" spans="9:9" x14ac:dyDescent="0.4">
      <c r="I111" s="58"/>
    </row>
    <row r="112" spans="9:9" x14ac:dyDescent="0.4">
      <c r="I112" s="58"/>
    </row>
    <row r="113" spans="9:9" x14ac:dyDescent="0.4">
      <c r="I113" s="58"/>
    </row>
    <row r="114" spans="9:9" x14ac:dyDescent="0.4">
      <c r="I114" s="58"/>
    </row>
    <row r="115" spans="9:9" x14ac:dyDescent="0.4">
      <c r="I115" s="58"/>
    </row>
    <row r="116" spans="9:9" x14ac:dyDescent="0.4">
      <c r="I116" s="58"/>
    </row>
    <row r="117" spans="9:9" x14ac:dyDescent="0.4">
      <c r="I117" s="58"/>
    </row>
    <row r="118" spans="9:9" x14ac:dyDescent="0.4">
      <c r="I118" s="58"/>
    </row>
    <row r="119" spans="9:9" x14ac:dyDescent="0.4">
      <c r="I119" s="58"/>
    </row>
    <row r="120" spans="9:9" x14ac:dyDescent="0.4">
      <c r="I120" s="58"/>
    </row>
    <row r="121" spans="9:9" x14ac:dyDescent="0.4">
      <c r="I121" s="58"/>
    </row>
    <row r="122" spans="9:9" x14ac:dyDescent="0.4">
      <c r="I122" s="58"/>
    </row>
    <row r="123" spans="9:9" x14ac:dyDescent="0.4">
      <c r="I123" s="58"/>
    </row>
    <row r="124" spans="9:9" x14ac:dyDescent="0.4">
      <c r="I124" s="58"/>
    </row>
    <row r="125" spans="9:9" x14ac:dyDescent="0.4">
      <c r="I125" s="58"/>
    </row>
    <row r="126" spans="9:9" x14ac:dyDescent="0.4">
      <c r="I126" s="58"/>
    </row>
    <row r="127" spans="9:9" x14ac:dyDescent="0.4">
      <c r="I127" s="58"/>
    </row>
    <row r="128" spans="9:9" x14ac:dyDescent="0.4">
      <c r="I128" s="58"/>
    </row>
    <row r="129" spans="9:9" x14ac:dyDescent="0.4">
      <c r="I129" s="58"/>
    </row>
    <row r="130" spans="9:9" x14ac:dyDescent="0.4">
      <c r="I130" s="58"/>
    </row>
    <row r="131" spans="9:9" x14ac:dyDescent="0.4">
      <c r="I131" s="58"/>
    </row>
    <row r="132" spans="9:9" x14ac:dyDescent="0.4">
      <c r="I132" s="58"/>
    </row>
    <row r="133" spans="9:9" x14ac:dyDescent="0.4">
      <c r="I133" s="58"/>
    </row>
    <row r="134" spans="9:9" x14ac:dyDescent="0.4">
      <c r="I134" s="58"/>
    </row>
    <row r="135" spans="9:9" x14ac:dyDescent="0.4">
      <c r="I135" s="58"/>
    </row>
    <row r="136" spans="9:9" x14ac:dyDescent="0.4">
      <c r="I136" s="58"/>
    </row>
    <row r="137" spans="9:9" x14ac:dyDescent="0.4">
      <c r="I137" s="58"/>
    </row>
    <row r="138" spans="9:9" x14ac:dyDescent="0.4">
      <c r="I138" s="58"/>
    </row>
    <row r="139" spans="9:9" x14ac:dyDescent="0.4">
      <c r="I139" s="58"/>
    </row>
    <row r="140" spans="9:9" x14ac:dyDescent="0.4">
      <c r="I140" s="58"/>
    </row>
    <row r="141" spans="9:9" x14ac:dyDescent="0.4">
      <c r="I141" s="58"/>
    </row>
    <row r="142" spans="9:9" x14ac:dyDescent="0.4">
      <c r="I142" s="58"/>
    </row>
    <row r="143" spans="9:9" x14ac:dyDescent="0.4">
      <c r="I143" s="58"/>
    </row>
    <row r="144" spans="9:9" x14ac:dyDescent="0.4">
      <c r="I144" s="58"/>
    </row>
    <row r="145" spans="9:9" x14ac:dyDescent="0.4">
      <c r="I145" s="58"/>
    </row>
    <row r="146" spans="9:9" x14ac:dyDescent="0.4">
      <c r="I146" s="58"/>
    </row>
    <row r="147" spans="9:9" x14ac:dyDescent="0.4">
      <c r="I147" s="58"/>
    </row>
    <row r="148" spans="9:9" x14ac:dyDescent="0.4">
      <c r="I148" s="58"/>
    </row>
    <row r="149" spans="9:9" x14ac:dyDescent="0.4">
      <c r="I149" s="58"/>
    </row>
    <row r="150" spans="9:9" x14ac:dyDescent="0.4">
      <c r="I150" s="58"/>
    </row>
    <row r="151" spans="9:9" x14ac:dyDescent="0.4">
      <c r="I151" s="58"/>
    </row>
    <row r="152" spans="9:9" x14ac:dyDescent="0.4">
      <c r="I152" s="58"/>
    </row>
    <row r="153" spans="9:9" x14ac:dyDescent="0.4">
      <c r="I153" s="58"/>
    </row>
    <row r="154" spans="9:9" x14ac:dyDescent="0.4">
      <c r="I154" s="58"/>
    </row>
    <row r="155" spans="9:9" x14ac:dyDescent="0.4">
      <c r="I155" s="58"/>
    </row>
    <row r="156" spans="9:9" x14ac:dyDescent="0.4">
      <c r="I156" s="58"/>
    </row>
    <row r="157" spans="9:9" x14ac:dyDescent="0.4">
      <c r="I157" s="58"/>
    </row>
    <row r="158" spans="9:9" x14ac:dyDescent="0.4">
      <c r="I158" s="58"/>
    </row>
    <row r="159" spans="9:9" x14ac:dyDescent="0.4">
      <c r="I159" s="58"/>
    </row>
    <row r="160" spans="9:9" x14ac:dyDescent="0.4">
      <c r="I160" s="58"/>
    </row>
    <row r="161" spans="9:9" x14ac:dyDescent="0.4">
      <c r="I161" s="58"/>
    </row>
    <row r="162" spans="9:9" x14ac:dyDescent="0.4">
      <c r="I162" s="58"/>
    </row>
    <row r="163" spans="9:9" x14ac:dyDescent="0.4">
      <c r="I163" s="58"/>
    </row>
    <row r="164" spans="9:9" x14ac:dyDescent="0.4">
      <c r="I164" s="58"/>
    </row>
    <row r="165" spans="9:9" x14ac:dyDescent="0.4">
      <c r="I165" s="58"/>
    </row>
    <row r="166" spans="9:9" x14ac:dyDescent="0.4">
      <c r="I166" s="58"/>
    </row>
    <row r="167" spans="9:9" x14ac:dyDescent="0.4">
      <c r="I167" s="58"/>
    </row>
    <row r="168" spans="9:9" x14ac:dyDescent="0.4">
      <c r="I168" s="58"/>
    </row>
    <row r="169" spans="9:9" x14ac:dyDescent="0.4">
      <c r="I169" s="58"/>
    </row>
    <row r="170" spans="9:9" x14ac:dyDescent="0.4">
      <c r="I170" s="58"/>
    </row>
    <row r="171" spans="9:9" x14ac:dyDescent="0.4">
      <c r="I171" s="58"/>
    </row>
    <row r="172" spans="9:9" x14ac:dyDescent="0.4">
      <c r="I172" s="58"/>
    </row>
    <row r="173" spans="9:9" x14ac:dyDescent="0.4">
      <c r="I173" s="58"/>
    </row>
    <row r="174" spans="9:9" x14ac:dyDescent="0.4">
      <c r="I174" s="58"/>
    </row>
    <row r="175" spans="9:9" x14ac:dyDescent="0.4">
      <c r="I175" s="58"/>
    </row>
    <row r="176" spans="9:9" x14ac:dyDescent="0.4">
      <c r="I176" s="58"/>
    </row>
    <row r="177" spans="9:9" x14ac:dyDescent="0.4">
      <c r="I177" s="58"/>
    </row>
    <row r="178" spans="9:9" x14ac:dyDescent="0.4">
      <c r="I178" s="58"/>
    </row>
    <row r="179" spans="9:9" x14ac:dyDescent="0.4">
      <c r="I179" s="58"/>
    </row>
    <row r="180" spans="9:9" x14ac:dyDescent="0.4">
      <c r="I180" s="58"/>
    </row>
    <row r="181" spans="9:9" x14ac:dyDescent="0.4">
      <c r="I181" s="58"/>
    </row>
    <row r="182" spans="9:9" x14ac:dyDescent="0.4">
      <c r="I182" s="58"/>
    </row>
    <row r="183" spans="9:9" x14ac:dyDescent="0.4">
      <c r="I183" s="58"/>
    </row>
    <row r="184" spans="9:9" x14ac:dyDescent="0.4">
      <c r="I184" s="58"/>
    </row>
    <row r="185" spans="9:9" x14ac:dyDescent="0.4">
      <c r="I185" s="58"/>
    </row>
    <row r="186" spans="9:9" x14ac:dyDescent="0.4">
      <c r="I186" s="58"/>
    </row>
    <row r="187" spans="9:9" x14ac:dyDescent="0.4">
      <c r="I187" s="58"/>
    </row>
    <row r="188" spans="9:9" x14ac:dyDescent="0.4">
      <c r="I188" s="58"/>
    </row>
    <row r="189" spans="9:9" x14ac:dyDescent="0.4">
      <c r="I189" s="58"/>
    </row>
    <row r="190" spans="9:9" x14ac:dyDescent="0.4">
      <c r="I190" s="58"/>
    </row>
    <row r="191" spans="9:9" x14ac:dyDescent="0.4">
      <c r="I191" s="58"/>
    </row>
    <row r="192" spans="9:9" x14ac:dyDescent="0.4">
      <c r="I192" s="58"/>
    </row>
    <row r="193" spans="9:9" x14ac:dyDescent="0.4">
      <c r="I193" s="58"/>
    </row>
    <row r="194" spans="9:9" x14ac:dyDescent="0.4">
      <c r="I194" s="58"/>
    </row>
    <row r="195" spans="9:9" x14ac:dyDescent="0.4">
      <c r="I195" s="58"/>
    </row>
    <row r="196" spans="9:9" x14ac:dyDescent="0.4">
      <c r="I196" s="58"/>
    </row>
    <row r="197" spans="9:9" x14ac:dyDescent="0.4">
      <c r="I197" s="58"/>
    </row>
    <row r="198" spans="9:9" x14ac:dyDescent="0.4">
      <c r="I198" s="58"/>
    </row>
    <row r="199" spans="9:9" x14ac:dyDescent="0.4">
      <c r="I199" s="58"/>
    </row>
    <row r="200" spans="9:9" x14ac:dyDescent="0.4">
      <c r="I200" s="58"/>
    </row>
    <row r="201" spans="9:9" x14ac:dyDescent="0.4">
      <c r="I201" s="58"/>
    </row>
    <row r="202" spans="9:9" x14ac:dyDescent="0.4">
      <c r="I202" s="58"/>
    </row>
    <row r="203" spans="9:9" x14ac:dyDescent="0.4">
      <c r="I203" s="58"/>
    </row>
    <row r="204" spans="9:9" x14ac:dyDescent="0.4">
      <c r="I204" s="58"/>
    </row>
    <row r="205" spans="9:9" x14ac:dyDescent="0.4">
      <c r="I205" s="58"/>
    </row>
    <row r="206" spans="9:9" x14ac:dyDescent="0.4">
      <c r="I206" s="58"/>
    </row>
    <row r="207" spans="9:9" x14ac:dyDescent="0.4">
      <c r="I207" s="58"/>
    </row>
    <row r="208" spans="9:9" x14ac:dyDescent="0.4">
      <c r="I208" s="58"/>
    </row>
    <row r="209" spans="9:9" x14ac:dyDescent="0.4">
      <c r="I209" s="58"/>
    </row>
    <row r="210" spans="9:9" x14ac:dyDescent="0.4">
      <c r="I210" s="58"/>
    </row>
    <row r="211" spans="9:9" x14ac:dyDescent="0.4">
      <c r="I211" s="58"/>
    </row>
    <row r="212" spans="9:9" x14ac:dyDescent="0.4">
      <c r="I212" s="58"/>
    </row>
    <row r="213" spans="9:9" x14ac:dyDescent="0.4">
      <c r="I213" s="58"/>
    </row>
    <row r="214" spans="9:9" x14ac:dyDescent="0.4">
      <c r="I214" s="58"/>
    </row>
    <row r="215" spans="9:9" x14ac:dyDescent="0.4">
      <c r="I215" s="58"/>
    </row>
    <row r="216" spans="9:9" x14ac:dyDescent="0.4">
      <c r="I216" s="58"/>
    </row>
    <row r="217" spans="9:9" x14ac:dyDescent="0.4">
      <c r="I217" s="58"/>
    </row>
    <row r="218" spans="9:9" x14ac:dyDescent="0.4">
      <c r="I218" s="58"/>
    </row>
    <row r="219" spans="9:9" x14ac:dyDescent="0.4">
      <c r="I219" s="58"/>
    </row>
    <row r="220" spans="9:9" x14ac:dyDescent="0.4">
      <c r="I220" s="58"/>
    </row>
    <row r="221" spans="9:9" x14ac:dyDescent="0.4">
      <c r="I221" s="58"/>
    </row>
    <row r="222" spans="9:9" x14ac:dyDescent="0.4">
      <c r="I222" s="58"/>
    </row>
    <row r="223" spans="9:9" x14ac:dyDescent="0.4">
      <c r="I223" s="58"/>
    </row>
    <row r="224" spans="9:9" x14ac:dyDescent="0.4">
      <c r="I224" s="58"/>
    </row>
    <row r="225" spans="9:9" x14ac:dyDescent="0.4">
      <c r="I225" s="58"/>
    </row>
    <row r="226" spans="9:9" x14ac:dyDescent="0.4">
      <c r="I226" s="58"/>
    </row>
    <row r="227" spans="9:9" x14ac:dyDescent="0.4">
      <c r="I227" s="58"/>
    </row>
    <row r="228" spans="9:9" x14ac:dyDescent="0.4">
      <c r="I228" s="58"/>
    </row>
    <row r="229" spans="9:9" x14ac:dyDescent="0.4">
      <c r="I229" s="58"/>
    </row>
    <row r="230" spans="9:9" x14ac:dyDescent="0.4">
      <c r="I230" s="58"/>
    </row>
    <row r="231" spans="9:9" x14ac:dyDescent="0.4">
      <c r="I231" s="58"/>
    </row>
    <row r="232" spans="9:9" x14ac:dyDescent="0.4">
      <c r="I232" s="58"/>
    </row>
    <row r="233" spans="9:9" x14ac:dyDescent="0.4">
      <c r="I233" s="58"/>
    </row>
    <row r="234" spans="9:9" x14ac:dyDescent="0.4">
      <c r="I234" s="58"/>
    </row>
    <row r="235" spans="9:9" x14ac:dyDescent="0.4">
      <c r="I235" s="58"/>
    </row>
    <row r="236" spans="9:9" x14ac:dyDescent="0.4">
      <c r="I236" s="58"/>
    </row>
    <row r="237" spans="9:9" x14ac:dyDescent="0.4">
      <c r="I237" s="58"/>
    </row>
    <row r="238" spans="9:9" x14ac:dyDescent="0.4">
      <c r="I238" s="58"/>
    </row>
    <row r="239" spans="9:9" x14ac:dyDescent="0.4">
      <c r="I239" s="58"/>
    </row>
    <row r="240" spans="9:9" x14ac:dyDescent="0.4">
      <c r="I240" s="58"/>
    </row>
    <row r="241" spans="9:9" x14ac:dyDescent="0.4">
      <c r="I241" s="58"/>
    </row>
    <row r="242" spans="9:9" x14ac:dyDescent="0.4">
      <c r="I242" s="58"/>
    </row>
    <row r="243" spans="9:9" x14ac:dyDescent="0.4">
      <c r="I243" s="58"/>
    </row>
    <row r="244" spans="9:9" x14ac:dyDescent="0.4">
      <c r="I244" s="58"/>
    </row>
    <row r="245" spans="9:9" x14ac:dyDescent="0.4">
      <c r="I245" s="58"/>
    </row>
    <row r="246" spans="9:9" x14ac:dyDescent="0.4">
      <c r="I246" s="58"/>
    </row>
    <row r="247" spans="9:9" x14ac:dyDescent="0.4">
      <c r="I247" s="58"/>
    </row>
    <row r="248" spans="9:9" x14ac:dyDescent="0.4">
      <c r="I248" s="58"/>
    </row>
    <row r="249" spans="9:9" x14ac:dyDescent="0.4">
      <c r="I249" s="58"/>
    </row>
    <row r="250" spans="9:9" x14ac:dyDescent="0.4">
      <c r="I250" s="58"/>
    </row>
    <row r="251" spans="9:9" x14ac:dyDescent="0.4">
      <c r="I251" s="58"/>
    </row>
    <row r="252" spans="9:9" x14ac:dyDescent="0.4">
      <c r="I252" s="58"/>
    </row>
    <row r="253" spans="9:9" x14ac:dyDescent="0.4">
      <c r="I253" s="58"/>
    </row>
    <row r="254" spans="9:9" x14ac:dyDescent="0.4">
      <c r="I254" s="58"/>
    </row>
    <row r="255" spans="9:9" x14ac:dyDescent="0.4">
      <c r="I255" s="58"/>
    </row>
    <row r="256" spans="9:9" x14ac:dyDescent="0.4">
      <c r="I256" s="58"/>
    </row>
    <row r="257" spans="9:9" x14ac:dyDescent="0.4">
      <c r="I257" s="58"/>
    </row>
    <row r="258" spans="9:9" x14ac:dyDescent="0.4">
      <c r="I258" s="58"/>
    </row>
    <row r="259" spans="9:9" x14ac:dyDescent="0.4">
      <c r="I259" s="58"/>
    </row>
    <row r="260" spans="9:9" x14ac:dyDescent="0.4">
      <c r="I260" s="58"/>
    </row>
    <row r="261" spans="9:9" x14ac:dyDescent="0.4">
      <c r="I261" s="58"/>
    </row>
    <row r="262" spans="9:9" x14ac:dyDescent="0.4">
      <c r="I262" s="58"/>
    </row>
    <row r="263" spans="9:9" x14ac:dyDescent="0.4">
      <c r="I263" s="58"/>
    </row>
    <row r="264" spans="9:9" x14ac:dyDescent="0.4">
      <c r="I264" s="58"/>
    </row>
    <row r="265" spans="9:9" x14ac:dyDescent="0.4">
      <c r="I265" s="58"/>
    </row>
    <row r="266" spans="9:9" x14ac:dyDescent="0.4">
      <c r="I266" s="58"/>
    </row>
    <row r="267" spans="9:9" x14ac:dyDescent="0.4">
      <c r="I267" s="58"/>
    </row>
    <row r="268" spans="9:9" x14ac:dyDescent="0.4">
      <c r="I268" s="58"/>
    </row>
    <row r="269" spans="9:9" x14ac:dyDescent="0.4">
      <c r="I269" s="58"/>
    </row>
    <row r="270" spans="9:9" x14ac:dyDescent="0.4">
      <c r="I270" s="58"/>
    </row>
    <row r="271" spans="9:9" x14ac:dyDescent="0.4">
      <c r="I271" s="58"/>
    </row>
    <row r="272" spans="9:9" x14ac:dyDescent="0.4">
      <c r="I272" s="58"/>
    </row>
    <row r="273" spans="9:9" x14ac:dyDescent="0.4">
      <c r="I273" s="58"/>
    </row>
    <row r="274" spans="9:9" x14ac:dyDescent="0.4">
      <c r="I274" s="58"/>
    </row>
    <row r="275" spans="9:9" x14ac:dyDescent="0.4">
      <c r="I275" s="58"/>
    </row>
    <row r="276" spans="9:9" x14ac:dyDescent="0.4">
      <c r="I276" s="58"/>
    </row>
    <row r="277" spans="9:9" x14ac:dyDescent="0.4">
      <c r="I277" s="58"/>
    </row>
    <row r="278" spans="9:9" x14ac:dyDescent="0.4">
      <c r="I278" s="58"/>
    </row>
    <row r="279" spans="9:9" x14ac:dyDescent="0.4">
      <c r="I279" s="58"/>
    </row>
    <row r="280" spans="9:9" x14ac:dyDescent="0.4">
      <c r="I280" s="58"/>
    </row>
    <row r="281" spans="9:9" x14ac:dyDescent="0.4">
      <c r="I281" s="58"/>
    </row>
    <row r="282" spans="9:9" x14ac:dyDescent="0.4">
      <c r="I282" s="58"/>
    </row>
    <row r="283" spans="9:9" x14ac:dyDescent="0.4">
      <c r="I283" s="58"/>
    </row>
    <row r="284" spans="9:9" x14ac:dyDescent="0.4">
      <c r="I284" s="58"/>
    </row>
    <row r="285" spans="9:9" x14ac:dyDescent="0.4">
      <c r="I285" s="58"/>
    </row>
    <row r="286" spans="9:9" x14ac:dyDescent="0.4">
      <c r="I286" s="58"/>
    </row>
    <row r="287" spans="9:9" x14ac:dyDescent="0.4">
      <c r="I287" s="58"/>
    </row>
    <row r="288" spans="9:9" x14ac:dyDescent="0.4">
      <c r="I288" s="58"/>
    </row>
    <row r="289" spans="9:9" x14ac:dyDescent="0.4">
      <c r="I289" s="58"/>
    </row>
    <row r="290" spans="9:9" x14ac:dyDescent="0.4">
      <c r="I290" s="58"/>
    </row>
    <row r="291" spans="9:9" x14ac:dyDescent="0.4">
      <c r="I291" s="58"/>
    </row>
    <row r="292" spans="9:9" x14ac:dyDescent="0.4">
      <c r="I292" s="58"/>
    </row>
    <row r="293" spans="9:9" x14ac:dyDescent="0.4">
      <c r="I293" s="58"/>
    </row>
    <row r="294" spans="9:9" x14ac:dyDescent="0.4">
      <c r="I294" s="58"/>
    </row>
    <row r="295" spans="9:9" x14ac:dyDescent="0.4">
      <c r="I295" s="58"/>
    </row>
    <row r="296" spans="9:9" x14ac:dyDescent="0.4">
      <c r="I296" s="58"/>
    </row>
    <row r="297" spans="9:9" x14ac:dyDescent="0.4">
      <c r="I297" s="58"/>
    </row>
    <row r="298" spans="9:9" x14ac:dyDescent="0.4">
      <c r="I298" s="58"/>
    </row>
    <row r="299" spans="9:9" x14ac:dyDescent="0.4">
      <c r="I299" s="58"/>
    </row>
    <row r="300" spans="9:9" x14ac:dyDescent="0.4">
      <c r="I300" s="58"/>
    </row>
    <row r="301" spans="9:9" x14ac:dyDescent="0.4">
      <c r="I301" s="58"/>
    </row>
    <row r="302" spans="9:9" x14ac:dyDescent="0.4">
      <c r="I302" s="58"/>
    </row>
    <row r="303" spans="9:9" x14ac:dyDescent="0.4">
      <c r="I303" s="58"/>
    </row>
    <row r="304" spans="9:9" x14ac:dyDescent="0.4">
      <c r="I304" s="58"/>
    </row>
    <row r="305" spans="9:9" x14ac:dyDescent="0.4">
      <c r="I305" s="58"/>
    </row>
    <row r="306" spans="9:9" x14ac:dyDescent="0.4">
      <c r="I306" s="58"/>
    </row>
    <row r="307" spans="9:9" x14ac:dyDescent="0.4">
      <c r="I307" s="58"/>
    </row>
    <row r="308" spans="9:9" x14ac:dyDescent="0.4">
      <c r="I308" s="58"/>
    </row>
    <row r="309" spans="9:9" x14ac:dyDescent="0.4">
      <c r="I309" s="58"/>
    </row>
    <row r="310" spans="9:9" x14ac:dyDescent="0.4">
      <c r="I310" s="58"/>
    </row>
    <row r="311" spans="9:9" x14ac:dyDescent="0.4">
      <c r="I311" s="58"/>
    </row>
    <row r="312" spans="9:9" x14ac:dyDescent="0.4">
      <c r="I312" s="58"/>
    </row>
    <row r="313" spans="9:9" x14ac:dyDescent="0.4">
      <c r="I313" s="58"/>
    </row>
    <row r="314" spans="9:9" x14ac:dyDescent="0.4">
      <c r="I314" s="58"/>
    </row>
    <row r="315" spans="9:9" x14ac:dyDescent="0.4">
      <c r="I315" s="58"/>
    </row>
    <row r="316" spans="9:9" x14ac:dyDescent="0.4">
      <c r="I316" s="58"/>
    </row>
    <row r="317" spans="9:9" x14ac:dyDescent="0.4">
      <c r="I317" s="58"/>
    </row>
    <row r="318" spans="9:9" x14ac:dyDescent="0.4">
      <c r="I318" s="58"/>
    </row>
    <row r="319" spans="9:9" x14ac:dyDescent="0.4">
      <c r="I319" s="58"/>
    </row>
    <row r="320" spans="9:9" x14ac:dyDescent="0.4">
      <c r="I320" s="58"/>
    </row>
    <row r="321" spans="9:9" x14ac:dyDescent="0.4">
      <c r="I321" s="58"/>
    </row>
    <row r="322" spans="9:9" x14ac:dyDescent="0.4">
      <c r="I322" s="58"/>
    </row>
    <row r="323" spans="9:9" x14ac:dyDescent="0.4">
      <c r="I323" s="58"/>
    </row>
    <row r="324" spans="9:9" x14ac:dyDescent="0.4">
      <c r="I324" s="58"/>
    </row>
    <row r="325" spans="9:9" x14ac:dyDescent="0.4">
      <c r="I325" s="58"/>
    </row>
    <row r="326" spans="9:9" x14ac:dyDescent="0.4">
      <c r="I326" s="58"/>
    </row>
    <row r="327" spans="9:9" x14ac:dyDescent="0.4">
      <c r="I327" s="58"/>
    </row>
    <row r="328" spans="9:9" x14ac:dyDescent="0.4">
      <c r="I328" s="58"/>
    </row>
    <row r="329" spans="9:9" x14ac:dyDescent="0.4">
      <c r="I329" s="58"/>
    </row>
    <row r="330" spans="9:9" x14ac:dyDescent="0.4">
      <c r="I330" s="58"/>
    </row>
    <row r="331" spans="9:9" x14ac:dyDescent="0.4">
      <c r="I331" s="58"/>
    </row>
    <row r="332" spans="9:9" x14ac:dyDescent="0.4">
      <c r="I332" s="58"/>
    </row>
    <row r="333" spans="9:9" x14ac:dyDescent="0.4">
      <c r="I333" s="58"/>
    </row>
    <row r="334" spans="9:9" x14ac:dyDescent="0.4">
      <c r="I334" s="58"/>
    </row>
    <row r="335" spans="9:9" x14ac:dyDescent="0.4">
      <c r="I335" s="58"/>
    </row>
    <row r="336" spans="9:9" x14ac:dyDescent="0.4">
      <c r="I336" s="58"/>
    </row>
    <row r="337" spans="9:9" x14ac:dyDescent="0.4">
      <c r="I337" s="58"/>
    </row>
    <row r="338" spans="9:9" x14ac:dyDescent="0.4">
      <c r="I338" s="58"/>
    </row>
    <row r="339" spans="9:9" x14ac:dyDescent="0.4">
      <c r="I339" s="58"/>
    </row>
    <row r="340" spans="9:9" x14ac:dyDescent="0.4">
      <c r="I340" s="58"/>
    </row>
    <row r="341" spans="9:9" x14ac:dyDescent="0.4">
      <c r="I341" s="58"/>
    </row>
    <row r="342" spans="9:9" x14ac:dyDescent="0.4">
      <c r="I342" s="58"/>
    </row>
    <row r="343" spans="9:9" x14ac:dyDescent="0.4">
      <c r="I343" s="58"/>
    </row>
    <row r="344" spans="9:9" x14ac:dyDescent="0.4">
      <c r="I344" s="58"/>
    </row>
    <row r="345" spans="9:9" x14ac:dyDescent="0.4">
      <c r="I345" s="58"/>
    </row>
    <row r="346" spans="9:9" x14ac:dyDescent="0.4">
      <c r="I346" s="58"/>
    </row>
    <row r="347" spans="9:9" x14ac:dyDescent="0.4">
      <c r="I347" s="58"/>
    </row>
    <row r="348" spans="9:9" x14ac:dyDescent="0.4">
      <c r="I348" s="58"/>
    </row>
    <row r="349" spans="9:9" x14ac:dyDescent="0.4">
      <c r="I349" s="58"/>
    </row>
    <row r="350" spans="9:9" x14ac:dyDescent="0.4">
      <c r="I350" s="58"/>
    </row>
    <row r="351" spans="9:9" x14ac:dyDescent="0.4">
      <c r="I351" s="58"/>
    </row>
    <row r="352" spans="9:9" x14ac:dyDescent="0.4">
      <c r="I352" s="58"/>
    </row>
    <row r="353" spans="9:9" x14ac:dyDescent="0.4">
      <c r="I353" s="58"/>
    </row>
    <row r="354" spans="9:9" x14ac:dyDescent="0.4">
      <c r="I354" s="58"/>
    </row>
    <row r="355" spans="9:9" x14ac:dyDescent="0.4">
      <c r="I355" s="58"/>
    </row>
    <row r="356" spans="9:9" x14ac:dyDescent="0.4">
      <c r="I356" s="58"/>
    </row>
    <row r="357" spans="9:9" x14ac:dyDescent="0.4">
      <c r="I357" s="58"/>
    </row>
    <row r="358" spans="9:9" x14ac:dyDescent="0.4">
      <c r="I358" s="58"/>
    </row>
    <row r="359" spans="9:9" x14ac:dyDescent="0.4">
      <c r="I359" s="58"/>
    </row>
    <row r="360" spans="9:9" x14ac:dyDescent="0.4">
      <c r="I360" s="58"/>
    </row>
    <row r="361" spans="9:9" x14ac:dyDescent="0.4">
      <c r="I361" s="58"/>
    </row>
    <row r="362" spans="9:9" x14ac:dyDescent="0.4">
      <c r="I362" s="58"/>
    </row>
    <row r="363" spans="9:9" x14ac:dyDescent="0.4">
      <c r="I363" s="58"/>
    </row>
    <row r="364" spans="9:9" x14ac:dyDescent="0.4">
      <c r="I364" s="58"/>
    </row>
    <row r="365" spans="9:9" x14ac:dyDescent="0.4">
      <c r="I365" s="58"/>
    </row>
    <row r="366" spans="9:9" x14ac:dyDescent="0.4">
      <c r="I366" s="58"/>
    </row>
    <row r="367" spans="9:9" x14ac:dyDescent="0.4">
      <c r="I367" s="58"/>
    </row>
    <row r="368" spans="9:9" x14ac:dyDescent="0.4">
      <c r="I368" s="58"/>
    </row>
    <row r="369" spans="9:9" x14ac:dyDescent="0.4">
      <c r="I369" s="58"/>
    </row>
    <row r="370" spans="9:9" x14ac:dyDescent="0.4">
      <c r="I370" s="58"/>
    </row>
    <row r="371" spans="9:9" x14ac:dyDescent="0.4">
      <c r="I371" s="58"/>
    </row>
    <row r="372" spans="9:9" x14ac:dyDescent="0.4">
      <c r="I372" s="58"/>
    </row>
    <row r="373" spans="9:9" x14ac:dyDescent="0.4">
      <c r="I373" s="58"/>
    </row>
    <row r="374" spans="9:9" x14ac:dyDescent="0.4">
      <c r="I374" s="58"/>
    </row>
    <row r="375" spans="9:9" x14ac:dyDescent="0.4">
      <c r="I375" s="58"/>
    </row>
    <row r="376" spans="9:9" x14ac:dyDescent="0.4">
      <c r="I376" s="58"/>
    </row>
    <row r="377" spans="9:9" x14ac:dyDescent="0.4">
      <c r="I377" s="58"/>
    </row>
    <row r="378" spans="9:9" x14ac:dyDescent="0.4">
      <c r="I378" s="58"/>
    </row>
    <row r="379" spans="9:9" x14ac:dyDescent="0.4">
      <c r="I379" s="58"/>
    </row>
    <row r="380" spans="9:9" x14ac:dyDescent="0.4">
      <c r="I380" s="58"/>
    </row>
    <row r="381" spans="9:9" x14ac:dyDescent="0.4">
      <c r="I381" s="58"/>
    </row>
    <row r="382" spans="9:9" x14ac:dyDescent="0.4">
      <c r="I382" s="58"/>
    </row>
    <row r="383" spans="9:9" x14ac:dyDescent="0.4">
      <c r="I383" s="58"/>
    </row>
    <row r="384" spans="9:9" x14ac:dyDescent="0.4">
      <c r="I384" s="58"/>
    </row>
    <row r="385" spans="9:9" x14ac:dyDescent="0.4">
      <c r="I385" s="58"/>
    </row>
    <row r="386" spans="9:9" x14ac:dyDescent="0.4">
      <c r="I386" s="58"/>
    </row>
    <row r="387" spans="9:9" x14ac:dyDescent="0.4">
      <c r="I387" s="58"/>
    </row>
    <row r="388" spans="9:9" x14ac:dyDescent="0.4">
      <c r="I388" s="58"/>
    </row>
    <row r="389" spans="9:9" x14ac:dyDescent="0.4">
      <c r="I389" s="58"/>
    </row>
    <row r="390" spans="9:9" x14ac:dyDescent="0.4">
      <c r="I390" s="58"/>
    </row>
    <row r="391" spans="9:9" x14ac:dyDescent="0.4">
      <c r="I391" s="58"/>
    </row>
    <row r="392" spans="9:9" x14ac:dyDescent="0.4">
      <c r="I392" s="58"/>
    </row>
    <row r="393" spans="9:9" x14ac:dyDescent="0.4">
      <c r="I393" s="58"/>
    </row>
    <row r="394" spans="9:9" x14ac:dyDescent="0.4">
      <c r="I394" s="58"/>
    </row>
    <row r="395" spans="9:9" x14ac:dyDescent="0.4">
      <c r="I395" s="58"/>
    </row>
    <row r="396" spans="9:9" x14ac:dyDescent="0.4">
      <c r="I396" s="58"/>
    </row>
    <row r="397" spans="9:9" x14ac:dyDescent="0.4">
      <c r="I397" s="58"/>
    </row>
    <row r="398" spans="9:9" x14ac:dyDescent="0.4">
      <c r="I398" s="58"/>
    </row>
    <row r="399" spans="9:9" x14ac:dyDescent="0.4">
      <c r="I399" s="58"/>
    </row>
    <row r="400" spans="9:9" x14ac:dyDescent="0.4">
      <c r="I400" s="58"/>
    </row>
    <row r="401" spans="9:9" x14ac:dyDescent="0.4">
      <c r="I401" s="58"/>
    </row>
    <row r="402" spans="9:9" x14ac:dyDescent="0.4">
      <c r="I402" s="58"/>
    </row>
    <row r="403" spans="9:9" x14ac:dyDescent="0.4">
      <c r="I403" s="58"/>
    </row>
    <row r="404" spans="9:9" x14ac:dyDescent="0.4">
      <c r="I404" s="58"/>
    </row>
    <row r="405" spans="9:9" x14ac:dyDescent="0.4">
      <c r="I405" s="58"/>
    </row>
    <row r="406" spans="9:9" x14ac:dyDescent="0.4">
      <c r="I406" s="58"/>
    </row>
    <row r="407" spans="9:9" x14ac:dyDescent="0.4">
      <c r="I407" s="58"/>
    </row>
    <row r="408" spans="9:9" x14ac:dyDescent="0.4">
      <c r="I408" s="58"/>
    </row>
    <row r="409" spans="9:9" x14ac:dyDescent="0.4">
      <c r="I409" s="58"/>
    </row>
    <row r="410" spans="9:9" x14ac:dyDescent="0.4">
      <c r="I410" s="58"/>
    </row>
    <row r="411" spans="9:9" x14ac:dyDescent="0.4">
      <c r="I411" s="58"/>
    </row>
    <row r="412" spans="9:9" x14ac:dyDescent="0.4">
      <c r="I412" s="58"/>
    </row>
    <row r="413" spans="9:9" x14ac:dyDescent="0.4">
      <c r="I413" s="58"/>
    </row>
    <row r="414" spans="9:9" x14ac:dyDescent="0.4">
      <c r="I414" s="58"/>
    </row>
    <row r="415" spans="9:9" x14ac:dyDescent="0.4">
      <c r="I415" s="58"/>
    </row>
    <row r="416" spans="9:9" x14ac:dyDescent="0.4">
      <c r="I416" s="58"/>
    </row>
    <row r="417" spans="9:9" x14ac:dyDescent="0.4">
      <c r="I417" s="58"/>
    </row>
    <row r="418" spans="9:9" x14ac:dyDescent="0.4">
      <c r="I418" s="58"/>
    </row>
    <row r="419" spans="9:9" x14ac:dyDescent="0.4">
      <c r="I419" s="58"/>
    </row>
    <row r="420" spans="9:9" x14ac:dyDescent="0.4">
      <c r="I420" s="58"/>
    </row>
    <row r="421" spans="9:9" x14ac:dyDescent="0.4">
      <c r="I421" s="58"/>
    </row>
    <row r="422" spans="9:9" x14ac:dyDescent="0.4">
      <c r="I422" s="58"/>
    </row>
    <row r="423" spans="9:9" x14ac:dyDescent="0.4">
      <c r="I423" s="58"/>
    </row>
    <row r="424" spans="9:9" x14ac:dyDescent="0.4">
      <c r="I424" s="58"/>
    </row>
    <row r="425" spans="9:9" x14ac:dyDescent="0.4">
      <c r="I425" s="58"/>
    </row>
    <row r="426" spans="9:9" x14ac:dyDescent="0.4">
      <c r="I426" s="58"/>
    </row>
    <row r="427" spans="9:9" x14ac:dyDescent="0.4">
      <c r="I427" s="58"/>
    </row>
    <row r="428" spans="9:9" x14ac:dyDescent="0.4">
      <c r="I428" s="58"/>
    </row>
    <row r="429" spans="9:9" x14ac:dyDescent="0.4">
      <c r="I429" s="58"/>
    </row>
    <row r="430" spans="9:9" x14ac:dyDescent="0.4">
      <c r="I430" s="58"/>
    </row>
    <row r="431" spans="9:9" x14ac:dyDescent="0.4">
      <c r="I431" s="58"/>
    </row>
    <row r="432" spans="9:9" x14ac:dyDescent="0.4">
      <c r="I432" s="58"/>
    </row>
    <row r="433" spans="9:9" x14ac:dyDescent="0.4">
      <c r="I433" s="58"/>
    </row>
    <row r="434" spans="9:9" x14ac:dyDescent="0.4">
      <c r="I434" s="58"/>
    </row>
    <row r="435" spans="9:9" x14ac:dyDescent="0.4">
      <c r="I435" s="58"/>
    </row>
    <row r="436" spans="9:9" x14ac:dyDescent="0.4">
      <c r="I436" s="58"/>
    </row>
    <row r="437" spans="9:9" x14ac:dyDescent="0.4">
      <c r="I437" s="58"/>
    </row>
    <row r="438" spans="9:9" x14ac:dyDescent="0.4">
      <c r="I438" s="58"/>
    </row>
    <row r="439" spans="9:9" x14ac:dyDescent="0.4">
      <c r="I439" s="58"/>
    </row>
    <row r="440" spans="9:9" x14ac:dyDescent="0.4">
      <c r="I440" s="58"/>
    </row>
    <row r="441" spans="9:9" x14ac:dyDescent="0.4">
      <c r="I441" s="58"/>
    </row>
    <row r="442" spans="9:9" x14ac:dyDescent="0.4">
      <c r="I442" s="58"/>
    </row>
    <row r="443" spans="9:9" x14ac:dyDescent="0.4">
      <c r="I443" s="58"/>
    </row>
    <row r="444" spans="9:9" x14ac:dyDescent="0.4">
      <c r="I444" s="58"/>
    </row>
    <row r="445" spans="9:9" x14ac:dyDescent="0.4">
      <c r="I445" s="58"/>
    </row>
    <row r="446" spans="9:9" x14ac:dyDescent="0.4">
      <c r="I446" s="58"/>
    </row>
    <row r="447" spans="9:9" x14ac:dyDescent="0.4">
      <c r="I447" s="58"/>
    </row>
    <row r="448" spans="9:9" x14ac:dyDescent="0.4">
      <c r="I448" s="58"/>
    </row>
    <row r="449" spans="9:9" x14ac:dyDescent="0.4">
      <c r="I449" s="58"/>
    </row>
    <row r="450" spans="9:9" x14ac:dyDescent="0.4">
      <c r="I450" s="58"/>
    </row>
    <row r="451" spans="9:9" x14ac:dyDescent="0.4">
      <c r="I451" s="58"/>
    </row>
    <row r="452" spans="9:9" x14ac:dyDescent="0.4">
      <c r="I452" s="58"/>
    </row>
    <row r="453" spans="9:9" x14ac:dyDescent="0.4">
      <c r="I453" s="58"/>
    </row>
    <row r="454" spans="9:9" x14ac:dyDescent="0.4">
      <c r="I454" s="58"/>
    </row>
    <row r="455" spans="9:9" x14ac:dyDescent="0.4">
      <c r="I455" s="58"/>
    </row>
    <row r="456" spans="9:9" x14ac:dyDescent="0.4">
      <c r="I456" s="58"/>
    </row>
    <row r="457" spans="9:9" x14ac:dyDescent="0.4">
      <c r="I457" s="58"/>
    </row>
    <row r="458" spans="9:9" x14ac:dyDescent="0.4">
      <c r="I458" s="58"/>
    </row>
    <row r="459" spans="9:9" x14ac:dyDescent="0.4">
      <c r="I459" s="58"/>
    </row>
    <row r="460" spans="9:9" x14ac:dyDescent="0.4">
      <c r="I460" s="58"/>
    </row>
    <row r="461" spans="9:9" x14ac:dyDescent="0.4">
      <c r="I461" s="58"/>
    </row>
    <row r="462" spans="9:9" x14ac:dyDescent="0.4">
      <c r="I462" s="58"/>
    </row>
    <row r="463" spans="9:9" x14ac:dyDescent="0.4">
      <c r="I463" s="58"/>
    </row>
    <row r="464" spans="9:9" x14ac:dyDescent="0.4">
      <c r="I464" s="58"/>
    </row>
    <row r="465" spans="9:9" x14ac:dyDescent="0.4">
      <c r="I465" s="58"/>
    </row>
    <row r="466" spans="9:9" x14ac:dyDescent="0.4">
      <c r="I466" s="58"/>
    </row>
    <row r="467" spans="9:9" x14ac:dyDescent="0.4">
      <c r="I467" s="58"/>
    </row>
    <row r="468" spans="9:9" x14ac:dyDescent="0.4">
      <c r="I468" s="58"/>
    </row>
    <row r="469" spans="9:9" x14ac:dyDescent="0.4">
      <c r="I469" s="58"/>
    </row>
    <row r="470" spans="9:9" x14ac:dyDescent="0.4">
      <c r="I470" s="58"/>
    </row>
    <row r="471" spans="9:9" x14ac:dyDescent="0.4">
      <c r="I471" s="58"/>
    </row>
    <row r="472" spans="9:9" x14ac:dyDescent="0.4">
      <c r="I472" s="58"/>
    </row>
    <row r="473" spans="9:9" x14ac:dyDescent="0.4">
      <c r="I473" s="58"/>
    </row>
    <row r="474" spans="9:9" x14ac:dyDescent="0.4">
      <c r="I474" s="58"/>
    </row>
    <row r="475" spans="9:9" x14ac:dyDescent="0.4">
      <c r="I475" s="58"/>
    </row>
    <row r="476" spans="9:9" x14ac:dyDescent="0.4">
      <c r="I476" s="58"/>
    </row>
    <row r="477" spans="9:9" x14ac:dyDescent="0.4">
      <c r="I477" s="58"/>
    </row>
    <row r="478" spans="9:9" x14ac:dyDescent="0.4">
      <c r="I478" s="58"/>
    </row>
    <row r="479" spans="9:9" x14ac:dyDescent="0.4">
      <c r="I479" s="58"/>
    </row>
    <row r="480" spans="9:9" x14ac:dyDescent="0.4">
      <c r="I480" s="58"/>
    </row>
    <row r="481" spans="9:9" x14ac:dyDescent="0.4">
      <c r="I481" s="58"/>
    </row>
    <row r="482" spans="9:9" x14ac:dyDescent="0.4">
      <c r="I482" s="58"/>
    </row>
    <row r="483" spans="9:9" x14ac:dyDescent="0.4">
      <c r="I483" s="58"/>
    </row>
    <row r="484" spans="9:9" x14ac:dyDescent="0.4">
      <c r="I484" s="58"/>
    </row>
    <row r="485" spans="9:9" x14ac:dyDescent="0.4">
      <c r="I485" s="58"/>
    </row>
    <row r="486" spans="9:9" x14ac:dyDescent="0.4">
      <c r="I486" s="58"/>
    </row>
    <row r="487" spans="9:9" x14ac:dyDescent="0.4">
      <c r="I487" s="58"/>
    </row>
    <row r="488" spans="9:9" x14ac:dyDescent="0.4">
      <c r="I488" s="58"/>
    </row>
    <row r="489" spans="9:9" x14ac:dyDescent="0.4">
      <c r="I489" s="58"/>
    </row>
    <row r="490" spans="9:9" x14ac:dyDescent="0.4">
      <c r="I490" s="58"/>
    </row>
    <row r="491" spans="9:9" x14ac:dyDescent="0.4">
      <c r="I491" s="58"/>
    </row>
    <row r="492" spans="9:9" x14ac:dyDescent="0.4">
      <c r="I492" s="58"/>
    </row>
    <row r="493" spans="9:9" x14ac:dyDescent="0.4">
      <c r="I493" s="58"/>
    </row>
    <row r="494" spans="9:9" x14ac:dyDescent="0.4">
      <c r="I494" s="58"/>
    </row>
    <row r="495" spans="9:9" x14ac:dyDescent="0.4">
      <c r="I495" s="58"/>
    </row>
    <row r="496" spans="9:9" x14ac:dyDescent="0.4">
      <c r="I496" s="58"/>
    </row>
    <row r="497" spans="9:9" x14ac:dyDescent="0.4">
      <c r="I497" s="58"/>
    </row>
    <row r="498" spans="9:9" x14ac:dyDescent="0.4">
      <c r="I498" s="58"/>
    </row>
    <row r="499" spans="9:9" x14ac:dyDescent="0.4">
      <c r="I499" s="58"/>
    </row>
    <row r="500" spans="9:9" x14ac:dyDescent="0.4">
      <c r="I500" s="58"/>
    </row>
    <row r="501" spans="9:9" x14ac:dyDescent="0.4">
      <c r="I501" s="58"/>
    </row>
    <row r="502" spans="9:9" x14ac:dyDescent="0.4">
      <c r="I502" s="58"/>
    </row>
    <row r="503" spans="9:9" x14ac:dyDescent="0.4">
      <c r="I503" s="58"/>
    </row>
    <row r="504" spans="9:9" x14ac:dyDescent="0.4">
      <c r="I504" s="58"/>
    </row>
    <row r="505" spans="9:9" x14ac:dyDescent="0.4">
      <c r="I505" s="58"/>
    </row>
    <row r="506" spans="9:9" x14ac:dyDescent="0.4">
      <c r="I506" s="58"/>
    </row>
    <row r="507" spans="9:9" x14ac:dyDescent="0.4">
      <c r="I507" s="58"/>
    </row>
    <row r="508" spans="9:9" x14ac:dyDescent="0.4">
      <c r="I508" s="58"/>
    </row>
    <row r="509" spans="9:9" x14ac:dyDescent="0.4">
      <c r="I509" s="58"/>
    </row>
    <row r="510" spans="9:9" x14ac:dyDescent="0.4">
      <c r="I510" s="58"/>
    </row>
    <row r="511" spans="9:9" x14ac:dyDescent="0.4">
      <c r="I511" s="58"/>
    </row>
    <row r="512" spans="9:9" x14ac:dyDescent="0.4">
      <c r="I512" s="58"/>
    </row>
    <row r="513" spans="9:9" x14ac:dyDescent="0.4">
      <c r="I513" s="58"/>
    </row>
    <row r="514" spans="9:9" x14ac:dyDescent="0.4">
      <c r="I514" s="58"/>
    </row>
    <row r="515" spans="9:9" x14ac:dyDescent="0.4">
      <c r="I515" s="58"/>
    </row>
    <row r="516" spans="9:9" x14ac:dyDescent="0.4">
      <c r="I516" s="58"/>
    </row>
    <row r="517" spans="9:9" x14ac:dyDescent="0.4">
      <c r="I517" s="58"/>
    </row>
    <row r="518" spans="9:9" x14ac:dyDescent="0.4">
      <c r="I518" s="58"/>
    </row>
    <row r="519" spans="9:9" x14ac:dyDescent="0.4">
      <c r="I519" s="58"/>
    </row>
    <row r="520" spans="9:9" x14ac:dyDescent="0.4">
      <c r="I520" s="58"/>
    </row>
    <row r="521" spans="9:9" x14ac:dyDescent="0.4">
      <c r="I521" s="58"/>
    </row>
    <row r="522" spans="9:9" x14ac:dyDescent="0.4">
      <c r="I522" s="58"/>
    </row>
    <row r="523" spans="9:9" x14ac:dyDescent="0.4">
      <c r="I523" s="58"/>
    </row>
    <row r="524" spans="9:9" x14ac:dyDescent="0.4">
      <c r="I524" s="58"/>
    </row>
    <row r="525" spans="9:9" x14ac:dyDescent="0.4">
      <c r="I525" s="58"/>
    </row>
    <row r="526" spans="9:9" x14ac:dyDescent="0.4">
      <c r="I526" s="58"/>
    </row>
    <row r="527" spans="9:9" x14ac:dyDescent="0.4">
      <c r="I527" s="58"/>
    </row>
    <row r="528" spans="9:9" x14ac:dyDescent="0.4">
      <c r="I528" s="58"/>
    </row>
    <row r="529" spans="9:9" x14ac:dyDescent="0.4">
      <c r="I529" s="58"/>
    </row>
    <row r="530" spans="9:9" x14ac:dyDescent="0.4">
      <c r="I530" s="58"/>
    </row>
    <row r="531" spans="9:9" x14ac:dyDescent="0.4">
      <c r="I531" s="58"/>
    </row>
    <row r="532" spans="9:9" x14ac:dyDescent="0.4">
      <c r="I532" s="58"/>
    </row>
    <row r="533" spans="9:9" x14ac:dyDescent="0.4">
      <c r="I533" s="58"/>
    </row>
    <row r="534" spans="9:9" x14ac:dyDescent="0.4">
      <c r="I534" s="58"/>
    </row>
    <row r="535" spans="9:9" x14ac:dyDescent="0.4">
      <c r="I535" s="58"/>
    </row>
    <row r="536" spans="9:9" x14ac:dyDescent="0.4">
      <c r="I536" s="58"/>
    </row>
    <row r="537" spans="9:9" x14ac:dyDescent="0.4">
      <c r="I537" s="58"/>
    </row>
    <row r="538" spans="9:9" x14ac:dyDescent="0.4">
      <c r="I538" s="58"/>
    </row>
    <row r="539" spans="9:9" x14ac:dyDescent="0.4">
      <c r="I539" s="58"/>
    </row>
    <row r="540" spans="9:9" x14ac:dyDescent="0.4">
      <c r="I540" s="58"/>
    </row>
    <row r="541" spans="9:9" x14ac:dyDescent="0.4">
      <c r="I541" s="58"/>
    </row>
    <row r="542" spans="9:9" x14ac:dyDescent="0.4">
      <c r="I542" s="58"/>
    </row>
    <row r="543" spans="9:9" x14ac:dyDescent="0.4">
      <c r="I543" s="58"/>
    </row>
    <row r="544" spans="9:9" x14ac:dyDescent="0.4">
      <c r="I544" s="58"/>
    </row>
    <row r="545" spans="9:9" x14ac:dyDescent="0.4">
      <c r="I545" s="58"/>
    </row>
    <row r="546" spans="9:9" x14ac:dyDescent="0.4">
      <c r="I546" s="58"/>
    </row>
    <row r="547" spans="9:9" x14ac:dyDescent="0.4">
      <c r="I547" s="58"/>
    </row>
    <row r="548" spans="9:9" x14ac:dyDescent="0.4">
      <c r="I548" s="58"/>
    </row>
    <row r="549" spans="9:9" x14ac:dyDescent="0.4">
      <c r="I549" s="58"/>
    </row>
    <row r="550" spans="9:9" x14ac:dyDescent="0.4">
      <c r="I550" s="58"/>
    </row>
    <row r="551" spans="9:9" x14ac:dyDescent="0.4">
      <c r="I551" s="58"/>
    </row>
    <row r="552" spans="9:9" x14ac:dyDescent="0.4">
      <c r="I552" s="58"/>
    </row>
    <row r="553" spans="9:9" x14ac:dyDescent="0.4">
      <c r="I553" s="58"/>
    </row>
    <row r="554" spans="9:9" x14ac:dyDescent="0.4">
      <c r="I554" s="58"/>
    </row>
    <row r="555" spans="9:9" x14ac:dyDescent="0.4">
      <c r="I555" s="58"/>
    </row>
    <row r="556" spans="9:9" x14ac:dyDescent="0.4">
      <c r="I556" s="58"/>
    </row>
    <row r="557" spans="9:9" x14ac:dyDescent="0.4">
      <c r="I557" s="58"/>
    </row>
    <row r="558" spans="9:9" x14ac:dyDescent="0.4">
      <c r="I558" s="58"/>
    </row>
    <row r="559" spans="9:9" x14ac:dyDescent="0.4">
      <c r="I559" s="58"/>
    </row>
    <row r="560" spans="9:9" x14ac:dyDescent="0.4">
      <c r="I560" s="58"/>
    </row>
    <row r="561" spans="9:9" x14ac:dyDescent="0.4">
      <c r="I561" s="58"/>
    </row>
    <row r="562" spans="9:9" x14ac:dyDescent="0.4">
      <c r="I562" s="58"/>
    </row>
    <row r="563" spans="9:9" x14ac:dyDescent="0.4">
      <c r="I563" s="58"/>
    </row>
    <row r="564" spans="9:9" x14ac:dyDescent="0.4">
      <c r="I564" s="58"/>
    </row>
    <row r="565" spans="9:9" x14ac:dyDescent="0.4">
      <c r="I565" s="58"/>
    </row>
    <row r="566" spans="9:9" x14ac:dyDescent="0.4">
      <c r="I566" s="58"/>
    </row>
    <row r="567" spans="9:9" x14ac:dyDescent="0.4">
      <c r="I567" s="58"/>
    </row>
    <row r="568" spans="9:9" x14ac:dyDescent="0.4">
      <c r="I568" s="58"/>
    </row>
    <row r="569" spans="9:9" x14ac:dyDescent="0.4">
      <c r="I569" s="58"/>
    </row>
    <row r="570" spans="9:9" x14ac:dyDescent="0.4">
      <c r="I570" s="58"/>
    </row>
    <row r="571" spans="9:9" x14ac:dyDescent="0.4">
      <c r="I571" s="58"/>
    </row>
    <row r="572" spans="9:9" x14ac:dyDescent="0.4">
      <c r="I572" s="58"/>
    </row>
    <row r="573" spans="9:9" x14ac:dyDescent="0.4">
      <c r="I573" s="58"/>
    </row>
    <row r="574" spans="9:9" x14ac:dyDescent="0.4">
      <c r="I574" s="58"/>
    </row>
    <row r="575" spans="9:9" x14ac:dyDescent="0.4">
      <c r="I575" s="58"/>
    </row>
    <row r="576" spans="9:9" x14ac:dyDescent="0.4">
      <c r="I576" s="58"/>
    </row>
    <row r="577" spans="9:9" x14ac:dyDescent="0.4">
      <c r="I577" s="58"/>
    </row>
    <row r="578" spans="9:9" x14ac:dyDescent="0.4">
      <c r="I578" s="58"/>
    </row>
    <row r="579" spans="9:9" x14ac:dyDescent="0.4">
      <c r="I579" s="58"/>
    </row>
    <row r="580" spans="9:9" x14ac:dyDescent="0.4">
      <c r="I580" s="58"/>
    </row>
    <row r="581" spans="9:9" x14ac:dyDescent="0.4">
      <c r="I581" s="58"/>
    </row>
    <row r="582" spans="9:9" x14ac:dyDescent="0.4">
      <c r="I582" s="58"/>
    </row>
    <row r="583" spans="9:9" x14ac:dyDescent="0.4">
      <c r="I583" s="58"/>
    </row>
    <row r="584" spans="9:9" x14ac:dyDescent="0.4">
      <c r="I584" s="58"/>
    </row>
    <row r="585" spans="9:9" x14ac:dyDescent="0.4">
      <c r="I585" s="58"/>
    </row>
    <row r="586" spans="9:9" x14ac:dyDescent="0.4">
      <c r="I586" s="58"/>
    </row>
    <row r="587" spans="9:9" x14ac:dyDescent="0.4">
      <c r="I587" s="58"/>
    </row>
    <row r="588" spans="9:9" x14ac:dyDescent="0.4">
      <c r="I588" s="58"/>
    </row>
    <row r="589" spans="9:9" x14ac:dyDescent="0.4">
      <c r="I589" s="58"/>
    </row>
    <row r="590" spans="9:9" x14ac:dyDescent="0.4">
      <c r="I590" s="58"/>
    </row>
    <row r="591" spans="9:9" x14ac:dyDescent="0.4">
      <c r="I591" s="58"/>
    </row>
    <row r="592" spans="9:9" x14ac:dyDescent="0.4">
      <c r="I592" s="58"/>
    </row>
    <row r="593" spans="9:9" x14ac:dyDescent="0.4">
      <c r="I593" s="58"/>
    </row>
    <row r="594" spans="9:9" x14ac:dyDescent="0.4">
      <c r="I594" s="58"/>
    </row>
    <row r="595" spans="9:9" x14ac:dyDescent="0.4">
      <c r="I595" s="58"/>
    </row>
    <row r="596" spans="9:9" x14ac:dyDescent="0.4">
      <c r="I596" s="58"/>
    </row>
    <row r="597" spans="9:9" x14ac:dyDescent="0.4">
      <c r="I597" s="58"/>
    </row>
    <row r="598" spans="9:9" x14ac:dyDescent="0.4">
      <c r="I598" s="58"/>
    </row>
    <row r="599" spans="9:9" x14ac:dyDescent="0.4">
      <c r="I599" s="58"/>
    </row>
    <row r="600" spans="9:9" x14ac:dyDescent="0.4">
      <c r="I600" s="58"/>
    </row>
    <row r="601" spans="9:9" x14ac:dyDescent="0.4">
      <c r="I601" s="58"/>
    </row>
    <row r="602" spans="9:9" x14ac:dyDescent="0.4">
      <c r="I602" s="58"/>
    </row>
    <row r="603" spans="9:9" x14ac:dyDescent="0.4">
      <c r="I603" s="58"/>
    </row>
    <row r="604" spans="9:9" x14ac:dyDescent="0.4">
      <c r="I604" s="58"/>
    </row>
    <row r="605" spans="9:9" x14ac:dyDescent="0.4">
      <c r="I605" s="58"/>
    </row>
    <row r="606" spans="9:9" x14ac:dyDescent="0.4">
      <c r="I606" s="58"/>
    </row>
    <row r="607" spans="9:9" x14ac:dyDescent="0.4">
      <c r="I607" s="58"/>
    </row>
    <row r="608" spans="9:9" x14ac:dyDescent="0.4">
      <c r="I608" s="58"/>
    </row>
    <row r="609" spans="9:9" x14ac:dyDescent="0.4">
      <c r="I609" s="58"/>
    </row>
    <row r="610" spans="9:9" x14ac:dyDescent="0.4">
      <c r="I610" s="58"/>
    </row>
    <row r="611" spans="9:9" x14ac:dyDescent="0.4">
      <c r="I611" s="58"/>
    </row>
    <row r="612" spans="9:9" x14ac:dyDescent="0.4">
      <c r="I612" s="58"/>
    </row>
    <row r="613" spans="9:9" x14ac:dyDescent="0.4">
      <c r="I613" s="58"/>
    </row>
    <row r="614" spans="9:9" x14ac:dyDescent="0.4">
      <c r="I614" s="58"/>
    </row>
    <row r="615" spans="9:9" x14ac:dyDescent="0.4">
      <c r="I615" s="58"/>
    </row>
    <row r="616" spans="9:9" x14ac:dyDescent="0.4">
      <c r="I616" s="58"/>
    </row>
    <row r="617" spans="9:9" x14ac:dyDescent="0.4">
      <c r="I617" s="58"/>
    </row>
    <row r="618" spans="9:9" x14ac:dyDescent="0.4">
      <c r="I618" s="58"/>
    </row>
    <row r="619" spans="9:9" x14ac:dyDescent="0.4">
      <c r="I619" s="58"/>
    </row>
    <row r="620" spans="9:9" x14ac:dyDescent="0.4">
      <c r="I620" s="58"/>
    </row>
    <row r="621" spans="9:9" x14ac:dyDescent="0.4">
      <c r="I621" s="58"/>
    </row>
    <row r="622" spans="9:9" x14ac:dyDescent="0.4">
      <c r="I622" s="58"/>
    </row>
    <row r="623" spans="9:9" x14ac:dyDescent="0.4">
      <c r="I623" s="58"/>
    </row>
    <row r="624" spans="9:9" x14ac:dyDescent="0.4">
      <c r="I624" s="58"/>
    </row>
    <row r="625" spans="9:9" x14ac:dyDescent="0.4">
      <c r="I625" s="58"/>
    </row>
    <row r="626" spans="9:9" x14ac:dyDescent="0.4">
      <c r="I626" s="58"/>
    </row>
    <row r="627" spans="9:9" x14ac:dyDescent="0.4">
      <c r="I627" s="58"/>
    </row>
    <row r="628" spans="9:9" x14ac:dyDescent="0.4">
      <c r="I628" s="58"/>
    </row>
    <row r="629" spans="9:9" x14ac:dyDescent="0.4">
      <c r="I629" s="58"/>
    </row>
    <row r="630" spans="9:9" x14ac:dyDescent="0.4">
      <c r="I630" s="58"/>
    </row>
    <row r="631" spans="9:9" x14ac:dyDescent="0.4">
      <c r="I631" s="58"/>
    </row>
    <row r="632" spans="9:9" x14ac:dyDescent="0.4">
      <c r="I632" s="58"/>
    </row>
    <row r="633" spans="9:9" x14ac:dyDescent="0.4">
      <c r="I633" s="58"/>
    </row>
    <row r="634" spans="9:9" x14ac:dyDescent="0.4">
      <c r="I634" s="58"/>
    </row>
    <row r="635" spans="9:9" x14ac:dyDescent="0.4">
      <c r="I635" s="58"/>
    </row>
    <row r="636" spans="9:9" x14ac:dyDescent="0.4">
      <c r="I636" s="58"/>
    </row>
    <row r="637" spans="9:9" x14ac:dyDescent="0.4">
      <c r="I637" s="58"/>
    </row>
    <row r="638" spans="9:9" x14ac:dyDescent="0.4">
      <c r="I638" s="58"/>
    </row>
    <row r="639" spans="9:9" x14ac:dyDescent="0.4">
      <c r="I639" s="58"/>
    </row>
    <row r="640" spans="9:9" x14ac:dyDescent="0.4">
      <c r="I640" s="58"/>
    </row>
    <row r="641" spans="9:9" x14ac:dyDescent="0.4">
      <c r="I641" s="58"/>
    </row>
    <row r="642" spans="9:9" x14ac:dyDescent="0.4">
      <c r="I642" s="58"/>
    </row>
    <row r="643" spans="9:9" x14ac:dyDescent="0.4">
      <c r="I643" s="58"/>
    </row>
    <row r="644" spans="9:9" x14ac:dyDescent="0.4">
      <c r="I644" s="58"/>
    </row>
    <row r="645" spans="9:9" x14ac:dyDescent="0.4">
      <c r="I645" s="58"/>
    </row>
    <row r="646" spans="9:9" x14ac:dyDescent="0.4">
      <c r="I646" s="58"/>
    </row>
    <row r="647" spans="9:9" x14ac:dyDescent="0.4">
      <c r="I647" s="58"/>
    </row>
    <row r="648" spans="9:9" x14ac:dyDescent="0.4">
      <c r="I648" s="58"/>
    </row>
    <row r="649" spans="9:9" x14ac:dyDescent="0.4">
      <c r="I649" s="58"/>
    </row>
    <row r="650" spans="9:9" x14ac:dyDescent="0.4">
      <c r="I650" s="58"/>
    </row>
    <row r="651" spans="9:9" x14ac:dyDescent="0.4">
      <c r="I651" s="58"/>
    </row>
    <row r="652" spans="9:9" x14ac:dyDescent="0.4">
      <c r="I652" s="58"/>
    </row>
    <row r="653" spans="9:9" x14ac:dyDescent="0.4">
      <c r="I653" s="58"/>
    </row>
    <row r="654" spans="9:9" x14ac:dyDescent="0.4">
      <c r="I654" s="58"/>
    </row>
    <row r="655" spans="9:9" x14ac:dyDescent="0.4">
      <c r="I655" s="58"/>
    </row>
    <row r="656" spans="9:9" x14ac:dyDescent="0.4">
      <c r="I656" s="58"/>
    </row>
    <row r="657" spans="9:9" x14ac:dyDescent="0.4">
      <c r="I657" s="58"/>
    </row>
    <row r="658" spans="9:9" x14ac:dyDescent="0.4">
      <c r="I658" s="58"/>
    </row>
    <row r="659" spans="9:9" x14ac:dyDescent="0.4">
      <c r="I659" s="58"/>
    </row>
    <row r="660" spans="9:9" x14ac:dyDescent="0.4">
      <c r="I660" s="58"/>
    </row>
    <row r="661" spans="9:9" x14ac:dyDescent="0.4">
      <c r="I661" s="58"/>
    </row>
    <row r="662" spans="9:9" x14ac:dyDescent="0.4">
      <c r="I662" s="58"/>
    </row>
    <row r="663" spans="9:9" x14ac:dyDescent="0.4">
      <c r="I663" s="58"/>
    </row>
    <row r="664" spans="9:9" x14ac:dyDescent="0.4">
      <c r="I664" s="58"/>
    </row>
    <row r="665" spans="9:9" x14ac:dyDescent="0.4">
      <c r="I665" s="58"/>
    </row>
    <row r="666" spans="9:9" x14ac:dyDescent="0.4">
      <c r="I666" s="58"/>
    </row>
    <row r="667" spans="9:9" x14ac:dyDescent="0.4">
      <c r="I667" s="58"/>
    </row>
    <row r="668" spans="9:9" x14ac:dyDescent="0.4">
      <c r="I668" s="58"/>
    </row>
    <row r="669" spans="9:9" x14ac:dyDescent="0.4">
      <c r="I669" s="58"/>
    </row>
    <row r="670" spans="9:9" x14ac:dyDescent="0.4">
      <c r="I670" s="58"/>
    </row>
    <row r="671" spans="9:9" x14ac:dyDescent="0.4">
      <c r="I671" s="58"/>
    </row>
    <row r="672" spans="9:9" x14ac:dyDescent="0.4">
      <c r="I672" s="58"/>
    </row>
    <row r="673" spans="9:9" x14ac:dyDescent="0.4">
      <c r="I673" s="58"/>
    </row>
    <row r="674" spans="9:9" x14ac:dyDescent="0.4">
      <c r="I674" s="58"/>
    </row>
    <row r="675" spans="9:9" x14ac:dyDescent="0.4">
      <c r="I675" s="58"/>
    </row>
    <row r="676" spans="9:9" x14ac:dyDescent="0.4">
      <c r="I676" s="58"/>
    </row>
    <row r="677" spans="9:9" x14ac:dyDescent="0.4">
      <c r="I677" s="58"/>
    </row>
    <row r="678" spans="9:9" x14ac:dyDescent="0.4">
      <c r="I678" s="58"/>
    </row>
    <row r="679" spans="9:9" x14ac:dyDescent="0.4">
      <c r="I679" s="58"/>
    </row>
    <row r="680" spans="9:9" x14ac:dyDescent="0.4">
      <c r="I680" s="58"/>
    </row>
    <row r="681" spans="9:9" x14ac:dyDescent="0.4">
      <c r="I681" s="58"/>
    </row>
    <row r="682" spans="9:9" x14ac:dyDescent="0.4">
      <c r="I682" s="58"/>
    </row>
    <row r="683" spans="9:9" x14ac:dyDescent="0.4">
      <c r="I683" s="58"/>
    </row>
    <row r="684" spans="9:9" x14ac:dyDescent="0.4">
      <c r="I684" s="58"/>
    </row>
    <row r="685" spans="9:9" x14ac:dyDescent="0.4">
      <c r="I685" s="58"/>
    </row>
    <row r="686" spans="9:9" x14ac:dyDescent="0.4">
      <c r="I686" s="58"/>
    </row>
    <row r="687" spans="9:9" x14ac:dyDescent="0.4">
      <c r="I687" s="58"/>
    </row>
    <row r="688" spans="9:9" x14ac:dyDescent="0.4">
      <c r="I688" s="58"/>
    </row>
    <row r="689" spans="9:9" x14ac:dyDescent="0.4">
      <c r="I689" s="58"/>
    </row>
    <row r="690" spans="9:9" x14ac:dyDescent="0.4">
      <c r="I690" s="58"/>
    </row>
    <row r="691" spans="9:9" x14ac:dyDescent="0.4">
      <c r="I691" s="58"/>
    </row>
    <row r="692" spans="9:9" x14ac:dyDescent="0.4">
      <c r="I692" s="58"/>
    </row>
    <row r="693" spans="9:9" x14ac:dyDescent="0.4">
      <c r="I693" s="58"/>
    </row>
    <row r="694" spans="9:9" x14ac:dyDescent="0.4">
      <c r="I694" s="58"/>
    </row>
    <row r="695" spans="9:9" x14ac:dyDescent="0.4">
      <c r="I695" s="58"/>
    </row>
    <row r="696" spans="9:9" x14ac:dyDescent="0.4">
      <c r="I696" s="58"/>
    </row>
    <row r="697" spans="9:9" x14ac:dyDescent="0.4">
      <c r="I697" s="58"/>
    </row>
    <row r="698" spans="9:9" x14ac:dyDescent="0.4">
      <c r="I698" s="58"/>
    </row>
    <row r="699" spans="9:9" x14ac:dyDescent="0.4">
      <c r="I699" s="58"/>
    </row>
    <row r="700" spans="9:9" x14ac:dyDescent="0.4">
      <c r="I700" s="58"/>
    </row>
    <row r="701" spans="9:9" x14ac:dyDescent="0.4">
      <c r="I701" s="58"/>
    </row>
    <row r="702" spans="9:9" x14ac:dyDescent="0.4">
      <c r="I702" s="58"/>
    </row>
    <row r="703" spans="9:9" x14ac:dyDescent="0.4">
      <c r="I703" s="58"/>
    </row>
    <row r="704" spans="9:9" x14ac:dyDescent="0.4">
      <c r="I704" s="58"/>
    </row>
    <row r="705" spans="9:9" x14ac:dyDescent="0.4">
      <c r="I705" s="58"/>
    </row>
    <row r="706" spans="9:9" x14ac:dyDescent="0.4">
      <c r="I706" s="58"/>
    </row>
    <row r="707" spans="9:9" x14ac:dyDescent="0.4">
      <c r="I707" s="58"/>
    </row>
    <row r="708" spans="9:9" x14ac:dyDescent="0.4">
      <c r="I708" s="58"/>
    </row>
    <row r="709" spans="9:9" x14ac:dyDescent="0.4">
      <c r="I709" s="58"/>
    </row>
    <row r="710" spans="9:9" x14ac:dyDescent="0.4">
      <c r="I710" s="58"/>
    </row>
    <row r="711" spans="9:9" x14ac:dyDescent="0.4">
      <c r="I711" s="58"/>
    </row>
    <row r="712" spans="9:9" x14ac:dyDescent="0.4">
      <c r="I712" s="58"/>
    </row>
    <row r="713" spans="9:9" x14ac:dyDescent="0.4">
      <c r="I713" s="58"/>
    </row>
    <row r="714" spans="9:9" x14ac:dyDescent="0.4">
      <c r="I714" s="58"/>
    </row>
    <row r="715" spans="9:9" x14ac:dyDescent="0.4">
      <c r="I715" s="58"/>
    </row>
    <row r="716" spans="9:9" x14ac:dyDescent="0.4">
      <c r="I716" s="58"/>
    </row>
    <row r="717" spans="9:9" x14ac:dyDescent="0.4">
      <c r="I717" s="58"/>
    </row>
    <row r="718" spans="9:9" x14ac:dyDescent="0.4">
      <c r="I718" s="58"/>
    </row>
    <row r="719" spans="9:9" x14ac:dyDescent="0.4">
      <c r="I719" s="58"/>
    </row>
    <row r="720" spans="9:9" x14ac:dyDescent="0.4">
      <c r="I720" s="58"/>
    </row>
    <row r="721" spans="9:9" x14ac:dyDescent="0.4">
      <c r="I721" s="58"/>
    </row>
    <row r="722" spans="9:9" x14ac:dyDescent="0.4">
      <c r="I722" s="58"/>
    </row>
    <row r="723" spans="9:9" x14ac:dyDescent="0.4">
      <c r="I723" s="58"/>
    </row>
    <row r="724" spans="9:9" x14ac:dyDescent="0.4">
      <c r="I724" s="58"/>
    </row>
    <row r="725" spans="9:9" x14ac:dyDescent="0.4">
      <c r="I725" s="58"/>
    </row>
    <row r="726" spans="9:9" x14ac:dyDescent="0.4">
      <c r="I726" s="58"/>
    </row>
    <row r="727" spans="9:9" x14ac:dyDescent="0.4">
      <c r="I727" s="58"/>
    </row>
    <row r="728" spans="9:9" x14ac:dyDescent="0.4">
      <c r="I728" s="58"/>
    </row>
    <row r="729" spans="9:9" x14ac:dyDescent="0.4">
      <c r="I729" s="58"/>
    </row>
    <row r="730" spans="9:9" x14ac:dyDescent="0.4">
      <c r="I730" s="58"/>
    </row>
    <row r="731" spans="9:9" x14ac:dyDescent="0.4">
      <c r="I731" s="58"/>
    </row>
    <row r="732" spans="9:9" x14ac:dyDescent="0.4">
      <c r="I732" s="58"/>
    </row>
    <row r="733" spans="9:9" x14ac:dyDescent="0.4">
      <c r="I733" s="58"/>
    </row>
    <row r="734" spans="9:9" x14ac:dyDescent="0.4">
      <c r="I734" s="58"/>
    </row>
    <row r="735" spans="9:9" x14ac:dyDescent="0.4">
      <c r="I735" s="58"/>
    </row>
    <row r="736" spans="9:9" x14ac:dyDescent="0.4">
      <c r="I736" s="58"/>
    </row>
    <row r="737" spans="9:9" x14ac:dyDescent="0.4">
      <c r="I737" s="58"/>
    </row>
    <row r="738" spans="9:9" x14ac:dyDescent="0.4">
      <c r="I738" s="58"/>
    </row>
    <row r="739" spans="9:9" x14ac:dyDescent="0.4">
      <c r="I739" s="58"/>
    </row>
    <row r="740" spans="9:9" x14ac:dyDescent="0.4">
      <c r="I740" s="58"/>
    </row>
    <row r="741" spans="9:9" x14ac:dyDescent="0.4">
      <c r="I741" s="58"/>
    </row>
    <row r="742" spans="9:9" x14ac:dyDescent="0.4">
      <c r="I742" s="58"/>
    </row>
    <row r="743" spans="9:9" x14ac:dyDescent="0.4">
      <c r="I743" s="58"/>
    </row>
    <row r="744" spans="9:9" x14ac:dyDescent="0.4">
      <c r="I744" s="58"/>
    </row>
    <row r="745" spans="9:9" x14ac:dyDescent="0.4">
      <c r="I745" s="58"/>
    </row>
    <row r="746" spans="9:9" x14ac:dyDescent="0.4">
      <c r="I746" s="58"/>
    </row>
    <row r="747" spans="9:9" x14ac:dyDescent="0.4">
      <c r="I747" s="58"/>
    </row>
    <row r="748" spans="9:9" x14ac:dyDescent="0.4">
      <c r="I748" s="58"/>
    </row>
    <row r="749" spans="9:9" x14ac:dyDescent="0.4">
      <c r="I749" s="58"/>
    </row>
    <row r="750" spans="9:9" x14ac:dyDescent="0.4">
      <c r="I750" s="58"/>
    </row>
    <row r="751" spans="9:9" x14ac:dyDescent="0.4">
      <c r="I751" s="58"/>
    </row>
    <row r="752" spans="9:9" x14ac:dyDescent="0.4">
      <c r="I752" s="58"/>
    </row>
    <row r="753" spans="9:9" x14ac:dyDescent="0.4">
      <c r="I753" s="58"/>
    </row>
    <row r="754" spans="9:9" x14ac:dyDescent="0.4">
      <c r="I754" s="58"/>
    </row>
    <row r="755" spans="9:9" x14ac:dyDescent="0.4">
      <c r="I755" s="58"/>
    </row>
    <row r="756" spans="9:9" x14ac:dyDescent="0.4">
      <c r="I756" s="58"/>
    </row>
    <row r="757" spans="9:9" x14ac:dyDescent="0.4">
      <c r="I757" s="58"/>
    </row>
    <row r="758" spans="9:9" x14ac:dyDescent="0.4">
      <c r="I758" s="58"/>
    </row>
    <row r="759" spans="9:9" x14ac:dyDescent="0.4">
      <c r="I759" s="58"/>
    </row>
    <row r="760" spans="9:9" x14ac:dyDescent="0.4">
      <c r="I760" s="58"/>
    </row>
    <row r="761" spans="9:9" x14ac:dyDescent="0.4">
      <c r="I761" s="58"/>
    </row>
    <row r="762" spans="9:9" x14ac:dyDescent="0.4">
      <c r="I762" s="58"/>
    </row>
    <row r="763" spans="9:9" x14ac:dyDescent="0.4">
      <c r="I763" s="58"/>
    </row>
    <row r="764" spans="9:9" x14ac:dyDescent="0.4">
      <c r="I764" s="58"/>
    </row>
    <row r="765" spans="9:9" x14ac:dyDescent="0.4">
      <c r="I765" s="58"/>
    </row>
    <row r="766" spans="9:9" x14ac:dyDescent="0.4">
      <c r="I766" s="58"/>
    </row>
    <row r="767" spans="9:9" x14ac:dyDescent="0.4">
      <c r="I767" s="58"/>
    </row>
    <row r="768" spans="9:9" x14ac:dyDescent="0.4">
      <c r="I768" s="58"/>
    </row>
    <row r="769" spans="9:9" x14ac:dyDescent="0.4">
      <c r="I769" s="58"/>
    </row>
    <row r="770" spans="9:9" x14ac:dyDescent="0.4">
      <c r="I770" s="58"/>
    </row>
    <row r="771" spans="9:9" x14ac:dyDescent="0.4">
      <c r="I771" s="58"/>
    </row>
    <row r="772" spans="9:9" x14ac:dyDescent="0.4">
      <c r="I772" s="58"/>
    </row>
    <row r="773" spans="9:9" x14ac:dyDescent="0.4">
      <c r="I773" s="58"/>
    </row>
    <row r="774" spans="9:9" x14ac:dyDescent="0.4">
      <c r="I774" s="58"/>
    </row>
    <row r="775" spans="9:9" x14ac:dyDescent="0.4">
      <c r="I775" s="58"/>
    </row>
    <row r="776" spans="9:9" x14ac:dyDescent="0.4">
      <c r="I776" s="58"/>
    </row>
    <row r="777" spans="9:9" x14ac:dyDescent="0.4">
      <c r="I777" s="58"/>
    </row>
    <row r="778" spans="9:9" x14ac:dyDescent="0.4">
      <c r="I778" s="58"/>
    </row>
    <row r="779" spans="9:9" x14ac:dyDescent="0.4">
      <c r="I779" s="58"/>
    </row>
    <row r="780" spans="9:9" x14ac:dyDescent="0.4">
      <c r="I780" s="58"/>
    </row>
    <row r="781" spans="9:9" x14ac:dyDescent="0.4">
      <c r="I781" s="58"/>
    </row>
    <row r="782" spans="9:9" x14ac:dyDescent="0.4">
      <c r="I782" s="58"/>
    </row>
    <row r="783" spans="9:9" x14ac:dyDescent="0.4">
      <c r="I783" s="58"/>
    </row>
    <row r="784" spans="9:9" x14ac:dyDescent="0.4">
      <c r="I784" s="58"/>
    </row>
    <row r="785" spans="9:9" x14ac:dyDescent="0.4">
      <c r="I785" s="58"/>
    </row>
    <row r="786" spans="9:9" x14ac:dyDescent="0.4">
      <c r="I786" s="58"/>
    </row>
    <row r="787" spans="9:9" x14ac:dyDescent="0.4">
      <c r="I787" s="58"/>
    </row>
    <row r="788" spans="9:9" x14ac:dyDescent="0.4">
      <c r="I788" s="58"/>
    </row>
    <row r="789" spans="9:9" x14ac:dyDescent="0.4">
      <c r="I789" s="58"/>
    </row>
    <row r="790" spans="9:9" x14ac:dyDescent="0.4">
      <c r="I790" s="58"/>
    </row>
    <row r="791" spans="9:9" x14ac:dyDescent="0.4">
      <c r="I791" s="58"/>
    </row>
    <row r="792" spans="9:9" x14ac:dyDescent="0.4">
      <c r="I792" s="58"/>
    </row>
    <row r="793" spans="9:9" x14ac:dyDescent="0.4">
      <c r="I793" s="58"/>
    </row>
    <row r="794" spans="9:9" x14ac:dyDescent="0.4">
      <c r="I794" s="58"/>
    </row>
    <row r="795" spans="9:9" x14ac:dyDescent="0.4">
      <c r="I795" s="58"/>
    </row>
    <row r="796" spans="9:9" x14ac:dyDescent="0.4">
      <c r="I796" s="58"/>
    </row>
    <row r="797" spans="9:9" x14ac:dyDescent="0.4">
      <c r="I797" s="58"/>
    </row>
    <row r="798" spans="9:9" x14ac:dyDescent="0.4">
      <c r="I798" s="58"/>
    </row>
    <row r="799" spans="9:9" x14ac:dyDescent="0.4">
      <c r="I799" s="58"/>
    </row>
    <row r="800" spans="9:9" x14ac:dyDescent="0.4">
      <c r="I800" s="58"/>
    </row>
    <row r="801" spans="9:9" x14ac:dyDescent="0.4">
      <c r="I801" s="58"/>
    </row>
    <row r="802" spans="9:9" x14ac:dyDescent="0.4">
      <c r="I802" s="58"/>
    </row>
    <row r="803" spans="9:9" x14ac:dyDescent="0.4">
      <c r="I803" s="58"/>
    </row>
    <row r="804" spans="9:9" x14ac:dyDescent="0.4">
      <c r="I804" s="58"/>
    </row>
    <row r="805" spans="9:9" x14ac:dyDescent="0.4">
      <c r="I805" s="58"/>
    </row>
    <row r="806" spans="9:9" x14ac:dyDescent="0.4">
      <c r="I806" s="58"/>
    </row>
    <row r="807" spans="9:9" x14ac:dyDescent="0.4">
      <c r="I807" s="58"/>
    </row>
    <row r="808" spans="9:9" x14ac:dyDescent="0.4">
      <c r="I808" s="58"/>
    </row>
    <row r="809" spans="9:9" x14ac:dyDescent="0.4">
      <c r="I809" s="58"/>
    </row>
    <row r="810" spans="9:9" x14ac:dyDescent="0.4">
      <c r="I810" s="58"/>
    </row>
    <row r="811" spans="9:9" x14ac:dyDescent="0.4">
      <c r="I811" s="58"/>
    </row>
    <row r="812" spans="9:9" x14ac:dyDescent="0.4">
      <c r="I812" s="58"/>
    </row>
    <row r="813" spans="9:9" x14ac:dyDescent="0.4">
      <c r="I813" s="58"/>
    </row>
    <row r="814" spans="9:9" x14ac:dyDescent="0.4">
      <c r="I814" s="58"/>
    </row>
    <row r="815" spans="9:9" x14ac:dyDescent="0.4">
      <c r="I815" s="58"/>
    </row>
    <row r="816" spans="9:9" x14ac:dyDescent="0.4">
      <c r="I816" s="58"/>
    </row>
    <row r="817" spans="9:9" x14ac:dyDescent="0.4">
      <c r="I817" s="58"/>
    </row>
    <row r="818" spans="9:9" x14ac:dyDescent="0.4">
      <c r="I818" s="58"/>
    </row>
    <row r="819" spans="9:9" x14ac:dyDescent="0.4">
      <c r="I819" s="58"/>
    </row>
    <row r="820" spans="9:9" x14ac:dyDescent="0.4">
      <c r="I820" s="58"/>
    </row>
    <row r="821" spans="9:9" x14ac:dyDescent="0.4">
      <c r="I821" s="58"/>
    </row>
    <row r="822" spans="9:9" x14ac:dyDescent="0.4">
      <c r="I822" s="58"/>
    </row>
    <row r="823" spans="9:9" x14ac:dyDescent="0.4">
      <c r="I823" s="58"/>
    </row>
    <row r="824" spans="9:9" x14ac:dyDescent="0.4">
      <c r="I824" s="58"/>
    </row>
    <row r="825" spans="9:9" x14ac:dyDescent="0.4">
      <c r="I825" s="58"/>
    </row>
    <row r="826" spans="9:9" x14ac:dyDescent="0.4">
      <c r="I826" s="58"/>
    </row>
    <row r="827" spans="9:9" x14ac:dyDescent="0.4">
      <c r="I827" s="58"/>
    </row>
    <row r="828" spans="9:9" x14ac:dyDescent="0.4">
      <c r="I828" s="58"/>
    </row>
    <row r="829" spans="9:9" x14ac:dyDescent="0.4">
      <c r="I829" s="58"/>
    </row>
    <row r="830" spans="9:9" x14ac:dyDescent="0.4">
      <c r="I830" s="58"/>
    </row>
    <row r="831" spans="9:9" x14ac:dyDescent="0.4">
      <c r="I831" s="58"/>
    </row>
    <row r="832" spans="9:9" x14ac:dyDescent="0.4">
      <c r="I832" s="58"/>
    </row>
    <row r="833" spans="9:9" x14ac:dyDescent="0.4">
      <c r="I833" s="58"/>
    </row>
    <row r="834" spans="9:9" x14ac:dyDescent="0.4">
      <c r="I834" s="58"/>
    </row>
    <row r="835" spans="9:9" x14ac:dyDescent="0.4">
      <c r="I835" s="58"/>
    </row>
    <row r="836" spans="9:9" x14ac:dyDescent="0.4">
      <c r="I836" s="58"/>
    </row>
    <row r="837" spans="9:9" x14ac:dyDescent="0.4">
      <c r="I837" s="58"/>
    </row>
    <row r="838" spans="9:9" x14ac:dyDescent="0.4">
      <c r="I838" s="58"/>
    </row>
    <row r="839" spans="9:9" x14ac:dyDescent="0.4">
      <c r="I839" s="58"/>
    </row>
    <row r="840" spans="9:9" x14ac:dyDescent="0.4">
      <c r="I840" s="58"/>
    </row>
    <row r="841" spans="9:9" x14ac:dyDescent="0.4">
      <c r="I841" s="58"/>
    </row>
    <row r="842" spans="9:9" x14ac:dyDescent="0.4">
      <c r="I842" s="58"/>
    </row>
    <row r="843" spans="9:9" x14ac:dyDescent="0.4">
      <c r="I843" s="58"/>
    </row>
    <row r="844" spans="9:9" x14ac:dyDescent="0.4">
      <c r="I844" s="58"/>
    </row>
    <row r="845" spans="9:9" x14ac:dyDescent="0.4">
      <c r="I845" s="58"/>
    </row>
    <row r="846" spans="9:9" x14ac:dyDescent="0.4">
      <c r="I846" s="58"/>
    </row>
    <row r="847" spans="9:9" x14ac:dyDescent="0.4">
      <c r="I847" s="58"/>
    </row>
    <row r="848" spans="9:9" x14ac:dyDescent="0.4">
      <c r="I848" s="58"/>
    </row>
    <row r="849" spans="9:9" x14ac:dyDescent="0.4">
      <c r="I849" s="58"/>
    </row>
    <row r="850" spans="9:9" x14ac:dyDescent="0.4">
      <c r="I850" s="58"/>
    </row>
    <row r="851" spans="9:9" x14ac:dyDescent="0.4">
      <c r="I851" s="58"/>
    </row>
    <row r="852" spans="9:9" x14ac:dyDescent="0.4">
      <c r="I852" s="58"/>
    </row>
    <row r="853" spans="9:9" x14ac:dyDescent="0.4">
      <c r="I853" s="58"/>
    </row>
    <row r="854" spans="9:9" x14ac:dyDescent="0.4">
      <c r="I854" s="58"/>
    </row>
    <row r="855" spans="9:9" x14ac:dyDescent="0.4">
      <c r="I855" s="58"/>
    </row>
    <row r="856" spans="9:9" x14ac:dyDescent="0.4">
      <c r="I856" s="58"/>
    </row>
    <row r="857" spans="9:9" x14ac:dyDescent="0.4">
      <c r="I857" s="58"/>
    </row>
    <row r="858" spans="9:9" x14ac:dyDescent="0.4">
      <c r="I858" s="58"/>
    </row>
    <row r="859" spans="9:9" x14ac:dyDescent="0.4">
      <c r="I859" s="58"/>
    </row>
    <row r="860" spans="9:9" x14ac:dyDescent="0.4">
      <c r="I860" s="58"/>
    </row>
    <row r="861" spans="9:9" x14ac:dyDescent="0.4">
      <c r="I861" s="58"/>
    </row>
    <row r="862" spans="9:9" x14ac:dyDescent="0.4">
      <c r="I862" s="58"/>
    </row>
    <row r="863" spans="9:9" x14ac:dyDescent="0.4">
      <c r="I863" s="58"/>
    </row>
    <row r="864" spans="9:9" x14ac:dyDescent="0.4">
      <c r="I864" s="58"/>
    </row>
    <row r="865" spans="9:9" x14ac:dyDescent="0.4">
      <c r="I865" s="58"/>
    </row>
    <row r="866" spans="9:9" x14ac:dyDescent="0.4">
      <c r="I866" s="58"/>
    </row>
    <row r="867" spans="9:9" x14ac:dyDescent="0.4">
      <c r="I867" s="58"/>
    </row>
    <row r="868" spans="9:9" x14ac:dyDescent="0.4">
      <c r="I868" s="58"/>
    </row>
    <row r="869" spans="9:9" x14ac:dyDescent="0.4">
      <c r="I869" s="58"/>
    </row>
    <row r="870" spans="9:9" x14ac:dyDescent="0.4">
      <c r="I870" s="58"/>
    </row>
    <row r="871" spans="9:9" x14ac:dyDescent="0.4">
      <c r="I871" s="58"/>
    </row>
    <row r="872" spans="9:9" x14ac:dyDescent="0.4">
      <c r="I872" s="58"/>
    </row>
    <row r="873" spans="9:9" x14ac:dyDescent="0.4">
      <c r="I873" s="58"/>
    </row>
    <row r="874" spans="9:9" x14ac:dyDescent="0.4">
      <c r="I874" s="58"/>
    </row>
    <row r="875" spans="9:9" x14ac:dyDescent="0.4">
      <c r="I875" s="58"/>
    </row>
    <row r="876" spans="9:9" x14ac:dyDescent="0.4">
      <c r="I876" s="58"/>
    </row>
    <row r="877" spans="9:9" x14ac:dyDescent="0.4">
      <c r="I877" s="58"/>
    </row>
    <row r="878" spans="9:9" x14ac:dyDescent="0.4">
      <c r="I878" s="58"/>
    </row>
    <row r="879" spans="9:9" x14ac:dyDescent="0.4">
      <c r="I879" s="58"/>
    </row>
    <row r="880" spans="9:9" x14ac:dyDescent="0.4">
      <c r="I880" s="58"/>
    </row>
    <row r="881" spans="9:9" x14ac:dyDescent="0.4">
      <c r="I881" s="58"/>
    </row>
    <row r="882" spans="9:9" x14ac:dyDescent="0.4">
      <c r="I882" s="58"/>
    </row>
    <row r="883" spans="9:9" x14ac:dyDescent="0.4">
      <c r="I883" s="58"/>
    </row>
    <row r="884" spans="9:9" x14ac:dyDescent="0.4">
      <c r="I884" s="58"/>
    </row>
    <row r="885" spans="9:9" x14ac:dyDescent="0.4">
      <c r="I885" s="58"/>
    </row>
    <row r="886" spans="9:9" x14ac:dyDescent="0.4">
      <c r="I886" s="58"/>
    </row>
    <row r="887" spans="9:9" x14ac:dyDescent="0.4">
      <c r="I887" s="58"/>
    </row>
    <row r="888" spans="9:9" x14ac:dyDescent="0.4">
      <c r="I888" s="58"/>
    </row>
    <row r="889" spans="9:9" x14ac:dyDescent="0.4">
      <c r="I889" s="58"/>
    </row>
    <row r="890" spans="9:9" x14ac:dyDescent="0.4">
      <c r="I890" s="58"/>
    </row>
    <row r="891" spans="9:9" x14ac:dyDescent="0.4">
      <c r="I891" s="58"/>
    </row>
    <row r="892" spans="9:9" x14ac:dyDescent="0.4">
      <c r="I892" s="58"/>
    </row>
    <row r="893" spans="9:9" x14ac:dyDescent="0.4">
      <c r="I893" s="58"/>
    </row>
    <row r="894" spans="9:9" x14ac:dyDescent="0.4">
      <c r="I894" s="58"/>
    </row>
    <row r="895" spans="9:9" x14ac:dyDescent="0.4">
      <c r="I895" s="58"/>
    </row>
    <row r="896" spans="9:9" x14ac:dyDescent="0.4">
      <c r="I896" s="58"/>
    </row>
    <row r="897" spans="9:9" x14ac:dyDescent="0.4">
      <c r="I897" s="58"/>
    </row>
    <row r="898" spans="9:9" x14ac:dyDescent="0.4">
      <c r="I898" s="58"/>
    </row>
    <row r="899" spans="9:9" x14ac:dyDescent="0.4">
      <c r="I899" s="58"/>
    </row>
    <row r="900" spans="9:9" x14ac:dyDescent="0.4">
      <c r="I900" s="58"/>
    </row>
    <row r="901" spans="9:9" x14ac:dyDescent="0.4">
      <c r="I901" s="58"/>
    </row>
    <row r="902" spans="9:9" x14ac:dyDescent="0.4">
      <c r="I902" s="58"/>
    </row>
    <row r="903" spans="9:9" x14ac:dyDescent="0.4">
      <c r="I903" s="58"/>
    </row>
    <row r="904" spans="9:9" x14ac:dyDescent="0.4">
      <c r="I904" s="58"/>
    </row>
    <row r="905" spans="9:9" x14ac:dyDescent="0.4">
      <c r="I905" s="58"/>
    </row>
    <row r="906" spans="9:9" x14ac:dyDescent="0.4">
      <c r="I906" s="58"/>
    </row>
    <row r="907" spans="9:9" x14ac:dyDescent="0.4">
      <c r="I907" s="58"/>
    </row>
    <row r="908" spans="9:9" x14ac:dyDescent="0.4">
      <c r="I908" s="58"/>
    </row>
    <row r="909" spans="9:9" x14ac:dyDescent="0.4">
      <c r="I909" s="58"/>
    </row>
    <row r="910" spans="9:9" x14ac:dyDescent="0.4">
      <c r="I910" s="58"/>
    </row>
    <row r="911" spans="9:9" x14ac:dyDescent="0.4">
      <c r="I911" s="58"/>
    </row>
    <row r="912" spans="9:9" x14ac:dyDescent="0.4">
      <c r="I912" s="58"/>
    </row>
    <row r="913" spans="9:9" x14ac:dyDescent="0.4">
      <c r="I913" s="58"/>
    </row>
    <row r="914" spans="9:9" x14ac:dyDescent="0.4">
      <c r="I914" s="58"/>
    </row>
    <row r="915" spans="9:9" x14ac:dyDescent="0.4">
      <c r="I915" s="58"/>
    </row>
    <row r="916" spans="9:9" x14ac:dyDescent="0.4">
      <c r="I916" s="58"/>
    </row>
    <row r="917" spans="9:9" x14ac:dyDescent="0.4">
      <c r="I917" s="58"/>
    </row>
    <row r="918" spans="9:9" x14ac:dyDescent="0.4">
      <c r="I918" s="58"/>
    </row>
    <row r="919" spans="9:9" x14ac:dyDescent="0.4">
      <c r="I919" s="58"/>
    </row>
    <row r="920" spans="9:9" x14ac:dyDescent="0.4">
      <c r="I920" s="58"/>
    </row>
    <row r="921" spans="9:9" x14ac:dyDescent="0.4">
      <c r="I921" s="58"/>
    </row>
    <row r="922" spans="9:9" x14ac:dyDescent="0.4">
      <c r="I922" s="58"/>
    </row>
    <row r="923" spans="9:9" x14ac:dyDescent="0.4">
      <c r="I923" s="58"/>
    </row>
    <row r="924" spans="9:9" x14ac:dyDescent="0.4">
      <c r="I924" s="58"/>
    </row>
    <row r="925" spans="9:9" x14ac:dyDescent="0.4">
      <c r="I925" s="58"/>
    </row>
    <row r="926" spans="9:9" x14ac:dyDescent="0.4">
      <c r="I926" s="58"/>
    </row>
    <row r="927" spans="9:9" x14ac:dyDescent="0.4">
      <c r="I927" s="58"/>
    </row>
    <row r="928" spans="9:9" x14ac:dyDescent="0.4">
      <c r="I928" s="58"/>
    </row>
    <row r="929" spans="9:9" x14ac:dyDescent="0.4">
      <c r="I929" s="58"/>
    </row>
    <row r="930" spans="9:9" x14ac:dyDescent="0.4">
      <c r="I930" s="58"/>
    </row>
    <row r="931" spans="9:9" x14ac:dyDescent="0.4">
      <c r="I931" s="58"/>
    </row>
    <row r="932" spans="9:9" x14ac:dyDescent="0.4">
      <c r="I932" s="58"/>
    </row>
    <row r="933" spans="9:9" x14ac:dyDescent="0.4">
      <c r="I933" s="58"/>
    </row>
    <row r="934" spans="9:9" x14ac:dyDescent="0.4">
      <c r="I934" s="58"/>
    </row>
    <row r="935" spans="9:9" x14ac:dyDescent="0.4">
      <c r="I935" s="58"/>
    </row>
    <row r="936" spans="9:9" x14ac:dyDescent="0.4">
      <c r="I936" s="58"/>
    </row>
    <row r="937" spans="9:9" x14ac:dyDescent="0.4">
      <c r="I937" s="58"/>
    </row>
    <row r="938" spans="9:9" x14ac:dyDescent="0.4">
      <c r="I938" s="58"/>
    </row>
    <row r="939" spans="9:9" x14ac:dyDescent="0.4">
      <c r="I939" s="58"/>
    </row>
    <row r="940" spans="9:9" x14ac:dyDescent="0.4">
      <c r="I940" s="58"/>
    </row>
    <row r="941" spans="9:9" x14ac:dyDescent="0.4">
      <c r="I941" s="58"/>
    </row>
    <row r="942" spans="9:9" x14ac:dyDescent="0.4">
      <c r="I942" s="58"/>
    </row>
    <row r="943" spans="9:9" x14ac:dyDescent="0.4">
      <c r="I943" s="58"/>
    </row>
    <row r="944" spans="9:9" x14ac:dyDescent="0.4">
      <c r="I944" s="58"/>
    </row>
    <row r="945" spans="9:9" x14ac:dyDescent="0.4">
      <c r="I945" s="58"/>
    </row>
    <row r="946" spans="9:9" x14ac:dyDescent="0.4">
      <c r="I946" s="58"/>
    </row>
    <row r="947" spans="9:9" x14ac:dyDescent="0.4">
      <c r="I947" s="58"/>
    </row>
    <row r="948" spans="9:9" x14ac:dyDescent="0.4">
      <c r="I948" s="58"/>
    </row>
    <row r="949" spans="9:9" x14ac:dyDescent="0.4">
      <c r="I949" s="58"/>
    </row>
    <row r="950" spans="9:9" x14ac:dyDescent="0.4">
      <c r="I950" s="58"/>
    </row>
    <row r="951" spans="9:9" x14ac:dyDescent="0.4">
      <c r="I951" s="58"/>
    </row>
    <row r="952" spans="9:9" x14ac:dyDescent="0.4">
      <c r="I952" s="58"/>
    </row>
    <row r="953" spans="9:9" x14ac:dyDescent="0.4">
      <c r="I953" s="58"/>
    </row>
    <row r="954" spans="9:9" x14ac:dyDescent="0.4">
      <c r="I954" s="58"/>
    </row>
    <row r="955" spans="9:9" x14ac:dyDescent="0.4">
      <c r="I955" s="58"/>
    </row>
    <row r="956" spans="9:9" x14ac:dyDescent="0.4">
      <c r="I956" s="58"/>
    </row>
    <row r="957" spans="9:9" x14ac:dyDescent="0.4">
      <c r="I957" s="58"/>
    </row>
    <row r="958" spans="9:9" x14ac:dyDescent="0.4">
      <c r="I958" s="58"/>
    </row>
    <row r="959" spans="9:9" x14ac:dyDescent="0.4">
      <c r="I959" s="58"/>
    </row>
    <row r="960" spans="9:9" x14ac:dyDescent="0.4">
      <c r="I960" s="58"/>
    </row>
    <row r="961" spans="9:9" x14ac:dyDescent="0.4">
      <c r="I961" s="58"/>
    </row>
    <row r="962" spans="9:9" x14ac:dyDescent="0.4">
      <c r="I962" s="58"/>
    </row>
    <row r="963" spans="9:9" x14ac:dyDescent="0.4">
      <c r="I963" s="58"/>
    </row>
    <row r="964" spans="9:9" x14ac:dyDescent="0.4">
      <c r="I964" s="58"/>
    </row>
    <row r="965" spans="9:9" x14ac:dyDescent="0.4">
      <c r="I965" s="58"/>
    </row>
    <row r="966" spans="9:9" x14ac:dyDescent="0.4">
      <c r="I966" s="58"/>
    </row>
    <row r="967" spans="9:9" x14ac:dyDescent="0.4">
      <c r="I967" s="58"/>
    </row>
    <row r="968" spans="9:9" x14ac:dyDescent="0.4">
      <c r="I968" s="58"/>
    </row>
    <row r="969" spans="9:9" x14ac:dyDescent="0.4">
      <c r="I969" s="58"/>
    </row>
    <row r="970" spans="9:9" x14ac:dyDescent="0.4">
      <c r="I970" s="58"/>
    </row>
    <row r="971" spans="9:9" x14ac:dyDescent="0.4">
      <c r="I971" s="58"/>
    </row>
    <row r="972" spans="9:9" x14ac:dyDescent="0.4">
      <c r="I972" s="58"/>
    </row>
    <row r="973" spans="9:9" x14ac:dyDescent="0.4">
      <c r="I973" s="58"/>
    </row>
    <row r="974" spans="9:9" x14ac:dyDescent="0.4">
      <c r="I974" s="58"/>
    </row>
    <row r="975" spans="9:9" x14ac:dyDescent="0.4">
      <c r="I975" s="58"/>
    </row>
    <row r="976" spans="9:9" x14ac:dyDescent="0.4">
      <c r="I976" s="58"/>
    </row>
    <row r="977" spans="9:9" x14ac:dyDescent="0.4">
      <c r="I977" s="58"/>
    </row>
    <row r="978" spans="9:9" x14ac:dyDescent="0.4">
      <c r="I978" s="58"/>
    </row>
    <row r="979" spans="9:9" x14ac:dyDescent="0.4">
      <c r="I979" s="58"/>
    </row>
    <row r="980" spans="9:9" x14ac:dyDescent="0.4">
      <c r="I980" s="58"/>
    </row>
    <row r="981" spans="9:9" x14ac:dyDescent="0.4">
      <c r="I981" s="58"/>
    </row>
    <row r="982" spans="9:9" x14ac:dyDescent="0.4">
      <c r="I982" s="58"/>
    </row>
    <row r="983" spans="9:9" x14ac:dyDescent="0.4">
      <c r="I983" s="58"/>
    </row>
    <row r="984" spans="9:9" x14ac:dyDescent="0.4">
      <c r="I984" s="58"/>
    </row>
    <row r="985" spans="9:9" x14ac:dyDescent="0.4">
      <c r="I985" s="58"/>
    </row>
    <row r="986" spans="9:9" x14ac:dyDescent="0.4">
      <c r="I986" s="58"/>
    </row>
    <row r="987" spans="9:9" x14ac:dyDescent="0.4">
      <c r="I987" s="58"/>
    </row>
    <row r="988" spans="9:9" x14ac:dyDescent="0.4">
      <c r="I988" s="58"/>
    </row>
    <row r="989" spans="9:9" x14ac:dyDescent="0.4">
      <c r="I989" s="58"/>
    </row>
    <row r="990" spans="9:9" x14ac:dyDescent="0.4">
      <c r="I990" s="58"/>
    </row>
    <row r="991" spans="9:9" x14ac:dyDescent="0.4">
      <c r="I991" s="58"/>
    </row>
    <row r="992" spans="9:9" x14ac:dyDescent="0.4">
      <c r="I992" s="58"/>
    </row>
    <row r="993" spans="9:9" x14ac:dyDescent="0.4">
      <c r="I993" s="58"/>
    </row>
    <row r="994" spans="9:9" x14ac:dyDescent="0.4">
      <c r="I994" s="58"/>
    </row>
    <row r="995" spans="9:9" x14ac:dyDescent="0.4">
      <c r="I995" s="58"/>
    </row>
    <row r="996" spans="9:9" x14ac:dyDescent="0.4">
      <c r="I996" s="58"/>
    </row>
    <row r="997" spans="9:9" x14ac:dyDescent="0.4">
      <c r="I997" s="58"/>
    </row>
    <row r="998" spans="9:9" x14ac:dyDescent="0.4">
      <c r="I998" s="58"/>
    </row>
    <row r="999" spans="9:9" x14ac:dyDescent="0.4">
      <c r="I999" s="58"/>
    </row>
    <row r="1000" spans="9:9" x14ac:dyDescent="0.4">
      <c r="I1000" s="58"/>
    </row>
    <row r="1001" spans="9:9" x14ac:dyDescent="0.4">
      <c r="I1001" s="58"/>
    </row>
    <row r="1002" spans="9:9" x14ac:dyDescent="0.4">
      <c r="I1002" s="58"/>
    </row>
    <row r="1003" spans="9:9" x14ac:dyDescent="0.4">
      <c r="I1003" s="58"/>
    </row>
  </sheetData>
  <mergeCells count="7">
    <mergeCell ref="A1:H1"/>
    <mergeCell ref="A3:H3"/>
    <mergeCell ref="A62:H62"/>
    <mergeCell ref="A66:H66"/>
    <mergeCell ref="A46:H46"/>
    <mergeCell ref="A37:H37"/>
    <mergeCell ref="A13:H13"/>
  </mergeCells>
  <conditionalFormatting sqref="D11">
    <cfRule type="cellIs" dxfId="125" priority="13" operator="lessThan">
      <formula>0</formula>
    </cfRule>
    <cfRule type="cellIs" dxfId="124" priority="14" operator="greaterThan">
      <formula>0</formula>
    </cfRule>
    <cfRule type="cellIs" dxfId="123" priority="15" operator="equal">
      <formula>0</formula>
    </cfRule>
  </conditionalFormatting>
  <conditionalFormatting sqref="D35">
    <cfRule type="cellIs" dxfId="122" priority="10" operator="lessThan">
      <formula>0</formula>
    </cfRule>
    <cfRule type="cellIs" dxfId="121" priority="11" operator="greaterThan">
      <formula>0</formula>
    </cfRule>
    <cfRule type="cellIs" dxfId="120" priority="12" operator="equal">
      <formula>0</formula>
    </cfRule>
  </conditionalFormatting>
  <conditionalFormatting sqref="D44 D56 D60 D64 D78 D80">
    <cfRule type="cellIs" dxfId="119" priority="7" operator="lessThan">
      <formula>0</formula>
    </cfRule>
    <cfRule type="cellIs" dxfId="118" priority="8" operator="greaterThan">
      <formula>0</formula>
    </cfRule>
    <cfRule type="cellIs" dxfId="117" priority="9" operator="equal">
      <formula>0</formula>
    </cfRule>
  </conditionalFormatting>
  <conditionalFormatting sqref="D59">
    <cfRule type="expression" dxfId="116" priority="1">
      <formula>D59&lt;H59</formula>
    </cfRule>
    <cfRule type="expression" dxfId="115" priority="2">
      <formula>D59&gt;H59</formula>
    </cfRule>
    <cfRule type="expression" dxfId="114" priority="3">
      <formula>D59=H59</formula>
    </cfRule>
  </conditionalFormatting>
  <conditionalFormatting sqref="E4:E12 E14:E36 E38:E45 E47:E58 E60:E1048576">
    <cfRule type="expression" dxfId="113" priority="4">
      <formula>E4&lt;H4</formula>
    </cfRule>
    <cfRule type="expression" dxfId="112" priority="5">
      <formula>E4&gt;H4</formula>
    </cfRule>
    <cfRule type="expression" dxfId="111" priority="6">
      <formula>E4=H4</formula>
    </cfRule>
  </conditionalFormatting>
  <printOptions horizontalCentered="1"/>
  <pageMargins left="0.25" right="0.25" top="0.75" bottom="0.5" header="0.3" footer="0.3"/>
  <pageSetup scale="90" fitToHeight="0" orientation="landscape" r:id="rId1"/>
  <rowBreaks count="2" manualBreakCount="2">
    <brk id="36" max="7" man="1"/>
    <brk id="6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AC354"/>
  <sheetViews>
    <sheetView zoomScale="110" zoomScaleNormal="110" zoomScaleSheetLayoutView="70" workbookViewId="0">
      <pane ySplit="2" topLeftCell="A3" activePane="bottomLeft" state="frozen"/>
      <selection activeCell="K39" sqref="K39"/>
      <selection pane="bottomLeft" activeCell="E15" sqref="E15"/>
    </sheetView>
  </sheetViews>
  <sheetFormatPr defaultColWidth="14.3828125" defaultRowHeight="15" customHeight="1" x14ac:dyDescent="0.4"/>
  <cols>
    <col min="1" max="1" width="20.3828125" customWidth="1"/>
    <col min="2" max="2" width="6.53515625" bestFit="1" customWidth="1"/>
    <col min="3" max="3" width="54.69140625" customWidth="1"/>
    <col min="4" max="4" width="11" customWidth="1"/>
    <col min="5" max="5" width="12.3046875" customWidth="1"/>
    <col min="6" max="6" width="9.3828125" customWidth="1"/>
    <col min="7" max="7" width="15" customWidth="1"/>
    <col min="8" max="8" width="19" style="121" customWidth="1"/>
    <col min="9" max="9" width="14.3046875" style="35" bestFit="1" customWidth="1"/>
    <col min="10" max="10" width="13.69140625" style="35" bestFit="1" customWidth="1"/>
    <col min="11" max="11" width="18.53515625" customWidth="1"/>
    <col min="12" max="12" width="1.84375" customWidth="1"/>
    <col min="13" max="13" width="9.3828125" bestFit="1" customWidth="1"/>
    <col min="14" max="14" width="16.69140625" bestFit="1" customWidth="1"/>
    <col min="15" max="15" width="13.3046875" customWidth="1"/>
    <col min="16" max="16" width="6.15234375" customWidth="1"/>
    <col min="17" max="17" width="4.3828125" customWidth="1"/>
    <col min="18" max="27" width="13.3046875" customWidth="1"/>
    <col min="28" max="29" width="15.15234375" customWidth="1"/>
  </cols>
  <sheetData>
    <row r="1" spans="1:17" ht="26.15" x14ac:dyDescent="0.7">
      <c r="A1" s="968" t="s">
        <v>639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</row>
    <row r="2" spans="1:17" ht="29.15" x14ac:dyDescent="0.4">
      <c r="A2" s="473"/>
      <c r="B2" s="473" t="s">
        <v>180</v>
      </c>
      <c r="C2" s="476" t="s">
        <v>77</v>
      </c>
      <c r="D2" s="581" t="s">
        <v>181</v>
      </c>
      <c r="E2" s="581" t="s">
        <v>182</v>
      </c>
      <c r="F2" s="581" t="s">
        <v>183</v>
      </c>
      <c r="G2" s="476" t="s">
        <v>184</v>
      </c>
      <c r="H2" s="582" t="s">
        <v>635</v>
      </c>
      <c r="I2" s="582" t="s">
        <v>79</v>
      </c>
      <c r="J2" s="582" t="s">
        <v>80</v>
      </c>
      <c r="K2" s="476" t="s">
        <v>185</v>
      </c>
      <c r="Q2" s="246"/>
    </row>
    <row r="3" spans="1:17" ht="19.5" customHeight="1" x14ac:dyDescent="0.5">
      <c r="A3" s="978" t="s">
        <v>186</v>
      </c>
      <c r="B3" s="978"/>
      <c r="C3" s="979"/>
      <c r="D3" s="979"/>
      <c r="E3" s="979"/>
      <c r="F3" s="979"/>
      <c r="G3" s="979"/>
      <c r="H3" s="979"/>
      <c r="I3" s="979"/>
      <c r="J3" s="979"/>
      <c r="K3" s="979"/>
      <c r="N3" s="134"/>
      <c r="Q3" s="246"/>
    </row>
    <row r="4" spans="1:17" ht="15" customHeight="1" x14ac:dyDescent="0.4">
      <c r="A4" s="733"/>
      <c r="B4" s="66" t="str">
        <f>LEFT($A$3,4)&amp;"-1"</f>
        <v>6110-1</v>
      </c>
      <c r="C4" s="584" t="s">
        <v>535</v>
      </c>
      <c r="D4" s="585"/>
      <c r="E4" s="586"/>
      <c r="F4" s="587">
        <v>1</v>
      </c>
      <c r="G4" s="588">
        <v>100</v>
      </c>
      <c r="H4" s="589">
        <f t="shared" ref="H4:H14" si="0">(D4+E4+F4)*G4</f>
        <v>100</v>
      </c>
      <c r="I4" s="589">
        <f t="shared" ref="I4:I14" ca="1" si="1">(-SUMIF(INDIRECT(LEFT($A$3,4)&amp;"!i3:i200"),"="&amp;B4&amp;" *",INDIRECT(LEFT($A$3,4)&amp;"!k3:k200")))</f>
        <v>0</v>
      </c>
      <c r="J4" s="589">
        <f ca="1">SUM(H4:I4)</f>
        <v>100</v>
      </c>
      <c r="K4" s="589">
        <v>100</v>
      </c>
      <c r="N4" s="61"/>
      <c r="O4" s="328"/>
      <c r="P4" s="328"/>
      <c r="Q4" s="246"/>
    </row>
    <row r="5" spans="1:17" ht="15" customHeight="1" x14ac:dyDescent="0.4">
      <c r="A5" s="737" t="s">
        <v>187</v>
      </c>
      <c r="B5" s="118" t="str">
        <f>LEFT($B4,4)&amp;"-"&amp;VALUE(MID($B4,FIND("-",$B4)+1,256))+1</f>
        <v>6110-2</v>
      </c>
      <c r="C5" s="590" t="s">
        <v>536</v>
      </c>
      <c r="D5" s="591"/>
      <c r="E5" s="592"/>
      <c r="F5" s="591">
        <v>2</v>
      </c>
      <c r="G5" s="593">
        <v>400</v>
      </c>
      <c r="H5" s="594">
        <f t="shared" si="0"/>
        <v>800</v>
      </c>
      <c r="I5" s="595">
        <f t="shared" ca="1" si="1"/>
        <v>0</v>
      </c>
      <c r="J5" s="595">
        <f t="shared" ref="J5:J14" ca="1" si="2">SUM(H5:I5)</f>
        <v>800</v>
      </c>
      <c r="K5" s="595">
        <v>0</v>
      </c>
      <c r="L5" s="3"/>
      <c r="M5" s="3"/>
      <c r="N5" s="61"/>
      <c r="O5" s="328"/>
      <c r="P5" s="328"/>
      <c r="Q5" s="246"/>
    </row>
    <row r="6" spans="1:17" ht="15" customHeight="1" x14ac:dyDescent="0.4">
      <c r="A6" s="733" t="s">
        <v>188</v>
      </c>
      <c r="B6" s="145" t="str">
        <f t="shared" ref="B6:B14" si="3">LEFT($B5,4)&amp;"-"&amp;VALUE(MID($B5,FIND("-",$B5)+1,256))+1</f>
        <v>6110-3</v>
      </c>
      <c r="C6" s="596" t="s">
        <v>537</v>
      </c>
      <c r="D6" s="597"/>
      <c r="E6" s="598"/>
      <c r="F6" s="597">
        <v>0</v>
      </c>
      <c r="G6" s="599">
        <v>60</v>
      </c>
      <c r="H6" s="589">
        <f t="shared" si="0"/>
        <v>0</v>
      </c>
      <c r="I6" s="589">
        <f t="shared" ca="1" si="1"/>
        <v>-427.47999999999996</v>
      </c>
      <c r="J6" s="589">
        <f t="shared" ca="1" si="2"/>
        <v>-427.47999999999996</v>
      </c>
      <c r="K6" s="589">
        <v>240</v>
      </c>
      <c r="M6" s="3"/>
      <c r="N6" s="61"/>
      <c r="O6" s="328"/>
      <c r="P6" s="328"/>
      <c r="Q6" s="246"/>
    </row>
    <row r="7" spans="1:17" ht="15" customHeight="1" x14ac:dyDescent="0.4">
      <c r="A7" s="735"/>
      <c r="B7" s="135" t="str">
        <f t="shared" si="3"/>
        <v>6110-4</v>
      </c>
      <c r="C7" s="600" t="s">
        <v>189</v>
      </c>
      <c r="D7" s="601">
        <v>30</v>
      </c>
      <c r="E7" s="602"/>
      <c r="F7" s="602"/>
      <c r="G7" s="603">
        <v>30</v>
      </c>
      <c r="H7" s="594">
        <f t="shared" si="0"/>
        <v>900</v>
      </c>
      <c r="I7" s="594">
        <f t="shared" ca="1" si="1"/>
        <v>0</v>
      </c>
      <c r="J7" s="594">
        <f t="shared" ca="1" si="2"/>
        <v>900</v>
      </c>
      <c r="K7" s="594">
        <v>900</v>
      </c>
      <c r="M7" s="134"/>
      <c r="N7" s="61"/>
      <c r="O7" s="328"/>
      <c r="P7" s="328"/>
      <c r="Q7" s="246"/>
    </row>
    <row r="8" spans="1:17" ht="15" customHeight="1" x14ac:dyDescent="0.4">
      <c r="A8" s="736"/>
      <c r="B8" s="66" t="str">
        <f t="shared" si="3"/>
        <v>6110-5</v>
      </c>
      <c r="C8" s="604" t="s">
        <v>190</v>
      </c>
      <c r="D8" s="605"/>
      <c r="E8" s="606"/>
      <c r="F8" s="605">
        <v>60</v>
      </c>
      <c r="G8" s="607">
        <v>34</v>
      </c>
      <c r="H8" s="589">
        <f t="shared" si="0"/>
        <v>2040</v>
      </c>
      <c r="I8" s="608">
        <f t="shared" ca="1" si="1"/>
        <v>-2188.27</v>
      </c>
      <c r="J8" s="608">
        <f t="shared" ca="1" si="2"/>
        <v>-148.26999999999998</v>
      </c>
      <c r="K8" s="608">
        <v>2040</v>
      </c>
      <c r="L8" s="3"/>
      <c r="M8" s="3"/>
      <c r="N8" s="61"/>
      <c r="O8" s="328"/>
      <c r="P8" s="328"/>
      <c r="Q8" s="246"/>
    </row>
    <row r="9" spans="1:17" ht="15" customHeight="1" x14ac:dyDescent="0.4">
      <c r="A9" s="744" t="s">
        <v>187</v>
      </c>
      <c r="B9" s="118" t="str">
        <f t="shared" si="3"/>
        <v>6110-6</v>
      </c>
      <c r="C9" s="600" t="s">
        <v>191</v>
      </c>
      <c r="D9" s="609"/>
      <c r="E9" s="602"/>
      <c r="F9" s="609">
        <v>6</v>
      </c>
      <c r="G9" s="603">
        <v>70</v>
      </c>
      <c r="H9" s="594">
        <f t="shared" si="0"/>
        <v>420</v>
      </c>
      <c r="I9" s="594">
        <f t="shared" ca="1" si="1"/>
        <v>-394.1</v>
      </c>
      <c r="J9" s="594">
        <f t="shared" ca="1" si="2"/>
        <v>25.899999999999977</v>
      </c>
      <c r="K9" s="594">
        <v>0</v>
      </c>
      <c r="M9" s="3"/>
      <c r="N9" s="61"/>
      <c r="O9" s="328"/>
      <c r="P9" s="328"/>
      <c r="Q9" s="246"/>
    </row>
    <row r="10" spans="1:17" ht="15" customHeight="1" x14ac:dyDescent="0.4">
      <c r="A10" s="733"/>
      <c r="B10" s="66" t="str">
        <f t="shared" si="3"/>
        <v>6110-7</v>
      </c>
      <c r="C10" s="596" t="s">
        <v>192</v>
      </c>
      <c r="D10" s="597">
        <v>17</v>
      </c>
      <c r="E10" s="610"/>
      <c r="F10" s="611"/>
      <c r="G10" s="599">
        <v>45</v>
      </c>
      <c r="H10" s="589">
        <f t="shared" si="0"/>
        <v>765</v>
      </c>
      <c r="I10" s="589">
        <f t="shared" ca="1" si="1"/>
        <v>-1143.48</v>
      </c>
      <c r="J10" s="589">
        <f t="shared" ca="1" si="2"/>
        <v>-378.48</v>
      </c>
      <c r="K10" s="589">
        <v>765</v>
      </c>
      <c r="L10" s="3"/>
      <c r="M10" s="134"/>
      <c r="N10" s="61"/>
      <c r="O10" s="328"/>
      <c r="P10" s="328"/>
      <c r="Q10" s="246"/>
    </row>
    <row r="11" spans="1:17" ht="15" customHeight="1" x14ac:dyDescent="0.4">
      <c r="A11" s="737"/>
      <c r="B11" s="118" t="str">
        <f t="shared" si="3"/>
        <v>6110-8</v>
      </c>
      <c r="C11" s="590" t="s">
        <v>193</v>
      </c>
      <c r="D11" s="591"/>
      <c r="E11" s="592"/>
      <c r="F11" s="591">
        <v>1</v>
      </c>
      <c r="G11" s="593">
        <v>8000</v>
      </c>
      <c r="H11" s="594">
        <f t="shared" si="0"/>
        <v>8000</v>
      </c>
      <c r="I11" s="612">
        <f t="shared" ca="1" si="1"/>
        <v>-8108.82</v>
      </c>
      <c r="J11" s="612">
        <f t="shared" ca="1" si="2"/>
        <v>-108.81999999999971</v>
      </c>
      <c r="K11" s="612">
        <v>8000</v>
      </c>
      <c r="M11" s="3"/>
      <c r="N11" s="61"/>
      <c r="O11" s="328"/>
      <c r="P11" s="328"/>
      <c r="Q11" s="246"/>
    </row>
    <row r="12" spans="1:17" ht="15" customHeight="1" x14ac:dyDescent="0.4">
      <c r="A12" s="751"/>
      <c r="B12" s="66" t="str">
        <f t="shared" si="3"/>
        <v>6110-9</v>
      </c>
      <c r="C12" s="596" t="s">
        <v>194</v>
      </c>
      <c r="D12" s="597"/>
      <c r="E12" s="598">
        <v>2</v>
      </c>
      <c r="F12" s="597"/>
      <c r="G12" s="599">
        <v>155</v>
      </c>
      <c r="H12" s="589">
        <f t="shared" si="0"/>
        <v>310</v>
      </c>
      <c r="I12" s="589">
        <f t="shared" ca="1" si="1"/>
        <v>-294.58</v>
      </c>
      <c r="J12" s="589">
        <f t="shared" ca="1" si="2"/>
        <v>15.420000000000016</v>
      </c>
      <c r="K12" s="589">
        <v>310</v>
      </c>
      <c r="L12" s="209"/>
      <c r="M12" s="3"/>
      <c r="N12" s="61"/>
      <c r="O12" s="328"/>
      <c r="P12" s="328"/>
      <c r="Q12" s="323"/>
    </row>
    <row r="13" spans="1:17" ht="15" customHeight="1" x14ac:dyDescent="0.4">
      <c r="A13" s="737"/>
      <c r="B13" s="118" t="str">
        <f t="shared" si="3"/>
        <v>6110-10</v>
      </c>
      <c r="C13" s="613" t="s">
        <v>195</v>
      </c>
      <c r="D13" s="614"/>
      <c r="E13" s="615">
        <v>2</v>
      </c>
      <c r="F13" s="614"/>
      <c r="G13" s="616">
        <v>30</v>
      </c>
      <c r="H13" s="594">
        <f t="shared" si="0"/>
        <v>60</v>
      </c>
      <c r="I13" s="612">
        <f t="shared" ca="1" si="1"/>
        <v>-19.38</v>
      </c>
      <c r="J13" s="612">
        <f t="shared" ca="1" si="2"/>
        <v>40.620000000000005</v>
      </c>
      <c r="K13" s="612">
        <v>60</v>
      </c>
      <c r="M13" s="3"/>
      <c r="N13" s="61"/>
      <c r="O13" s="328"/>
      <c r="P13" s="328"/>
      <c r="Q13" s="323"/>
    </row>
    <row r="14" spans="1:17" ht="15" customHeight="1" x14ac:dyDescent="0.4">
      <c r="A14" s="733" t="s">
        <v>187</v>
      </c>
      <c r="B14" s="66" t="str">
        <f t="shared" si="3"/>
        <v>6110-11</v>
      </c>
      <c r="C14" s="596" t="s">
        <v>196</v>
      </c>
      <c r="D14" s="597"/>
      <c r="E14" s="598"/>
      <c r="F14" s="597">
        <v>100</v>
      </c>
      <c r="G14" s="599">
        <v>5</v>
      </c>
      <c r="H14" s="589">
        <f t="shared" si="0"/>
        <v>500</v>
      </c>
      <c r="I14" s="589">
        <f t="shared" ca="1" si="1"/>
        <v>-543.51</v>
      </c>
      <c r="J14" s="589">
        <f t="shared" ca="1" si="2"/>
        <v>-43.509999999999991</v>
      </c>
      <c r="K14" s="589">
        <v>0</v>
      </c>
      <c r="L14" s="3"/>
      <c r="M14" s="3"/>
      <c r="N14" s="61"/>
      <c r="O14" s="328"/>
      <c r="P14" s="328"/>
      <c r="Q14" s="246"/>
    </row>
    <row r="15" spans="1:17" ht="15" customHeight="1" thickBot="1" x14ac:dyDescent="0.45">
      <c r="A15" s="733"/>
      <c r="B15" s="67"/>
      <c r="C15" s="617" t="s">
        <v>106</v>
      </c>
      <c r="D15" s="618"/>
      <c r="E15" s="618"/>
      <c r="F15" s="454"/>
      <c r="G15" s="619">
        <f>(H15-K15)/K15</f>
        <v>0.11921063229963753</v>
      </c>
      <c r="H15" s="620">
        <f>SUM(H4:H14)</f>
        <v>13895</v>
      </c>
      <c r="I15" s="621">
        <f ca="1">SUM(I4:I14)</f>
        <v>-13119.619999999999</v>
      </c>
      <c r="J15" s="621">
        <f ca="1">SUM(J4:J14)</f>
        <v>775.38000000000045</v>
      </c>
      <c r="K15" s="621">
        <f>SUM(K4:K14)</f>
        <v>12415</v>
      </c>
      <c r="N15" s="61"/>
      <c r="O15" s="328"/>
      <c r="P15" s="328"/>
      <c r="Q15" s="246"/>
    </row>
    <row r="16" spans="1:17" ht="9.75" customHeight="1" thickTop="1" x14ac:dyDescent="0.4">
      <c r="A16" s="583"/>
      <c r="B16" s="48"/>
      <c r="C16" s="617"/>
      <c r="D16" s="618"/>
      <c r="E16" s="618"/>
      <c r="F16" s="618"/>
      <c r="G16" s="622"/>
      <c r="H16" s="623"/>
      <c r="I16" s="623"/>
      <c r="J16" s="623"/>
      <c r="K16" s="623"/>
      <c r="N16" s="52"/>
      <c r="O16" s="328"/>
      <c r="P16" s="328"/>
      <c r="Q16" s="246"/>
    </row>
    <row r="17" spans="1:18" ht="19.5" customHeight="1" x14ac:dyDescent="0.5">
      <c r="A17" s="978" t="s">
        <v>197</v>
      </c>
      <c r="B17" s="978"/>
      <c r="C17" s="979"/>
      <c r="D17" s="979"/>
      <c r="E17" s="979"/>
      <c r="F17" s="979"/>
      <c r="G17" s="979"/>
      <c r="H17" s="979"/>
      <c r="I17" s="979"/>
      <c r="J17" s="979"/>
      <c r="K17" s="979"/>
      <c r="N17" s="61"/>
      <c r="O17" s="328"/>
      <c r="P17" s="328"/>
      <c r="Q17" s="246"/>
    </row>
    <row r="18" spans="1:18" ht="15" customHeight="1" x14ac:dyDescent="0.4">
      <c r="A18" s="624"/>
      <c r="B18" s="66" t="str">
        <f>LEFT($A$17,4)&amp;"-1"</f>
        <v>6120-1</v>
      </c>
      <c r="C18" s="625" t="s">
        <v>198</v>
      </c>
      <c r="D18" s="542"/>
      <c r="E18" s="606">
        <v>1</v>
      </c>
      <c r="F18" s="542"/>
      <c r="G18" s="589">
        <v>96128</v>
      </c>
      <c r="H18" s="589">
        <f t="shared" ref="H18:H37" si="4">(D18+E18+F18)*G18</f>
        <v>96128</v>
      </c>
      <c r="I18" s="589">
        <f t="shared" ref="I18:I37" ca="1" si="5">-(SUMIF(INDIRECT(LEFT($A$17,4)&amp;"!i3:i200"),"="&amp;B18&amp;" *",INDIRECT(LEFT($A$17,4)&amp;"!k3:k200")))</f>
        <v>-107596.31999999999</v>
      </c>
      <c r="J18" s="589">
        <f ca="1">SUM(H18:I18)</f>
        <v>-11468.319999999992</v>
      </c>
      <c r="K18" s="589">
        <v>91550</v>
      </c>
      <c r="L18" s="77"/>
      <c r="M18" s="3"/>
      <c r="N18" s="61"/>
      <c r="O18" s="328"/>
      <c r="P18" s="328"/>
      <c r="Q18" s="246"/>
      <c r="R18" s="58"/>
    </row>
    <row r="19" spans="1:18" ht="15" customHeight="1" x14ac:dyDescent="0.4">
      <c r="A19" s="750"/>
      <c r="B19" s="326" t="str">
        <f>LEFT($B18,4)&amp;"-"&amp;VALUE(MID($B18,FIND("-",$B18)+1,256))+1</f>
        <v>6120-2</v>
      </c>
      <c r="C19" s="626" t="s">
        <v>199</v>
      </c>
      <c r="D19" s="627"/>
      <c r="E19" s="627"/>
      <c r="F19" s="628">
        <v>50</v>
      </c>
      <c r="G19" s="629">
        <v>40</v>
      </c>
      <c r="H19" s="630">
        <f t="shared" si="4"/>
        <v>2000</v>
      </c>
      <c r="I19" s="630">
        <f t="shared" ca="1" si="5"/>
        <v>0</v>
      </c>
      <c r="J19" s="630">
        <f t="shared" ref="J19:J20" ca="1" si="6">SUM(H19:I19)</f>
        <v>2000</v>
      </c>
      <c r="K19" s="630">
        <v>2000</v>
      </c>
      <c r="M19" s="134"/>
      <c r="N19" s="61"/>
      <c r="O19" s="328"/>
      <c r="P19" s="328"/>
      <c r="Q19" s="246"/>
    </row>
    <row r="20" spans="1:18" ht="15" customHeight="1" x14ac:dyDescent="0.4">
      <c r="A20" s="733"/>
      <c r="B20" s="66" t="str">
        <f t="shared" ref="B20:B37" si="7">LEFT($B19,4)&amp;"-"&amp;VALUE(MID($B19,FIND("-",$B19)+1,256))+1</f>
        <v>6120-3</v>
      </c>
      <c r="C20" s="625" t="s">
        <v>538</v>
      </c>
      <c r="D20" s="542">
        <v>5125</v>
      </c>
      <c r="E20" s="606"/>
      <c r="F20" s="542"/>
      <c r="G20" s="599">
        <v>0.75</v>
      </c>
      <c r="H20" s="608">
        <f t="shared" si="4"/>
        <v>3843.75</v>
      </c>
      <c r="I20" s="589">
        <f t="shared" ca="1" si="5"/>
        <v>-550</v>
      </c>
      <c r="J20" s="589">
        <f t="shared" ca="1" si="6"/>
        <v>3293.75</v>
      </c>
      <c r="K20" s="589">
        <v>3843.75</v>
      </c>
      <c r="M20" s="134"/>
      <c r="N20" s="61"/>
      <c r="O20" s="328"/>
      <c r="P20" s="328"/>
    </row>
    <row r="21" spans="1:18" ht="22.3" x14ac:dyDescent="0.4">
      <c r="A21" s="737" t="s">
        <v>624</v>
      </c>
      <c r="B21" s="135" t="str">
        <f t="shared" si="7"/>
        <v>6120-4</v>
      </c>
      <c r="C21" s="926" t="s">
        <v>200</v>
      </c>
      <c r="D21" s="927">
        <v>700</v>
      </c>
      <c r="E21" s="928">
        <f>300+600</f>
        <v>900</v>
      </c>
      <c r="F21" s="927">
        <v>10</v>
      </c>
      <c r="G21" s="760">
        <v>4.28</v>
      </c>
      <c r="H21" s="612">
        <f t="shared" si="4"/>
        <v>6890.8</v>
      </c>
      <c r="I21" s="612">
        <f t="shared" ca="1" si="5"/>
        <v>0</v>
      </c>
      <c r="J21" s="612">
        <f t="shared" ref="J21:J37" ca="1" si="8">SUM(H21:I21)</f>
        <v>6890.8</v>
      </c>
      <c r="K21" s="761">
        <v>4186.25</v>
      </c>
      <c r="M21" s="134"/>
      <c r="N21" s="61"/>
      <c r="O21" s="328"/>
      <c r="P21" s="328"/>
      <c r="Q21" s="324"/>
    </row>
    <row r="22" spans="1:18" ht="15" customHeight="1" x14ac:dyDescent="0.4">
      <c r="A22" s="736" t="s">
        <v>617</v>
      </c>
      <c r="B22" s="145" t="str">
        <f t="shared" si="7"/>
        <v>6120-5</v>
      </c>
      <c r="C22" s="604" t="s">
        <v>539</v>
      </c>
      <c r="D22" s="606"/>
      <c r="E22" s="606"/>
      <c r="F22" s="929">
        <v>10</v>
      </c>
      <c r="G22" s="607">
        <v>7.33</v>
      </c>
      <c r="H22" s="608">
        <f t="shared" si="4"/>
        <v>73.3</v>
      </c>
      <c r="I22" s="608">
        <f t="shared" ca="1" si="5"/>
        <v>0</v>
      </c>
      <c r="J22" s="608">
        <f t="shared" ca="1" si="8"/>
        <v>73.3</v>
      </c>
      <c r="K22" s="608">
        <v>70.5</v>
      </c>
      <c r="M22" s="134"/>
      <c r="N22" s="61"/>
      <c r="O22" s="328"/>
      <c r="P22" s="328"/>
      <c r="Q22" s="323"/>
      <c r="R22" s="58"/>
    </row>
    <row r="23" spans="1:18" ht="22.3" x14ac:dyDescent="0.4">
      <c r="A23" s="737" t="s">
        <v>624</v>
      </c>
      <c r="B23" s="930" t="str">
        <f t="shared" si="7"/>
        <v>6120-6</v>
      </c>
      <c r="C23" s="931" t="s">
        <v>201</v>
      </c>
      <c r="D23" s="932">
        <v>1000</v>
      </c>
      <c r="E23" s="933">
        <f>100+2000</f>
        <v>2100</v>
      </c>
      <c r="F23" s="932"/>
      <c r="G23" s="934">
        <v>0.57999999999999996</v>
      </c>
      <c r="H23" s="612">
        <f t="shared" si="4"/>
        <v>1797.9999999999998</v>
      </c>
      <c r="I23" s="612">
        <f t="shared" ca="1" si="5"/>
        <v>-10629.55</v>
      </c>
      <c r="J23" s="612">
        <f t="shared" ca="1" si="8"/>
        <v>-8831.5499999999993</v>
      </c>
      <c r="K23" s="761">
        <v>529.20000000000005</v>
      </c>
      <c r="M23" s="3"/>
      <c r="N23" s="61"/>
      <c r="O23" s="328"/>
      <c r="P23" s="328"/>
      <c r="Q23" s="246"/>
    </row>
    <row r="24" spans="1:18" ht="15" customHeight="1" x14ac:dyDescent="0.4">
      <c r="A24" s="736" t="s">
        <v>617</v>
      </c>
      <c r="B24" s="145" t="str">
        <f t="shared" si="7"/>
        <v>6120-7</v>
      </c>
      <c r="C24" s="604" t="s">
        <v>540</v>
      </c>
      <c r="D24" s="647"/>
      <c r="E24" s="638">
        <v>13230</v>
      </c>
      <c r="F24" s="606"/>
      <c r="G24" s="607">
        <v>0.42</v>
      </c>
      <c r="H24" s="608">
        <f t="shared" si="4"/>
        <v>5556.5999999999995</v>
      </c>
      <c r="I24" s="608">
        <f t="shared" ca="1" si="5"/>
        <v>-3162.3100000000004</v>
      </c>
      <c r="J24" s="608">
        <f t="shared" ca="1" si="8"/>
        <v>2394.2899999999991</v>
      </c>
      <c r="K24" s="608">
        <v>4788</v>
      </c>
      <c r="M24" s="3"/>
      <c r="N24" s="61"/>
      <c r="O24" s="328"/>
      <c r="P24" s="328"/>
      <c r="Q24" s="246"/>
    </row>
    <row r="25" spans="1:18" ht="15" customHeight="1" x14ac:dyDescent="0.4">
      <c r="A25" s="737" t="s">
        <v>202</v>
      </c>
      <c r="B25" s="135" t="str">
        <f t="shared" si="7"/>
        <v>6120-8</v>
      </c>
      <c r="C25" s="590" t="s">
        <v>203</v>
      </c>
      <c r="D25" s="935"/>
      <c r="E25" s="615">
        <v>23100</v>
      </c>
      <c r="F25" s="592"/>
      <c r="G25" s="593">
        <v>0.38900000000000001</v>
      </c>
      <c r="H25" s="612">
        <f t="shared" si="4"/>
        <v>8985.9</v>
      </c>
      <c r="I25" s="612">
        <f t="shared" ca="1" si="5"/>
        <v>-6961.87</v>
      </c>
      <c r="J25" s="612">
        <f ca="1">SUM(H25:I25)</f>
        <v>2024.0299999999997</v>
      </c>
      <c r="K25" s="612">
        <v>8558</v>
      </c>
      <c r="M25" s="3"/>
      <c r="N25" s="61"/>
      <c r="O25" s="328"/>
      <c r="P25" s="328"/>
      <c r="Q25" s="246"/>
    </row>
    <row r="26" spans="1:18" ht="15" customHeight="1" x14ac:dyDescent="0.4">
      <c r="A26" s="736" t="s">
        <v>617</v>
      </c>
      <c r="B26" s="145" t="str">
        <f t="shared" si="7"/>
        <v>6120-9</v>
      </c>
      <c r="C26" s="604" t="s">
        <v>204</v>
      </c>
      <c r="D26" s="647">
        <v>1200</v>
      </c>
      <c r="E26" s="606"/>
      <c r="F26" s="606"/>
      <c r="G26" s="607">
        <v>0.57999999999999996</v>
      </c>
      <c r="H26" s="608">
        <f t="shared" si="4"/>
        <v>696</v>
      </c>
      <c r="I26" s="608">
        <f t="shared" ca="1" si="5"/>
        <v>0</v>
      </c>
      <c r="J26" s="608">
        <f t="shared" ca="1" si="8"/>
        <v>696</v>
      </c>
      <c r="K26" s="608">
        <v>864</v>
      </c>
      <c r="M26" s="3"/>
      <c r="N26" s="61"/>
      <c r="O26" s="328"/>
      <c r="P26" s="328"/>
      <c r="Q26" s="323"/>
    </row>
    <row r="27" spans="1:18" ht="15" customHeight="1" x14ac:dyDescent="0.4">
      <c r="A27" s="737" t="s">
        <v>617</v>
      </c>
      <c r="B27" s="135" t="str">
        <f t="shared" si="7"/>
        <v>6120-10</v>
      </c>
      <c r="C27" s="643" t="s">
        <v>205</v>
      </c>
      <c r="D27" s="925"/>
      <c r="E27" s="615">
        <v>2000</v>
      </c>
      <c r="F27" s="925"/>
      <c r="G27" s="616">
        <v>0.57999999999999996</v>
      </c>
      <c r="H27" s="612">
        <f t="shared" si="4"/>
        <v>1160</v>
      </c>
      <c r="I27" s="612">
        <f t="shared" ca="1" si="5"/>
        <v>-2593.56</v>
      </c>
      <c r="J27" s="612">
        <f t="shared" ca="1" si="8"/>
        <v>-1433.56</v>
      </c>
      <c r="K27" s="612">
        <v>1080</v>
      </c>
      <c r="M27" s="3"/>
      <c r="N27" s="61"/>
      <c r="O27" s="328"/>
      <c r="P27" s="328"/>
      <c r="Q27" s="246"/>
    </row>
    <row r="28" spans="1:18" ht="15" customHeight="1" x14ac:dyDescent="0.4">
      <c r="A28" s="733"/>
      <c r="B28" s="66" t="str">
        <f t="shared" si="7"/>
        <v>6120-11</v>
      </c>
      <c r="C28" s="584" t="s">
        <v>206</v>
      </c>
      <c r="D28" s="585"/>
      <c r="E28" s="638">
        <v>300</v>
      </c>
      <c r="F28" s="585"/>
      <c r="G28" s="588">
        <v>2</v>
      </c>
      <c r="H28" s="608">
        <f t="shared" si="4"/>
        <v>600</v>
      </c>
      <c r="I28" s="589">
        <f t="shared" ca="1" si="5"/>
        <v>-41.02</v>
      </c>
      <c r="J28" s="589">
        <f t="shared" ca="1" si="8"/>
        <v>558.98</v>
      </c>
      <c r="K28" s="589">
        <v>500</v>
      </c>
      <c r="M28" s="3"/>
      <c r="N28" s="61"/>
      <c r="O28" s="328"/>
      <c r="P28" s="328"/>
      <c r="Q28" s="246"/>
    </row>
    <row r="29" spans="1:18" ht="15" customHeight="1" x14ac:dyDescent="0.4">
      <c r="A29" s="735"/>
      <c r="B29" s="118" t="str">
        <f t="shared" si="7"/>
        <v>6120-12</v>
      </c>
      <c r="C29" s="639" t="s">
        <v>207</v>
      </c>
      <c r="D29" s="640"/>
      <c r="E29" s="592">
        <v>1</v>
      </c>
      <c r="F29" s="641"/>
      <c r="G29" s="642">
        <v>2010</v>
      </c>
      <c r="H29" s="612">
        <f t="shared" si="4"/>
        <v>2010</v>
      </c>
      <c r="I29" s="594">
        <f t="shared" ca="1" si="5"/>
        <v>0</v>
      </c>
      <c r="J29" s="594">
        <f t="shared" ca="1" si="8"/>
        <v>2010</v>
      </c>
      <c r="K29" s="594">
        <v>2010</v>
      </c>
      <c r="M29" s="3"/>
      <c r="N29" s="61"/>
      <c r="O29" s="328"/>
      <c r="P29" s="328"/>
      <c r="Q29" s="323"/>
    </row>
    <row r="30" spans="1:18" ht="15" customHeight="1" x14ac:dyDescent="0.4">
      <c r="A30" s="736"/>
      <c r="B30" s="66" t="str">
        <f t="shared" si="7"/>
        <v>6120-13</v>
      </c>
      <c r="C30" s="644" t="s">
        <v>208</v>
      </c>
      <c r="D30" s="645"/>
      <c r="E30" s="638">
        <v>1</v>
      </c>
      <c r="F30" s="638"/>
      <c r="G30" s="646">
        <v>500</v>
      </c>
      <c r="H30" s="608">
        <f t="shared" si="4"/>
        <v>500</v>
      </c>
      <c r="I30" s="589">
        <f t="shared" ca="1" si="5"/>
        <v>-251.83000000000004</v>
      </c>
      <c r="J30" s="589">
        <f t="shared" ca="1" si="8"/>
        <v>248.16999999999996</v>
      </c>
      <c r="K30" s="608">
        <v>500</v>
      </c>
      <c r="M30" s="3"/>
      <c r="N30" s="61"/>
      <c r="O30" s="328"/>
      <c r="P30" s="328"/>
      <c r="Q30" s="246"/>
    </row>
    <row r="31" spans="1:18" ht="22.3" x14ac:dyDescent="0.4">
      <c r="A31" s="735" t="s">
        <v>209</v>
      </c>
      <c r="B31" s="118" t="str">
        <f t="shared" si="7"/>
        <v>6120-14</v>
      </c>
      <c r="C31" s="600" t="s">
        <v>210</v>
      </c>
      <c r="D31" s="601"/>
      <c r="E31" s="615">
        <v>1</v>
      </c>
      <c r="F31" s="602"/>
      <c r="G31" s="603">
        <v>1000</v>
      </c>
      <c r="H31" s="612">
        <f t="shared" si="4"/>
        <v>1000</v>
      </c>
      <c r="I31" s="612">
        <f t="shared" ca="1" si="5"/>
        <v>-1065</v>
      </c>
      <c r="J31" s="612">
        <f t="shared" ca="1" si="8"/>
        <v>-65</v>
      </c>
      <c r="K31" s="594">
        <v>1500</v>
      </c>
      <c r="L31" s="3"/>
      <c r="M31" s="3"/>
      <c r="N31" s="61"/>
      <c r="O31" s="328"/>
      <c r="P31" s="328"/>
      <c r="Q31" s="246"/>
    </row>
    <row r="32" spans="1:18" ht="15" customHeight="1" x14ac:dyDescent="0.4">
      <c r="A32" s="736"/>
      <c r="B32" s="66" t="str">
        <f t="shared" si="7"/>
        <v>6120-15</v>
      </c>
      <c r="C32" s="604" t="s">
        <v>211</v>
      </c>
      <c r="D32" s="647"/>
      <c r="E32" s="638">
        <v>3</v>
      </c>
      <c r="F32" s="606"/>
      <c r="G32" s="607">
        <v>500</v>
      </c>
      <c r="H32" s="608">
        <f t="shared" si="4"/>
        <v>1500</v>
      </c>
      <c r="I32" s="589">
        <f t="shared" ca="1" si="5"/>
        <v>-600</v>
      </c>
      <c r="J32" s="589">
        <f t="shared" ca="1" si="8"/>
        <v>900</v>
      </c>
      <c r="K32" s="608">
        <v>1500</v>
      </c>
      <c r="M32" s="3"/>
      <c r="N32" s="61"/>
      <c r="O32" s="328"/>
      <c r="P32" s="328"/>
      <c r="Q32" s="246"/>
    </row>
    <row r="33" spans="1:18" ht="15" customHeight="1" x14ac:dyDescent="0.4">
      <c r="A33" s="737" t="s">
        <v>617</v>
      </c>
      <c r="B33" s="135" t="str">
        <f t="shared" si="7"/>
        <v>6120-16</v>
      </c>
      <c r="C33" s="643" t="s">
        <v>212</v>
      </c>
      <c r="D33" s="925">
        <v>19000</v>
      </c>
      <c r="E33" s="615"/>
      <c r="F33" s="925"/>
      <c r="G33" s="612">
        <v>0.57999999999999996</v>
      </c>
      <c r="H33" s="612">
        <f t="shared" si="4"/>
        <v>11020</v>
      </c>
      <c r="I33" s="612">
        <f t="shared" ca="1" si="5"/>
        <v>-10215.730000000001</v>
      </c>
      <c r="J33" s="612">
        <f t="shared" ca="1" si="8"/>
        <v>804.26999999999862</v>
      </c>
      <c r="K33" s="612">
        <v>10260</v>
      </c>
      <c r="M33" s="3"/>
      <c r="N33" s="61"/>
      <c r="O33" s="328"/>
      <c r="P33" s="328"/>
      <c r="Q33" s="246"/>
    </row>
    <row r="34" spans="1:18" ht="15" customHeight="1" x14ac:dyDescent="0.4">
      <c r="A34" s="736" t="s">
        <v>617</v>
      </c>
      <c r="B34" s="145" t="str">
        <f t="shared" si="7"/>
        <v>6120-17</v>
      </c>
      <c r="C34" s="661" t="s">
        <v>213</v>
      </c>
      <c r="D34" s="929">
        <v>3250</v>
      </c>
      <c r="E34" s="638"/>
      <c r="F34" s="662"/>
      <c r="G34" s="607">
        <v>0.57999999999999996</v>
      </c>
      <c r="H34" s="608">
        <f>(D34+E34+F34)*G34</f>
        <v>1884.9999999999998</v>
      </c>
      <c r="I34" s="608">
        <f t="shared" ca="1" si="5"/>
        <v>-2520</v>
      </c>
      <c r="J34" s="608">
        <f t="shared" ca="1" si="8"/>
        <v>-635.00000000000023</v>
      </c>
      <c r="K34" s="608">
        <v>4050.0000000000005</v>
      </c>
      <c r="M34" s="3"/>
      <c r="N34" s="61"/>
      <c r="O34" s="328"/>
      <c r="P34" s="328"/>
      <c r="Q34" s="246"/>
    </row>
    <row r="35" spans="1:18" ht="15" customHeight="1" x14ac:dyDescent="0.4">
      <c r="A35" s="737" t="s">
        <v>617</v>
      </c>
      <c r="B35" s="135" t="str">
        <f t="shared" si="7"/>
        <v>6120-18</v>
      </c>
      <c r="C35" s="643" t="s">
        <v>214</v>
      </c>
      <c r="D35" s="848"/>
      <c r="E35" s="615">
        <v>1200</v>
      </c>
      <c r="F35" s="925"/>
      <c r="G35" s="616">
        <v>0.57999999999999996</v>
      </c>
      <c r="H35" s="612">
        <f>(D35+E35+F35)*G35</f>
        <v>696</v>
      </c>
      <c r="I35" s="612">
        <f t="shared" ca="1" si="5"/>
        <v>0</v>
      </c>
      <c r="J35" s="612">
        <f t="shared" ca="1" si="8"/>
        <v>696</v>
      </c>
      <c r="K35" s="612">
        <v>648</v>
      </c>
      <c r="M35" s="3"/>
      <c r="N35" s="61"/>
      <c r="O35" s="328"/>
      <c r="P35" s="328"/>
      <c r="Q35" s="246"/>
    </row>
    <row r="36" spans="1:18" ht="15" customHeight="1" x14ac:dyDescent="0.4">
      <c r="A36" s="736" t="s">
        <v>617</v>
      </c>
      <c r="B36" s="145" t="str">
        <f t="shared" si="7"/>
        <v>6120-19</v>
      </c>
      <c r="C36" s="650" t="s">
        <v>215</v>
      </c>
      <c r="D36" s="929"/>
      <c r="E36" s="638">
        <v>228980</v>
      </c>
      <c r="F36" s="929"/>
      <c r="G36" s="646">
        <v>0.35</v>
      </c>
      <c r="H36" s="608">
        <f t="shared" si="4"/>
        <v>80143</v>
      </c>
      <c r="I36" s="608">
        <f t="shared" ca="1" si="5"/>
        <v>-54694.5</v>
      </c>
      <c r="J36" s="608">
        <f t="shared" ca="1" si="8"/>
        <v>25448.5</v>
      </c>
      <c r="K36" s="608">
        <v>83460</v>
      </c>
      <c r="M36" s="3"/>
      <c r="N36" s="61"/>
      <c r="O36" s="328"/>
      <c r="P36" s="328"/>
      <c r="Q36" s="338"/>
    </row>
    <row r="37" spans="1:18" ht="15" customHeight="1" x14ac:dyDescent="0.4">
      <c r="A37" s="737" t="s">
        <v>617</v>
      </c>
      <c r="B37" s="135" t="str">
        <f t="shared" si="7"/>
        <v>6120-20</v>
      </c>
      <c r="C37" s="590" t="s">
        <v>216</v>
      </c>
      <c r="D37" s="935"/>
      <c r="E37" s="592"/>
      <c r="F37" s="592">
        <v>2500</v>
      </c>
      <c r="G37" s="593">
        <v>0.57999999999999996</v>
      </c>
      <c r="H37" s="612">
        <f t="shared" si="4"/>
        <v>1450</v>
      </c>
      <c r="I37" s="612">
        <f t="shared" ca="1" si="5"/>
        <v>0</v>
      </c>
      <c r="J37" s="612">
        <f t="shared" ca="1" si="8"/>
        <v>1450</v>
      </c>
      <c r="K37" s="612">
        <v>1350</v>
      </c>
      <c r="M37" s="3"/>
      <c r="N37" s="61"/>
      <c r="O37" s="328"/>
      <c r="P37" s="328"/>
      <c r="Q37" s="246"/>
    </row>
    <row r="38" spans="1:18" thickBot="1" x14ac:dyDescent="0.45">
      <c r="A38" s="733"/>
      <c r="B38" s="67"/>
      <c r="C38" s="617" t="s">
        <v>106</v>
      </c>
      <c r="D38" s="618"/>
      <c r="E38" s="618"/>
      <c r="F38" s="454"/>
      <c r="G38" s="619">
        <f>(H38-K38)/K38</f>
        <v>2.100200808339792E-2</v>
      </c>
      <c r="H38" s="621">
        <f>SUM(H18:H37)</f>
        <v>227936.35</v>
      </c>
      <c r="I38" s="621">
        <f ca="1">SUM(I18:I37)</f>
        <v>-200881.68999999997</v>
      </c>
      <c r="J38" s="621">
        <f ca="1">SUM(J18:J37)</f>
        <v>27054.660000000007</v>
      </c>
      <c r="K38" s="621">
        <f>SUM(K18:K37)</f>
        <v>223247.7</v>
      </c>
      <c r="N38" s="61"/>
      <c r="O38" s="328"/>
      <c r="P38" s="328"/>
      <c r="Q38" s="246"/>
    </row>
    <row r="39" spans="1:18" ht="9.75" customHeight="1" thickTop="1" x14ac:dyDescent="0.4">
      <c r="A39" s="120"/>
      <c r="B39" s="67"/>
      <c r="C39" s="617"/>
      <c r="D39" s="618"/>
      <c r="E39" s="618"/>
      <c r="F39" s="496"/>
      <c r="G39" s="652"/>
      <c r="H39" s="653"/>
      <c r="I39" s="653"/>
      <c r="J39" s="653"/>
      <c r="K39" s="653"/>
      <c r="N39" s="52"/>
      <c r="O39" s="328"/>
      <c r="P39" s="328"/>
      <c r="Q39" s="246"/>
    </row>
    <row r="40" spans="1:18" ht="20.25" customHeight="1" x14ac:dyDescent="0.5">
      <c r="A40" s="978" t="s">
        <v>217</v>
      </c>
      <c r="B40" s="978"/>
      <c r="C40" s="979"/>
      <c r="D40" s="979"/>
      <c r="E40" s="979"/>
      <c r="F40" s="979"/>
      <c r="G40" s="979"/>
      <c r="H40" s="979"/>
      <c r="I40" s="979" t="e">
        <f ca="1">-(SUMIF(INDIRECT(LEFT($A$39,4)&amp;"!E3:E200"),"="&amp;B40&amp;" *",INDIRECT(LEFT($A$39,4)&amp;"!F3:F200")))</f>
        <v>#REF!</v>
      </c>
      <c r="J40" s="979" t="e">
        <f ca="1">SUM(H40:I40)</f>
        <v>#REF!</v>
      </c>
      <c r="K40" s="979"/>
      <c r="N40" s="52"/>
      <c r="O40" s="328"/>
      <c r="P40" s="328"/>
      <c r="Q40" s="246"/>
    </row>
    <row r="41" spans="1:18" ht="29.15" x14ac:dyDescent="0.4">
      <c r="A41" s="733" t="s">
        <v>218</v>
      </c>
      <c r="B41" s="145" t="str">
        <f>LEFT($A40,4)&amp;"-1"</f>
        <v>6130-1</v>
      </c>
      <c r="C41" s="584" t="s">
        <v>541</v>
      </c>
      <c r="D41" s="542"/>
      <c r="E41" s="542">
        <v>509355</v>
      </c>
      <c r="F41" s="585"/>
      <c r="G41" s="588">
        <v>0.04</v>
      </c>
      <c r="H41" s="589">
        <f t="shared" ref="H41:H61" si="9">(D41+E41+F41)*G41</f>
        <v>20374.2</v>
      </c>
      <c r="I41" s="589">
        <f t="shared" ref="I41:I61" ca="1" si="10">-(SUMIF(INDIRECT(LEFT($A$40,4)&amp;"!i3:i200"),"="&amp;B41&amp;" *",INDIRECT(LEFT($A$40,4)&amp;"!k3:k200")))</f>
        <v>-31756.869999999981</v>
      </c>
      <c r="J41" s="589">
        <f ca="1">SUM(H41:I41)</f>
        <v>-11382.66999999998</v>
      </c>
      <c r="K41" s="589">
        <v>18522</v>
      </c>
      <c r="L41" s="209"/>
      <c r="M41" s="3"/>
      <c r="N41" s="61"/>
      <c r="O41" s="328"/>
      <c r="P41" s="328"/>
      <c r="Q41" s="246"/>
      <c r="R41" s="76"/>
    </row>
    <row r="42" spans="1:18" ht="15" customHeight="1" x14ac:dyDescent="0.4">
      <c r="A42" s="747" t="s">
        <v>219</v>
      </c>
      <c r="B42" s="118" t="str">
        <f t="shared" ref="B42:B61" si="11">LEFT($B41,4)&amp;"-"&amp;VALUE(MID($B41,FIND("-",$B41)+1,256))+1</f>
        <v>6130-2</v>
      </c>
      <c r="C42" s="631" t="s">
        <v>542</v>
      </c>
      <c r="D42" s="635"/>
      <c r="E42" s="635">
        <v>101871</v>
      </c>
      <c r="F42" s="632"/>
      <c r="G42" s="633">
        <v>0.04</v>
      </c>
      <c r="H42" s="595">
        <f t="shared" si="9"/>
        <v>4074.84</v>
      </c>
      <c r="I42" s="594">
        <f t="shared" ca="1" si="10"/>
        <v>-1268.08</v>
      </c>
      <c r="J42" s="595">
        <f t="shared" ref="J42:J43" ca="1" si="12">SUM(H42:I42)</f>
        <v>2806.76</v>
      </c>
      <c r="K42" s="595">
        <v>3704.4</v>
      </c>
      <c r="L42" s="209"/>
      <c r="M42" s="3"/>
      <c r="N42" s="61"/>
      <c r="O42" s="328"/>
      <c r="P42" s="328"/>
      <c r="Q42" s="246"/>
      <c r="R42" s="76"/>
    </row>
    <row r="43" spans="1:18" ht="15" customHeight="1" x14ac:dyDescent="0.4">
      <c r="A43" s="733"/>
      <c r="B43" s="66" t="str">
        <f t="shared" si="11"/>
        <v>6130-3</v>
      </c>
      <c r="C43" s="584" t="s">
        <v>543</v>
      </c>
      <c r="D43" s="542"/>
      <c r="E43" s="542">
        <v>1</v>
      </c>
      <c r="F43" s="585"/>
      <c r="G43" s="588">
        <v>300</v>
      </c>
      <c r="H43" s="589">
        <f t="shared" si="9"/>
        <v>300</v>
      </c>
      <c r="I43" s="589">
        <f t="shared" ca="1" si="10"/>
        <v>-96.92</v>
      </c>
      <c r="J43" s="589">
        <f t="shared" ca="1" si="12"/>
        <v>203.07999999999998</v>
      </c>
      <c r="K43" s="589">
        <v>300</v>
      </c>
      <c r="L43" s="209"/>
      <c r="M43" s="3"/>
      <c r="N43" s="61"/>
      <c r="O43" s="328"/>
      <c r="P43" s="328"/>
      <c r="Q43" s="246"/>
      <c r="R43" s="76"/>
    </row>
    <row r="44" spans="1:18" ht="15" customHeight="1" x14ac:dyDescent="0.4">
      <c r="A44" s="748"/>
      <c r="B44" s="240" t="str">
        <f t="shared" si="11"/>
        <v>6130-4</v>
      </c>
      <c r="C44" s="654" t="s">
        <v>220</v>
      </c>
      <c r="D44" s="655"/>
      <c r="E44" s="649">
        <v>228980</v>
      </c>
      <c r="F44" s="656"/>
      <c r="G44" s="657">
        <v>3.15E-2</v>
      </c>
      <c r="H44" s="658">
        <f t="shared" si="9"/>
        <v>7212.87</v>
      </c>
      <c r="I44" s="658">
        <f t="shared" ca="1" si="10"/>
        <v>-5895.8899999999985</v>
      </c>
      <c r="J44" s="630">
        <f t="shared" ref="J44:J61" ca="1" si="13">SUM(H44:I44)</f>
        <v>1316.9800000000014</v>
      </c>
      <c r="K44" s="658">
        <v>4280</v>
      </c>
      <c r="M44" s="3"/>
      <c r="N44" s="61"/>
      <c r="O44" s="328"/>
      <c r="P44" s="328"/>
      <c r="Q44" s="323"/>
      <c r="R44" s="82"/>
    </row>
    <row r="45" spans="1:18" ht="15" customHeight="1" x14ac:dyDescent="0.4">
      <c r="A45" s="736" t="s">
        <v>221</v>
      </c>
      <c r="B45" s="145" t="str">
        <f t="shared" si="11"/>
        <v>6130-5</v>
      </c>
      <c r="C45" s="604" t="s">
        <v>222</v>
      </c>
      <c r="D45" s="647"/>
      <c r="E45" s="637">
        <v>228980</v>
      </c>
      <c r="F45" s="638"/>
      <c r="G45" s="607">
        <v>2.5499999999999998E-2</v>
      </c>
      <c r="H45" s="589">
        <f t="shared" si="9"/>
        <v>5838.99</v>
      </c>
      <c r="I45" s="589">
        <f t="shared" ca="1" si="10"/>
        <v>-5907.52</v>
      </c>
      <c r="J45" s="589">
        <f t="shared" ca="1" si="13"/>
        <v>-68.530000000000655</v>
      </c>
      <c r="K45" s="608">
        <v>5457</v>
      </c>
      <c r="M45" s="3"/>
      <c r="N45" s="61"/>
      <c r="O45" s="328"/>
      <c r="P45" s="328"/>
      <c r="Q45" s="246"/>
      <c r="R45" s="82"/>
    </row>
    <row r="46" spans="1:18" ht="15" customHeight="1" x14ac:dyDescent="0.4">
      <c r="A46" s="735" t="s">
        <v>223</v>
      </c>
      <c r="B46" s="118" t="str">
        <f t="shared" si="11"/>
        <v>6130-6</v>
      </c>
      <c r="C46" s="600" t="s">
        <v>224</v>
      </c>
      <c r="D46" s="601"/>
      <c r="E46" s="601">
        <f>E42/4</f>
        <v>25467.75</v>
      </c>
      <c r="F46" s="602"/>
      <c r="G46" s="642">
        <v>0.02</v>
      </c>
      <c r="H46" s="594">
        <f t="shared" si="9"/>
        <v>509.35500000000002</v>
      </c>
      <c r="I46" s="594">
        <f t="shared" ca="1" si="10"/>
        <v>0</v>
      </c>
      <c r="J46" s="595">
        <f t="shared" ca="1" si="13"/>
        <v>509.35500000000002</v>
      </c>
      <c r="K46" s="594">
        <v>470</v>
      </c>
      <c r="M46" s="3"/>
      <c r="N46" s="61"/>
      <c r="O46" s="328"/>
      <c r="P46" s="328"/>
      <c r="Q46" s="246"/>
      <c r="R46" s="83"/>
    </row>
    <row r="47" spans="1:18" ht="15" customHeight="1" x14ac:dyDescent="0.4">
      <c r="A47" s="736"/>
      <c r="B47" s="145" t="str">
        <f>LEFT($B46,4)&amp;"-"&amp;VALUE(MID($B46,FIND("-",$B46)+1,256))+1</f>
        <v>6130-7</v>
      </c>
      <c r="C47" s="644" t="s">
        <v>225</v>
      </c>
      <c r="D47" s="645"/>
      <c r="E47" s="637">
        <v>228980</v>
      </c>
      <c r="F47" s="638"/>
      <c r="G47" s="646">
        <v>3.5000000000000003E-2</v>
      </c>
      <c r="H47" s="589">
        <f t="shared" si="9"/>
        <v>8014.3000000000011</v>
      </c>
      <c r="I47" s="589">
        <f t="shared" ca="1" si="10"/>
        <v>-7982.4299999999994</v>
      </c>
      <c r="J47" s="589">
        <f t="shared" ca="1" si="13"/>
        <v>31.87000000000171</v>
      </c>
      <c r="K47" s="608">
        <v>7490.0000000000009</v>
      </c>
      <c r="M47" s="3"/>
      <c r="N47" s="61"/>
      <c r="O47" s="328"/>
      <c r="P47" s="328"/>
      <c r="Q47" s="246"/>
      <c r="R47" s="83"/>
    </row>
    <row r="48" spans="1:18" ht="15" customHeight="1" x14ac:dyDescent="0.4">
      <c r="A48" s="735"/>
      <c r="B48" s="118" t="str">
        <f t="shared" si="11"/>
        <v>6130-8</v>
      </c>
      <c r="C48" s="639" t="s">
        <v>226</v>
      </c>
      <c r="D48" s="640"/>
      <c r="E48" s="640">
        <v>228980</v>
      </c>
      <c r="F48" s="602"/>
      <c r="G48" s="642">
        <v>8.0000000000000002E-3</v>
      </c>
      <c r="H48" s="594">
        <f t="shared" si="9"/>
        <v>1831.8400000000001</v>
      </c>
      <c r="I48" s="594">
        <f t="shared" ca="1" si="10"/>
        <v>0</v>
      </c>
      <c r="J48" s="595">
        <f t="shared" ca="1" si="13"/>
        <v>1831.8400000000001</v>
      </c>
      <c r="K48" s="594">
        <v>1712</v>
      </c>
      <c r="M48" s="3"/>
      <c r="N48" s="61"/>
      <c r="O48" s="328"/>
      <c r="P48" s="328"/>
      <c r="Q48" s="246"/>
      <c r="R48" s="82"/>
    </row>
    <row r="49" spans="1:18" ht="15" customHeight="1" x14ac:dyDescent="0.4">
      <c r="A49" s="736"/>
      <c r="B49" s="145" t="str">
        <f t="shared" si="11"/>
        <v>6130-9</v>
      </c>
      <c r="C49" s="644" t="s">
        <v>227</v>
      </c>
      <c r="D49" s="645"/>
      <c r="E49" s="645">
        <v>3900</v>
      </c>
      <c r="F49" s="638"/>
      <c r="G49" s="607">
        <v>0.5</v>
      </c>
      <c r="H49" s="589">
        <f t="shared" si="9"/>
        <v>1950</v>
      </c>
      <c r="I49" s="589">
        <f t="shared" ca="1" si="10"/>
        <v>-405.31</v>
      </c>
      <c r="J49" s="589">
        <f t="shared" ca="1" si="13"/>
        <v>1544.69</v>
      </c>
      <c r="K49" s="608">
        <v>1760</v>
      </c>
      <c r="M49" s="3"/>
      <c r="N49" s="61"/>
      <c r="O49" s="328"/>
      <c r="P49" s="328"/>
      <c r="Q49" s="246"/>
      <c r="R49" s="83"/>
    </row>
    <row r="50" spans="1:18" ht="15" customHeight="1" x14ac:dyDescent="0.4">
      <c r="A50" s="735"/>
      <c r="B50" s="118" t="str">
        <f t="shared" si="11"/>
        <v>6130-10</v>
      </c>
      <c r="C50" s="600" t="s">
        <v>228</v>
      </c>
      <c r="D50" s="601"/>
      <c r="E50" s="601">
        <v>2</v>
      </c>
      <c r="F50" s="602"/>
      <c r="G50" s="603">
        <v>76</v>
      </c>
      <c r="H50" s="594">
        <f t="shared" si="9"/>
        <v>152</v>
      </c>
      <c r="I50" s="594">
        <f t="shared" ca="1" si="10"/>
        <v>-17.78</v>
      </c>
      <c r="J50" s="595">
        <f t="shared" ca="1" si="13"/>
        <v>134.22</v>
      </c>
      <c r="K50" s="594">
        <v>152</v>
      </c>
      <c r="M50" s="3"/>
      <c r="N50" s="61"/>
      <c r="O50" s="328"/>
      <c r="P50" s="328"/>
      <c r="Q50" s="246"/>
      <c r="R50" s="83"/>
    </row>
    <row r="51" spans="1:18" ht="15" customHeight="1" x14ac:dyDescent="0.4">
      <c r="A51" s="733" t="s">
        <v>202</v>
      </c>
      <c r="B51" s="66" t="str">
        <f t="shared" si="11"/>
        <v>6130-11</v>
      </c>
      <c r="C51" s="659" t="s">
        <v>229</v>
      </c>
      <c r="D51" s="660"/>
      <c r="E51" s="660">
        <v>23100</v>
      </c>
      <c r="F51" s="586"/>
      <c r="G51" s="588">
        <v>0.109</v>
      </c>
      <c r="H51" s="589">
        <f t="shared" si="9"/>
        <v>2517.9</v>
      </c>
      <c r="I51" s="589">
        <f t="shared" ca="1" si="10"/>
        <v>0</v>
      </c>
      <c r="J51" s="589">
        <f ca="1">SUM(H51:I51)</f>
        <v>2517.9</v>
      </c>
      <c r="K51" s="589">
        <v>2398</v>
      </c>
      <c r="M51" s="3"/>
      <c r="N51" s="61"/>
      <c r="O51" s="328"/>
      <c r="P51" s="328"/>
      <c r="Q51" s="246"/>
      <c r="R51" s="83"/>
    </row>
    <row r="52" spans="1:18" ht="15" customHeight="1" x14ac:dyDescent="0.4">
      <c r="A52" s="735"/>
      <c r="B52" s="118" t="str">
        <f t="shared" si="11"/>
        <v>6130-12</v>
      </c>
      <c r="C52" s="600" t="s">
        <v>230</v>
      </c>
      <c r="D52" s="602">
        <v>7500</v>
      </c>
      <c r="E52" s="602">
        <v>9270</v>
      </c>
      <c r="F52" s="602">
        <v>7500</v>
      </c>
      <c r="G52" s="603">
        <v>0.09</v>
      </c>
      <c r="H52" s="594">
        <f t="shared" si="9"/>
        <v>2184.2999999999997</v>
      </c>
      <c r="I52" s="594">
        <f t="shared" ca="1" si="10"/>
        <v>-304.31</v>
      </c>
      <c r="J52" s="612">
        <f t="shared" ca="1" si="13"/>
        <v>1879.9899999999998</v>
      </c>
      <c r="K52" s="594">
        <v>1006.1999999999999</v>
      </c>
      <c r="M52" s="3"/>
      <c r="N52" s="61"/>
      <c r="O52" s="328"/>
      <c r="P52" s="328"/>
      <c r="Q52" s="246"/>
      <c r="R52" s="34"/>
    </row>
    <row r="53" spans="1:18" ht="15" customHeight="1" x14ac:dyDescent="0.4">
      <c r="A53" s="749"/>
      <c r="B53" s="66" t="str">
        <f t="shared" si="11"/>
        <v>6130-13</v>
      </c>
      <c r="C53" s="661" t="s">
        <v>231</v>
      </c>
      <c r="D53" s="662"/>
      <c r="E53" s="606"/>
      <c r="F53" s="586">
        <v>15000</v>
      </c>
      <c r="G53" s="607">
        <v>0.08</v>
      </c>
      <c r="H53" s="589">
        <f t="shared" si="9"/>
        <v>1200</v>
      </c>
      <c r="I53" s="589">
        <f t="shared" ca="1" si="10"/>
        <v>-1657.66</v>
      </c>
      <c r="J53" s="589">
        <f t="shared" ca="1" si="13"/>
        <v>-457.66000000000008</v>
      </c>
      <c r="K53" s="608">
        <v>1840</v>
      </c>
      <c r="M53" s="3"/>
      <c r="N53" s="61"/>
      <c r="O53" s="328"/>
      <c r="P53" s="328"/>
      <c r="Q53" s="323"/>
      <c r="R53" s="65"/>
    </row>
    <row r="54" spans="1:18" ht="15" customHeight="1" x14ac:dyDescent="0.4">
      <c r="A54" s="735"/>
      <c r="B54" s="118" t="str">
        <f t="shared" si="11"/>
        <v>6130-14</v>
      </c>
      <c r="C54" s="639" t="s">
        <v>544</v>
      </c>
      <c r="D54" s="640"/>
      <c r="E54" s="641"/>
      <c r="F54" s="641">
        <v>0</v>
      </c>
      <c r="G54" s="642">
        <v>0.06</v>
      </c>
      <c r="H54" s="594">
        <f t="shared" si="9"/>
        <v>0</v>
      </c>
      <c r="I54" s="594">
        <f t="shared" ca="1" si="10"/>
        <v>0</v>
      </c>
      <c r="J54" s="612">
        <f t="shared" ca="1" si="13"/>
        <v>0</v>
      </c>
      <c r="K54" s="594">
        <v>0</v>
      </c>
      <c r="M54" s="3"/>
      <c r="N54" s="61"/>
      <c r="O54" s="328"/>
      <c r="P54" s="328"/>
      <c r="Q54" s="246"/>
      <c r="R54" s="65"/>
    </row>
    <row r="55" spans="1:18" ht="15" customHeight="1" x14ac:dyDescent="0.4">
      <c r="A55" s="736"/>
      <c r="B55" s="66" t="str">
        <f t="shared" si="11"/>
        <v>6130-15</v>
      </c>
      <c r="C55" s="604" t="s">
        <v>545</v>
      </c>
      <c r="D55" s="647"/>
      <c r="E55" s="606">
        <v>13230</v>
      </c>
      <c r="F55" s="606"/>
      <c r="G55" s="607">
        <v>0.08</v>
      </c>
      <c r="H55" s="589">
        <f t="shared" si="9"/>
        <v>1058.4000000000001</v>
      </c>
      <c r="I55" s="589">
        <f t="shared" ca="1" si="10"/>
        <v>-601.70000000000005</v>
      </c>
      <c r="J55" s="589">
        <f t="shared" ca="1" si="13"/>
        <v>456.70000000000005</v>
      </c>
      <c r="K55" s="608">
        <v>1008</v>
      </c>
      <c r="M55" s="3"/>
      <c r="N55" s="61"/>
      <c r="O55" s="328"/>
      <c r="P55" s="328"/>
      <c r="Q55" s="246"/>
      <c r="R55" s="65"/>
    </row>
    <row r="56" spans="1:18" ht="15" customHeight="1" x14ac:dyDescent="0.4">
      <c r="A56" s="735"/>
      <c r="B56" s="118" t="str">
        <f t="shared" si="11"/>
        <v>6130-16</v>
      </c>
      <c r="C56" s="600" t="s">
        <v>232</v>
      </c>
      <c r="D56" s="601">
        <v>2200</v>
      </c>
      <c r="E56" s="602"/>
      <c r="F56" s="602"/>
      <c r="G56" s="642">
        <v>0.41</v>
      </c>
      <c r="H56" s="594">
        <f t="shared" ref="H56" si="14">(D56+E56+F56)*G56</f>
        <v>902</v>
      </c>
      <c r="I56" s="594">
        <f t="shared" ca="1" si="10"/>
        <v>-1388.42</v>
      </c>
      <c r="J56" s="594">
        <f t="shared" ref="J56" ca="1" si="15">SUM(H56:I56)</f>
        <v>-486.42000000000007</v>
      </c>
      <c r="K56" s="594">
        <v>656</v>
      </c>
      <c r="M56" s="3"/>
      <c r="N56" s="61"/>
      <c r="O56" s="328"/>
      <c r="P56" s="328"/>
      <c r="Q56" s="246"/>
      <c r="R56" s="34"/>
    </row>
    <row r="57" spans="1:18" ht="15" customHeight="1" x14ac:dyDescent="0.4">
      <c r="A57" s="736"/>
      <c r="B57" s="66" t="str">
        <f t="shared" si="11"/>
        <v>6130-17</v>
      </c>
      <c r="C57" s="663" t="s">
        <v>233</v>
      </c>
      <c r="D57" s="606"/>
      <c r="E57" s="606"/>
      <c r="F57" s="606">
        <v>1</v>
      </c>
      <c r="G57" s="607">
        <v>1300</v>
      </c>
      <c r="H57" s="589">
        <f>(D57+E57+F57)*G57</f>
        <v>1300</v>
      </c>
      <c r="I57" s="589">
        <f t="shared" ca="1" si="10"/>
        <v>-2168.79</v>
      </c>
      <c r="J57" s="608">
        <f ca="1">SUM(H57:I57)</f>
        <v>-868.79</v>
      </c>
      <c r="K57" s="608">
        <v>1300</v>
      </c>
      <c r="M57" s="3"/>
      <c r="N57" s="61"/>
      <c r="O57" s="328"/>
      <c r="P57" s="328"/>
      <c r="Q57" s="246"/>
    </row>
    <row r="58" spans="1:18" ht="15" customHeight="1" x14ac:dyDescent="0.4">
      <c r="A58" s="735"/>
      <c r="B58" s="118" t="str">
        <f t="shared" si="11"/>
        <v>6130-18</v>
      </c>
      <c r="C58" s="639" t="s">
        <v>234</v>
      </c>
      <c r="D58" s="641">
        <v>19000</v>
      </c>
      <c r="E58" s="641"/>
      <c r="F58" s="640"/>
      <c r="G58" s="642">
        <v>0.41</v>
      </c>
      <c r="H58" s="594">
        <f t="shared" si="9"/>
        <v>7789.9999999999991</v>
      </c>
      <c r="I58" s="594">
        <f t="shared" ca="1" si="10"/>
        <v>-3726.69</v>
      </c>
      <c r="J58" s="594">
        <f t="shared" ca="1" si="13"/>
        <v>4063.309999999999</v>
      </c>
      <c r="K58" s="594">
        <v>7789.9999999999991</v>
      </c>
      <c r="M58" s="3"/>
      <c r="N58" s="61"/>
      <c r="O58" s="328"/>
      <c r="P58" s="328"/>
      <c r="Q58" s="246"/>
      <c r="R58" s="65"/>
    </row>
    <row r="59" spans="1:18" ht="15" customHeight="1" x14ac:dyDescent="0.4">
      <c r="A59" s="736"/>
      <c r="B59" s="66" t="str">
        <f t="shared" si="11"/>
        <v>6130-19</v>
      </c>
      <c r="C59" s="604" t="s">
        <v>235</v>
      </c>
      <c r="D59" s="606">
        <v>0</v>
      </c>
      <c r="E59" s="606"/>
      <c r="F59" s="647"/>
      <c r="G59" s="607">
        <v>0.12</v>
      </c>
      <c r="H59" s="589">
        <f t="shared" si="9"/>
        <v>0</v>
      </c>
      <c r="I59" s="589">
        <f t="shared" ca="1" si="10"/>
        <v>0</v>
      </c>
      <c r="J59" s="608">
        <f t="shared" ca="1" si="13"/>
        <v>0</v>
      </c>
      <c r="K59" s="608">
        <v>1404</v>
      </c>
      <c r="M59" s="3"/>
      <c r="N59" s="61"/>
      <c r="O59" s="328"/>
      <c r="P59" s="328"/>
      <c r="Q59" s="246"/>
      <c r="R59" s="65"/>
    </row>
    <row r="60" spans="1:18" ht="15" customHeight="1" x14ac:dyDescent="0.4">
      <c r="A60" s="735" t="s">
        <v>236</v>
      </c>
      <c r="B60" s="118" t="str">
        <f t="shared" si="11"/>
        <v>6130-20</v>
      </c>
      <c r="C60" s="600" t="s">
        <v>546</v>
      </c>
      <c r="D60" s="601">
        <v>500</v>
      </c>
      <c r="E60" s="602"/>
      <c r="F60" s="602"/>
      <c r="G60" s="603">
        <v>0.1</v>
      </c>
      <c r="H60" s="594">
        <f t="shared" si="9"/>
        <v>50</v>
      </c>
      <c r="I60" s="594">
        <f t="shared" ca="1" si="10"/>
        <v>-12542.300000000001</v>
      </c>
      <c r="J60" s="594">
        <f t="shared" ca="1" si="13"/>
        <v>-12492.300000000001</v>
      </c>
      <c r="K60" s="594">
        <v>1200</v>
      </c>
      <c r="M60" s="3"/>
      <c r="N60" s="61"/>
      <c r="O60" s="328"/>
      <c r="P60" s="328"/>
      <c r="Q60" s="246"/>
      <c r="R60" s="34"/>
    </row>
    <row r="61" spans="1:18" ht="15" customHeight="1" x14ac:dyDescent="0.4">
      <c r="A61" s="733" t="s">
        <v>598</v>
      </c>
      <c r="B61" s="66" t="str">
        <f t="shared" si="11"/>
        <v>6130-21</v>
      </c>
      <c r="C61" s="659" t="s">
        <v>215</v>
      </c>
      <c r="D61" s="660"/>
      <c r="E61" s="586">
        <f>E36</f>
        <v>228980</v>
      </c>
      <c r="F61" s="586"/>
      <c r="G61" s="588">
        <v>0.13</v>
      </c>
      <c r="H61" s="589">
        <f t="shared" si="9"/>
        <v>29767.4</v>
      </c>
      <c r="I61" s="589">
        <f t="shared" ca="1" si="10"/>
        <v>0</v>
      </c>
      <c r="J61" s="589">
        <f t="shared" ca="1" si="13"/>
        <v>29767.4</v>
      </c>
      <c r="K61" s="589">
        <v>25680</v>
      </c>
      <c r="M61" s="3"/>
      <c r="N61" s="61"/>
      <c r="O61" s="328"/>
      <c r="P61" s="328"/>
      <c r="Q61" s="246"/>
      <c r="R61" s="34"/>
    </row>
    <row r="62" spans="1:18" ht="15" customHeight="1" thickBot="1" x14ac:dyDescent="0.45">
      <c r="A62" s="733"/>
      <c r="C62" s="617" t="s">
        <v>106</v>
      </c>
      <c r="D62" s="618"/>
      <c r="E62" s="618"/>
      <c r="F62" s="454"/>
      <c r="G62" s="619">
        <f>(H62-K62)/K62</f>
        <v>0.10097396334489221</v>
      </c>
      <c r="H62" s="620">
        <f>SUM(H41:H61)</f>
        <v>97028.395000000019</v>
      </c>
      <c r="I62" s="620">
        <f ca="1">SUM(I41:I61)</f>
        <v>-75720.669999999984</v>
      </c>
      <c r="J62" s="620">
        <f ca="1">SUM(J41:J61)</f>
        <v>21307.72500000002</v>
      </c>
      <c r="K62" s="621">
        <f>SUM(K41:K61)</f>
        <v>88129.600000000006</v>
      </c>
      <c r="N62" s="61"/>
      <c r="O62" s="328"/>
      <c r="P62" s="328"/>
      <c r="Q62" s="246"/>
    </row>
    <row r="63" spans="1:18" ht="10.5" customHeight="1" thickTop="1" x14ac:dyDescent="0.4">
      <c r="A63" s="583"/>
      <c r="B63" s="48"/>
      <c r="C63" s="617"/>
      <c r="D63" s="618"/>
      <c r="E63" s="618"/>
      <c r="F63" s="496"/>
      <c r="G63" s="664"/>
      <c r="H63" s="653"/>
      <c r="I63" s="653"/>
      <c r="J63" s="653"/>
      <c r="K63" s="653"/>
      <c r="N63" s="52"/>
      <c r="O63" s="328"/>
      <c r="P63" s="328"/>
      <c r="Q63" s="246"/>
    </row>
    <row r="64" spans="1:18" ht="19.5" customHeight="1" x14ac:dyDescent="0.5">
      <c r="A64" s="978" t="s">
        <v>237</v>
      </c>
      <c r="B64" s="978"/>
      <c r="C64" s="979"/>
      <c r="D64" s="979"/>
      <c r="E64" s="979"/>
      <c r="F64" s="979"/>
      <c r="G64" s="979"/>
      <c r="H64" s="979"/>
      <c r="I64" s="979"/>
      <c r="J64" s="979"/>
      <c r="K64" s="979"/>
      <c r="N64" s="52"/>
      <c r="O64" s="328"/>
      <c r="P64" s="328"/>
      <c r="Q64" s="246"/>
    </row>
    <row r="65" spans="1:18" ht="15" customHeight="1" x14ac:dyDescent="0.4">
      <c r="A65" s="730"/>
      <c r="B65" s="95" t="str">
        <f>LEFT($A64,4)&amp;"-1"</f>
        <v>6140-1</v>
      </c>
      <c r="C65" s="625" t="s">
        <v>238</v>
      </c>
      <c r="D65" s="666"/>
      <c r="E65" s="666">
        <v>12</v>
      </c>
      <c r="F65" s="666"/>
      <c r="G65" s="599">
        <f>ROUNDUP(6938.13/12, -2)</f>
        <v>600</v>
      </c>
      <c r="H65" s="667">
        <f>(D65+E65+F65)*G65</f>
        <v>7200</v>
      </c>
      <c r="I65" s="667">
        <f ca="1">-(SUMIF(INDIRECT(LEFT($A$64,4)&amp;"!i3:i200"),"="&amp;B65&amp;" *",INDIRECT(LEFT($A$64,4)&amp;"!k3:k200")))</f>
        <v>-6804.69</v>
      </c>
      <c r="J65" s="667">
        <f ca="1">SUM(H65:I65)</f>
        <v>395.3100000000004</v>
      </c>
      <c r="K65" s="589">
        <v>7200</v>
      </c>
      <c r="M65" s="3"/>
      <c r="N65" s="61"/>
      <c r="O65" s="328"/>
      <c r="P65" s="328"/>
      <c r="Q65" s="246"/>
    </row>
    <row r="66" spans="1:18" ht="15.75" customHeight="1" thickBot="1" x14ac:dyDescent="0.45">
      <c r="A66" s="746"/>
      <c r="B66" s="145"/>
      <c r="C66" s="617" t="s">
        <v>106</v>
      </c>
      <c r="D66" s="618"/>
      <c r="E66" s="618"/>
      <c r="F66" s="454"/>
      <c r="G66" s="619">
        <f>SUM(Summary!$H$12)</f>
        <v>0</v>
      </c>
      <c r="H66" s="668">
        <f>SUM(H65)</f>
        <v>7200</v>
      </c>
      <c r="I66" s="668">
        <f t="shared" ref="I66:J66" ca="1" si="16">SUM(I65)</f>
        <v>-6804.69</v>
      </c>
      <c r="J66" s="668">
        <f t="shared" ca="1" si="16"/>
        <v>395.3100000000004</v>
      </c>
      <c r="K66" s="621">
        <f>SUM(K65)</f>
        <v>7200</v>
      </c>
      <c r="N66" s="61"/>
      <c r="O66" s="328"/>
      <c r="P66" s="328"/>
      <c r="Q66" s="246"/>
    </row>
    <row r="67" spans="1:18" ht="9.75" customHeight="1" thickTop="1" x14ac:dyDescent="0.4">
      <c r="A67" s="583"/>
      <c r="B67" s="48"/>
      <c r="C67" s="71"/>
      <c r="D67" s="72"/>
      <c r="E67" s="72"/>
      <c r="F67" s="72"/>
      <c r="G67" s="53"/>
      <c r="H67" s="37"/>
      <c r="I67" s="37"/>
      <c r="J67" s="37"/>
      <c r="K67" s="37"/>
      <c r="N67" s="61"/>
      <c r="O67" s="328"/>
      <c r="P67" s="328"/>
      <c r="Q67" s="246"/>
    </row>
    <row r="68" spans="1:18" ht="19.5" customHeight="1" x14ac:dyDescent="0.5">
      <c r="A68" s="980" t="s">
        <v>239</v>
      </c>
      <c r="B68" s="980"/>
      <c r="C68" s="979"/>
      <c r="D68" s="979"/>
      <c r="E68" s="979"/>
      <c r="F68" s="979"/>
      <c r="G68" s="979"/>
      <c r="H68" s="979"/>
      <c r="I68" s="979"/>
      <c r="J68" s="979"/>
      <c r="K68" s="979"/>
      <c r="N68" s="61"/>
      <c r="O68" s="328"/>
      <c r="P68" s="328"/>
      <c r="Q68" s="246"/>
    </row>
    <row r="69" spans="1:18" ht="15" customHeight="1" x14ac:dyDescent="0.4">
      <c r="A69" s="733"/>
      <c r="B69" s="66" t="str">
        <f>LEFT($A68,4)&amp;"-1"</f>
        <v>6150-1</v>
      </c>
      <c r="C69" s="672" t="s">
        <v>516</v>
      </c>
      <c r="D69" s="673"/>
      <c r="E69" s="666">
        <v>22</v>
      </c>
      <c r="F69" s="674"/>
      <c r="G69" s="599">
        <v>250</v>
      </c>
      <c r="H69" s="589">
        <f t="shared" ref="H69:H70" si="17">(D69+E69+F69)*G69</f>
        <v>5500</v>
      </c>
      <c r="I69" s="589">
        <f t="shared" ref="I69:I81" ca="1" si="18">-(SUMIF(INDIRECT(LEFT($A$68,4)&amp;"!i3:i200"),"="&amp;B69&amp;" *",INDIRECT(LEFT($A$68,4)&amp;"!k3:k200")))</f>
        <v>-2500</v>
      </c>
      <c r="J69" s="589">
        <f t="shared" ref="J69:J70" ca="1" si="19">SUM(H69:I69)</f>
        <v>3000</v>
      </c>
      <c r="K69" s="452">
        <v>2000</v>
      </c>
      <c r="M69" s="3"/>
      <c r="N69" s="61"/>
      <c r="O69" s="328"/>
      <c r="P69" s="328"/>
      <c r="Q69" s="94"/>
    </row>
    <row r="70" spans="1:18" ht="15" customHeight="1" x14ac:dyDescent="0.4">
      <c r="A70" s="731" t="s">
        <v>515</v>
      </c>
      <c r="B70" s="118" t="str">
        <f t="shared" ref="B70:B81" si="20">LEFT($B69,4)&amp;"-"&amp;VALUE(MID($B69,FIND("-",$B69)+1,256))+1</f>
        <v>6150-2</v>
      </c>
      <c r="C70" s="634" t="s">
        <v>240</v>
      </c>
      <c r="D70" s="513"/>
      <c r="E70" s="675">
        <v>0</v>
      </c>
      <c r="F70" s="513"/>
      <c r="G70" s="636">
        <v>550</v>
      </c>
      <c r="H70" s="594">
        <f t="shared" si="17"/>
        <v>0</v>
      </c>
      <c r="I70" s="595">
        <f t="shared" ca="1" si="18"/>
        <v>0</v>
      </c>
      <c r="J70" s="595">
        <f t="shared" ca="1" si="19"/>
        <v>0</v>
      </c>
      <c r="K70" s="453">
        <v>3300</v>
      </c>
      <c r="M70" s="3"/>
      <c r="N70" s="61"/>
      <c r="O70" s="328"/>
      <c r="P70" s="328"/>
      <c r="Q70" s="246"/>
    </row>
    <row r="71" spans="1:18" ht="15" customHeight="1" x14ac:dyDescent="0.4">
      <c r="A71" s="734"/>
      <c r="B71" s="66" t="str">
        <f t="shared" si="20"/>
        <v>6150-3</v>
      </c>
      <c r="C71" s="604" t="s">
        <v>547</v>
      </c>
      <c r="D71" s="676"/>
      <c r="E71" s="676">
        <v>7</v>
      </c>
      <c r="F71" s="676"/>
      <c r="G71" s="607">
        <v>320</v>
      </c>
      <c r="H71" s="589">
        <f>(D71+E71+F71)*G71</f>
        <v>2240</v>
      </c>
      <c r="I71" s="608">
        <f t="shared" ca="1" si="18"/>
        <v>-329.99</v>
      </c>
      <c r="J71" s="608">
        <f t="shared" ref="J71:J81" ca="1" si="21">SUM(H71:I71)</f>
        <v>1910.01</v>
      </c>
      <c r="K71" s="677">
        <v>2240</v>
      </c>
      <c r="M71" s="3"/>
      <c r="N71" s="61"/>
      <c r="O71" s="328"/>
      <c r="P71" s="328"/>
      <c r="Q71" s="246"/>
      <c r="R71" s="3"/>
    </row>
    <row r="72" spans="1:18" ht="15" customHeight="1" x14ac:dyDescent="0.4">
      <c r="A72" s="742"/>
      <c r="B72" s="118" t="str">
        <f t="shared" si="20"/>
        <v>6150-4</v>
      </c>
      <c r="C72" s="600" t="s">
        <v>548</v>
      </c>
      <c r="D72" s="678"/>
      <c r="E72" s="678">
        <v>2</v>
      </c>
      <c r="F72" s="678"/>
      <c r="G72" s="642">
        <v>2000</v>
      </c>
      <c r="H72" s="594">
        <f>(D72+E72+F72)*G72</f>
        <v>4000</v>
      </c>
      <c r="I72" s="594">
        <f t="shared" ca="1" si="18"/>
        <v>0</v>
      </c>
      <c r="J72" s="594">
        <f t="shared" ca="1" si="21"/>
        <v>4000</v>
      </c>
      <c r="K72" s="679">
        <v>4000</v>
      </c>
      <c r="L72" s="96"/>
      <c r="M72" s="3"/>
      <c r="N72" s="61"/>
      <c r="O72" s="328"/>
      <c r="P72" s="328"/>
      <c r="Q72" s="134"/>
    </row>
    <row r="73" spans="1:18" ht="15" customHeight="1" x14ac:dyDescent="0.4">
      <c r="A73" s="743"/>
      <c r="B73" s="66" t="str">
        <f t="shared" si="20"/>
        <v>6150-5</v>
      </c>
      <c r="C73" s="680" t="s">
        <v>241</v>
      </c>
      <c r="D73" s="666"/>
      <c r="E73" s="681">
        <v>8</v>
      </c>
      <c r="F73" s="681"/>
      <c r="G73" s="599">
        <v>2000</v>
      </c>
      <c r="H73" s="589">
        <f>(D73+E73+F73)*G73</f>
        <v>16000</v>
      </c>
      <c r="I73" s="608">
        <f t="shared" ca="1" si="18"/>
        <v>-22732.300000000003</v>
      </c>
      <c r="J73" s="608">
        <f t="shared" ca="1" si="21"/>
        <v>-6732.3000000000029</v>
      </c>
      <c r="K73" s="452">
        <v>16000</v>
      </c>
      <c r="M73" s="3"/>
      <c r="N73" s="61"/>
      <c r="O73" s="328"/>
      <c r="P73" s="328"/>
      <c r="R73" s="246"/>
    </row>
    <row r="74" spans="1:18" ht="15" customHeight="1" x14ac:dyDescent="0.4">
      <c r="A74" s="744"/>
      <c r="B74" s="118" t="str">
        <f t="shared" si="20"/>
        <v>6150-6</v>
      </c>
      <c r="C74" s="682" t="s">
        <v>242</v>
      </c>
      <c r="D74" s="683"/>
      <c r="E74" s="678">
        <v>6</v>
      </c>
      <c r="F74" s="678"/>
      <c r="G74" s="642">
        <v>2500</v>
      </c>
      <c r="H74" s="658">
        <f t="shared" ref="H74:H81" si="22">(D74+E74+F74)*G74</f>
        <v>15000</v>
      </c>
      <c r="I74" s="595">
        <f t="shared" ca="1" si="18"/>
        <v>-5858.329999999999</v>
      </c>
      <c r="J74" s="595">
        <f t="shared" ca="1" si="21"/>
        <v>9141.6700000000019</v>
      </c>
      <c r="K74" s="679">
        <v>12500</v>
      </c>
      <c r="M74" s="134"/>
      <c r="N74" s="61"/>
      <c r="O74" s="328"/>
      <c r="P74" s="328"/>
      <c r="Q74" s="322"/>
    </row>
    <row r="75" spans="1:18" ht="15" customHeight="1" x14ac:dyDescent="0.4">
      <c r="A75" s="734"/>
      <c r="B75" s="66" t="str">
        <f t="shared" si="20"/>
        <v>6150-7</v>
      </c>
      <c r="C75" s="644" t="s">
        <v>243</v>
      </c>
      <c r="D75" s="684"/>
      <c r="E75" s="684">
        <v>1</v>
      </c>
      <c r="F75" s="684"/>
      <c r="G75" s="607">
        <v>5000</v>
      </c>
      <c r="H75" s="589">
        <f t="shared" si="22"/>
        <v>5000</v>
      </c>
      <c r="I75" s="589">
        <f t="shared" ca="1" si="18"/>
        <v>-6294.09</v>
      </c>
      <c r="J75" s="589">
        <f t="shared" ca="1" si="21"/>
        <v>-1294.0900000000001</v>
      </c>
      <c r="K75" s="677">
        <v>5000</v>
      </c>
      <c r="M75" s="3"/>
      <c r="N75" s="61"/>
      <c r="O75" s="328"/>
      <c r="P75" s="328"/>
      <c r="Q75" s="246"/>
    </row>
    <row r="76" spans="1:18" ht="15" customHeight="1" x14ac:dyDescent="0.4">
      <c r="A76" s="742"/>
      <c r="B76" s="118" t="str">
        <f t="shared" si="20"/>
        <v>6150-8</v>
      </c>
      <c r="C76" s="639" t="s">
        <v>244</v>
      </c>
      <c r="D76" s="685"/>
      <c r="E76" s="686">
        <v>2</v>
      </c>
      <c r="F76" s="687"/>
      <c r="G76" s="642">
        <v>3500</v>
      </c>
      <c r="H76" s="658">
        <f t="shared" si="22"/>
        <v>7000</v>
      </c>
      <c r="I76" s="595">
        <f t="shared" ca="1" si="18"/>
        <v>-3300.96</v>
      </c>
      <c r="J76" s="595">
        <f t="shared" ca="1" si="21"/>
        <v>3699.04</v>
      </c>
      <c r="K76" s="594">
        <v>7000</v>
      </c>
      <c r="M76" s="3"/>
      <c r="N76" s="61"/>
      <c r="O76" s="328"/>
      <c r="P76" s="328"/>
      <c r="Q76" s="246"/>
      <c r="R76" s="246"/>
    </row>
    <row r="77" spans="1:18" ht="15" customHeight="1" x14ac:dyDescent="0.4">
      <c r="A77" s="734"/>
      <c r="B77" s="66" t="str">
        <f t="shared" si="20"/>
        <v>6150-9</v>
      </c>
      <c r="C77" s="604" t="s">
        <v>245</v>
      </c>
      <c r="D77" s="676"/>
      <c r="E77" s="676">
        <v>18</v>
      </c>
      <c r="F77" s="519"/>
      <c r="G77" s="607">
        <v>1300</v>
      </c>
      <c r="H77" s="589">
        <f t="shared" si="22"/>
        <v>23400</v>
      </c>
      <c r="I77" s="589">
        <f t="shared" ca="1" si="18"/>
        <v>-24366.1</v>
      </c>
      <c r="J77" s="589">
        <f t="shared" ca="1" si="21"/>
        <v>-966.09999999999854</v>
      </c>
      <c r="K77" s="677">
        <v>23400</v>
      </c>
      <c r="M77" s="3"/>
      <c r="N77" s="61"/>
      <c r="O77" s="328"/>
      <c r="P77" s="328"/>
      <c r="Q77" s="246"/>
    </row>
    <row r="78" spans="1:18" ht="15" customHeight="1" x14ac:dyDescent="0.4">
      <c r="A78" s="742"/>
      <c r="B78" s="118" t="str">
        <f t="shared" si="20"/>
        <v>6150-10</v>
      </c>
      <c r="C78" s="639" t="s">
        <v>246</v>
      </c>
      <c r="D78" s="686"/>
      <c r="E78" s="686">
        <v>5</v>
      </c>
      <c r="F78" s="765"/>
      <c r="G78" s="642">
        <v>300</v>
      </c>
      <c r="H78" s="594">
        <f t="shared" si="22"/>
        <v>1500</v>
      </c>
      <c r="I78" s="612">
        <f t="shared" ca="1" si="18"/>
        <v>0</v>
      </c>
      <c r="J78" s="612">
        <f t="shared" ca="1" si="21"/>
        <v>1500</v>
      </c>
      <c r="K78" s="679">
        <v>1500</v>
      </c>
      <c r="M78" s="3"/>
      <c r="N78" s="61"/>
      <c r="O78" s="328"/>
      <c r="P78" s="328"/>
      <c r="Q78" s="246"/>
    </row>
    <row r="79" spans="1:18" ht="15" customHeight="1" x14ac:dyDescent="0.4">
      <c r="A79" s="730" t="s">
        <v>515</v>
      </c>
      <c r="B79" s="66" t="str">
        <f t="shared" si="20"/>
        <v>6150-11</v>
      </c>
      <c r="C79" s="596" t="s">
        <v>247</v>
      </c>
      <c r="D79" s="666"/>
      <c r="E79" s="666">
        <v>0</v>
      </c>
      <c r="F79" s="688"/>
      <c r="G79" s="599">
        <v>350</v>
      </c>
      <c r="H79" s="589">
        <f t="shared" si="22"/>
        <v>0</v>
      </c>
      <c r="I79" s="608">
        <f t="shared" ca="1" si="18"/>
        <v>0</v>
      </c>
      <c r="J79" s="608">
        <f t="shared" ca="1" si="21"/>
        <v>0</v>
      </c>
      <c r="K79" s="452">
        <v>350</v>
      </c>
      <c r="M79" s="3"/>
      <c r="N79" s="61"/>
      <c r="O79" s="328"/>
      <c r="P79" s="328"/>
      <c r="Q79" s="246"/>
    </row>
    <row r="80" spans="1:18" ht="15" customHeight="1" x14ac:dyDescent="0.4">
      <c r="A80" s="740"/>
      <c r="B80" s="118" t="str">
        <f t="shared" si="20"/>
        <v>6150-12</v>
      </c>
      <c r="C80" s="849" t="s">
        <v>248</v>
      </c>
      <c r="D80" s="720"/>
      <c r="E80" s="720">
        <v>4</v>
      </c>
      <c r="F80" s="702"/>
      <c r="G80" s="593">
        <v>750</v>
      </c>
      <c r="H80" s="594">
        <f t="shared" si="22"/>
        <v>3000</v>
      </c>
      <c r="I80" s="594">
        <f t="shared" ca="1" si="18"/>
        <v>0</v>
      </c>
      <c r="J80" s="594">
        <f t="shared" ca="1" si="21"/>
        <v>3000</v>
      </c>
      <c r="K80" s="704">
        <v>3000</v>
      </c>
      <c r="L80" s="137"/>
      <c r="M80" s="3"/>
      <c r="N80" s="61"/>
      <c r="O80" s="328"/>
      <c r="P80" s="328"/>
      <c r="Q80" s="246"/>
      <c r="R80" s="3"/>
    </row>
    <row r="81" spans="1:17" ht="15" customHeight="1" x14ac:dyDescent="0.4">
      <c r="A81" s="743" t="s">
        <v>583</v>
      </c>
      <c r="B81" s="66" t="str">
        <f t="shared" si="20"/>
        <v>6150-13</v>
      </c>
      <c r="C81" s="680" t="s">
        <v>249</v>
      </c>
      <c r="D81" s="666"/>
      <c r="E81" s="681">
        <v>20</v>
      </c>
      <c r="F81" s="681"/>
      <c r="G81" s="599">
        <v>250</v>
      </c>
      <c r="H81" s="589">
        <f t="shared" si="22"/>
        <v>5000</v>
      </c>
      <c r="I81" s="608">
        <f t="shared" ca="1" si="18"/>
        <v>-10709.550000000001</v>
      </c>
      <c r="J81" s="608">
        <f t="shared" ca="1" si="21"/>
        <v>-5709.5500000000011</v>
      </c>
      <c r="K81" s="452">
        <v>0</v>
      </c>
      <c r="M81" s="3"/>
      <c r="N81" s="61"/>
      <c r="O81" s="328"/>
      <c r="P81" s="328"/>
      <c r="Q81" s="322"/>
    </row>
    <row r="82" spans="1:17" ht="15" customHeight="1" thickBot="1" x14ac:dyDescent="0.45">
      <c r="A82" s="733"/>
      <c r="C82" s="617" t="s">
        <v>106</v>
      </c>
      <c r="D82" s="618"/>
      <c r="E82" s="618"/>
      <c r="F82" s="454"/>
      <c r="G82" s="619">
        <f>(H82-K82)/K82</f>
        <v>9.1543156059285091E-2</v>
      </c>
      <c r="H82" s="620">
        <f>SUM(H69:H81)</f>
        <v>87640</v>
      </c>
      <c r="I82" s="620">
        <f ca="1">SUM(I69:I81)</f>
        <v>-76091.319999999992</v>
      </c>
      <c r="J82" s="620">
        <f ca="1">SUM(J69:J81)</f>
        <v>11548.679999999998</v>
      </c>
      <c r="K82" s="692">
        <f>SUM(K69:K81)</f>
        <v>80290</v>
      </c>
      <c r="N82" s="61"/>
      <c r="O82" s="328"/>
      <c r="P82" s="328"/>
      <c r="Q82" s="246"/>
    </row>
    <row r="83" spans="1:17" ht="9.75" customHeight="1" thickTop="1" x14ac:dyDescent="0.4">
      <c r="A83" s="120"/>
      <c r="C83" s="68"/>
      <c r="D83" s="69"/>
      <c r="E83" s="69"/>
      <c r="F83" s="18"/>
      <c r="G83" s="50"/>
      <c r="H83" s="87"/>
      <c r="I83" s="87"/>
      <c r="J83" s="87"/>
      <c r="K83" s="97"/>
      <c r="N83" s="52"/>
      <c r="O83" s="328"/>
      <c r="P83" s="328"/>
      <c r="Q83" s="246"/>
    </row>
    <row r="84" spans="1:17" ht="19.5" customHeight="1" x14ac:dyDescent="0.5">
      <c r="A84" s="978" t="s">
        <v>250</v>
      </c>
      <c r="B84" s="978"/>
      <c r="C84" s="979"/>
      <c r="D84" s="979"/>
      <c r="E84" s="979"/>
      <c r="F84" s="979"/>
      <c r="G84" s="979"/>
      <c r="H84" s="979"/>
      <c r="I84" s="979" t="e">
        <f ca="1">-(SUMIF(INDIRECT(LEFT($A$69,4)&amp;"!E3:E200"),"="&amp;B84&amp;" *",INDIRECT(LEFT($A$69,4)&amp;"!F3:F200")))</f>
        <v>#REF!</v>
      </c>
      <c r="J84" s="979" t="e">
        <f t="shared" ref="J84:J85" ca="1" si="23">SUM(H84:I84)</f>
        <v>#REF!</v>
      </c>
      <c r="K84" s="979"/>
      <c r="N84" s="52"/>
      <c r="O84" s="328"/>
      <c r="P84" s="328"/>
      <c r="Q84" s="246"/>
    </row>
    <row r="85" spans="1:17" ht="15" customHeight="1" x14ac:dyDescent="0.4">
      <c r="A85" s="730"/>
      <c r="B85" s="147" t="str">
        <f>LEFT($A84,4)&amp;"-1"</f>
        <v>6160-1</v>
      </c>
      <c r="C85" s="596" t="s">
        <v>251</v>
      </c>
      <c r="D85" s="693"/>
      <c r="E85" s="666">
        <v>1</v>
      </c>
      <c r="F85" s="693"/>
      <c r="G85" s="599">
        <v>250</v>
      </c>
      <c r="H85" s="589">
        <f t="shared" ref="H85:H92" si="24">(D85+E85+F85)*G85</f>
        <v>250</v>
      </c>
      <c r="I85" s="589">
        <f t="shared" ref="I85:I96" ca="1" si="25">-(SUMIF(INDIRECT(LEFT($A$84,4)&amp;"!i3:i200"),"="&amp;B85&amp;" *",INDIRECT(LEFT($A$84,4)&amp;"!k3:k200")))</f>
        <v>0</v>
      </c>
      <c r="J85" s="589">
        <f t="shared" ca="1" si="23"/>
        <v>250</v>
      </c>
      <c r="K85" s="452">
        <v>250</v>
      </c>
      <c r="M85" s="3"/>
      <c r="N85" s="61"/>
      <c r="O85" s="328"/>
      <c r="P85" s="328"/>
      <c r="Q85" s="246"/>
    </row>
    <row r="86" spans="1:17" ht="15" customHeight="1" x14ac:dyDescent="0.4">
      <c r="A86" s="742"/>
      <c r="B86" s="119" t="str">
        <f>LEFT($B85,4)&amp;"-"&amp;VALUE(MID($B85,FIND("-",$B85)+1,256))+1</f>
        <v>6160-2</v>
      </c>
      <c r="C86" s="648" t="s">
        <v>252</v>
      </c>
      <c r="D86" s="694"/>
      <c r="E86" s="678">
        <v>10</v>
      </c>
      <c r="F86" s="694"/>
      <c r="G86" s="642">
        <v>65</v>
      </c>
      <c r="H86" s="594">
        <f t="shared" si="24"/>
        <v>650</v>
      </c>
      <c r="I86" s="594">
        <f t="shared" ca="1" si="25"/>
        <v>0</v>
      </c>
      <c r="J86" s="594">
        <f t="shared" ref="J86" ca="1" si="26">SUM(H86:I86)</f>
        <v>650</v>
      </c>
      <c r="K86" s="679">
        <v>650</v>
      </c>
      <c r="M86" s="3"/>
      <c r="N86" s="61"/>
      <c r="O86" s="328"/>
      <c r="P86" s="328"/>
      <c r="Q86" s="246"/>
    </row>
    <row r="87" spans="1:17" ht="15" customHeight="1" x14ac:dyDescent="0.4">
      <c r="A87" s="734"/>
      <c r="B87" s="95" t="str">
        <f t="shared" ref="B87:B96" si="27">LEFT($B86,4)&amp;"-"&amp;VALUE(MID($B86,FIND("-",$B86)+1,256))+1</f>
        <v>6160-3</v>
      </c>
      <c r="C87" s="644" t="s">
        <v>549</v>
      </c>
      <c r="D87" s="695"/>
      <c r="E87" s="684">
        <v>3</v>
      </c>
      <c r="F87" s="695"/>
      <c r="G87" s="607">
        <v>95</v>
      </c>
      <c r="H87" s="589">
        <f t="shared" si="24"/>
        <v>285</v>
      </c>
      <c r="I87" s="589">
        <f t="shared" ca="1" si="25"/>
        <v>-1649.9</v>
      </c>
      <c r="J87" s="589">
        <f t="shared" ref="J87:J96" ca="1" si="28">SUM(H87:I87)</f>
        <v>-1364.9</v>
      </c>
      <c r="K87" s="677">
        <v>285</v>
      </c>
      <c r="M87" s="3"/>
      <c r="N87" s="61"/>
      <c r="O87" s="328"/>
      <c r="P87" s="328"/>
      <c r="Q87" s="246"/>
    </row>
    <row r="88" spans="1:17" ht="15" customHeight="1" x14ac:dyDescent="0.4">
      <c r="A88" s="742" t="s">
        <v>517</v>
      </c>
      <c r="B88" s="119" t="str">
        <f t="shared" si="27"/>
        <v>6160-4</v>
      </c>
      <c r="C88" s="600" t="s">
        <v>253</v>
      </c>
      <c r="D88" s="696"/>
      <c r="E88" s="678">
        <v>0</v>
      </c>
      <c r="F88" s="696"/>
      <c r="G88" s="642">
        <v>110</v>
      </c>
      <c r="H88" s="594">
        <f t="shared" si="24"/>
        <v>0</v>
      </c>
      <c r="I88" s="594">
        <f t="shared" ca="1" si="25"/>
        <v>0</v>
      </c>
      <c r="J88" s="594">
        <f t="shared" ca="1" si="28"/>
        <v>0</v>
      </c>
      <c r="K88" s="679">
        <v>220</v>
      </c>
      <c r="M88" s="3"/>
      <c r="N88" s="61"/>
      <c r="O88" s="328"/>
      <c r="P88" s="328"/>
      <c r="Q88" s="246"/>
    </row>
    <row r="89" spans="1:17" ht="15" customHeight="1" x14ac:dyDescent="0.4">
      <c r="A89" s="734"/>
      <c r="B89" s="95" t="str">
        <f t="shared" si="27"/>
        <v>6160-5</v>
      </c>
      <c r="C89" s="644" t="s">
        <v>254</v>
      </c>
      <c r="D89" s="684"/>
      <c r="E89" s="684">
        <v>1</v>
      </c>
      <c r="F89" s="695"/>
      <c r="G89" s="607">
        <v>350</v>
      </c>
      <c r="H89" s="589">
        <f t="shared" si="24"/>
        <v>350</v>
      </c>
      <c r="I89" s="589">
        <f t="shared" ca="1" si="25"/>
        <v>-611.81000000000006</v>
      </c>
      <c r="J89" s="589">
        <f t="shared" ca="1" si="28"/>
        <v>-261.81000000000006</v>
      </c>
      <c r="K89" s="677">
        <v>350</v>
      </c>
      <c r="M89" s="3"/>
      <c r="N89" s="61"/>
      <c r="O89" s="328"/>
      <c r="P89" s="328"/>
      <c r="Q89" s="246"/>
    </row>
    <row r="90" spans="1:17" ht="15" customHeight="1" x14ac:dyDescent="0.4">
      <c r="A90" s="735"/>
      <c r="B90" s="119" t="str">
        <f t="shared" si="27"/>
        <v>6160-6</v>
      </c>
      <c r="C90" s="697" t="s">
        <v>255</v>
      </c>
      <c r="D90" s="698"/>
      <c r="E90" s="686">
        <v>4</v>
      </c>
      <c r="F90" s="699"/>
      <c r="G90" s="593">
        <v>1200</v>
      </c>
      <c r="H90" s="594">
        <f t="shared" si="24"/>
        <v>4800</v>
      </c>
      <c r="I90" s="594">
        <f t="shared" ca="1" si="25"/>
        <v>-4509.7900000000009</v>
      </c>
      <c r="J90" s="594">
        <f t="shared" ca="1" si="28"/>
        <v>290.20999999999913</v>
      </c>
      <c r="K90" s="679">
        <v>4800</v>
      </c>
      <c r="M90" s="3"/>
      <c r="N90" s="61"/>
      <c r="O90" s="328"/>
      <c r="P90" s="328"/>
      <c r="Q90" s="246"/>
    </row>
    <row r="91" spans="1:17" ht="15" customHeight="1" x14ac:dyDescent="0.4">
      <c r="A91" s="730"/>
      <c r="B91" s="95" t="str">
        <f>LEFT($B90,4)&amp;"-"&amp;VALUE(MID($B90,FIND("-",$B90)+1,256))+1</f>
        <v>6160-7</v>
      </c>
      <c r="C91" s="659" t="s">
        <v>257</v>
      </c>
      <c r="D91" s="700"/>
      <c r="E91" s="681">
        <v>1</v>
      </c>
      <c r="F91" s="700"/>
      <c r="G91" s="599">
        <v>300</v>
      </c>
      <c r="H91" s="589">
        <f t="shared" si="24"/>
        <v>300</v>
      </c>
      <c r="I91" s="589">
        <f t="shared" ca="1" si="25"/>
        <v>0</v>
      </c>
      <c r="J91" s="589">
        <f t="shared" ca="1" si="28"/>
        <v>300</v>
      </c>
      <c r="K91" s="452">
        <v>300</v>
      </c>
      <c r="M91" s="3"/>
      <c r="N91" s="61"/>
      <c r="O91" s="328"/>
      <c r="P91" s="328"/>
      <c r="Q91" s="246"/>
    </row>
    <row r="92" spans="1:17" ht="15" customHeight="1" x14ac:dyDescent="0.4">
      <c r="A92" s="740"/>
      <c r="B92" s="119" t="str">
        <f t="shared" si="27"/>
        <v>6160-8</v>
      </c>
      <c r="C92" s="613" t="s">
        <v>258</v>
      </c>
      <c r="D92" s="711"/>
      <c r="E92" s="848">
        <v>1</v>
      </c>
      <c r="F92" s="791"/>
      <c r="G92" s="593">
        <v>5000</v>
      </c>
      <c r="H92" s="594">
        <f t="shared" si="24"/>
        <v>5000</v>
      </c>
      <c r="I92" s="594">
        <f t="shared" ca="1" si="25"/>
        <v>-2935.64</v>
      </c>
      <c r="J92" s="594">
        <f t="shared" ca="1" si="28"/>
        <v>2064.36</v>
      </c>
      <c r="K92" s="704">
        <v>5000</v>
      </c>
      <c r="M92" s="3"/>
      <c r="N92" s="61"/>
      <c r="O92" s="328"/>
      <c r="P92" s="328"/>
      <c r="Q92" s="246"/>
    </row>
    <row r="93" spans="1:17" ht="15" customHeight="1" x14ac:dyDescent="0.4">
      <c r="A93" s="730"/>
      <c r="B93" s="95" t="str">
        <f t="shared" si="27"/>
        <v>6160-9</v>
      </c>
      <c r="C93" s="659" t="s">
        <v>259</v>
      </c>
      <c r="D93" s="700"/>
      <c r="E93" s="681">
        <v>10</v>
      </c>
      <c r="F93" s="700"/>
      <c r="G93" s="599">
        <v>30</v>
      </c>
      <c r="H93" s="589">
        <f t="shared" ref="H93:H96" si="29">(D93+E93+F93)*G93</f>
        <v>300</v>
      </c>
      <c r="I93" s="589">
        <f t="shared" ca="1" si="25"/>
        <v>0</v>
      </c>
      <c r="J93" s="589">
        <f t="shared" ca="1" si="28"/>
        <v>300</v>
      </c>
      <c r="K93" s="452">
        <v>300</v>
      </c>
      <c r="M93" s="3"/>
      <c r="N93" s="61"/>
      <c r="O93" s="328"/>
      <c r="P93" s="328"/>
      <c r="Q93" s="246"/>
    </row>
    <row r="94" spans="1:17" ht="15" customHeight="1" x14ac:dyDescent="0.4">
      <c r="A94" s="742"/>
      <c r="B94" s="119" t="str">
        <f>LEFT($B93,4)&amp;"-"&amp;VALUE(MID($B93,FIND("-",$B93)+1,256))+1</f>
        <v>6160-10</v>
      </c>
      <c r="C94" s="600" t="s">
        <v>256</v>
      </c>
      <c r="D94" s="696"/>
      <c r="E94" s="678">
        <v>20</v>
      </c>
      <c r="F94" s="696"/>
      <c r="G94" s="642">
        <v>10</v>
      </c>
      <c r="H94" s="594">
        <f>(D94+E94+F94)*G94</f>
        <v>200</v>
      </c>
      <c r="I94" s="594">
        <f t="shared" ca="1" si="25"/>
        <v>0</v>
      </c>
      <c r="J94" s="594">
        <f ca="1">SUM(H94:I94)</f>
        <v>200</v>
      </c>
      <c r="K94" s="679">
        <v>200</v>
      </c>
      <c r="M94" s="3"/>
      <c r="N94" s="61"/>
      <c r="O94" s="328"/>
      <c r="P94" s="328"/>
      <c r="Q94" s="246"/>
    </row>
    <row r="95" spans="1:17" ht="15" customHeight="1" x14ac:dyDescent="0.4">
      <c r="A95" s="730"/>
      <c r="B95" s="95" t="str">
        <f>LEFT($B94,4)&amp;"-"&amp;VALUE(MID($B94,FIND("-",$B94)+1,256))+1</f>
        <v>6160-11</v>
      </c>
      <c r="C95" s="659" t="s">
        <v>260</v>
      </c>
      <c r="D95" s="700"/>
      <c r="E95" s="681">
        <v>30</v>
      </c>
      <c r="F95" s="681"/>
      <c r="G95" s="599">
        <v>7</v>
      </c>
      <c r="H95" s="589">
        <f t="shared" si="29"/>
        <v>210</v>
      </c>
      <c r="I95" s="589">
        <f t="shared" ca="1" si="25"/>
        <v>0</v>
      </c>
      <c r="J95" s="589">
        <f t="shared" ca="1" si="28"/>
        <v>210</v>
      </c>
      <c r="K95" s="452">
        <v>210</v>
      </c>
      <c r="M95" s="3"/>
      <c r="N95" s="61"/>
      <c r="O95" s="328"/>
      <c r="P95" s="328"/>
      <c r="Q95" s="246"/>
    </row>
    <row r="96" spans="1:17" ht="15" customHeight="1" x14ac:dyDescent="0.4">
      <c r="A96" s="740"/>
      <c r="B96" s="119" t="str">
        <f t="shared" si="27"/>
        <v>6160-12</v>
      </c>
      <c r="C96" s="701" t="s">
        <v>550</v>
      </c>
      <c r="D96" s="702"/>
      <c r="E96" s="703">
        <v>1</v>
      </c>
      <c r="F96" s="702"/>
      <c r="G96" s="593">
        <v>1000</v>
      </c>
      <c r="H96" s="594">
        <f t="shared" si="29"/>
        <v>1000</v>
      </c>
      <c r="I96" s="594">
        <f t="shared" ca="1" si="25"/>
        <v>-570.70000000000005</v>
      </c>
      <c r="J96" s="594">
        <f t="shared" ca="1" si="28"/>
        <v>429.29999999999995</v>
      </c>
      <c r="K96" s="704">
        <v>1000</v>
      </c>
      <c r="M96" s="3"/>
      <c r="N96" s="61"/>
      <c r="O96" s="328"/>
      <c r="P96" s="328"/>
      <c r="Q96" s="246"/>
    </row>
    <row r="97" spans="1:17" thickBot="1" x14ac:dyDescent="0.45">
      <c r="A97" s="733"/>
      <c r="B97" s="147"/>
      <c r="C97" s="617" t="s">
        <v>106</v>
      </c>
      <c r="D97" s="618"/>
      <c r="E97" s="618"/>
      <c r="F97" s="454"/>
      <c r="G97" s="619">
        <f>(H97-K97)/K97</f>
        <v>-1.6218208625138224E-2</v>
      </c>
      <c r="H97" s="620">
        <f>SUM(H85:H96)</f>
        <v>13345</v>
      </c>
      <c r="I97" s="620">
        <f ca="1">SUM(I85:I96)</f>
        <v>-10277.840000000002</v>
      </c>
      <c r="J97" s="620">
        <f ca="1">SUM(J85:J96)</f>
        <v>3067.1599999999989</v>
      </c>
      <c r="K97" s="692">
        <f>SUM(K85:K96)</f>
        <v>13565</v>
      </c>
      <c r="N97" s="61"/>
      <c r="O97" s="328"/>
      <c r="P97" s="328"/>
      <c r="Q97" s="246"/>
    </row>
    <row r="98" spans="1:17" ht="9.75" customHeight="1" thickTop="1" x14ac:dyDescent="0.4">
      <c r="A98" s="733"/>
      <c r="B98" s="95"/>
      <c r="C98" s="71"/>
      <c r="D98" s="72"/>
      <c r="E98" s="72"/>
      <c r="F98" s="72"/>
      <c r="G98" s="53"/>
      <c r="H98" s="37"/>
      <c r="I98" s="37"/>
      <c r="J98" s="37"/>
      <c r="K98" s="37"/>
      <c r="N98" s="52"/>
      <c r="O98" s="328"/>
      <c r="P98" s="328"/>
      <c r="Q98" s="246"/>
    </row>
    <row r="99" spans="1:17" ht="19.5" customHeight="1" x14ac:dyDescent="0.5">
      <c r="A99" s="978" t="s">
        <v>261</v>
      </c>
      <c r="B99" s="978"/>
      <c r="C99" s="979"/>
      <c r="D99" s="979"/>
      <c r="E99" s="979"/>
      <c r="F99" s="979"/>
      <c r="G99" s="979"/>
      <c r="H99" s="979"/>
      <c r="I99" s="979" t="e">
        <f ca="1">-(SUMIF(INDIRECT(LEFT($A$91,4)&amp;"!E3:E200"),"="&amp;B99&amp;" *",INDIRECT(LEFT($A$91,4)&amp;"!F3:F200")))</f>
        <v>#REF!</v>
      </c>
      <c r="J99" s="979" t="e">
        <f t="shared" ref="J99" ca="1" si="30">SUM(H99:I99)</f>
        <v>#REF!</v>
      </c>
      <c r="K99" s="979"/>
      <c r="M99" s="3"/>
      <c r="N99" s="52"/>
      <c r="O99" s="328"/>
      <c r="P99" s="328"/>
      <c r="Q99" s="246"/>
    </row>
    <row r="100" spans="1:17" ht="15" customHeight="1" x14ac:dyDescent="0.4">
      <c r="A100" s="734"/>
      <c r="B100" s="147" t="str">
        <f>LEFT($A99,4)&amp;"-1"</f>
        <v>6210-1</v>
      </c>
      <c r="C100" s="663" t="s">
        <v>551</v>
      </c>
      <c r="D100" s="691"/>
      <c r="E100" s="706">
        <v>1</v>
      </c>
      <c r="F100" s="691"/>
      <c r="G100" s="607">
        <v>300</v>
      </c>
      <c r="H100" s="589">
        <f t="shared" ref="H100:H108" si="31">SUM((D100+E100+F100)*G100)</f>
        <v>300</v>
      </c>
      <c r="I100" s="589">
        <f t="shared" ref="I100:I123" ca="1" si="32">-(SUMIF(INDIRECT(LEFT($A$99,4)&amp;"!i3:i485"),"="&amp;B100&amp;" *",INDIRECT(LEFT($A$99,4)&amp;"!k3:k485")))</f>
        <v>0</v>
      </c>
      <c r="J100" s="589">
        <f t="shared" ref="J100:J101" ca="1" si="33">SUM(H100:I100)</f>
        <v>300</v>
      </c>
      <c r="K100" s="707">
        <v>300</v>
      </c>
      <c r="M100" s="3"/>
      <c r="N100" s="61"/>
      <c r="O100" s="328"/>
      <c r="P100" s="328"/>
      <c r="Q100" s="246"/>
    </row>
    <row r="101" spans="1:17" ht="15" customHeight="1" x14ac:dyDescent="0.4">
      <c r="A101" s="735"/>
      <c r="B101" s="119" t="str">
        <f>LEFT($B100,4)&amp;"-"&amp;VALUE(MID($B100,FIND("-",$B100)+1,256))+1</f>
        <v>6210-2</v>
      </c>
      <c r="C101" s="600" t="s">
        <v>262</v>
      </c>
      <c r="D101" s="696"/>
      <c r="E101" s="678"/>
      <c r="F101" s="678">
        <v>2</v>
      </c>
      <c r="G101" s="603">
        <v>400</v>
      </c>
      <c r="H101" s="594">
        <f t="shared" si="31"/>
        <v>800</v>
      </c>
      <c r="I101" s="594">
        <f t="shared" ca="1" si="32"/>
        <v>-768</v>
      </c>
      <c r="J101" s="594">
        <f t="shared" ca="1" si="33"/>
        <v>32</v>
      </c>
      <c r="K101" s="679">
        <v>800</v>
      </c>
      <c r="M101" s="3"/>
      <c r="N101" s="61"/>
      <c r="O101" s="328"/>
      <c r="P101" s="328"/>
      <c r="Q101" s="246"/>
    </row>
    <row r="102" spans="1:17" ht="15" customHeight="1" x14ac:dyDescent="0.4">
      <c r="A102" s="736"/>
      <c r="B102" s="147" t="str">
        <f t="shared" ref="B102:B134" si="34">LEFT($B101,4)&amp;"-"&amp;VALUE(MID($B101,FIND("-",$B101)+1,256))+1</f>
        <v>6210-3</v>
      </c>
      <c r="C102" s="604" t="s">
        <v>263</v>
      </c>
      <c r="D102" s="708"/>
      <c r="E102" s="676"/>
      <c r="F102" s="676">
        <v>1</v>
      </c>
      <c r="G102" s="646">
        <v>4000</v>
      </c>
      <c r="H102" s="589">
        <f t="shared" si="31"/>
        <v>4000</v>
      </c>
      <c r="I102" s="589">
        <f t="shared" ca="1" si="32"/>
        <v>-8102.57</v>
      </c>
      <c r="J102" s="589">
        <f t="shared" ref="J102:J134" ca="1" si="35">SUM(H102:I102)</f>
        <v>-4102.57</v>
      </c>
      <c r="K102" s="677">
        <v>4000</v>
      </c>
      <c r="M102" s="3"/>
      <c r="N102" s="61"/>
      <c r="O102" s="328"/>
      <c r="P102" s="328"/>
      <c r="Q102" s="246"/>
    </row>
    <row r="103" spans="1:17" ht="15" customHeight="1" x14ac:dyDescent="0.4">
      <c r="A103" s="735"/>
      <c r="B103" s="119" t="str">
        <f t="shared" si="34"/>
        <v>6210-4</v>
      </c>
      <c r="C103" s="600" t="s">
        <v>552</v>
      </c>
      <c r="D103" s="678"/>
      <c r="E103" s="678">
        <v>2</v>
      </c>
      <c r="F103" s="678"/>
      <c r="G103" s="603">
        <v>3000</v>
      </c>
      <c r="H103" s="594">
        <f t="shared" si="31"/>
        <v>6000</v>
      </c>
      <c r="I103" s="594">
        <f t="shared" ca="1" si="32"/>
        <v>0</v>
      </c>
      <c r="J103" s="594">
        <f t="shared" ca="1" si="35"/>
        <v>6000</v>
      </c>
      <c r="K103" s="679">
        <v>6000</v>
      </c>
      <c r="L103" s="75"/>
      <c r="M103" s="3"/>
      <c r="N103" s="61"/>
      <c r="O103" s="328"/>
      <c r="P103" s="328"/>
      <c r="Q103" s="246"/>
    </row>
    <row r="104" spans="1:17" ht="15" customHeight="1" x14ac:dyDescent="0.4">
      <c r="A104" s="733"/>
      <c r="B104" s="95" t="str">
        <f t="shared" si="34"/>
        <v>6210-5</v>
      </c>
      <c r="C104" s="596" t="s">
        <v>553</v>
      </c>
      <c r="D104" s="709"/>
      <c r="E104" s="710">
        <v>2</v>
      </c>
      <c r="F104" s="709"/>
      <c r="G104" s="588">
        <v>2000</v>
      </c>
      <c r="H104" s="589">
        <f t="shared" si="31"/>
        <v>4000</v>
      </c>
      <c r="I104" s="589">
        <f t="shared" ca="1" si="32"/>
        <v>-2824.09</v>
      </c>
      <c r="J104" s="589">
        <f t="shared" ca="1" si="35"/>
        <v>1175.9099999999999</v>
      </c>
      <c r="K104" s="452">
        <v>4000</v>
      </c>
      <c r="L104" s="75"/>
      <c r="M104" s="3"/>
      <c r="N104" s="61"/>
      <c r="O104" s="328"/>
      <c r="P104" s="328"/>
      <c r="Q104" s="246"/>
    </row>
    <row r="105" spans="1:17" ht="15" customHeight="1" x14ac:dyDescent="0.4">
      <c r="A105" s="737"/>
      <c r="B105" s="143" t="str">
        <f t="shared" si="34"/>
        <v>6210-6</v>
      </c>
      <c r="C105" s="613" t="s">
        <v>264</v>
      </c>
      <c r="D105" s="711"/>
      <c r="E105" s="711"/>
      <c r="F105" s="711">
        <v>3</v>
      </c>
      <c r="G105" s="616">
        <v>1000</v>
      </c>
      <c r="H105" s="594">
        <f t="shared" si="31"/>
        <v>3000</v>
      </c>
      <c r="I105" s="594">
        <f t="shared" ca="1" si="32"/>
        <v>-875</v>
      </c>
      <c r="J105" s="594">
        <f t="shared" ca="1" si="35"/>
        <v>2125</v>
      </c>
      <c r="K105" s="704">
        <v>3000</v>
      </c>
      <c r="M105" s="3"/>
      <c r="N105" s="61"/>
      <c r="O105" s="328"/>
      <c r="P105" s="328"/>
      <c r="Q105" s="246"/>
    </row>
    <row r="106" spans="1:17" ht="15" customHeight="1" x14ac:dyDescent="0.4">
      <c r="A106" s="730"/>
      <c r="B106" s="95" t="str">
        <f t="shared" si="34"/>
        <v>6210-7</v>
      </c>
      <c r="C106" s="659" t="s">
        <v>554</v>
      </c>
      <c r="D106" s="712"/>
      <c r="E106" s="681"/>
      <c r="F106" s="712">
        <v>2</v>
      </c>
      <c r="G106" s="588">
        <v>4000</v>
      </c>
      <c r="H106" s="589">
        <f t="shared" si="31"/>
        <v>8000</v>
      </c>
      <c r="I106" s="589">
        <f t="shared" ca="1" si="32"/>
        <v>-2619.75</v>
      </c>
      <c r="J106" s="589">
        <f t="shared" ca="1" si="35"/>
        <v>5380.25</v>
      </c>
      <c r="K106" s="452">
        <v>8000</v>
      </c>
      <c r="M106" s="3"/>
      <c r="N106" s="61"/>
      <c r="O106" s="328"/>
      <c r="P106" s="328"/>
      <c r="Q106" s="246"/>
    </row>
    <row r="107" spans="1:17" ht="15" customHeight="1" x14ac:dyDescent="0.4">
      <c r="A107" s="738"/>
      <c r="B107" s="241" t="str">
        <f t="shared" si="34"/>
        <v>6210-8</v>
      </c>
      <c r="C107" s="713" t="s">
        <v>265</v>
      </c>
      <c r="D107" s="714"/>
      <c r="E107" s="715"/>
      <c r="F107" s="714">
        <v>2</v>
      </c>
      <c r="G107" s="629">
        <v>2000</v>
      </c>
      <c r="H107" s="658">
        <f t="shared" si="31"/>
        <v>4000</v>
      </c>
      <c r="I107" s="594">
        <f t="shared" ca="1" si="32"/>
        <v>-8217.7799999999988</v>
      </c>
      <c r="J107" s="658">
        <f t="shared" ca="1" si="35"/>
        <v>-4217.7799999999988</v>
      </c>
      <c r="K107" s="716">
        <v>4000</v>
      </c>
      <c r="M107" s="3"/>
      <c r="N107" s="61"/>
      <c r="O107" s="328"/>
      <c r="P107" s="328"/>
      <c r="Q107" s="246"/>
    </row>
    <row r="108" spans="1:17" ht="15" customHeight="1" x14ac:dyDescent="0.4">
      <c r="A108" s="739"/>
      <c r="B108" s="147" t="str">
        <f t="shared" si="34"/>
        <v>6210-9</v>
      </c>
      <c r="C108" s="584" t="s">
        <v>266</v>
      </c>
      <c r="D108" s="712"/>
      <c r="E108" s="681"/>
      <c r="F108" s="712">
        <v>2</v>
      </c>
      <c r="G108" s="588">
        <v>1500</v>
      </c>
      <c r="H108" s="589">
        <f t="shared" si="31"/>
        <v>3000</v>
      </c>
      <c r="I108" s="589">
        <f t="shared" ca="1" si="32"/>
        <v>-2833.0499999999997</v>
      </c>
      <c r="J108" s="589">
        <f t="shared" ca="1" si="35"/>
        <v>166.95000000000027</v>
      </c>
      <c r="K108" s="452">
        <v>3000</v>
      </c>
      <c r="M108" s="3"/>
      <c r="N108" s="61"/>
      <c r="O108" s="328"/>
      <c r="P108" s="328"/>
      <c r="Q108" s="246"/>
    </row>
    <row r="109" spans="1:17" ht="15" customHeight="1" x14ac:dyDescent="0.4">
      <c r="A109" s="737" t="s">
        <v>267</v>
      </c>
      <c r="B109" s="119" t="str">
        <f>LEFT($B108,4)&amp;"-"&amp;VALUE(MID($B108,FIND("-",$B108)+1,256))+1</f>
        <v>6210-10</v>
      </c>
      <c r="C109" s="643" t="s">
        <v>268</v>
      </c>
      <c r="D109" s="717">
        <v>9</v>
      </c>
      <c r="E109" s="711">
        <v>4</v>
      </c>
      <c r="F109" s="717">
        <v>2</v>
      </c>
      <c r="G109" s="616">
        <v>220</v>
      </c>
      <c r="H109" s="594">
        <f>SUM((D109+E109+F109)*G109)+(160*11)+(80*3)+(50*6)</f>
        <v>5600</v>
      </c>
      <c r="I109" s="594">
        <f t="shared" ca="1" si="32"/>
        <v>-6315</v>
      </c>
      <c r="J109" s="594">
        <f t="shared" ca="1" si="35"/>
        <v>-715</v>
      </c>
      <c r="K109" s="704">
        <v>4700</v>
      </c>
      <c r="M109" s="3"/>
      <c r="N109" s="61"/>
      <c r="O109" s="328"/>
      <c r="P109" s="328"/>
      <c r="Q109" s="246"/>
    </row>
    <row r="110" spans="1:17" ht="15" customHeight="1" x14ac:dyDescent="0.4">
      <c r="A110" s="730"/>
      <c r="B110" s="95" t="str">
        <f t="shared" si="34"/>
        <v>6210-11</v>
      </c>
      <c r="C110" s="596" t="s">
        <v>269</v>
      </c>
      <c r="D110" s="718">
        <v>8</v>
      </c>
      <c r="E110" s="666"/>
      <c r="F110" s="666"/>
      <c r="G110" s="588">
        <v>600</v>
      </c>
      <c r="H110" s="589">
        <f t="shared" ref="H110:H121" si="36">SUM((D110+E110+F110)*G110)</f>
        <v>4800</v>
      </c>
      <c r="I110" s="589">
        <f t="shared" ca="1" si="32"/>
        <v>-2665</v>
      </c>
      <c r="J110" s="589">
        <f t="shared" ca="1" si="35"/>
        <v>2135</v>
      </c>
      <c r="K110" s="452">
        <v>4800</v>
      </c>
      <c r="M110" s="3"/>
      <c r="N110" s="61"/>
      <c r="O110" s="328"/>
      <c r="P110" s="328"/>
      <c r="Q110" s="322"/>
    </row>
    <row r="111" spans="1:17" ht="15" customHeight="1" x14ac:dyDescent="0.4">
      <c r="A111" s="740"/>
      <c r="B111" s="143" t="str">
        <f t="shared" si="34"/>
        <v>6210-12</v>
      </c>
      <c r="C111" s="590" t="s">
        <v>270</v>
      </c>
      <c r="D111" s="719">
        <v>2</v>
      </c>
      <c r="E111" s="720">
        <v>2</v>
      </c>
      <c r="F111" s="720"/>
      <c r="G111" s="616">
        <v>1500</v>
      </c>
      <c r="H111" s="594">
        <f t="shared" si="36"/>
        <v>6000</v>
      </c>
      <c r="I111" s="594">
        <f t="shared" ca="1" si="32"/>
        <v>-915</v>
      </c>
      <c r="J111" s="594">
        <f t="shared" ca="1" si="35"/>
        <v>5085</v>
      </c>
      <c r="K111" s="704">
        <v>6000</v>
      </c>
      <c r="M111" s="3"/>
      <c r="N111" s="61"/>
      <c r="O111" s="328"/>
      <c r="P111" s="328"/>
      <c r="Q111" s="246"/>
    </row>
    <row r="112" spans="1:17" ht="29.15" x14ac:dyDescent="0.4">
      <c r="A112" s="741"/>
      <c r="B112" s="95" t="str">
        <f t="shared" si="34"/>
        <v>6210-13</v>
      </c>
      <c r="C112" s="659" t="s">
        <v>271</v>
      </c>
      <c r="D112" s="681">
        <v>3</v>
      </c>
      <c r="E112" s="681"/>
      <c r="F112" s="681"/>
      <c r="G112" s="588">
        <v>295</v>
      </c>
      <c r="H112" s="589">
        <f t="shared" si="36"/>
        <v>885</v>
      </c>
      <c r="I112" s="589">
        <f t="shared" ca="1" si="32"/>
        <v>0</v>
      </c>
      <c r="J112" s="589">
        <f t="shared" ca="1" si="35"/>
        <v>885</v>
      </c>
      <c r="K112" s="452">
        <v>590</v>
      </c>
      <c r="M112" s="3"/>
      <c r="N112" s="61"/>
      <c r="O112" s="328"/>
      <c r="P112" s="328"/>
      <c r="Q112" s="246"/>
    </row>
    <row r="113" spans="1:17" ht="15" customHeight="1" x14ac:dyDescent="0.4">
      <c r="A113" s="740"/>
      <c r="B113" s="119" t="str">
        <f t="shared" si="34"/>
        <v>6210-14</v>
      </c>
      <c r="C113" s="590" t="s">
        <v>585</v>
      </c>
      <c r="D113" s="721"/>
      <c r="E113" s="720">
        <v>2</v>
      </c>
      <c r="F113" s="720"/>
      <c r="G113" s="616">
        <v>2800</v>
      </c>
      <c r="H113" s="594">
        <f t="shared" si="36"/>
        <v>5600</v>
      </c>
      <c r="I113" s="594">
        <f t="shared" ca="1" si="32"/>
        <v>0</v>
      </c>
      <c r="J113" s="594">
        <f t="shared" ca="1" si="35"/>
        <v>5600</v>
      </c>
      <c r="K113" s="704">
        <v>5600</v>
      </c>
      <c r="L113" s="75"/>
      <c r="M113" s="3"/>
      <c r="N113" s="61"/>
      <c r="O113" s="328"/>
      <c r="P113" s="328"/>
      <c r="Q113" s="246"/>
    </row>
    <row r="114" spans="1:17" ht="15" customHeight="1" x14ac:dyDescent="0.4">
      <c r="A114" s="734"/>
      <c r="B114" s="95" t="str">
        <f t="shared" si="34"/>
        <v>6210-15</v>
      </c>
      <c r="C114" s="604" t="s">
        <v>272</v>
      </c>
      <c r="D114" s="676"/>
      <c r="E114" s="676">
        <v>3</v>
      </c>
      <c r="F114" s="676"/>
      <c r="G114" s="646">
        <v>2800</v>
      </c>
      <c r="H114" s="589">
        <f t="shared" si="36"/>
        <v>8400</v>
      </c>
      <c r="I114" s="589">
        <f t="shared" ca="1" si="32"/>
        <v>-2070</v>
      </c>
      <c r="J114" s="589">
        <f t="shared" ca="1" si="35"/>
        <v>6330</v>
      </c>
      <c r="K114" s="677">
        <v>8400</v>
      </c>
      <c r="M114" s="3"/>
      <c r="N114" s="61"/>
      <c r="O114" s="328"/>
      <c r="P114" s="328"/>
      <c r="Q114" s="246"/>
    </row>
    <row r="115" spans="1:17" ht="15" customHeight="1" x14ac:dyDescent="0.4">
      <c r="A115" s="735" t="s">
        <v>273</v>
      </c>
      <c r="B115" s="119" t="str">
        <f t="shared" si="34"/>
        <v>6210-16</v>
      </c>
      <c r="C115" s="639" t="s">
        <v>274</v>
      </c>
      <c r="D115" s="722"/>
      <c r="E115" s="723"/>
      <c r="F115" s="722">
        <v>1</v>
      </c>
      <c r="G115" s="603">
        <f>2000+1200</f>
        <v>3200</v>
      </c>
      <c r="H115" s="594">
        <f t="shared" si="36"/>
        <v>3200</v>
      </c>
      <c r="I115" s="594">
        <f t="shared" ca="1" si="32"/>
        <v>-2589</v>
      </c>
      <c r="J115" s="594">
        <f t="shared" ca="1" si="35"/>
        <v>611</v>
      </c>
      <c r="K115" s="679">
        <v>2000</v>
      </c>
      <c r="M115" s="3"/>
      <c r="N115" s="61"/>
      <c r="O115" s="328"/>
      <c r="P115" s="328"/>
      <c r="Q115" s="246"/>
    </row>
    <row r="116" spans="1:17" ht="15" customHeight="1" x14ac:dyDescent="0.4">
      <c r="A116" s="734"/>
      <c r="B116" s="95" t="str">
        <f t="shared" si="34"/>
        <v>6210-17</v>
      </c>
      <c r="C116" s="644" t="s">
        <v>275</v>
      </c>
      <c r="D116" s="684"/>
      <c r="E116" s="684"/>
      <c r="F116" s="684">
        <v>1</v>
      </c>
      <c r="G116" s="646">
        <v>1500</v>
      </c>
      <c r="H116" s="589">
        <f t="shared" si="36"/>
        <v>1500</v>
      </c>
      <c r="I116" s="589">
        <f t="shared" ca="1" si="32"/>
        <v>4.3800000000000807</v>
      </c>
      <c r="J116" s="589">
        <f t="shared" ca="1" si="35"/>
        <v>1504.38</v>
      </c>
      <c r="K116" s="677">
        <v>1500</v>
      </c>
      <c r="M116" s="3"/>
      <c r="N116" s="61"/>
      <c r="O116" s="328"/>
      <c r="P116" s="328"/>
      <c r="Q116" s="246"/>
    </row>
    <row r="117" spans="1:17" ht="15" customHeight="1" x14ac:dyDescent="0.4">
      <c r="A117" s="742"/>
      <c r="B117" s="119" t="str">
        <f t="shared" si="34"/>
        <v>6210-18</v>
      </c>
      <c r="C117" s="600" t="s">
        <v>276</v>
      </c>
      <c r="D117" s="694"/>
      <c r="E117" s="678"/>
      <c r="F117" s="694">
        <v>1</v>
      </c>
      <c r="G117" s="603">
        <v>2000</v>
      </c>
      <c r="H117" s="594">
        <f t="shared" si="36"/>
        <v>2000</v>
      </c>
      <c r="I117" s="594">
        <f t="shared" ca="1" si="32"/>
        <v>-15590.970000000001</v>
      </c>
      <c r="J117" s="594">
        <f t="shared" ca="1" si="35"/>
        <v>-13590.970000000001</v>
      </c>
      <c r="K117" s="679">
        <v>2000</v>
      </c>
      <c r="M117" s="3"/>
      <c r="N117" s="61"/>
      <c r="O117" s="328"/>
      <c r="P117" s="328"/>
      <c r="Q117" s="246"/>
    </row>
    <row r="118" spans="1:17" ht="15" customHeight="1" x14ac:dyDescent="0.4">
      <c r="A118" s="734"/>
      <c r="B118" s="95" t="str">
        <f t="shared" si="34"/>
        <v>6210-19</v>
      </c>
      <c r="C118" s="650" t="s">
        <v>277</v>
      </c>
      <c r="D118" s="724"/>
      <c r="E118" s="684"/>
      <c r="F118" s="724">
        <v>3</v>
      </c>
      <c r="G118" s="646">
        <v>110</v>
      </c>
      <c r="H118" s="589">
        <f t="shared" si="36"/>
        <v>330</v>
      </c>
      <c r="I118" s="589">
        <f t="shared" ca="1" si="32"/>
        <v>-672</v>
      </c>
      <c r="J118" s="589">
        <f t="shared" ca="1" si="35"/>
        <v>-342</v>
      </c>
      <c r="K118" s="677">
        <v>330</v>
      </c>
      <c r="M118" s="3"/>
      <c r="N118" s="61"/>
      <c r="O118" s="328"/>
      <c r="P118" s="328"/>
      <c r="Q118" s="246"/>
    </row>
    <row r="119" spans="1:17" ht="15" customHeight="1" x14ac:dyDescent="0.4">
      <c r="A119" s="742"/>
      <c r="B119" s="119" t="str">
        <f t="shared" si="34"/>
        <v>6210-20</v>
      </c>
      <c r="C119" s="648" t="s">
        <v>278</v>
      </c>
      <c r="D119" s="694">
        <v>3</v>
      </c>
      <c r="E119" s="678">
        <v>2</v>
      </c>
      <c r="F119" s="694">
        <v>3</v>
      </c>
      <c r="G119" s="603">
        <v>250</v>
      </c>
      <c r="H119" s="594">
        <f t="shared" si="36"/>
        <v>2000</v>
      </c>
      <c r="I119" s="594">
        <f t="shared" ca="1" si="32"/>
        <v>-3958.0800000000004</v>
      </c>
      <c r="J119" s="594">
        <f t="shared" ca="1" si="35"/>
        <v>-1958.0800000000004</v>
      </c>
      <c r="K119" s="679">
        <v>1750</v>
      </c>
      <c r="M119" s="3"/>
      <c r="N119" s="61"/>
      <c r="O119" s="328"/>
      <c r="P119" s="328"/>
      <c r="Q119" s="246"/>
    </row>
    <row r="120" spans="1:17" ht="15" customHeight="1" x14ac:dyDescent="0.4">
      <c r="A120" s="734" t="s">
        <v>590</v>
      </c>
      <c r="B120" s="95" t="str">
        <f t="shared" si="34"/>
        <v>6210-21</v>
      </c>
      <c r="C120" s="650" t="s">
        <v>557</v>
      </c>
      <c r="D120" s="724">
        <v>4</v>
      </c>
      <c r="E120" s="684">
        <v>3</v>
      </c>
      <c r="F120" s="724">
        <v>4</v>
      </c>
      <c r="G120" s="646">
        <v>1000</v>
      </c>
      <c r="H120" s="589">
        <f t="shared" si="36"/>
        <v>11000</v>
      </c>
      <c r="I120" s="589">
        <f t="shared" ca="1" si="32"/>
        <v>-12386.829999999998</v>
      </c>
      <c r="J120" s="589">
        <f t="shared" ca="1" si="35"/>
        <v>-1386.8299999999981</v>
      </c>
      <c r="K120" s="677">
        <v>7000</v>
      </c>
      <c r="M120" s="3"/>
      <c r="N120" s="61"/>
      <c r="O120" s="328"/>
      <c r="P120" s="328"/>
      <c r="Q120" s="246"/>
    </row>
    <row r="121" spans="1:17" ht="15" customHeight="1" x14ac:dyDescent="0.4">
      <c r="A121" s="738"/>
      <c r="B121" s="119" t="str">
        <f t="shared" si="34"/>
        <v>6210-22</v>
      </c>
      <c r="C121" s="713" t="s">
        <v>279</v>
      </c>
      <c r="D121" s="714">
        <v>9</v>
      </c>
      <c r="E121" s="715">
        <v>4</v>
      </c>
      <c r="F121" s="714">
        <v>2</v>
      </c>
      <c r="G121" s="629">
        <v>25</v>
      </c>
      <c r="H121" s="658">
        <f t="shared" si="36"/>
        <v>375</v>
      </c>
      <c r="I121" s="594">
        <f t="shared" ca="1" si="32"/>
        <v>0</v>
      </c>
      <c r="J121" s="658"/>
      <c r="K121" s="716">
        <v>300</v>
      </c>
      <c r="M121" s="3"/>
      <c r="N121" s="61"/>
      <c r="O121" s="328"/>
      <c r="P121" s="328"/>
      <c r="Q121" s="246"/>
    </row>
    <row r="122" spans="1:17" ht="15" customHeight="1" x14ac:dyDescent="0.4">
      <c r="A122" s="730" t="s">
        <v>586</v>
      </c>
      <c r="B122" s="95" t="str">
        <f t="shared" si="34"/>
        <v>6210-23</v>
      </c>
      <c r="C122" s="596" t="s">
        <v>280</v>
      </c>
      <c r="D122" s="718">
        <v>0</v>
      </c>
      <c r="E122" s="666"/>
      <c r="F122" s="666">
        <v>0</v>
      </c>
      <c r="G122" s="588">
        <v>700</v>
      </c>
      <c r="H122" s="589">
        <f t="shared" ref="H122:H127" si="37">SUM((D122+E122+F122)*G122)</f>
        <v>0</v>
      </c>
      <c r="I122" s="589">
        <f t="shared" ca="1" si="32"/>
        <v>0</v>
      </c>
      <c r="J122" s="589">
        <f t="shared" ca="1" si="35"/>
        <v>0</v>
      </c>
      <c r="K122" s="452">
        <v>2100</v>
      </c>
      <c r="M122" s="3"/>
      <c r="N122" s="61"/>
      <c r="O122" s="328"/>
      <c r="P122" s="328"/>
      <c r="Q122" s="246"/>
    </row>
    <row r="123" spans="1:17" ht="15" customHeight="1" x14ac:dyDescent="0.4">
      <c r="A123" s="738"/>
      <c r="B123" s="119" t="str">
        <f t="shared" si="34"/>
        <v>6210-24</v>
      </c>
      <c r="C123" s="725" t="s">
        <v>281</v>
      </c>
      <c r="D123" s="726"/>
      <c r="E123" s="727"/>
      <c r="F123" s="727">
        <v>1</v>
      </c>
      <c r="G123" s="629">
        <v>2000</v>
      </c>
      <c r="H123" s="658">
        <f t="shared" si="37"/>
        <v>2000</v>
      </c>
      <c r="I123" s="594">
        <f t="shared" ca="1" si="32"/>
        <v>-2000</v>
      </c>
      <c r="J123" s="658">
        <f t="shared" ca="1" si="35"/>
        <v>0</v>
      </c>
      <c r="K123" s="716">
        <v>2000</v>
      </c>
      <c r="M123" s="3"/>
      <c r="N123" s="61"/>
      <c r="O123" s="328"/>
      <c r="P123" s="328"/>
      <c r="Q123" s="246"/>
    </row>
    <row r="124" spans="1:17" ht="15" customHeight="1" x14ac:dyDescent="0.4">
      <c r="A124" s="730"/>
      <c r="B124" s="95" t="str">
        <f t="shared" si="34"/>
        <v>6210-25</v>
      </c>
      <c r="C124" s="659" t="s">
        <v>282</v>
      </c>
      <c r="D124" s="681">
        <v>4</v>
      </c>
      <c r="E124" s="681"/>
      <c r="F124" s="681"/>
      <c r="G124" s="588">
        <v>500</v>
      </c>
      <c r="H124" s="589">
        <f t="shared" si="37"/>
        <v>2000</v>
      </c>
      <c r="I124" s="589">
        <f ca="1">-(SUMIF(INDIRECT(LEFT($A$99,4)&amp;"!i3:i485"),"="&amp;B124&amp;" *",INDIRECT(LEFT($A$99,4)&amp;"!k3:k200")))</f>
        <v>0</v>
      </c>
      <c r="J124" s="589">
        <f t="shared" ca="1" si="35"/>
        <v>2000</v>
      </c>
      <c r="K124" s="452">
        <v>2000</v>
      </c>
      <c r="M124" s="3"/>
      <c r="N124" s="61"/>
      <c r="O124" s="328"/>
      <c r="P124" s="328"/>
      <c r="Q124" s="246"/>
    </row>
    <row r="125" spans="1:17" ht="15" customHeight="1" x14ac:dyDescent="0.4">
      <c r="A125" s="738"/>
      <c r="B125" s="119" t="str">
        <f t="shared" si="34"/>
        <v>6210-26</v>
      </c>
      <c r="C125" s="725" t="s">
        <v>283</v>
      </c>
      <c r="D125" s="727"/>
      <c r="E125" s="727">
        <v>2</v>
      </c>
      <c r="F125" s="727"/>
      <c r="G125" s="629">
        <v>700</v>
      </c>
      <c r="H125" s="658">
        <f t="shared" si="37"/>
        <v>1400</v>
      </c>
      <c r="I125" s="594">
        <f ca="1">-(SUMIF(INDIRECT(LEFT($A$99,4)&amp;"!i3:i485"),"="&amp;B125&amp;" *",INDIRECT(LEFT($A$99,4)&amp;"!k3:k200")))</f>
        <v>0</v>
      </c>
      <c r="J125" s="658">
        <f t="shared" ca="1" si="35"/>
        <v>1400</v>
      </c>
      <c r="K125" s="716">
        <v>1400</v>
      </c>
      <c r="M125" s="3"/>
      <c r="N125" s="61"/>
      <c r="O125" s="328"/>
      <c r="P125" s="328"/>
      <c r="Q125" s="246"/>
    </row>
    <row r="126" spans="1:17" ht="31.5" customHeight="1" x14ac:dyDescent="0.4">
      <c r="A126" s="851" t="s">
        <v>618</v>
      </c>
      <c r="B126" s="95" t="str">
        <f t="shared" si="34"/>
        <v>6210-27</v>
      </c>
      <c r="C126" s="659" t="s">
        <v>555</v>
      </c>
      <c r="D126" s="681">
        <v>45</v>
      </c>
      <c r="E126" s="681">
        <v>10</v>
      </c>
      <c r="F126" s="681"/>
      <c r="G126" s="588">
        <f>250+15</f>
        <v>265</v>
      </c>
      <c r="H126" s="589">
        <f t="shared" si="37"/>
        <v>14575</v>
      </c>
      <c r="I126" s="589">
        <f t="shared" ref="I126:I134" ca="1" si="38">-(SUMIF(INDIRECT(LEFT($A$99,4)&amp;"!i3:i485"),"="&amp;B126&amp;" *",INDIRECT(LEFT($A$99,4)&amp;"!k3:k485")))</f>
        <v>-22885.82</v>
      </c>
      <c r="J126" s="589">
        <f t="shared" ca="1" si="35"/>
        <v>-8310.82</v>
      </c>
      <c r="K126" s="452">
        <v>10600</v>
      </c>
      <c r="M126" s="3"/>
      <c r="N126" s="61"/>
      <c r="O126" s="328"/>
      <c r="P126" s="328"/>
      <c r="Q126" s="323"/>
    </row>
    <row r="127" spans="1:17" ht="15" customHeight="1" x14ac:dyDescent="0.4">
      <c r="A127" s="738"/>
      <c r="B127" s="119" t="str">
        <f t="shared" si="34"/>
        <v>6210-28</v>
      </c>
      <c r="C127" s="725" t="s">
        <v>556</v>
      </c>
      <c r="D127" s="727">
        <v>2</v>
      </c>
      <c r="E127" s="727"/>
      <c r="F127" s="727"/>
      <c r="G127" s="629">
        <v>1000</v>
      </c>
      <c r="H127" s="658">
        <f t="shared" si="37"/>
        <v>2000</v>
      </c>
      <c r="I127" s="594">
        <f t="shared" ca="1" si="38"/>
        <v>-2227.5699999999997</v>
      </c>
      <c r="J127" s="658">
        <f t="shared" ca="1" si="35"/>
        <v>-227.56999999999971</v>
      </c>
      <c r="K127" s="716">
        <v>1500</v>
      </c>
      <c r="M127" s="3"/>
      <c r="N127" s="61"/>
      <c r="O127" s="328"/>
      <c r="P127" s="328"/>
      <c r="Q127" s="246"/>
    </row>
    <row r="128" spans="1:17" ht="15" customHeight="1" x14ac:dyDescent="0.4">
      <c r="A128" s="730"/>
      <c r="B128" s="95" t="str">
        <f t="shared" si="34"/>
        <v>6210-29</v>
      </c>
      <c r="C128" s="596" t="s">
        <v>284</v>
      </c>
      <c r="D128" s="709">
        <v>5</v>
      </c>
      <c r="E128" s="710">
        <v>2</v>
      </c>
      <c r="F128" s="709">
        <v>2</v>
      </c>
      <c r="G128" s="588">
        <v>90</v>
      </c>
      <c r="H128" s="589">
        <f>SUM((D128+E128+F128)*G128)+(15*4)</f>
        <v>870</v>
      </c>
      <c r="I128" s="589">
        <f t="shared" ca="1" si="38"/>
        <v>-780</v>
      </c>
      <c r="J128" s="589">
        <f t="shared" ca="1" si="35"/>
        <v>90</v>
      </c>
      <c r="K128" s="452">
        <v>1050</v>
      </c>
      <c r="M128" s="3"/>
      <c r="N128" s="61"/>
      <c r="O128" s="328"/>
      <c r="P128" s="328"/>
      <c r="Q128" s="246"/>
    </row>
    <row r="129" spans="1:17" ht="15" customHeight="1" x14ac:dyDescent="0.4">
      <c r="A129" s="740"/>
      <c r="B129" s="119" t="str">
        <f t="shared" si="34"/>
        <v>6210-30</v>
      </c>
      <c r="C129" s="613" t="s">
        <v>285</v>
      </c>
      <c r="D129" s="711">
        <v>1</v>
      </c>
      <c r="E129" s="711"/>
      <c r="F129" s="711">
        <v>1</v>
      </c>
      <c r="G129" s="616">
        <v>1000</v>
      </c>
      <c r="H129" s="594">
        <f t="shared" ref="H129:H130" si="39">SUM((D129+E129+F129)*G129)</f>
        <v>2000</v>
      </c>
      <c r="I129" s="594">
        <f t="shared" ca="1" si="38"/>
        <v>-2365.7800000000002</v>
      </c>
      <c r="J129" s="594">
        <f t="shared" ca="1" si="35"/>
        <v>-365.7800000000002</v>
      </c>
      <c r="K129" s="704">
        <v>2000</v>
      </c>
      <c r="M129" s="3"/>
      <c r="N129" s="61"/>
      <c r="O129" s="328"/>
      <c r="P129" s="328"/>
      <c r="Q129" s="246"/>
    </row>
    <row r="130" spans="1:17" ht="15" customHeight="1" x14ac:dyDescent="0.4">
      <c r="A130" s="730"/>
      <c r="B130" s="95" t="str">
        <f t="shared" si="34"/>
        <v>6210-31</v>
      </c>
      <c r="C130" s="659" t="s">
        <v>286</v>
      </c>
      <c r="D130" s="712"/>
      <c r="E130" s="681"/>
      <c r="F130" s="712">
        <v>2</v>
      </c>
      <c r="G130" s="588">
        <v>350</v>
      </c>
      <c r="H130" s="589">
        <f t="shared" si="39"/>
        <v>700</v>
      </c>
      <c r="I130" s="589">
        <f t="shared" ca="1" si="38"/>
        <v>-382.38</v>
      </c>
      <c r="J130" s="589">
        <f t="shared" ca="1" si="35"/>
        <v>317.62</v>
      </c>
      <c r="K130" s="452">
        <v>700</v>
      </c>
      <c r="M130" s="3"/>
      <c r="N130" s="61"/>
      <c r="O130" s="328"/>
      <c r="P130" s="328"/>
      <c r="Q130" s="246"/>
    </row>
    <row r="131" spans="1:17" ht="15" customHeight="1" x14ac:dyDescent="0.4">
      <c r="A131" s="738"/>
      <c r="B131" s="119" t="str">
        <f t="shared" si="34"/>
        <v>6210-32</v>
      </c>
      <c r="C131" s="713" t="s">
        <v>287</v>
      </c>
      <c r="D131" s="714">
        <v>35</v>
      </c>
      <c r="E131" s="715">
        <v>3</v>
      </c>
      <c r="F131" s="714">
        <v>2</v>
      </c>
      <c r="G131" s="629">
        <v>60</v>
      </c>
      <c r="H131" s="658">
        <f>SUM((D131+E131+F131)*G131)+(125*2)</f>
        <v>2650</v>
      </c>
      <c r="I131" s="594">
        <f t="shared" ca="1" si="38"/>
        <v>-2355</v>
      </c>
      <c r="J131" s="658">
        <f t="shared" ca="1" si="35"/>
        <v>295</v>
      </c>
      <c r="K131" s="716">
        <v>2650</v>
      </c>
      <c r="M131" s="3"/>
      <c r="N131" s="61"/>
      <c r="O131" s="328"/>
      <c r="P131" s="328"/>
      <c r="Q131" s="246"/>
    </row>
    <row r="132" spans="1:17" ht="15" customHeight="1" x14ac:dyDescent="0.4">
      <c r="A132" s="730"/>
      <c r="B132" s="95" t="str">
        <f t="shared" si="34"/>
        <v>6210-33</v>
      </c>
      <c r="C132" s="584" t="s">
        <v>558</v>
      </c>
      <c r="D132" s="712">
        <v>3</v>
      </c>
      <c r="E132" s="681">
        <v>2</v>
      </c>
      <c r="F132" s="712"/>
      <c r="G132" s="588">
        <v>450</v>
      </c>
      <c r="H132" s="589">
        <f t="shared" ref="H132:H133" si="40">SUM((D132+E132+F132)*G132)</f>
        <v>2250</v>
      </c>
      <c r="I132" s="589">
        <f t="shared" ca="1" si="38"/>
        <v>-1029.76</v>
      </c>
      <c r="J132" s="589">
        <f t="shared" ca="1" si="35"/>
        <v>1220.24</v>
      </c>
      <c r="K132" s="452">
        <v>900</v>
      </c>
      <c r="M132" s="3"/>
      <c r="N132" s="61"/>
      <c r="O132" s="328"/>
      <c r="P132" s="328"/>
      <c r="Q132" s="246"/>
    </row>
    <row r="133" spans="1:17" ht="15" customHeight="1" x14ac:dyDescent="0.4">
      <c r="A133" s="740" t="s">
        <v>288</v>
      </c>
      <c r="B133" s="119" t="str">
        <f t="shared" si="34"/>
        <v>6210-34</v>
      </c>
      <c r="C133" s="713" t="s">
        <v>559</v>
      </c>
      <c r="D133" s="714"/>
      <c r="E133" s="715"/>
      <c r="F133" s="714">
        <v>4</v>
      </c>
      <c r="G133" s="629">
        <v>2000</v>
      </c>
      <c r="H133" s="658">
        <f t="shared" si="40"/>
        <v>8000</v>
      </c>
      <c r="I133" s="594">
        <f t="shared" ca="1" si="38"/>
        <v>-10213.549999999999</v>
      </c>
      <c r="J133" s="658">
        <f t="shared" ca="1" si="35"/>
        <v>-2213.5499999999993</v>
      </c>
      <c r="K133" s="716">
        <v>4000</v>
      </c>
      <c r="M133" s="3"/>
      <c r="N133" s="61"/>
      <c r="O133" s="328"/>
      <c r="P133" s="328"/>
    </row>
    <row r="134" spans="1:17" ht="15" customHeight="1" x14ac:dyDescent="0.4">
      <c r="A134" s="730"/>
      <c r="B134" s="95" t="str">
        <f t="shared" si="34"/>
        <v>6210-35</v>
      </c>
      <c r="C134" s="596" t="s">
        <v>289</v>
      </c>
      <c r="D134" s="718">
        <v>2</v>
      </c>
      <c r="E134" s="666"/>
      <c r="F134" s="666"/>
      <c r="G134" s="588">
        <v>75</v>
      </c>
      <c r="H134" s="589">
        <f>SUM((D134+E134+F134)*G134)</f>
        <v>150</v>
      </c>
      <c r="I134" s="589">
        <f t="shared" ca="1" si="38"/>
        <v>-315</v>
      </c>
      <c r="J134" s="589">
        <f t="shared" ca="1" si="35"/>
        <v>-165</v>
      </c>
      <c r="K134" s="452">
        <v>225</v>
      </c>
      <c r="M134" s="3"/>
      <c r="N134" s="61"/>
      <c r="O134" s="328"/>
      <c r="P134" s="328"/>
      <c r="Q134" s="246"/>
    </row>
    <row r="135" spans="1:17" thickBot="1" x14ac:dyDescent="0.45">
      <c r="A135" s="733"/>
      <c r="B135" s="147"/>
      <c r="C135" s="617" t="s">
        <v>290</v>
      </c>
      <c r="D135" s="618"/>
      <c r="E135" s="618"/>
      <c r="F135" s="454"/>
      <c r="G135" s="619">
        <f>(H135-K135)/K135</f>
        <v>0.12995100508265031</v>
      </c>
      <c r="H135" s="620">
        <f>SUM(H100:H134)</f>
        <v>123385</v>
      </c>
      <c r="I135" s="620">
        <f ca="1">SUM(I100:I134)</f>
        <v>-117952.6</v>
      </c>
      <c r="J135" s="620">
        <f ca="1">SUM(J100:J134)</f>
        <v>5057.4000000000042</v>
      </c>
      <c r="K135" s="692">
        <f>SUM(K100:K134)</f>
        <v>109195</v>
      </c>
      <c r="N135" s="61"/>
      <c r="O135" s="328"/>
      <c r="P135" s="328"/>
      <c r="Q135" s="246"/>
    </row>
    <row r="136" spans="1:17" ht="0.75" customHeight="1" thickTop="1" x14ac:dyDescent="0.5">
      <c r="A136" s="233"/>
      <c r="B136" s="147"/>
      <c r="C136" s="233"/>
      <c r="D136" s="233"/>
      <c r="E136" s="233"/>
      <c r="F136" s="233"/>
      <c r="G136" s="233"/>
      <c r="H136" s="234"/>
      <c r="I136" s="234"/>
      <c r="J136" s="234"/>
      <c r="K136" s="233"/>
      <c r="L136" s="235"/>
      <c r="N136" s="52"/>
      <c r="O136" s="328"/>
      <c r="P136" s="328"/>
      <c r="Q136" s="246"/>
    </row>
    <row r="137" spans="1:17" ht="19.5" customHeight="1" x14ac:dyDescent="0.5">
      <c r="A137" s="978" t="s">
        <v>291</v>
      </c>
      <c r="B137" s="978"/>
      <c r="C137" s="979"/>
      <c r="D137" s="979"/>
      <c r="E137" s="979"/>
      <c r="F137" s="979"/>
      <c r="G137" s="979"/>
      <c r="H137" s="979"/>
      <c r="I137" s="979" t="e">
        <f ca="1">-(SUMIF(INDIRECT(LEFT($A$107,4)&amp;"!E3:E500"),"="&amp;B137&amp;" *",INDIRECT(LEFT($A$107,4)&amp;"!F3:F500")))</f>
        <v>#REF!</v>
      </c>
      <c r="J137" s="979" t="e">
        <f t="shared" ref="J137:J147" ca="1" si="41">SUM(H137:I137)</f>
        <v>#REF!</v>
      </c>
      <c r="K137" s="979"/>
      <c r="N137" s="52"/>
      <c r="O137" s="328"/>
      <c r="P137" s="328"/>
      <c r="Q137" s="246"/>
    </row>
    <row r="138" spans="1:17" ht="15" customHeight="1" x14ac:dyDescent="0.4">
      <c r="A138" s="730" t="s">
        <v>292</v>
      </c>
      <c r="B138" s="95" t="str">
        <f>LEFT($A137,4)&amp;"-1"</f>
        <v>6215-1</v>
      </c>
      <c r="C138" s="596" t="s">
        <v>587</v>
      </c>
      <c r="D138" s="693"/>
      <c r="E138" s="666">
        <v>12</v>
      </c>
      <c r="F138" s="666"/>
      <c r="G138" s="588">
        <v>250</v>
      </c>
      <c r="H138" s="589">
        <f t="shared" ref="H138:H143" si="42">((D138+E138+F138)*G138)</f>
        <v>3000</v>
      </c>
      <c r="I138" s="589">
        <f t="shared" ref="I138:I143" ca="1" si="43">-(SUMIF(INDIRECT(LEFT($A$137,4)&amp;"!i3:i500"),"="&amp;B138&amp;" *",INDIRECT(LEFT($A$137,4)&amp;"!k3:k500")))</f>
        <v>-2000.69</v>
      </c>
      <c r="J138" s="589">
        <f t="shared" ca="1" si="41"/>
        <v>999.31</v>
      </c>
      <c r="K138" s="589">
        <v>3000</v>
      </c>
      <c r="M138" s="3"/>
      <c r="N138" s="61"/>
      <c r="O138" s="328"/>
      <c r="P138" s="328"/>
      <c r="Q138" s="246"/>
    </row>
    <row r="139" spans="1:17" ht="15" customHeight="1" x14ac:dyDescent="0.4">
      <c r="A139" s="731"/>
      <c r="B139" s="135" t="str">
        <f t="shared" ref="B139:B143" si="44">LEFT($B138,4)&amp;"-"&amp;VALUE(MID($B138,FIND("-",$B138)+1,256))+1</f>
        <v>6215-2</v>
      </c>
      <c r="C139" s="752" t="s">
        <v>293</v>
      </c>
      <c r="D139" s="753"/>
      <c r="E139" s="754">
        <v>4</v>
      </c>
      <c r="F139" s="754"/>
      <c r="G139" s="633">
        <v>1257</v>
      </c>
      <c r="H139" s="595">
        <f t="shared" si="42"/>
        <v>5028</v>
      </c>
      <c r="I139" s="595">
        <f t="shared" ca="1" si="43"/>
        <v>-4839.24</v>
      </c>
      <c r="J139" s="595">
        <f t="shared" ca="1" si="41"/>
        <v>188.76000000000022</v>
      </c>
      <c r="K139" s="595">
        <v>5024.3999999999996</v>
      </c>
      <c r="M139" s="3"/>
      <c r="N139" s="61"/>
      <c r="O139" s="328"/>
      <c r="P139" s="328"/>
      <c r="Q139" s="323"/>
    </row>
    <row r="140" spans="1:17" ht="15" customHeight="1" x14ac:dyDescent="0.4">
      <c r="A140" s="730" t="s">
        <v>294</v>
      </c>
      <c r="B140" s="66" t="str">
        <f t="shared" si="44"/>
        <v>6215-3</v>
      </c>
      <c r="C140" s="625" t="s">
        <v>295</v>
      </c>
      <c r="D140" s="688"/>
      <c r="E140" s="666">
        <v>4</v>
      </c>
      <c r="F140" s="755"/>
      <c r="G140" s="588">
        <v>1429.47</v>
      </c>
      <c r="H140" s="589">
        <f t="shared" si="42"/>
        <v>5717.88</v>
      </c>
      <c r="I140" s="589">
        <f t="shared" ca="1" si="43"/>
        <v>-5717.88</v>
      </c>
      <c r="J140" s="589">
        <f t="shared" ref="J140:J143" ca="1" si="45">SUM(H140:I140)</f>
        <v>0</v>
      </c>
      <c r="K140" s="589">
        <v>5717.76</v>
      </c>
      <c r="M140" s="3"/>
      <c r="N140" s="61"/>
      <c r="O140" s="328"/>
      <c r="P140" s="328"/>
      <c r="Q140" s="323"/>
    </row>
    <row r="141" spans="1:17" ht="15" customHeight="1" x14ac:dyDescent="0.4">
      <c r="A141" s="732" t="s">
        <v>292</v>
      </c>
      <c r="B141" s="143" t="str">
        <f t="shared" si="44"/>
        <v>6215-4</v>
      </c>
      <c r="C141" s="756" t="s">
        <v>296</v>
      </c>
      <c r="D141" s="757"/>
      <c r="E141" s="758">
        <v>12</v>
      </c>
      <c r="F141" s="759"/>
      <c r="G141" s="760">
        <f>1292+345</f>
        <v>1637</v>
      </c>
      <c r="H141" s="761">
        <f t="shared" si="42"/>
        <v>19644</v>
      </c>
      <c r="I141" s="595">
        <f t="shared" ca="1" si="43"/>
        <v>-20202.47</v>
      </c>
      <c r="J141" s="595">
        <f t="shared" ca="1" si="45"/>
        <v>-558.47000000000116</v>
      </c>
      <c r="K141" s="761">
        <v>19644</v>
      </c>
      <c r="M141" s="3"/>
      <c r="N141" s="61"/>
      <c r="O141" s="328"/>
      <c r="P141" s="328"/>
      <c r="Q141" s="246"/>
    </row>
    <row r="142" spans="1:17" ht="15" customHeight="1" x14ac:dyDescent="0.4">
      <c r="A142" s="730"/>
      <c r="B142" s="147" t="str">
        <f>LEFT($B141,4)&amp;"-"&amp;VALUE(MID($B141,FIND("-",$B141)+1,256))+1</f>
        <v>6215-5</v>
      </c>
      <c r="C142" s="625" t="s">
        <v>297</v>
      </c>
      <c r="D142" s="688"/>
      <c r="E142" s="666">
        <v>1</v>
      </c>
      <c r="F142" s="688"/>
      <c r="G142" s="588">
        <v>2500</v>
      </c>
      <c r="H142" s="589">
        <f t="shared" si="42"/>
        <v>2500</v>
      </c>
      <c r="I142" s="589">
        <f t="shared" ca="1" si="43"/>
        <v>-773.53</v>
      </c>
      <c r="J142" s="589">
        <f t="shared" ca="1" si="45"/>
        <v>1726.47</v>
      </c>
      <c r="K142" s="589">
        <v>2500</v>
      </c>
      <c r="M142" s="3"/>
      <c r="N142" s="61"/>
      <c r="O142" s="328"/>
      <c r="P142" s="328"/>
      <c r="Q142" s="246"/>
    </row>
    <row r="143" spans="1:17" ht="15" customHeight="1" x14ac:dyDescent="0.4">
      <c r="A143" s="731"/>
      <c r="B143" s="119" t="str">
        <f t="shared" si="44"/>
        <v>6215-6</v>
      </c>
      <c r="C143" s="634" t="s">
        <v>298</v>
      </c>
      <c r="D143" s="762"/>
      <c r="E143" s="675">
        <v>12</v>
      </c>
      <c r="F143" s="675"/>
      <c r="G143" s="633">
        <v>428.56</v>
      </c>
      <c r="H143" s="595">
        <f t="shared" si="42"/>
        <v>5142.72</v>
      </c>
      <c r="I143" s="595">
        <f t="shared" ca="1" si="43"/>
        <v>0</v>
      </c>
      <c r="J143" s="595">
        <f t="shared" ca="1" si="45"/>
        <v>5142.72</v>
      </c>
      <c r="K143" s="595">
        <v>5142.72</v>
      </c>
      <c r="M143" s="3"/>
      <c r="N143" s="61"/>
      <c r="O143" s="328"/>
      <c r="P143" s="328"/>
      <c r="Q143" s="246"/>
    </row>
    <row r="144" spans="1:17" ht="15" customHeight="1" thickBot="1" x14ac:dyDescent="0.45">
      <c r="A144" s="733"/>
      <c r="B144" s="147"/>
      <c r="C144" s="617" t="s">
        <v>106</v>
      </c>
      <c r="D144" s="618"/>
      <c r="E144" s="618"/>
      <c r="F144" s="454"/>
      <c r="G144" s="619">
        <f>(H144-K144)/K144</f>
        <v>9.0667841773920321E-5</v>
      </c>
      <c r="H144" s="621">
        <f>SUM(H138:H143)</f>
        <v>41032.600000000006</v>
      </c>
      <c r="I144" s="621">
        <f t="shared" ref="I144:J144" ca="1" si="46">SUM(I138:I143)</f>
        <v>-33533.810000000005</v>
      </c>
      <c r="J144" s="621">
        <f t="shared" ca="1" si="46"/>
        <v>7498.7899999999991</v>
      </c>
      <c r="K144" s="621">
        <f>SUM(K138:K143)</f>
        <v>41028.880000000005</v>
      </c>
      <c r="N144" s="61"/>
      <c r="O144" s="328"/>
      <c r="P144" s="328"/>
      <c r="Q144" s="246"/>
    </row>
    <row r="145" spans="1:21" ht="10.5" customHeight="1" thickTop="1" x14ac:dyDescent="0.5">
      <c r="A145" s="729"/>
      <c r="B145" s="66"/>
      <c r="C145" s="763"/>
      <c r="D145" s="763"/>
      <c r="E145" s="763"/>
      <c r="F145" s="763"/>
      <c r="G145" s="763"/>
      <c r="H145" s="764"/>
      <c r="I145" s="764"/>
      <c r="J145" s="764"/>
      <c r="K145" s="763"/>
      <c r="L145" s="209"/>
      <c r="N145" s="52"/>
      <c r="O145" s="328"/>
      <c r="P145" s="328"/>
      <c r="Q145" s="246"/>
    </row>
    <row r="146" spans="1:21" ht="20.25" customHeight="1" x14ac:dyDescent="0.5">
      <c r="A146" s="978" t="s">
        <v>299</v>
      </c>
      <c r="B146" s="978"/>
      <c r="C146" s="979"/>
      <c r="D146" s="979"/>
      <c r="E146" s="979"/>
      <c r="F146" s="979"/>
      <c r="G146" s="979"/>
      <c r="H146" s="979"/>
      <c r="I146" s="979" t="e">
        <f ca="1">-(SUMIF(INDIRECT(LEFT($A$107,4)&amp;"!E3:E500"),"="&amp;B146&amp;" *",INDIRECT(LEFT($A$107,4)&amp;"!F3:F500")))</f>
        <v>#REF!</v>
      </c>
      <c r="J146" s="979" t="e">
        <f t="shared" ca="1" si="41"/>
        <v>#REF!</v>
      </c>
      <c r="K146" s="979"/>
      <c r="N146" s="52"/>
      <c r="O146" s="328"/>
      <c r="P146" s="328"/>
      <c r="Q146" s="246"/>
    </row>
    <row r="147" spans="1:21" ht="14.6" x14ac:dyDescent="0.4">
      <c r="A147" s="733" t="s">
        <v>619</v>
      </c>
      <c r="B147" s="66" t="str">
        <f>LEFT($A146,4)&amp;"-1"</f>
        <v>6220-1</v>
      </c>
      <c r="C147" s="625" t="s">
        <v>300</v>
      </c>
      <c r="D147" s="688"/>
      <c r="E147" s="666"/>
      <c r="F147" s="688">
        <v>12</v>
      </c>
      <c r="G147" s="588">
        <v>2600</v>
      </c>
      <c r="H147" s="589">
        <f>(D147+E147+F147)*G147</f>
        <v>31200</v>
      </c>
      <c r="I147" s="589">
        <f t="shared" ref="I147:I154" ca="1" si="47">-(SUMIF(INDIRECT(LEFT($A$146,4)&amp;"!i3:i500"),"="&amp;B147&amp;" *",INDIRECT(LEFT($A$146,4)&amp;"!k3:k500")))</f>
        <v>-29777.559999999994</v>
      </c>
      <c r="J147" s="589">
        <f t="shared" ca="1" si="41"/>
        <v>1422.440000000006</v>
      </c>
      <c r="K147" s="589">
        <v>18900</v>
      </c>
      <c r="N147" s="61"/>
      <c r="O147" s="328"/>
      <c r="P147" s="328"/>
      <c r="Q147" s="246"/>
    </row>
    <row r="148" spans="1:21" ht="15" customHeight="1" x14ac:dyDescent="0.4">
      <c r="A148" s="669"/>
      <c r="B148" s="245" t="str">
        <f>LEFT($B147,4)&amp;"-"&amp;VALUE(MID($B147,FIND("-",$B147)+1,256))+1</f>
        <v>6220-2</v>
      </c>
      <c r="C148" s="651" t="s">
        <v>301</v>
      </c>
      <c r="D148" s="765"/>
      <c r="E148" s="686">
        <v>12.6</v>
      </c>
      <c r="F148" s="765"/>
      <c r="G148" s="603">
        <v>1585</v>
      </c>
      <c r="H148" s="658">
        <f>(D148+E148+F148)*G148</f>
        <v>19971</v>
      </c>
      <c r="I148" s="594">
        <f t="shared" ca="1" si="47"/>
        <v>-17623.96</v>
      </c>
      <c r="J148" s="594">
        <f t="shared" ref="J148" ca="1" si="48">SUM(H148:I148)</f>
        <v>2347.0400000000009</v>
      </c>
      <c r="K148" s="594">
        <v>19020</v>
      </c>
      <c r="M148" s="134"/>
      <c r="N148" s="61"/>
      <c r="O148" s="328"/>
      <c r="P148" s="328"/>
      <c r="Q148" s="246"/>
    </row>
    <row r="149" spans="1:21" ht="15" customHeight="1" x14ac:dyDescent="0.4">
      <c r="A149" s="671"/>
      <c r="B149" s="244" t="str">
        <f t="shared" ref="B149:B154" si="49">LEFT($B148,4)&amp;"-"&amp;VALUE(MID($B148,FIND("-",$B148)+1,256))+1</f>
        <v>6220-3</v>
      </c>
      <c r="C149" s="625" t="s">
        <v>302</v>
      </c>
      <c r="D149" s="688"/>
      <c r="E149" s="666">
        <v>13</v>
      </c>
      <c r="F149" s="688"/>
      <c r="G149" s="588">
        <v>3875</v>
      </c>
      <c r="H149" s="589">
        <f t="shared" ref="H149:H154" si="50">SUM((D149+E149+F149)*G149)</f>
        <v>50375</v>
      </c>
      <c r="I149" s="589">
        <f t="shared" ca="1" si="47"/>
        <v>-58625.040000000023</v>
      </c>
      <c r="J149" s="589">
        <f t="shared" ref="J149:J154" ca="1" si="51">SUM(H149:I149)</f>
        <v>-8250.0400000000227</v>
      </c>
      <c r="K149" s="589">
        <v>46500</v>
      </c>
      <c r="N149" s="61"/>
      <c r="O149" s="328"/>
      <c r="P149" s="328"/>
      <c r="Q149" s="246"/>
    </row>
    <row r="150" spans="1:21" ht="15" customHeight="1" x14ac:dyDescent="0.4">
      <c r="A150" s="669"/>
      <c r="B150" s="245" t="str">
        <f>LEFT($B149,4)&amp;"-"&amp;VALUE(MID($B149,FIND("-",$B149)+1,256))+1</f>
        <v>6220-4</v>
      </c>
      <c r="C150" s="643" t="s">
        <v>303</v>
      </c>
      <c r="D150" s="717"/>
      <c r="E150" s="711">
        <v>12</v>
      </c>
      <c r="F150" s="717"/>
      <c r="G150" s="616">
        <v>420</v>
      </c>
      <c r="H150" s="612">
        <f t="shared" si="50"/>
        <v>5040</v>
      </c>
      <c r="I150" s="594">
        <f t="shared" ca="1" si="47"/>
        <v>-4802.66</v>
      </c>
      <c r="J150" s="594">
        <f t="shared" ca="1" si="51"/>
        <v>237.34000000000015</v>
      </c>
      <c r="K150" s="612">
        <v>5040</v>
      </c>
      <c r="M150" s="134"/>
      <c r="N150" s="61"/>
      <c r="O150" s="328"/>
      <c r="P150" s="328"/>
      <c r="U150" s="322"/>
    </row>
    <row r="151" spans="1:21" ht="15" customHeight="1" x14ac:dyDescent="0.4">
      <c r="A151" s="671"/>
      <c r="B151" s="244" t="str">
        <f t="shared" si="49"/>
        <v>6220-5</v>
      </c>
      <c r="C151" s="644" t="s">
        <v>304</v>
      </c>
      <c r="D151" s="684"/>
      <c r="E151" s="684">
        <v>12</v>
      </c>
      <c r="F151" s="684"/>
      <c r="G151" s="646">
        <v>2600</v>
      </c>
      <c r="H151" s="608">
        <f t="shared" si="50"/>
        <v>31200</v>
      </c>
      <c r="I151" s="589">
        <f t="shared" ca="1" si="47"/>
        <v>-37199.859999999993</v>
      </c>
      <c r="J151" s="589">
        <f t="shared" ca="1" si="51"/>
        <v>-5999.8599999999933</v>
      </c>
      <c r="K151" s="608">
        <v>31200</v>
      </c>
      <c r="M151" s="134"/>
      <c r="N151" s="61"/>
      <c r="O151" s="328"/>
      <c r="P151" s="328"/>
      <c r="Q151" s="246"/>
      <c r="R151" s="52"/>
    </row>
    <row r="152" spans="1:21" ht="15" customHeight="1" x14ac:dyDescent="0.4">
      <c r="A152" s="705"/>
      <c r="B152" s="340" t="str">
        <f t="shared" si="49"/>
        <v>6220-6</v>
      </c>
      <c r="C152" s="648" t="s">
        <v>560</v>
      </c>
      <c r="D152" s="694"/>
      <c r="E152" s="678">
        <v>2</v>
      </c>
      <c r="F152" s="694"/>
      <c r="G152" s="603">
        <v>100</v>
      </c>
      <c r="H152" s="612">
        <f t="shared" si="50"/>
        <v>200</v>
      </c>
      <c r="I152" s="594">
        <f t="shared" ca="1" si="47"/>
        <v>0</v>
      </c>
      <c r="J152" s="594">
        <f t="shared" ca="1" si="51"/>
        <v>200</v>
      </c>
      <c r="K152" s="594">
        <v>0</v>
      </c>
      <c r="N152" s="61"/>
      <c r="O152" s="328"/>
      <c r="P152" s="328"/>
      <c r="Q152" s="246"/>
    </row>
    <row r="153" spans="1:21" ht="15" customHeight="1" x14ac:dyDescent="0.4">
      <c r="A153" s="671" t="s">
        <v>518</v>
      </c>
      <c r="B153" s="244" t="str">
        <f t="shared" si="49"/>
        <v>6220-7</v>
      </c>
      <c r="C153" s="650" t="s">
        <v>561</v>
      </c>
      <c r="D153" s="724"/>
      <c r="E153" s="684">
        <v>0</v>
      </c>
      <c r="F153" s="724"/>
      <c r="G153" s="646">
        <f>75.98</f>
        <v>75.98</v>
      </c>
      <c r="H153" s="608">
        <f t="shared" si="50"/>
        <v>0</v>
      </c>
      <c r="I153" s="589">
        <f t="shared" ca="1" si="47"/>
        <v>0</v>
      </c>
      <c r="J153" s="589">
        <f t="shared" ca="1" si="51"/>
        <v>0</v>
      </c>
      <c r="K153" s="608">
        <v>911.76</v>
      </c>
      <c r="N153" s="61"/>
      <c r="O153" s="328"/>
      <c r="P153" s="328"/>
      <c r="Q153" s="246"/>
    </row>
    <row r="154" spans="1:21" ht="22.5" customHeight="1" x14ac:dyDescent="0.4">
      <c r="A154" s="735" t="s">
        <v>620</v>
      </c>
      <c r="B154" s="340" t="str">
        <f t="shared" si="49"/>
        <v>6220-8</v>
      </c>
      <c r="C154" s="639" t="s">
        <v>305</v>
      </c>
      <c r="D154" s="766"/>
      <c r="E154" s="686"/>
      <c r="F154" s="686">
        <v>12</v>
      </c>
      <c r="G154" s="603">
        <f>ROUNDUP(70654.28/12,-2)*110%</f>
        <v>6490.0000000000009</v>
      </c>
      <c r="H154" s="612">
        <f t="shared" si="50"/>
        <v>77880.000000000015</v>
      </c>
      <c r="I154" s="594">
        <f t="shared" ca="1" si="47"/>
        <v>-71388.710000000006</v>
      </c>
      <c r="J154" s="594">
        <f t="shared" ca="1" si="51"/>
        <v>6491.2900000000081</v>
      </c>
      <c r="K154" s="594">
        <v>95760</v>
      </c>
      <c r="N154" s="61"/>
      <c r="O154" s="328"/>
      <c r="P154" s="328"/>
      <c r="Q154" s="246"/>
    </row>
    <row r="155" spans="1:21" ht="15" customHeight="1" thickBot="1" x14ac:dyDescent="0.45">
      <c r="A155" s="583"/>
      <c r="B155" s="48"/>
      <c r="C155" s="617" t="s">
        <v>106</v>
      </c>
      <c r="D155" s="688"/>
      <c r="E155" s="666"/>
      <c r="F155" s="454"/>
      <c r="G155" s="619">
        <f>(H155-K155)/K155</f>
        <v>-6.7443433026080002E-3</v>
      </c>
      <c r="H155" s="621">
        <f>SUM(H147:H154)</f>
        <v>215866</v>
      </c>
      <c r="I155" s="621">
        <f ca="1">SUM(I147:I154)</f>
        <v>-219417.79000000004</v>
      </c>
      <c r="J155" s="621">
        <f ca="1">SUM(J147:J154)</f>
        <v>-3551.7900000000009</v>
      </c>
      <c r="K155" s="621">
        <f>SUM(K147:K154)</f>
        <v>217331.76</v>
      </c>
      <c r="N155" s="61"/>
      <c r="O155" s="328"/>
      <c r="P155" s="328"/>
      <c r="Q155" s="246"/>
    </row>
    <row r="156" spans="1:21" ht="9.75" customHeight="1" thickTop="1" x14ac:dyDescent="0.5">
      <c r="B156" s="145"/>
      <c r="C156" s="99"/>
      <c r="D156" s="99"/>
      <c r="E156" s="99"/>
      <c r="F156" s="99"/>
      <c r="G156" s="99"/>
      <c r="H156" s="149"/>
      <c r="I156" s="149"/>
      <c r="J156" s="149"/>
      <c r="K156" s="99"/>
      <c r="N156" s="52"/>
      <c r="O156" s="328"/>
      <c r="P156" s="328"/>
      <c r="Q156" s="246"/>
    </row>
    <row r="157" spans="1:21" ht="19.5" customHeight="1" x14ac:dyDescent="0.5">
      <c r="A157" s="978" t="s">
        <v>306</v>
      </c>
      <c r="B157" s="978"/>
      <c r="C157" s="979"/>
      <c r="D157" s="979"/>
      <c r="E157" s="979"/>
      <c r="F157" s="979"/>
      <c r="G157" s="979"/>
      <c r="H157" s="979"/>
      <c r="I157" s="979" t="e">
        <f ca="1">-(SUMIF(INDIRECT(LEFT($A$155,4)&amp;"!E3:E200"),"="&amp;B157&amp;" *",INDIRECT(LEFT($A$155,4)&amp;"!F3:F200")))</f>
        <v>#REF!</v>
      </c>
      <c r="J157" s="979" t="e">
        <f t="shared" ref="J157:J159" ca="1" si="52">SUM(H157:I157)</f>
        <v>#REF!</v>
      </c>
      <c r="K157" s="979"/>
      <c r="N157" s="52"/>
      <c r="O157" s="328"/>
      <c r="P157" s="328"/>
      <c r="Q157" s="246"/>
    </row>
    <row r="158" spans="1:21" ht="15" customHeight="1" x14ac:dyDescent="0.4">
      <c r="A158" s="730"/>
      <c r="B158" s="95" t="str">
        <f>LEFT($A157,4)&amp;"-1"</f>
        <v>6225-1</v>
      </c>
      <c r="C158" s="625" t="s">
        <v>307</v>
      </c>
      <c r="D158" s="688"/>
      <c r="E158" s="666">
        <v>12</v>
      </c>
      <c r="F158" s="688"/>
      <c r="G158" s="588">
        <v>1104.17</v>
      </c>
      <c r="H158" s="608">
        <f t="shared" ref="H158:H182" si="53">SUM(D158+E158+F158)*G158</f>
        <v>13250.04</v>
      </c>
      <c r="I158" s="589">
        <f t="shared" ref="I158:I182" ca="1" si="54">-(SUMIF(INDIRECT(LEFT($A$157,4)&amp;"!i3:i200"),"="&amp;B158&amp;" *",INDIRECT(LEFT($A$157,4)&amp;"!k3:k200")))</f>
        <v>-13462.329999999998</v>
      </c>
      <c r="J158" s="589">
        <f t="shared" ca="1" si="52"/>
        <v>-212.28999999999724</v>
      </c>
      <c r="K158" s="452">
        <v>13250.04</v>
      </c>
      <c r="M158" s="3"/>
      <c r="N158" s="61"/>
      <c r="O158" s="328"/>
      <c r="P158" s="328"/>
      <c r="Q158" s="246"/>
    </row>
    <row r="159" spans="1:21" ht="15" customHeight="1" x14ac:dyDescent="0.4">
      <c r="A159" s="731"/>
      <c r="B159" s="146" t="str">
        <f t="shared" ref="B159:B182" si="55">LEFT($B158,4)&amp;"-"&amp;VALUE(MID($B158,FIND("-",$B158)+1,256))+1</f>
        <v>6225-2</v>
      </c>
      <c r="C159" s="631" t="s">
        <v>308</v>
      </c>
      <c r="D159" s="768"/>
      <c r="E159" s="754">
        <v>3</v>
      </c>
      <c r="F159" s="768"/>
      <c r="G159" s="633">
        <v>5200</v>
      </c>
      <c r="H159" s="612">
        <f t="shared" si="53"/>
        <v>15600</v>
      </c>
      <c r="I159" s="595">
        <f t="shared" ca="1" si="54"/>
        <v>-11401.55</v>
      </c>
      <c r="J159" s="595">
        <f t="shared" ca="1" si="52"/>
        <v>4198.4500000000007</v>
      </c>
      <c r="K159" s="453">
        <v>15600</v>
      </c>
      <c r="M159" s="3"/>
      <c r="N159" s="61"/>
      <c r="O159" s="328"/>
      <c r="P159" s="328"/>
      <c r="Q159" s="236"/>
    </row>
    <row r="160" spans="1:21" ht="15" customHeight="1" x14ac:dyDescent="0.4">
      <c r="A160" s="733"/>
      <c r="B160" s="95" t="str">
        <f t="shared" si="55"/>
        <v>6225-3</v>
      </c>
      <c r="C160" s="659" t="s">
        <v>309</v>
      </c>
      <c r="D160" s="712"/>
      <c r="E160" s="681">
        <v>3</v>
      </c>
      <c r="F160" s="712"/>
      <c r="G160" s="588">
        <v>190</v>
      </c>
      <c r="H160" s="608">
        <f t="shared" si="53"/>
        <v>570</v>
      </c>
      <c r="I160" s="589">
        <f t="shared" ca="1" si="54"/>
        <v>0</v>
      </c>
      <c r="J160" s="589">
        <f t="shared" ref="J160:J182" ca="1" si="56">SUM(H160:I160)</f>
        <v>570</v>
      </c>
      <c r="K160" s="452">
        <v>570</v>
      </c>
      <c r="M160" s="3"/>
      <c r="N160" s="61"/>
      <c r="O160" s="328"/>
      <c r="P160" s="328"/>
      <c r="Q160" s="246"/>
    </row>
    <row r="161" spans="1:17" ht="15" customHeight="1" x14ac:dyDescent="0.4">
      <c r="A161" s="747"/>
      <c r="B161" s="146" t="str">
        <f t="shared" si="55"/>
        <v>6225-4</v>
      </c>
      <c r="C161" s="634" t="s">
        <v>310</v>
      </c>
      <c r="D161" s="769"/>
      <c r="E161" s="675">
        <v>1</v>
      </c>
      <c r="F161" s="769"/>
      <c r="G161" s="633">
        <v>900</v>
      </c>
      <c r="H161" s="612">
        <f t="shared" si="53"/>
        <v>900</v>
      </c>
      <c r="I161" s="595">
        <f t="shared" ca="1" si="54"/>
        <v>-88.98</v>
      </c>
      <c r="J161" s="595">
        <f t="shared" ca="1" si="56"/>
        <v>811.02</v>
      </c>
      <c r="K161" s="453">
        <v>900</v>
      </c>
      <c r="M161" s="3"/>
      <c r="N161" s="61"/>
      <c r="O161" s="328"/>
      <c r="P161" s="328"/>
      <c r="Q161" s="246"/>
    </row>
    <row r="162" spans="1:17" ht="15" customHeight="1" x14ac:dyDescent="0.4">
      <c r="A162" s="733"/>
      <c r="B162" s="95" t="str">
        <f t="shared" si="55"/>
        <v>6225-5</v>
      </c>
      <c r="C162" s="596" t="s">
        <v>311</v>
      </c>
      <c r="D162" s="688"/>
      <c r="E162" s="666">
        <v>1</v>
      </c>
      <c r="F162" s="688"/>
      <c r="G162" s="588">
        <v>6000</v>
      </c>
      <c r="H162" s="608">
        <f t="shared" si="53"/>
        <v>6000</v>
      </c>
      <c r="I162" s="589">
        <f t="shared" ca="1" si="54"/>
        <v>-5791.1</v>
      </c>
      <c r="J162" s="589">
        <f t="shared" ca="1" si="56"/>
        <v>208.89999999999964</v>
      </c>
      <c r="K162" s="452">
        <v>6000</v>
      </c>
      <c r="M162" s="3"/>
      <c r="N162" s="61"/>
      <c r="O162" s="328"/>
      <c r="P162" s="328"/>
      <c r="Q162" s="246"/>
    </row>
    <row r="163" spans="1:17" ht="15" customHeight="1" x14ac:dyDescent="0.4">
      <c r="A163" s="742"/>
      <c r="B163" s="146" t="str">
        <f t="shared" si="55"/>
        <v>6225-6</v>
      </c>
      <c r="C163" s="639" t="s">
        <v>312</v>
      </c>
      <c r="D163" s="765"/>
      <c r="E163" s="686">
        <v>12</v>
      </c>
      <c r="F163" s="765"/>
      <c r="G163" s="603">
        <v>3100</v>
      </c>
      <c r="H163" s="612">
        <f t="shared" si="53"/>
        <v>37200</v>
      </c>
      <c r="I163" s="595">
        <f t="shared" ca="1" si="54"/>
        <v>-36110</v>
      </c>
      <c r="J163" s="595">
        <f t="shared" ca="1" si="56"/>
        <v>1090</v>
      </c>
      <c r="K163" s="679">
        <v>36000</v>
      </c>
      <c r="M163" s="3"/>
      <c r="N163" s="61"/>
      <c r="O163" s="328"/>
      <c r="P163" s="328"/>
      <c r="Q163" s="338"/>
    </row>
    <row r="164" spans="1:17" ht="15" customHeight="1" x14ac:dyDescent="0.4">
      <c r="A164" s="736"/>
      <c r="B164" s="95" t="str">
        <f t="shared" si="55"/>
        <v>6225-7</v>
      </c>
      <c r="C164" s="644" t="s">
        <v>313</v>
      </c>
      <c r="D164" s="724"/>
      <c r="E164" s="684">
        <v>1</v>
      </c>
      <c r="F164" s="724"/>
      <c r="G164" s="646">
        <v>7500</v>
      </c>
      <c r="H164" s="608">
        <f t="shared" si="53"/>
        <v>7500</v>
      </c>
      <c r="I164" s="589">
        <f t="shared" ca="1" si="54"/>
        <v>-2412.5</v>
      </c>
      <c r="J164" s="589">
        <f t="shared" ca="1" si="56"/>
        <v>5087.5</v>
      </c>
      <c r="K164" s="677">
        <v>7500</v>
      </c>
      <c r="M164" s="3"/>
      <c r="N164" s="61"/>
      <c r="O164" s="328"/>
      <c r="P164" s="328"/>
      <c r="Q164" s="246"/>
    </row>
    <row r="165" spans="1:17" ht="15" customHeight="1" x14ac:dyDescent="0.4">
      <c r="A165" s="742"/>
      <c r="B165" s="146" t="str">
        <f t="shared" si="55"/>
        <v>6225-8</v>
      </c>
      <c r="C165" s="600" t="s">
        <v>314</v>
      </c>
      <c r="D165" s="694"/>
      <c r="E165" s="678">
        <v>1</v>
      </c>
      <c r="F165" s="694"/>
      <c r="G165" s="603">
        <v>3700</v>
      </c>
      <c r="H165" s="612">
        <f t="shared" si="53"/>
        <v>3700</v>
      </c>
      <c r="I165" s="595">
        <f t="shared" ca="1" si="54"/>
        <v>-3783.57</v>
      </c>
      <c r="J165" s="595">
        <f t="shared" ca="1" si="56"/>
        <v>-83.570000000000164</v>
      </c>
      <c r="K165" s="679">
        <v>3600</v>
      </c>
      <c r="M165" s="3"/>
      <c r="N165" s="61"/>
      <c r="O165" s="328"/>
      <c r="P165" s="328"/>
      <c r="Q165" s="246"/>
    </row>
    <row r="166" spans="1:17" ht="15" customHeight="1" x14ac:dyDescent="0.4">
      <c r="A166" s="734"/>
      <c r="B166" s="95" t="str">
        <f t="shared" si="55"/>
        <v>6225-9</v>
      </c>
      <c r="C166" s="604" t="s">
        <v>315</v>
      </c>
      <c r="D166" s="691"/>
      <c r="E166" s="676">
        <v>1</v>
      </c>
      <c r="F166" s="691"/>
      <c r="G166" s="646">
        <v>450</v>
      </c>
      <c r="H166" s="608">
        <f t="shared" si="53"/>
        <v>450</v>
      </c>
      <c r="I166" s="589">
        <f t="shared" ca="1" si="54"/>
        <v>-600</v>
      </c>
      <c r="J166" s="589">
        <f t="shared" ca="1" si="56"/>
        <v>-150</v>
      </c>
      <c r="K166" s="677">
        <v>450</v>
      </c>
      <c r="M166" s="3"/>
      <c r="N166" s="61"/>
      <c r="O166" s="328"/>
      <c r="P166" s="328"/>
      <c r="Q166" s="246"/>
    </row>
    <row r="167" spans="1:17" ht="15" customHeight="1" x14ac:dyDescent="0.4">
      <c r="A167" s="742"/>
      <c r="B167" s="146" t="str">
        <f t="shared" si="55"/>
        <v>6225-10</v>
      </c>
      <c r="C167" s="600" t="s">
        <v>562</v>
      </c>
      <c r="D167" s="694"/>
      <c r="E167" s="678">
        <v>1</v>
      </c>
      <c r="F167" s="694"/>
      <c r="G167" s="603">
        <v>20</v>
      </c>
      <c r="H167" s="612">
        <f t="shared" si="53"/>
        <v>20</v>
      </c>
      <c r="I167" s="595">
        <f t="shared" ca="1" si="54"/>
        <v>-20</v>
      </c>
      <c r="J167" s="595">
        <f t="shared" ca="1" si="56"/>
        <v>0</v>
      </c>
      <c r="K167" s="679">
        <v>20</v>
      </c>
      <c r="M167" s="3"/>
      <c r="N167" s="61"/>
      <c r="O167" s="328"/>
      <c r="P167" s="328"/>
      <c r="Q167" s="246"/>
    </row>
    <row r="168" spans="1:17" ht="15" customHeight="1" x14ac:dyDescent="0.4">
      <c r="A168" s="734"/>
      <c r="B168" s="95" t="str">
        <f t="shared" si="55"/>
        <v>6225-11</v>
      </c>
      <c r="C168" s="604" t="s">
        <v>316</v>
      </c>
      <c r="D168" s="691"/>
      <c r="E168" s="676">
        <v>1</v>
      </c>
      <c r="F168" s="691"/>
      <c r="G168" s="646">
        <v>1500</v>
      </c>
      <c r="H168" s="608">
        <f t="shared" si="53"/>
        <v>1500</v>
      </c>
      <c r="I168" s="589">
        <f t="shared" ca="1" si="54"/>
        <v>-1940</v>
      </c>
      <c r="J168" s="589">
        <f t="shared" ca="1" si="56"/>
        <v>-440</v>
      </c>
      <c r="K168" s="677">
        <v>1500</v>
      </c>
      <c r="M168" s="3"/>
      <c r="N168" s="61"/>
      <c r="O168" s="328"/>
      <c r="P168" s="328"/>
      <c r="Q168" s="246"/>
    </row>
    <row r="169" spans="1:17" ht="15" customHeight="1" x14ac:dyDescent="0.4">
      <c r="A169" s="742" t="s">
        <v>317</v>
      </c>
      <c r="B169" s="146" t="str">
        <f t="shared" si="55"/>
        <v>6225-12</v>
      </c>
      <c r="C169" s="600" t="s">
        <v>563</v>
      </c>
      <c r="D169" s="694"/>
      <c r="E169" s="678"/>
      <c r="F169" s="694"/>
      <c r="G169" s="603">
        <v>45</v>
      </c>
      <c r="H169" s="612">
        <f t="shared" ref="H169" si="57">SUM(D169+E169+F169)*G169</f>
        <v>0</v>
      </c>
      <c r="I169" s="595">
        <f t="shared" ca="1" si="54"/>
        <v>0</v>
      </c>
      <c r="J169" s="595">
        <f t="shared" ca="1" si="56"/>
        <v>0</v>
      </c>
      <c r="K169" s="679">
        <v>0</v>
      </c>
      <c r="M169" s="3"/>
      <c r="N169" s="61"/>
      <c r="O169" s="328"/>
      <c r="P169" s="328"/>
      <c r="Q169" s="246"/>
    </row>
    <row r="170" spans="1:17" ht="15" customHeight="1" x14ac:dyDescent="0.4">
      <c r="A170" s="734"/>
      <c r="B170" s="95" t="str">
        <f t="shared" si="55"/>
        <v>6225-13</v>
      </c>
      <c r="C170" s="604" t="s">
        <v>318</v>
      </c>
      <c r="D170" s="691"/>
      <c r="E170" s="676">
        <v>12</v>
      </c>
      <c r="F170" s="691"/>
      <c r="G170" s="646">
        <f>1200+135</f>
        <v>1335</v>
      </c>
      <c r="H170" s="608">
        <f t="shared" si="53"/>
        <v>16020</v>
      </c>
      <c r="I170" s="589">
        <f t="shared" ca="1" si="54"/>
        <v>-12466.689999999999</v>
      </c>
      <c r="J170" s="589">
        <f t="shared" ca="1" si="56"/>
        <v>3553.3100000000013</v>
      </c>
      <c r="K170" s="677">
        <v>16020</v>
      </c>
      <c r="M170" s="3"/>
      <c r="N170" s="61"/>
      <c r="O170" s="328"/>
      <c r="P170" s="328"/>
      <c r="Q170" s="246"/>
    </row>
    <row r="171" spans="1:17" ht="15" customHeight="1" x14ac:dyDescent="0.4">
      <c r="A171" s="735"/>
      <c r="B171" s="146" t="str">
        <f t="shared" si="55"/>
        <v>6225-14</v>
      </c>
      <c r="C171" s="600" t="s">
        <v>319</v>
      </c>
      <c r="D171" s="694"/>
      <c r="E171" s="678">
        <v>2</v>
      </c>
      <c r="F171" s="694"/>
      <c r="G171" s="603">
        <v>500</v>
      </c>
      <c r="H171" s="612">
        <f t="shared" si="53"/>
        <v>1000</v>
      </c>
      <c r="I171" s="595">
        <f t="shared" ca="1" si="54"/>
        <v>-969.85</v>
      </c>
      <c r="J171" s="595">
        <f t="shared" ca="1" si="56"/>
        <v>30.149999999999977</v>
      </c>
      <c r="K171" s="679">
        <v>1000</v>
      </c>
      <c r="M171" s="3"/>
      <c r="N171" s="61"/>
      <c r="O171" s="328"/>
      <c r="P171" s="328"/>
      <c r="Q171" s="246"/>
    </row>
    <row r="172" spans="1:17" ht="15" customHeight="1" x14ac:dyDescent="0.4">
      <c r="A172" s="734"/>
      <c r="B172" s="95" t="str">
        <f t="shared" si="55"/>
        <v>6225-15</v>
      </c>
      <c r="C172" s="604" t="s">
        <v>320</v>
      </c>
      <c r="D172" s="770"/>
      <c r="E172" s="676">
        <v>6</v>
      </c>
      <c r="F172" s="708"/>
      <c r="G172" s="646">
        <v>350</v>
      </c>
      <c r="H172" s="608">
        <f t="shared" si="53"/>
        <v>2100</v>
      </c>
      <c r="I172" s="589">
        <f t="shared" ca="1" si="54"/>
        <v>-876.52</v>
      </c>
      <c r="J172" s="589">
        <f t="shared" ca="1" si="56"/>
        <v>1223.48</v>
      </c>
      <c r="K172" s="646">
        <v>2100</v>
      </c>
      <c r="M172" s="3"/>
      <c r="N172" s="61"/>
      <c r="O172" s="328"/>
      <c r="P172" s="328"/>
      <c r="Q172" s="246"/>
    </row>
    <row r="173" spans="1:17" ht="15" customHeight="1" x14ac:dyDescent="0.4">
      <c r="A173" s="767"/>
      <c r="B173" s="146" t="str">
        <f t="shared" si="55"/>
        <v>6225-16</v>
      </c>
      <c r="C173" s="600" t="s">
        <v>564</v>
      </c>
      <c r="D173" s="694"/>
      <c r="E173" s="678">
        <v>2</v>
      </c>
      <c r="F173" s="694"/>
      <c r="G173" s="603">
        <v>7800</v>
      </c>
      <c r="H173" s="612">
        <f t="shared" si="53"/>
        <v>15600</v>
      </c>
      <c r="I173" s="595">
        <f t="shared" ca="1" si="54"/>
        <v>-18808.54</v>
      </c>
      <c r="J173" s="595">
        <f t="shared" ca="1" si="56"/>
        <v>-3208.5400000000009</v>
      </c>
      <c r="K173" s="679">
        <v>15600</v>
      </c>
      <c r="M173" s="3"/>
      <c r="N173" s="61"/>
      <c r="O173" s="328"/>
      <c r="P173" s="328"/>
      <c r="Q173" s="246"/>
    </row>
    <row r="174" spans="1:17" ht="15" customHeight="1" x14ac:dyDescent="0.4">
      <c r="A174" s="734"/>
      <c r="B174" s="95" t="str">
        <f t="shared" si="55"/>
        <v>6225-17</v>
      </c>
      <c r="C174" s="644" t="s">
        <v>321</v>
      </c>
      <c r="D174" s="724"/>
      <c r="E174" s="684">
        <v>1</v>
      </c>
      <c r="F174" s="724"/>
      <c r="G174" s="646">
        <v>1600</v>
      </c>
      <c r="H174" s="608">
        <f t="shared" si="53"/>
        <v>1600</v>
      </c>
      <c r="I174" s="589">
        <f t="shared" ca="1" si="54"/>
        <v>-4120.1000000000004</v>
      </c>
      <c r="J174" s="589">
        <f t="shared" ca="1" si="56"/>
        <v>-2520.1000000000004</v>
      </c>
      <c r="K174" s="677">
        <v>1600</v>
      </c>
      <c r="M174" s="3"/>
      <c r="N174" s="61"/>
      <c r="O174" s="328"/>
      <c r="P174" s="328"/>
      <c r="Q174" s="246"/>
    </row>
    <row r="175" spans="1:17" ht="15" customHeight="1" x14ac:dyDescent="0.4">
      <c r="A175" s="735"/>
      <c r="B175" s="146" t="str">
        <f t="shared" si="55"/>
        <v>6225-18</v>
      </c>
      <c r="C175" s="639" t="s">
        <v>322</v>
      </c>
      <c r="D175" s="765"/>
      <c r="E175" s="686">
        <v>1</v>
      </c>
      <c r="F175" s="765"/>
      <c r="G175" s="603">
        <v>2000</v>
      </c>
      <c r="H175" s="612">
        <f t="shared" si="53"/>
        <v>2000</v>
      </c>
      <c r="I175" s="595">
        <f t="shared" ca="1" si="54"/>
        <v>0</v>
      </c>
      <c r="J175" s="595">
        <f t="shared" ca="1" si="56"/>
        <v>2000</v>
      </c>
      <c r="K175" s="679">
        <v>2000</v>
      </c>
      <c r="M175" s="3"/>
      <c r="N175" s="61"/>
      <c r="O175" s="328"/>
      <c r="P175" s="328"/>
      <c r="Q175" s="246"/>
    </row>
    <row r="176" spans="1:17" ht="15" customHeight="1" x14ac:dyDescent="0.4">
      <c r="A176" s="734"/>
      <c r="B176" s="95" t="str">
        <f t="shared" si="55"/>
        <v>6225-19</v>
      </c>
      <c r="C176" s="644" t="s">
        <v>323</v>
      </c>
      <c r="D176" s="724"/>
      <c r="E176" s="684">
        <v>10</v>
      </c>
      <c r="F176" s="724"/>
      <c r="G176" s="646">
        <v>140</v>
      </c>
      <c r="H176" s="608">
        <f t="shared" si="53"/>
        <v>1400</v>
      </c>
      <c r="I176" s="589">
        <f t="shared" ca="1" si="54"/>
        <v>-864</v>
      </c>
      <c r="J176" s="589">
        <f t="shared" ca="1" si="56"/>
        <v>536</v>
      </c>
      <c r="K176" s="677">
        <v>1400</v>
      </c>
      <c r="M176" s="3"/>
      <c r="N176" s="61"/>
      <c r="O176" s="328"/>
      <c r="P176" s="328"/>
      <c r="Q176" s="246"/>
    </row>
    <row r="177" spans="1:17" ht="15" customHeight="1" x14ac:dyDescent="0.4">
      <c r="A177" s="735"/>
      <c r="B177" s="146" t="str">
        <f t="shared" si="55"/>
        <v>6225-20</v>
      </c>
      <c r="C177" s="639" t="s">
        <v>324</v>
      </c>
      <c r="D177" s="765"/>
      <c r="E177" s="686">
        <v>1</v>
      </c>
      <c r="F177" s="765"/>
      <c r="G177" s="603">
        <f>8500+1300</f>
        <v>9800</v>
      </c>
      <c r="H177" s="612">
        <f t="shared" si="53"/>
        <v>9800</v>
      </c>
      <c r="I177" s="595">
        <f t="shared" ca="1" si="54"/>
        <v>-5322.85</v>
      </c>
      <c r="J177" s="595">
        <f t="shared" ca="1" si="56"/>
        <v>4477.1499999999996</v>
      </c>
      <c r="K177" s="679">
        <v>6500</v>
      </c>
      <c r="M177" s="3"/>
      <c r="N177" s="61"/>
      <c r="O177" s="328"/>
      <c r="P177" s="328"/>
      <c r="Q177" s="246"/>
    </row>
    <row r="178" spans="1:17" ht="15" customHeight="1" x14ac:dyDescent="0.4">
      <c r="A178" s="734"/>
      <c r="B178" s="95" t="str">
        <f t="shared" si="55"/>
        <v>6225-21</v>
      </c>
      <c r="C178" s="604" t="s">
        <v>325</v>
      </c>
      <c r="D178" s="691"/>
      <c r="E178" s="676">
        <v>1</v>
      </c>
      <c r="F178" s="691"/>
      <c r="G178" s="646">
        <v>2000</v>
      </c>
      <c r="H178" s="608">
        <f t="shared" si="53"/>
        <v>2000</v>
      </c>
      <c r="I178" s="589">
        <f t="shared" ca="1" si="54"/>
        <v>0</v>
      </c>
      <c r="J178" s="589">
        <f t="shared" ca="1" si="56"/>
        <v>2000</v>
      </c>
      <c r="K178" s="677">
        <v>2000</v>
      </c>
      <c r="M178" s="3"/>
      <c r="N178" s="61"/>
      <c r="O178" s="328"/>
      <c r="P178" s="328"/>
      <c r="Q178" s="246"/>
    </row>
    <row r="179" spans="1:17" ht="15" customHeight="1" x14ac:dyDescent="0.4">
      <c r="A179" s="740"/>
      <c r="B179" s="146" t="str">
        <f t="shared" si="55"/>
        <v>6225-22</v>
      </c>
      <c r="C179" s="643" t="s">
        <v>326</v>
      </c>
      <c r="D179" s="717"/>
      <c r="E179" s="711">
        <v>12</v>
      </c>
      <c r="F179" s="717"/>
      <c r="G179" s="616">
        <v>420</v>
      </c>
      <c r="H179" s="612">
        <f t="shared" si="53"/>
        <v>5040</v>
      </c>
      <c r="I179" s="595">
        <f t="shared" ca="1" si="54"/>
        <v>-2261.6400000000003</v>
      </c>
      <c r="J179" s="595">
        <f t="shared" ca="1" si="56"/>
        <v>2778.3599999999997</v>
      </c>
      <c r="K179" s="616">
        <v>5040</v>
      </c>
      <c r="M179" s="3"/>
      <c r="N179" s="61"/>
      <c r="O179" s="328"/>
      <c r="P179" s="328"/>
      <c r="Q179" s="130"/>
    </row>
    <row r="180" spans="1:17" ht="15" customHeight="1" x14ac:dyDescent="0.4">
      <c r="A180" s="730"/>
      <c r="B180" s="95" t="str">
        <f t="shared" si="55"/>
        <v>6225-23</v>
      </c>
      <c r="C180" s="659" t="s">
        <v>327</v>
      </c>
      <c r="D180" s="712"/>
      <c r="E180" s="681">
        <v>1</v>
      </c>
      <c r="F180" s="712"/>
      <c r="G180" s="588">
        <v>2000</v>
      </c>
      <c r="H180" s="608">
        <f t="shared" si="53"/>
        <v>2000</v>
      </c>
      <c r="I180" s="589">
        <f t="shared" ca="1" si="54"/>
        <v>-4384</v>
      </c>
      <c r="J180" s="589">
        <f t="shared" ca="1" si="56"/>
        <v>-2384</v>
      </c>
      <c r="K180" s="452">
        <v>2000</v>
      </c>
      <c r="M180" s="3"/>
      <c r="N180" s="61"/>
      <c r="O180" s="328"/>
      <c r="P180" s="328"/>
      <c r="Q180" s="246"/>
    </row>
    <row r="181" spans="1:17" ht="15" customHeight="1" x14ac:dyDescent="0.4">
      <c r="A181" s="750"/>
      <c r="B181" s="239" t="str">
        <f t="shared" si="55"/>
        <v>6225-24</v>
      </c>
      <c r="C181" s="725" t="s">
        <v>328</v>
      </c>
      <c r="D181" s="771"/>
      <c r="E181" s="727">
        <v>1</v>
      </c>
      <c r="F181" s="771"/>
      <c r="G181" s="629">
        <v>6800</v>
      </c>
      <c r="H181" s="630">
        <f t="shared" si="53"/>
        <v>6800</v>
      </c>
      <c r="I181" s="630">
        <f t="shared" ca="1" si="54"/>
        <v>-4118.53</v>
      </c>
      <c r="J181" s="630">
        <f t="shared" ca="1" si="56"/>
        <v>2681.4700000000003</v>
      </c>
      <c r="K181" s="716">
        <v>6800</v>
      </c>
      <c r="M181" s="3"/>
      <c r="N181" s="61"/>
      <c r="O181" s="328"/>
      <c r="P181" s="328"/>
      <c r="Q181" s="246"/>
    </row>
    <row r="182" spans="1:17" ht="15" customHeight="1" x14ac:dyDescent="0.4">
      <c r="A182" s="733"/>
      <c r="B182" s="95" t="str">
        <f t="shared" si="55"/>
        <v>6225-25</v>
      </c>
      <c r="C182" s="596" t="s">
        <v>329</v>
      </c>
      <c r="D182" s="688"/>
      <c r="E182" s="666">
        <v>1</v>
      </c>
      <c r="F182" s="688"/>
      <c r="G182" s="588">
        <v>2120</v>
      </c>
      <c r="H182" s="608">
        <f t="shared" si="53"/>
        <v>2120</v>
      </c>
      <c r="I182" s="589">
        <f t="shared" ca="1" si="54"/>
        <v>0</v>
      </c>
      <c r="J182" s="589">
        <f t="shared" ca="1" si="56"/>
        <v>2120</v>
      </c>
      <c r="K182" s="452">
        <v>900</v>
      </c>
      <c r="M182" s="3"/>
      <c r="N182" s="61"/>
      <c r="O182" s="328"/>
      <c r="P182" s="328"/>
      <c r="Q182" s="322"/>
    </row>
    <row r="183" spans="1:17" ht="15" customHeight="1" thickBot="1" x14ac:dyDescent="0.45">
      <c r="A183" s="746"/>
      <c r="B183" s="95"/>
      <c r="C183" s="617" t="s">
        <v>106</v>
      </c>
      <c r="D183" s="618"/>
      <c r="E183" s="618"/>
      <c r="F183" s="454"/>
      <c r="G183" s="619">
        <f>(H183-K183)/K183</f>
        <v>3.9231536439086903E-2</v>
      </c>
      <c r="H183" s="621">
        <f>SUM(H158:H182)</f>
        <v>154170.04</v>
      </c>
      <c r="I183" s="621">
        <f t="shared" ref="I183:J183" ca="1" si="58">SUM(I158:I182)</f>
        <v>-129802.75000000001</v>
      </c>
      <c r="J183" s="621">
        <f t="shared" ca="1" si="58"/>
        <v>24367.290000000005</v>
      </c>
      <c r="K183" s="692">
        <f>SUM(K158:K182)</f>
        <v>148350.04</v>
      </c>
      <c r="N183" s="61"/>
      <c r="O183" s="328"/>
      <c r="P183" s="328"/>
      <c r="Q183" s="246"/>
    </row>
    <row r="184" spans="1:17" ht="10.5" customHeight="1" thickTop="1" x14ac:dyDescent="0.4">
      <c r="A184" s="48"/>
      <c r="B184" s="147"/>
      <c r="C184" s="68"/>
      <c r="D184" s="69"/>
      <c r="E184" s="69"/>
      <c r="F184" s="18"/>
      <c r="G184" s="100"/>
      <c r="H184" s="87"/>
      <c r="I184" s="87"/>
      <c r="J184" s="87"/>
      <c r="K184" s="97"/>
      <c r="N184" s="52"/>
      <c r="O184" s="328"/>
      <c r="P184" s="328"/>
      <c r="Q184" s="246"/>
    </row>
    <row r="185" spans="1:17" ht="19.5" customHeight="1" x14ac:dyDescent="0.5">
      <c r="A185" s="978" t="s">
        <v>330</v>
      </c>
      <c r="B185" s="978"/>
      <c r="C185" s="979"/>
      <c r="D185" s="979"/>
      <c r="E185" s="979"/>
      <c r="F185" s="979"/>
      <c r="G185" s="979"/>
      <c r="H185" s="979"/>
      <c r="I185" s="979" t="e">
        <f ca="1">-(SUMIF(INDIRECT(LEFT($A$167,4)&amp;"!E3:E200"),"="&amp;B185&amp;" *",INDIRECT(LEFT($A$167,4)&amp;"!F3:F200")))</f>
        <v>#REF!</v>
      </c>
      <c r="J185" s="979" t="e">
        <f t="shared" ref="J185:J191" ca="1" si="59">SUM(H185:I185)</f>
        <v>#REF!</v>
      </c>
      <c r="K185" s="979"/>
      <c r="N185" s="52"/>
      <c r="O185" s="328"/>
      <c r="P185" s="328"/>
      <c r="Q185" s="246"/>
    </row>
    <row r="186" spans="1:17" ht="15" customHeight="1" x14ac:dyDescent="0.4">
      <c r="A186" s="936" t="s">
        <v>331</v>
      </c>
      <c r="B186" s="145" t="str">
        <f>LEFT($A185,4)&amp;"-1"</f>
        <v>6235-1</v>
      </c>
      <c r="C186" s="486" t="s">
        <v>332</v>
      </c>
      <c r="D186" s="937"/>
      <c r="E186" s="599"/>
      <c r="F186" s="688">
        <v>12</v>
      </c>
      <c r="G186" s="599">
        <v>850</v>
      </c>
      <c r="H186" s="589">
        <f t="shared" ref="H186:H188" si="60">SUM((D186+E186+F186)*G186)</f>
        <v>10200</v>
      </c>
      <c r="I186" s="599">
        <f ca="1">-(SUMIF(INDIRECT(LEFT($A$185,4)&amp;"!i3:i200"),"="&amp;B186&amp;" *",INDIRECT(LEFT($A$185,4)&amp;"!k3:k200")))</f>
        <v>-10650</v>
      </c>
      <c r="J186" s="772">
        <f t="shared" ca="1" si="59"/>
        <v>-450</v>
      </c>
      <c r="K186" s="589">
        <v>8400</v>
      </c>
      <c r="N186" s="61"/>
      <c r="O186" s="328"/>
      <c r="P186" s="328"/>
      <c r="Q186" s="246"/>
    </row>
    <row r="187" spans="1:17" ht="15" customHeight="1" x14ac:dyDescent="0.4">
      <c r="A187" s="237"/>
      <c r="B187" s="119" t="str">
        <f t="shared" ref="B187:B188" si="61">LEFT($B186,4)&amp;"-"&amp;VALUE(MID($B186,FIND("-",$B186)+1,256))+1</f>
        <v>6235-2</v>
      </c>
      <c r="C187" s="506" t="s">
        <v>333</v>
      </c>
      <c r="D187" s="769"/>
      <c r="E187" s="675"/>
      <c r="F187" s="506">
        <v>12</v>
      </c>
      <c r="G187" s="636">
        <v>150</v>
      </c>
      <c r="H187" s="595">
        <f t="shared" si="60"/>
        <v>1800</v>
      </c>
      <c r="I187" s="595">
        <f ca="1">-(SUMIF(INDIRECT(LEFT($A$185,4)&amp;"!i3:i200"),"="&amp;B187&amp;" *",INDIRECT(LEFT($A$185,4)&amp;"!k3:k200")))</f>
        <v>-2250</v>
      </c>
      <c r="J187" s="595">
        <f t="shared" ca="1" si="59"/>
        <v>-450</v>
      </c>
      <c r="K187" s="453">
        <v>1800</v>
      </c>
      <c r="N187" s="61"/>
      <c r="O187" s="328"/>
      <c r="P187" s="328"/>
      <c r="Q187" s="246"/>
    </row>
    <row r="188" spans="1:17" ht="15" customHeight="1" x14ac:dyDescent="0.4">
      <c r="A188" s="120" t="s">
        <v>334</v>
      </c>
      <c r="B188" s="66" t="str">
        <f t="shared" si="61"/>
        <v>6235-3</v>
      </c>
      <c r="C188" s="498" t="s">
        <v>533</v>
      </c>
      <c r="D188" s="688"/>
      <c r="E188" s="666"/>
      <c r="F188" s="498"/>
      <c r="G188" s="588">
        <v>500</v>
      </c>
      <c r="H188" s="589">
        <f t="shared" si="60"/>
        <v>0</v>
      </c>
      <c r="I188" s="599">
        <f ca="1">-(SUMIF(INDIRECT(LEFT($A$185,4)&amp;"!i3:i200"),"="&amp;B188&amp;" *",INDIRECT(LEFT($A$185,4)&amp;"!k3:k200")))</f>
        <v>0</v>
      </c>
      <c r="J188" s="772">
        <f t="shared" ref="J188" ca="1" si="62">SUM(H188:I188)</f>
        <v>0</v>
      </c>
      <c r="K188" s="452">
        <v>0</v>
      </c>
      <c r="N188" s="61"/>
      <c r="O188" s="328"/>
      <c r="P188" s="328"/>
      <c r="Q188" s="246"/>
    </row>
    <row r="189" spans="1:17" ht="15" customHeight="1" thickBot="1" x14ac:dyDescent="0.45">
      <c r="A189" s="120"/>
      <c r="B189" s="147"/>
      <c r="C189" s="617" t="s">
        <v>106</v>
      </c>
      <c r="D189" s="688"/>
      <c r="E189" s="666"/>
      <c r="F189" s="454"/>
      <c r="G189" s="619">
        <f>(H189-K189)/K189</f>
        <v>0.17647058823529413</v>
      </c>
      <c r="H189" s="621">
        <f>SUM(H186:H188)</f>
        <v>12000</v>
      </c>
      <c r="I189" s="621">
        <f t="shared" ref="I189:J189" ca="1" si="63">SUM(I186:I188)</f>
        <v>-12900</v>
      </c>
      <c r="J189" s="621">
        <f t="shared" ca="1" si="63"/>
        <v>-900</v>
      </c>
      <c r="K189" s="621">
        <f>SUM(K186:K188)</f>
        <v>10200</v>
      </c>
      <c r="N189" s="61"/>
      <c r="O189" s="328"/>
      <c r="P189" s="328"/>
      <c r="Q189" s="246"/>
    </row>
    <row r="190" spans="1:17" ht="10.5" customHeight="1" thickTop="1" x14ac:dyDescent="0.4">
      <c r="A190" s="120"/>
      <c r="B190" s="147"/>
      <c r="C190" s="617"/>
      <c r="D190" s="688"/>
      <c r="E190" s="666"/>
      <c r="F190" s="496"/>
      <c r="G190" s="588"/>
      <c r="H190" s="653"/>
      <c r="I190" s="653"/>
      <c r="J190" s="653"/>
      <c r="K190" s="653"/>
      <c r="N190" s="52"/>
      <c r="O190" s="328"/>
      <c r="P190" s="328"/>
      <c r="Q190" s="246"/>
    </row>
    <row r="191" spans="1:17" ht="20.25" customHeight="1" x14ac:dyDescent="0.5">
      <c r="A191" s="978" t="s">
        <v>335</v>
      </c>
      <c r="B191" s="978"/>
      <c r="C191" s="979"/>
      <c r="D191" s="979"/>
      <c r="E191" s="979"/>
      <c r="F191" s="979"/>
      <c r="G191" s="979"/>
      <c r="H191" s="979"/>
      <c r="I191" s="979" t="e">
        <f ca="1">-(SUMIF(INDIRECT(LEFT($A$167,4)&amp;"!E3:E200"),"="&amp;B191&amp;" *",INDIRECT(LEFT($A$167,4)&amp;"!F3:F200")))</f>
        <v>#REF!</v>
      </c>
      <c r="J191" s="979" t="e">
        <f t="shared" ca="1" si="59"/>
        <v>#REF!</v>
      </c>
      <c r="K191" s="979"/>
      <c r="N191" s="52"/>
      <c r="O191" s="328"/>
      <c r="P191" s="328"/>
      <c r="Q191" s="246"/>
    </row>
    <row r="192" spans="1:17" ht="26.25" customHeight="1" x14ac:dyDescent="0.4">
      <c r="A192" s="773"/>
      <c r="B192" s="147" t="str">
        <f>LEFT($A191,4)&amp;"-1"</f>
        <v>6236-1</v>
      </c>
      <c r="C192" s="775" t="s">
        <v>565</v>
      </c>
      <c r="D192" s="775"/>
      <c r="E192" s="775"/>
      <c r="F192" s="776">
        <v>6</v>
      </c>
      <c r="G192" s="772">
        <v>1000</v>
      </c>
      <c r="H192" s="589">
        <f>SUM(D192+E192+F192)*G192</f>
        <v>6000</v>
      </c>
      <c r="I192" s="589">
        <f ca="1">-(SUMIF(INDIRECT(LEFT($A$191,4)&amp;"!i3:i200"),"="&amp;B192&amp;" *",INDIRECT(LEFT($A$191,4)&amp;"!k3:k200")))</f>
        <v>-4827.7999999999993</v>
      </c>
      <c r="J192" s="589">
        <f ca="1">SUM(H192:I192)</f>
        <v>1172.2000000000007</v>
      </c>
      <c r="K192" s="589">
        <v>6000</v>
      </c>
      <c r="N192" s="61"/>
      <c r="O192" s="328"/>
      <c r="P192" s="328"/>
      <c r="Q192" s="246"/>
    </row>
    <row r="193" spans="1:17" ht="15" customHeight="1" thickBot="1" x14ac:dyDescent="0.45">
      <c r="A193" s="774"/>
      <c r="B193" s="95"/>
      <c r="C193" s="775"/>
      <c r="D193" s="775"/>
      <c r="E193" s="775"/>
      <c r="F193" s="454"/>
      <c r="G193" s="619">
        <f>SUM(Summary!H20)</f>
        <v>0</v>
      </c>
      <c r="H193" s="621">
        <f>SUM(H192)</f>
        <v>6000</v>
      </c>
      <c r="I193" s="621">
        <f t="shared" ref="I193:J193" ca="1" si="64">SUM(I192)</f>
        <v>-4827.7999999999993</v>
      </c>
      <c r="J193" s="621">
        <f t="shared" ca="1" si="64"/>
        <v>1172.2000000000007</v>
      </c>
      <c r="K193" s="777">
        <f>SUM(K192)</f>
        <v>6000</v>
      </c>
      <c r="N193" s="61"/>
      <c r="O193" s="328"/>
      <c r="P193" s="328"/>
      <c r="Q193" s="246"/>
    </row>
    <row r="194" spans="1:17" ht="9.75" customHeight="1" thickTop="1" x14ac:dyDescent="0.4">
      <c r="A194" s="746"/>
      <c r="B194" s="145"/>
      <c r="C194" s="672"/>
      <c r="D194" s="688"/>
      <c r="E194" s="666"/>
      <c r="F194" s="688"/>
      <c r="G194" s="599"/>
      <c r="H194" s="589"/>
      <c r="I194" s="589"/>
      <c r="J194" s="589"/>
      <c r="K194" s="589"/>
      <c r="N194" s="61"/>
      <c r="O194" s="328"/>
      <c r="P194" s="328"/>
      <c r="Q194" s="246"/>
    </row>
    <row r="195" spans="1:17" ht="19.3" x14ac:dyDescent="0.5">
      <c r="A195" s="978" t="s">
        <v>336</v>
      </c>
      <c r="B195" s="978"/>
      <c r="C195" s="979"/>
      <c r="D195" s="979"/>
      <c r="E195" s="979"/>
      <c r="F195" s="979"/>
      <c r="G195" s="979"/>
      <c r="H195" s="979"/>
      <c r="I195" s="979" t="e">
        <f ca="1">SUM(I168:I194)</f>
        <v>#REF!</v>
      </c>
      <c r="J195" s="979" t="e">
        <f ca="1">SUM(J168:J194)</f>
        <v>#REF!</v>
      </c>
      <c r="K195" s="979"/>
      <c r="N195" s="61"/>
      <c r="O195" s="328"/>
      <c r="P195" s="328"/>
      <c r="Q195" s="246"/>
    </row>
    <row r="196" spans="1:17" ht="15" customHeight="1" x14ac:dyDescent="0.4">
      <c r="A196" s="730"/>
      <c r="B196" s="120" t="str">
        <f>LEFT($A195,4)&amp;"-1"</f>
        <v>6240-1</v>
      </c>
      <c r="C196" s="596" t="s">
        <v>337</v>
      </c>
      <c r="D196" s="688">
        <v>1</v>
      </c>
      <c r="E196" s="666"/>
      <c r="F196" s="688"/>
      <c r="G196" s="588">
        <v>160</v>
      </c>
      <c r="H196" s="589">
        <f t="shared" ref="H196:H206" si="65">(D196+E196+F196)*G196</f>
        <v>160</v>
      </c>
      <c r="I196" s="589">
        <f t="shared" ref="I196:I216" ca="1" si="66">-(SUMIF(INDIRECT(LEFT($A$195,4)&amp;"!i3:i200"),"="&amp;B196&amp;" *",INDIRECT(LEFT($A$195,4)&amp;"!k3:k200")))</f>
        <v>-199</v>
      </c>
      <c r="J196" s="589">
        <f ca="1">SUM(H196:I196)</f>
        <v>-39</v>
      </c>
      <c r="K196" s="452">
        <v>160</v>
      </c>
      <c r="N196" s="61"/>
      <c r="O196" s="328"/>
      <c r="P196" s="328"/>
      <c r="Q196" s="246"/>
    </row>
    <row r="197" spans="1:17" ht="15" customHeight="1" x14ac:dyDescent="0.4">
      <c r="A197" s="731"/>
      <c r="B197" s="146" t="str">
        <f t="shared" ref="B197:B235" si="67">LEFT($B196,4)&amp;"-"&amp;VALUE(MID($B196,FIND("-",$B196)+1,256))+1</f>
        <v>6240-2</v>
      </c>
      <c r="C197" s="752" t="s">
        <v>338</v>
      </c>
      <c r="D197" s="768">
        <v>1</v>
      </c>
      <c r="E197" s="754"/>
      <c r="F197" s="768"/>
      <c r="G197" s="633">
        <v>100</v>
      </c>
      <c r="H197" s="595">
        <f t="shared" si="65"/>
        <v>100</v>
      </c>
      <c r="I197" s="594">
        <f t="shared" ca="1" si="66"/>
        <v>0</v>
      </c>
      <c r="J197" s="594">
        <f ca="1">SUM(H197:I197)</f>
        <v>100</v>
      </c>
      <c r="K197" s="453">
        <v>100</v>
      </c>
      <c r="N197" s="61"/>
      <c r="O197" s="328"/>
      <c r="P197" s="328"/>
      <c r="Q197" s="246"/>
    </row>
    <row r="198" spans="1:17" ht="15" customHeight="1" x14ac:dyDescent="0.4">
      <c r="A198" s="734"/>
      <c r="B198" s="147" t="str">
        <f t="shared" si="67"/>
        <v>6240-3</v>
      </c>
      <c r="C198" s="644" t="s">
        <v>339</v>
      </c>
      <c r="D198" s="724">
        <v>1</v>
      </c>
      <c r="E198" s="684"/>
      <c r="F198" s="724"/>
      <c r="G198" s="646">
        <v>2000</v>
      </c>
      <c r="H198" s="608">
        <f t="shared" si="65"/>
        <v>2000</v>
      </c>
      <c r="I198" s="589">
        <f t="shared" ca="1" si="66"/>
        <v>-1800</v>
      </c>
      <c r="J198" s="589">
        <f ca="1">SUM(H198:I198)</f>
        <v>200</v>
      </c>
      <c r="K198" s="677">
        <v>2000</v>
      </c>
      <c r="N198" s="61"/>
      <c r="O198" s="328"/>
      <c r="P198" s="328"/>
      <c r="Q198" s="134"/>
    </row>
    <row r="199" spans="1:17" ht="15" customHeight="1" x14ac:dyDescent="0.4">
      <c r="A199" s="745"/>
      <c r="B199" s="146" t="str">
        <f t="shared" si="67"/>
        <v>6240-4</v>
      </c>
      <c r="C199" s="783" t="s">
        <v>566</v>
      </c>
      <c r="D199" s="784"/>
      <c r="E199" s="785"/>
      <c r="F199" s="784">
        <v>1</v>
      </c>
      <c r="G199" s="786">
        <v>200</v>
      </c>
      <c r="H199" s="658">
        <f t="shared" si="65"/>
        <v>200</v>
      </c>
      <c r="I199" s="658">
        <f t="shared" ca="1" si="66"/>
        <v>-189.45000000000005</v>
      </c>
      <c r="J199" s="658">
        <f t="shared" ref="J199:J235" ca="1" si="68">SUM(H199:I199)</f>
        <v>10.549999999999955</v>
      </c>
      <c r="K199" s="690">
        <v>200</v>
      </c>
      <c r="M199" s="134"/>
      <c r="N199" s="61"/>
      <c r="O199" s="328"/>
      <c r="P199" s="328"/>
      <c r="Q199" s="246"/>
    </row>
    <row r="200" spans="1:17" ht="15" customHeight="1" x14ac:dyDescent="0.4">
      <c r="A200" s="734"/>
      <c r="B200" s="147" t="str">
        <f t="shared" si="67"/>
        <v>6240-5</v>
      </c>
      <c r="C200" s="661" t="s">
        <v>340</v>
      </c>
      <c r="D200" s="688"/>
      <c r="E200" s="676"/>
      <c r="F200" s="691">
        <v>1</v>
      </c>
      <c r="G200" s="646">
        <v>100</v>
      </c>
      <c r="H200" s="608">
        <f t="shared" si="65"/>
        <v>100</v>
      </c>
      <c r="I200" s="589">
        <f t="shared" ca="1" si="66"/>
        <v>-140</v>
      </c>
      <c r="J200" s="589">
        <f t="shared" ca="1" si="68"/>
        <v>-40</v>
      </c>
      <c r="K200" s="677">
        <v>100</v>
      </c>
      <c r="N200" s="61"/>
      <c r="O200" s="328"/>
      <c r="P200" s="328"/>
      <c r="Q200" s="246"/>
    </row>
    <row r="201" spans="1:17" ht="15" customHeight="1" x14ac:dyDescent="0.4">
      <c r="A201" s="742" t="s">
        <v>519</v>
      </c>
      <c r="B201" s="143" t="str">
        <f t="shared" si="67"/>
        <v>6240-6</v>
      </c>
      <c r="C201" s="600" t="s">
        <v>567</v>
      </c>
      <c r="D201" s="678">
        <v>0</v>
      </c>
      <c r="E201" s="678"/>
      <c r="F201" s="696"/>
      <c r="G201" s="603">
        <v>2575</v>
      </c>
      <c r="H201" s="612">
        <f t="shared" si="65"/>
        <v>0</v>
      </c>
      <c r="I201" s="594">
        <f t="shared" ca="1" si="66"/>
        <v>0</v>
      </c>
      <c r="J201" s="594">
        <f t="shared" ca="1" si="68"/>
        <v>0</v>
      </c>
      <c r="K201" s="679">
        <v>2575</v>
      </c>
      <c r="N201" s="61"/>
      <c r="O201" s="328"/>
      <c r="P201" s="328"/>
      <c r="Q201" s="246"/>
    </row>
    <row r="202" spans="1:17" ht="15" customHeight="1" x14ac:dyDescent="0.4">
      <c r="A202" s="778"/>
      <c r="B202" s="147" t="str">
        <f t="shared" si="67"/>
        <v>6240-7</v>
      </c>
      <c r="C202" s="584" t="s">
        <v>341</v>
      </c>
      <c r="D202" s="712">
        <v>1</v>
      </c>
      <c r="E202" s="681"/>
      <c r="F202" s="712"/>
      <c r="G202" s="588">
        <v>415</v>
      </c>
      <c r="H202" s="608">
        <f t="shared" si="65"/>
        <v>415</v>
      </c>
      <c r="I202" s="589">
        <f t="shared" ca="1" si="66"/>
        <v>0</v>
      </c>
      <c r="J202" s="589">
        <f t="shared" ca="1" si="68"/>
        <v>415</v>
      </c>
      <c r="K202" s="452">
        <v>250</v>
      </c>
      <c r="N202" s="61"/>
      <c r="O202" s="328"/>
      <c r="P202" s="328"/>
      <c r="Q202" s="322"/>
    </row>
    <row r="203" spans="1:17" ht="15" customHeight="1" x14ac:dyDescent="0.4">
      <c r="A203" s="740" t="s">
        <v>519</v>
      </c>
      <c r="B203" s="143" t="str">
        <f t="shared" si="67"/>
        <v>6240-8</v>
      </c>
      <c r="C203" s="590" t="s">
        <v>342</v>
      </c>
      <c r="D203" s="720">
        <v>0</v>
      </c>
      <c r="E203" s="720"/>
      <c r="F203" s="702"/>
      <c r="G203" s="616">
        <v>5000</v>
      </c>
      <c r="H203" s="612">
        <f t="shared" si="65"/>
        <v>0</v>
      </c>
      <c r="I203" s="594">
        <f t="shared" ca="1" si="66"/>
        <v>0</v>
      </c>
      <c r="J203" s="594">
        <f t="shared" ca="1" si="68"/>
        <v>0</v>
      </c>
      <c r="K203" s="704">
        <v>5000</v>
      </c>
      <c r="M203" s="134"/>
      <c r="N203" s="61"/>
      <c r="O203" s="328"/>
      <c r="P203" s="328"/>
      <c r="Q203" s="246"/>
    </row>
    <row r="204" spans="1:17" ht="15" customHeight="1" x14ac:dyDescent="0.4">
      <c r="A204" s="734"/>
      <c r="B204" s="147" t="str">
        <f t="shared" si="67"/>
        <v>6240-9</v>
      </c>
      <c r="C204" s="604" t="s">
        <v>343</v>
      </c>
      <c r="D204" s="676">
        <v>1</v>
      </c>
      <c r="E204" s="676"/>
      <c r="F204" s="708"/>
      <c r="G204" s="646">
        <v>250</v>
      </c>
      <c r="H204" s="608">
        <f t="shared" si="65"/>
        <v>250</v>
      </c>
      <c r="I204" s="589">
        <f t="shared" ca="1" si="66"/>
        <v>0</v>
      </c>
      <c r="J204" s="589">
        <f t="shared" ca="1" si="68"/>
        <v>250</v>
      </c>
      <c r="K204" s="677">
        <v>175</v>
      </c>
      <c r="N204" s="61"/>
      <c r="O204" s="328"/>
      <c r="P204" s="328"/>
      <c r="Q204" s="246"/>
    </row>
    <row r="205" spans="1:17" ht="15" customHeight="1" x14ac:dyDescent="0.4">
      <c r="A205" s="745"/>
      <c r="B205" s="146" t="str">
        <f t="shared" si="67"/>
        <v>6240-10</v>
      </c>
      <c r="C205" s="783" t="s">
        <v>344</v>
      </c>
      <c r="D205" s="785">
        <v>1</v>
      </c>
      <c r="E205" s="785"/>
      <c r="F205" s="787"/>
      <c r="G205" s="786">
        <v>750</v>
      </c>
      <c r="H205" s="612">
        <f t="shared" si="65"/>
        <v>750</v>
      </c>
      <c r="I205" s="658">
        <f t="shared" ca="1" si="66"/>
        <v>0</v>
      </c>
      <c r="J205" s="658">
        <f t="shared" ca="1" si="68"/>
        <v>750</v>
      </c>
      <c r="K205" s="690">
        <v>750</v>
      </c>
      <c r="N205" s="61"/>
      <c r="O205" s="328"/>
      <c r="P205" s="328"/>
      <c r="Q205" s="246"/>
    </row>
    <row r="206" spans="1:17" ht="15" customHeight="1" x14ac:dyDescent="0.4">
      <c r="A206" s="779"/>
      <c r="B206" s="147" t="str">
        <f t="shared" si="67"/>
        <v>6240-11</v>
      </c>
      <c r="C206" s="650" t="s">
        <v>345</v>
      </c>
      <c r="D206" s="724">
        <v>12</v>
      </c>
      <c r="E206" s="684"/>
      <c r="F206" s="724"/>
      <c r="G206" s="646">
        <v>3400</v>
      </c>
      <c r="H206" s="608">
        <f t="shared" si="65"/>
        <v>40800</v>
      </c>
      <c r="I206" s="589">
        <f t="shared" ca="1" si="66"/>
        <v>-37816.14</v>
      </c>
      <c r="J206" s="589">
        <f t="shared" ca="1" si="68"/>
        <v>2983.8600000000006</v>
      </c>
      <c r="K206" s="677">
        <v>40800</v>
      </c>
      <c r="N206" s="61"/>
      <c r="O206" s="328"/>
      <c r="P206" s="328"/>
      <c r="Q206" s="322"/>
    </row>
    <row r="207" spans="1:17" ht="15" customHeight="1" x14ac:dyDescent="0.4">
      <c r="A207" s="748"/>
      <c r="B207" s="146" t="str">
        <f t="shared" si="67"/>
        <v>6240-12</v>
      </c>
      <c r="C207" s="654" t="s">
        <v>568</v>
      </c>
      <c r="D207" s="689"/>
      <c r="E207" s="788"/>
      <c r="F207" s="789">
        <v>1</v>
      </c>
      <c r="G207" s="786">
        <v>2500</v>
      </c>
      <c r="H207" s="658">
        <f t="shared" ref="H207:H215" si="69">(D207+E207+F207)*G207</f>
        <v>2500</v>
      </c>
      <c r="I207" s="658">
        <f t="shared" ca="1" si="66"/>
        <v>-409.5</v>
      </c>
      <c r="J207" s="658">
        <f t="shared" ca="1" si="68"/>
        <v>2090.5</v>
      </c>
      <c r="K207" s="690">
        <v>2500</v>
      </c>
      <c r="N207" s="61"/>
      <c r="O207" s="328"/>
      <c r="P207" s="328"/>
      <c r="Q207" s="246"/>
    </row>
    <row r="208" spans="1:17" ht="15" customHeight="1" x14ac:dyDescent="0.4">
      <c r="A208" s="734" t="s">
        <v>599</v>
      </c>
      <c r="B208" s="147" t="str">
        <f t="shared" si="67"/>
        <v>6240-13</v>
      </c>
      <c r="C208" s="604" t="s">
        <v>369</v>
      </c>
      <c r="D208" s="676">
        <v>1</v>
      </c>
      <c r="E208" s="676"/>
      <c r="F208" s="691"/>
      <c r="G208" s="646">
        <v>1595</v>
      </c>
      <c r="H208" s="589">
        <f>(D208+E208+F208)*G208</f>
        <v>1595</v>
      </c>
      <c r="I208" s="589">
        <f t="shared" ca="1" si="66"/>
        <v>0</v>
      </c>
      <c r="J208" s="589">
        <f t="shared" ca="1" si="68"/>
        <v>1595</v>
      </c>
      <c r="K208" s="677"/>
      <c r="M208" s="134"/>
      <c r="N208" s="61"/>
      <c r="O208" s="328"/>
      <c r="P208" s="450"/>
      <c r="Q208" s="246"/>
    </row>
    <row r="209" spans="1:17" ht="15" customHeight="1" x14ac:dyDescent="0.4">
      <c r="A209" s="737"/>
      <c r="B209" s="146" t="str">
        <f t="shared" si="67"/>
        <v>6240-14</v>
      </c>
      <c r="C209" s="590" t="s">
        <v>346</v>
      </c>
      <c r="D209" s="720">
        <v>1</v>
      </c>
      <c r="E209" s="720"/>
      <c r="F209" s="721"/>
      <c r="G209" s="616">
        <v>5000</v>
      </c>
      <c r="H209" s="612">
        <f t="shared" si="69"/>
        <v>5000</v>
      </c>
      <c r="I209" s="594">
        <f t="shared" ca="1" si="66"/>
        <v>-4900</v>
      </c>
      <c r="J209" s="594">
        <f t="shared" ca="1" si="68"/>
        <v>100</v>
      </c>
      <c r="K209" s="704">
        <v>5000</v>
      </c>
      <c r="N209" s="61"/>
      <c r="O209" s="328"/>
      <c r="P209" s="328"/>
      <c r="Q209" s="246"/>
    </row>
    <row r="210" spans="1:17" ht="15" customHeight="1" x14ac:dyDescent="0.4">
      <c r="A210" s="736"/>
      <c r="B210" s="147" t="str">
        <f t="shared" si="67"/>
        <v>6240-15</v>
      </c>
      <c r="C210" s="604" t="s">
        <v>347</v>
      </c>
      <c r="D210" s="676">
        <v>1</v>
      </c>
      <c r="E210" s="676"/>
      <c r="F210" s="708"/>
      <c r="G210" s="646">
        <v>200</v>
      </c>
      <c r="H210" s="608">
        <f t="shared" si="69"/>
        <v>200</v>
      </c>
      <c r="I210" s="589">
        <f t="shared" ca="1" si="66"/>
        <v>0</v>
      </c>
      <c r="J210" s="589">
        <f t="shared" ca="1" si="68"/>
        <v>200</v>
      </c>
      <c r="K210" s="677">
        <v>175</v>
      </c>
      <c r="N210" s="61"/>
      <c r="O210" s="328"/>
      <c r="P210" s="328"/>
    </row>
    <row r="211" spans="1:17" ht="15" customHeight="1" x14ac:dyDescent="0.4">
      <c r="A211" s="780"/>
      <c r="B211" s="146" t="str">
        <f t="shared" si="67"/>
        <v>6240-16</v>
      </c>
      <c r="C211" s="648" t="s">
        <v>348</v>
      </c>
      <c r="D211" s="694"/>
      <c r="E211" s="678">
        <v>1</v>
      </c>
      <c r="F211" s="694"/>
      <c r="G211" s="603">
        <v>100</v>
      </c>
      <c r="H211" s="612">
        <f>(D211+E211+F211)*G211</f>
        <v>100</v>
      </c>
      <c r="I211" s="594">
        <f t="shared" ca="1" si="66"/>
        <v>0</v>
      </c>
      <c r="J211" s="594">
        <f t="shared" ca="1" si="68"/>
        <v>100</v>
      </c>
      <c r="K211" s="679">
        <v>100</v>
      </c>
      <c r="M211" s="3"/>
      <c r="N211" s="61"/>
      <c r="O211" s="328"/>
      <c r="P211" s="328"/>
      <c r="Q211" s="246"/>
    </row>
    <row r="212" spans="1:17" ht="15" customHeight="1" x14ac:dyDescent="0.4">
      <c r="A212" s="734"/>
      <c r="B212" s="147" t="str">
        <f t="shared" si="67"/>
        <v>6240-17</v>
      </c>
      <c r="C212" s="644" t="s">
        <v>349</v>
      </c>
      <c r="D212" s="684"/>
      <c r="E212" s="684"/>
      <c r="F212" s="684">
        <v>4</v>
      </c>
      <c r="G212" s="646">
        <v>400</v>
      </c>
      <c r="H212" s="608">
        <f t="shared" si="69"/>
        <v>1600</v>
      </c>
      <c r="I212" s="589">
        <f t="shared" ca="1" si="66"/>
        <v>-17.5</v>
      </c>
      <c r="J212" s="589">
        <f t="shared" ca="1" si="68"/>
        <v>1582.5</v>
      </c>
      <c r="K212" s="677">
        <v>1600</v>
      </c>
      <c r="N212" s="61"/>
      <c r="O212" s="328"/>
      <c r="P212" s="328"/>
      <c r="Q212" s="246"/>
    </row>
    <row r="213" spans="1:17" ht="26.25" customHeight="1" x14ac:dyDescent="0.4">
      <c r="A213" s="735" t="s">
        <v>350</v>
      </c>
      <c r="B213" s="146" t="str">
        <f t="shared" si="67"/>
        <v>6240-18</v>
      </c>
      <c r="C213" s="639" t="s">
        <v>603</v>
      </c>
      <c r="D213" s="686">
        <v>0</v>
      </c>
      <c r="E213" s="686"/>
      <c r="F213" s="766"/>
      <c r="G213" s="603">
        <v>75</v>
      </c>
      <c r="H213" s="594">
        <f t="shared" si="69"/>
        <v>0</v>
      </c>
      <c r="I213" s="594">
        <f t="shared" ca="1" si="66"/>
        <v>0</v>
      </c>
      <c r="J213" s="594">
        <f t="shared" ca="1" si="68"/>
        <v>0</v>
      </c>
      <c r="K213" s="679">
        <v>75</v>
      </c>
      <c r="N213" s="61"/>
      <c r="O213" s="328"/>
      <c r="P213" s="328"/>
      <c r="Q213" s="246"/>
    </row>
    <row r="214" spans="1:17" ht="15" customHeight="1" x14ac:dyDescent="0.4">
      <c r="A214" s="734"/>
      <c r="B214" s="147" t="str">
        <f t="shared" si="67"/>
        <v>6240-19</v>
      </c>
      <c r="C214" s="604" t="s">
        <v>351</v>
      </c>
      <c r="D214" s="676"/>
      <c r="E214" s="676"/>
      <c r="F214" s="676">
        <v>1</v>
      </c>
      <c r="G214" s="646">
        <v>700</v>
      </c>
      <c r="H214" s="608">
        <f t="shared" si="69"/>
        <v>700</v>
      </c>
      <c r="I214" s="589">
        <f t="shared" ca="1" si="66"/>
        <v>0</v>
      </c>
      <c r="J214" s="589">
        <f t="shared" ca="1" si="68"/>
        <v>700</v>
      </c>
      <c r="K214" s="677">
        <v>700</v>
      </c>
      <c r="N214" s="61"/>
      <c r="O214" s="328"/>
      <c r="P214" s="328"/>
      <c r="Q214" s="246"/>
    </row>
    <row r="215" spans="1:17" ht="15" customHeight="1" x14ac:dyDescent="0.4">
      <c r="A215" s="742" t="s">
        <v>520</v>
      </c>
      <c r="B215" s="146" t="str">
        <f t="shared" si="67"/>
        <v>6240-20</v>
      </c>
      <c r="C215" s="600" t="s">
        <v>569</v>
      </c>
      <c r="D215" s="678"/>
      <c r="E215" s="678"/>
      <c r="F215" s="696"/>
      <c r="G215" s="603">
        <v>1700</v>
      </c>
      <c r="H215" s="612">
        <f t="shared" si="69"/>
        <v>0</v>
      </c>
      <c r="I215" s="594">
        <f t="shared" ca="1" si="66"/>
        <v>0</v>
      </c>
      <c r="J215" s="594">
        <f t="shared" ca="1" si="68"/>
        <v>0</v>
      </c>
      <c r="K215" s="679">
        <v>1700</v>
      </c>
      <c r="N215" s="61"/>
      <c r="O215" s="328"/>
      <c r="P215" s="328"/>
      <c r="Q215" s="246"/>
    </row>
    <row r="216" spans="1:17" ht="15" customHeight="1" x14ac:dyDescent="0.4">
      <c r="A216" s="781"/>
      <c r="B216" s="147" t="str">
        <f>LEFT($B215,4)&amp;"-"&amp;VALUE(MID($B215,FIND("-",$B215)+1,256))+1</f>
        <v>6240-21</v>
      </c>
      <c r="C216" s="596" t="s">
        <v>352</v>
      </c>
      <c r="D216" s="666"/>
      <c r="E216" s="666">
        <v>1</v>
      </c>
      <c r="F216" s="790"/>
      <c r="G216" s="588">
        <v>250</v>
      </c>
      <c r="H216" s="589">
        <f>(D216+E216+F216)*G216</f>
        <v>250</v>
      </c>
      <c r="I216" s="589">
        <f t="shared" ca="1" si="66"/>
        <v>0</v>
      </c>
      <c r="J216" s="589">
        <f t="shared" ca="1" si="68"/>
        <v>250</v>
      </c>
      <c r="K216" s="452">
        <v>250</v>
      </c>
      <c r="M216" s="3"/>
      <c r="N216" s="61"/>
      <c r="O216" s="328"/>
      <c r="P216" s="328"/>
      <c r="Q216" s="246"/>
    </row>
    <row r="217" spans="1:17" ht="30" customHeight="1" x14ac:dyDescent="0.4">
      <c r="A217" s="782"/>
      <c r="B217" s="146" t="str">
        <f t="shared" si="67"/>
        <v>6240-22</v>
      </c>
      <c r="C217" s="643" t="s">
        <v>570</v>
      </c>
      <c r="D217" s="717">
        <v>1</v>
      </c>
      <c r="E217" s="711"/>
      <c r="F217" s="717"/>
      <c r="G217" s="616">
        <v>8250</v>
      </c>
      <c r="H217" s="594">
        <f>(D217+E217+F217)*G217</f>
        <v>8250</v>
      </c>
      <c r="I217" s="594">
        <f t="shared" ref="I217:I230" ca="1" si="70">-(SUMIF(INDIRECT(LEFT($A$195,4)&amp;"!i3:i200"),"="&amp;B217&amp;" *",INDIRECT(LEFT($A$195,4)&amp;"!k3:k200")))</f>
        <v>-1233.1500000000001</v>
      </c>
      <c r="J217" s="594">
        <f t="shared" ca="1" si="68"/>
        <v>7016.85</v>
      </c>
      <c r="K217" s="704">
        <v>7500</v>
      </c>
      <c r="N217" s="61"/>
      <c r="O217" s="328"/>
      <c r="P217" s="328"/>
      <c r="Q217" s="246"/>
    </row>
    <row r="218" spans="1:17" ht="15" customHeight="1" x14ac:dyDescent="0.4">
      <c r="A218" s="730"/>
      <c r="B218" s="147" t="str">
        <f t="shared" si="67"/>
        <v>6240-23</v>
      </c>
      <c r="C218" s="672" t="s">
        <v>353</v>
      </c>
      <c r="D218" s="688"/>
      <c r="E218" s="666"/>
      <c r="F218" s="688">
        <v>1</v>
      </c>
      <c r="G218" s="588">
        <v>3750</v>
      </c>
      <c r="H218" s="589">
        <f>(D218+E218+F218)*G218</f>
        <v>3750</v>
      </c>
      <c r="I218" s="589">
        <f t="shared" ca="1" si="70"/>
        <v>-11883.650000000001</v>
      </c>
      <c r="J218" s="589">
        <f t="shared" ca="1" si="68"/>
        <v>-8133.6500000000015</v>
      </c>
      <c r="K218" s="452">
        <v>3750</v>
      </c>
      <c r="L218" s="75"/>
      <c r="N218" s="61"/>
      <c r="O218" s="328"/>
      <c r="P218" s="328"/>
      <c r="Q218" s="246"/>
    </row>
    <row r="219" spans="1:17" ht="15" customHeight="1" x14ac:dyDescent="0.4">
      <c r="A219" s="782"/>
      <c r="B219" s="146" t="str">
        <f t="shared" si="67"/>
        <v>6240-24</v>
      </c>
      <c r="C219" s="701" t="s">
        <v>571</v>
      </c>
      <c r="D219" s="702">
        <v>16</v>
      </c>
      <c r="E219" s="720"/>
      <c r="F219" s="702"/>
      <c r="G219" s="616">
        <v>75</v>
      </c>
      <c r="H219" s="612">
        <f t="shared" ref="H219:H221" si="71">(D219+E219+F219)*G219</f>
        <v>1200</v>
      </c>
      <c r="I219" s="594">
        <f t="shared" ca="1" si="70"/>
        <v>-2250</v>
      </c>
      <c r="J219" s="594">
        <f t="shared" ca="1" si="68"/>
        <v>-1050</v>
      </c>
      <c r="K219" s="704">
        <v>1190</v>
      </c>
      <c r="N219" s="61"/>
      <c r="O219" s="328"/>
      <c r="P219" s="328"/>
      <c r="Q219" s="246"/>
    </row>
    <row r="220" spans="1:17" ht="15" customHeight="1" x14ac:dyDescent="0.4">
      <c r="A220" s="730"/>
      <c r="B220" s="147" t="str">
        <f t="shared" si="67"/>
        <v>6240-25</v>
      </c>
      <c r="C220" s="596" t="s">
        <v>572</v>
      </c>
      <c r="D220" s="666">
        <v>1</v>
      </c>
      <c r="E220" s="666"/>
      <c r="F220" s="693"/>
      <c r="G220" s="588">
        <v>40</v>
      </c>
      <c r="H220" s="589">
        <f t="shared" si="71"/>
        <v>40</v>
      </c>
      <c r="I220" s="589">
        <f t="shared" ca="1" si="70"/>
        <v>0</v>
      </c>
      <c r="J220" s="589">
        <f t="shared" ca="1" si="68"/>
        <v>40</v>
      </c>
      <c r="K220" s="452">
        <v>40</v>
      </c>
      <c r="N220" s="61"/>
      <c r="O220" s="328"/>
      <c r="P220" s="328"/>
      <c r="Q220" s="246"/>
    </row>
    <row r="221" spans="1:17" ht="15" customHeight="1" x14ac:dyDescent="0.4">
      <c r="A221" s="740" t="s">
        <v>521</v>
      </c>
      <c r="B221" s="146" t="str">
        <f t="shared" si="67"/>
        <v>6240-26</v>
      </c>
      <c r="C221" s="613" t="s">
        <v>354</v>
      </c>
      <c r="D221" s="711">
        <v>0</v>
      </c>
      <c r="E221" s="711"/>
      <c r="F221" s="791"/>
      <c r="G221" s="616">
        <v>475</v>
      </c>
      <c r="H221" s="594">
        <f t="shared" si="71"/>
        <v>0</v>
      </c>
      <c r="I221" s="594">
        <f t="shared" ca="1" si="70"/>
        <v>0</v>
      </c>
      <c r="J221" s="594">
        <f t="shared" ca="1" si="68"/>
        <v>0</v>
      </c>
      <c r="K221" s="704">
        <v>475</v>
      </c>
      <c r="N221" s="61"/>
      <c r="O221" s="328"/>
      <c r="P221" s="328"/>
      <c r="Q221" s="246"/>
    </row>
    <row r="222" spans="1:17" ht="15" customHeight="1" x14ac:dyDescent="0.4">
      <c r="A222" s="730"/>
      <c r="B222" s="147" t="str">
        <f t="shared" si="67"/>
        <v>6240-27</v>
      </c>
      <c r="C222" s="596" t="s">
        <v>355</v>
      </c>
      <c r="D222" s="666">
        <v>1</v>
      </c>
      <c r="E222" s="666"/>
      <c r="F222" s="693"/>
      <c r="G222" s="588">
        <v>100</v>
      </c>
      <c r="H222" s="589">
        <f t="shared" ref="H222:H235" si="72">(D222+E222+F222)*G222</f>
        <v>100</v>
      </c>
      <c r="I222" s="589">
        <f t="shared" ca="1" si="70"/>
        <v>0</v>
      </c>
      <c r="J222" s="589">
        <f t="shared" ca="1" si="68"/>
        <v>100</v>
      </c>
      <c r="K222" s="452">
        <v>100</v>
      </c>
      <c r="N222" s="61"/>
      <c r="O222" s="328"/>
      <c r="P222" s="328"/>
      <c r="Q222" s="246"/>
    </row>
    <row r="223" spans="1:17" ht="15" customHeight="1" x14ac:dyDescent="0.4">
      <c r="A223" s="740"/>
      <c r="B223" s="146" t="str">
        <f t="shared" si="67"/>
        <v>6240-28</v>
      </c>
      <c r="C223" s="613" t="s">
        <v>356</v>
      </c>
      <c r="D223" s="711">
        <v>1</v>
      </c>
      <c r="E223" s="711"/>
      <c r="F223" s="791"/>
      <c r="G223" s="616">
        <v>85</v>
      </c>
      <c r="H223" s="612">
        <f t="shared" si="72"/>
        <v>85</v>
      </c>
      <c r="I223" s="594">
        <f t="shared" ca="1" si="70"/>
        <v>0</v>
      </c>
      <c r="J223" s="594">
        <f t="shared" ca="1" si="68"/>
        <v>85</v>
      </c>
      <c r="K223" s="704">
        <v>85</v>
      </c>
      <c r="N223" s="61"/>
      <c r="O223" s="328"/>
      <c r="P223" s="328"/>
      <c r="Q223" s="246"/>
    </row>
    <row r="224" spans="1:17" ht="15" customHeight="1" x14ac:dyDescent="0.4">
      <c r="A224" s="730"/>
      <c r="B224" s="147" t="str">
        <f t="shared" si="67"/>
        <v>6240-29</v>
      </c>
      <c r="C224" s="659" t="s">
        <v>357</v>
      </c>
      <c r="D224" s="681">
        <v>1</v>
      </c>
      <c r="E224" s="681"/>
      <c r="F224" s="700"/>
      <c r="G224" s="588">
        <v>650</v>
      </c>
      <c r="H224" s="608">
        <f t="shared" si="72"/>
        <v>650</v>
      </c>
      <c r="I224" s="589">
        <f t="shared" ca="1" si="70"/>
        <v>-545</v>
      </c>
      <c r="J224" s="589">
        <f t="shared" ca="1" si="68"/>
        <v>105</v>
      </c>
      <c r="K224" s="452">
        <v>650</v>
      </c>
      <c r="N224" s="61"/>
      <c r="O224" s="328"/>
      <c r="P224" s="328"/>
      <c r="Q224" s="246"/>
    </row>
    <row r="225" spans="1:17" ht="15" customHeight="1" x14ac:dyDescent="0.4">
      <c r="A225" s="740"/>
      <c r="B225" s="146" t="str">
        <f t="shared" si="67"/>
        <v>6240-30</v>
      </c>
      <c r="C225" s="613" t="s">
        <v>358</v>
      </c>
      <c r="D225" s="711">
        <v>1</v>
      </c>
      <c r="E225" s="711"/>
      <c r="F225" s="791"/>
      <c r="G225" s="616">
        <v>275</v>
      </c>
      <c r="H225" s="612">
        <f t="shared" si="72"/>
        <v>275</v>
      </c>
      <c r="I225" s="594">
        <f t="shared" ca="1" si="70"/>
        <v>-250</v>
      </c>
      <c r="J225" s="594">
        <f t="shared" ca="1" si="68"/>
        <v>25</v>
      </c>
      <c r="K225" s="704">
        <v>275</v>
      </c>
      <c r="N225" s="61"/>
      <c r="O225" s="328"/>
      <c r="P225" s="328"/>
      <c r="Q225" s="246"/>
    </row>
    <row r="226" spans="1:17" ht="15" customHeight="1" x14ac:dyDescent="0.4">
      <c r="A226" s="730"/>
      <c r="B226" s="147" t="str">
        <f t="shared" si="67"/>
        <v>6240-31</v>
      </c>
      <c r="C226" s="596" t="s">
        <v>359</v>
      </c>
      <c r="D226" s="666">
        <v>1</v>
      </c>
      <c r="E226" s="666"/>
      <c r="F226" s="693"/>
      <c r="G226" s="588">
        <v>275</v>
      </c>
      <c r="H226" s="608">
        <f t="shared" si="72"/>
        <v>275</v>
      </c>
      <c r="I226" s="589">
        <f t="shared" ca="1" si="70"/>
        <v>-129</v>
      </c>
      <c r="J226" s="589">
        <f t="shared" ca="1" si="68"/>
        <v>146</v>
      </c>
      <c r="K226" s="452">
        <v>225</v>
      </c>
      <c r="L226" s="103"/>
      <c r="N226" s="61"/>
      <c r="O226" s="328"/>
      <c r="P226" s="328"/>
      <c r="Q226" s="246"/>
    </row>
    <row r="227" spans="1:17" ht="15" customHeight="1" x14ac:dyDescent="0.4">
      <c r="A227" s="740"/>
      <c r="B227" s="146" t="str">
        <f t="shared" si="67"/>
        <v>6240-32</v>
      </c>
      <c r="C227" s="613" t="s">
        <v>360</v>
      </c>
      <c r="D227" s="711">
        <v>1</v>
      </c>
      <c r="E227" s="711"/>
      <c r="F227" s="717"/>
      <c r="G227" s="616">
        <v>300</v>
      </c>
      <c r="H227" s="612">
        <f t="shared" si="72"/>
        <v>300</v>
      </c>
      <c r="I227" s="594">
        <f t="shared" ca="1" si="70"/>
        <v>-254.95</v>
      </c>
      <c r="J227" s="594">
        <f t="shared" ca="1" si="68"/>
        <v>45.050000000000011</v>
      </c>
      <c r="K227" s="704">
        <v>300</v>
      </c>
      <c r="N227" s="61"/>
      <c r="O227" s="328"/>
      <c r="P227" s="328"/>
      <c r="Q227" s="246"/>
    </row>
    <row r="228" spans="1:17" ht="15" customHeight="1" x14ac:dyDescent="0.4">
      <c r="A228" s="778"/>
      <c r="B228" s="147" t="str">
        <f t="shared" si="67"/>
        <v>6240-33</v>
      </c>
      <c r="C228" s="584" t="s">
        <v>361</v>
      </c>
      <c r="D228" s="712">
        <v>1</v>
      </c>
      <c r="E228" s="681"/>
      <c r="F228" s="712"/>
      <c r="G228" s="588">
        <v>850</v>
      </c>
      <c r="H228" s="608">
        <f t="shared" si="72"/>
        <v>850</v>
      </c>
      <c r="I228" s="589">
        <f t="shared" ca="1" si="70"/>
        <v>0</v>
      </c>
      <c r="J228" s="589">
        <f t="shared" ca="1" si="68"/>
        <v>850</v>
      </c>
      <c r="K228" s="452">
        <v>850</v>
      </c>
      <c r="N228" s="61"/>
      <c r="O228" s="328"/>
      <c r="P228" s="328"/>
      <c r="Q228" s="246"/>
    </row>
    <row r="229" spans="1:17" ht="15" customHeight="1" x14ac:dyDescent="0.4">
      <c r="A229" s="780"/>
      <c r="B229" s="146" t="str">
        <f t="shared" si="67"/>
        <v>6240-34</v>
      </c>
      <c r="C229" s="792" t="s">
        <v>362</v>
      </c>
      <c r="D229" s="694">
        <v>1</v>
      </c>
      <c r="E229" s="678"/>
      <c r="F229" s="694"/>
      <c r="G229" s="603">
        <v>825</v>
      </c>
      <c r="H229" s="612">
        <f t="shared" si="72"/>
        <v>825</v>
      </c>
      <c r="I229" s="594">
        <f t="shared" ca="1" si="70"/>
        <v>0</v>
      </c>
      <c r="J229" s="594">
        <f t="shared" ca="1" si="68"/>
        <v>825</v>
      </c>
      <c r="K229" s="679">
        <v>750</v>
      </c>
      <c r="N229" s="61"/>
      <c r="O229" s="328"/>
      <c r="P229" s="328"/>
    </row>
    <row r="230" spans="1:17" ht="15" customHeight="1" x14ac:dyDescent="0.4">
      <c r="A230" s="734" t="s">
        <v>366</v>
      </c>
      <c r="B230" s="147" t="str">
        <f t="shared" si="67"/>
        <v>6240-35</v>
      </c>
      <c r="C230" s="604" t="s">
        <v>368</v>
      </c>
      <c r="D230" s="676">
        <v>1</v>
      </c>
      <c r="E230" s="676"/>
      <c r="F230" s="691"/>
      <c r="G230" s="646">
        <v>500</v>
      </c>
      <c r="H230" s="589">
        <f>(D230+E230+F230)*G230</f>
        <v>500</v>
      </c>
      <c r="I230" s="589">
        <f t="shared" ca="1" si="70"/>
        <v>0</v>
      </c>
      <c r="J230" s="589">
        <f t="shared" ca="1" si="68"/>
        <v>500</v>
      </c>
      <c r="K230" s="677"/>
      <c r="M230" s="134"/>
      <c r="N230" s="61"/>
      <c r="O230" s="328"/>
      <c r="P230" s="328"/>
      <c r="Q230" s="246"/>
    </row>
    <row r="231" spans="1:17" ht="12.65" customHeight="1" x14ac:dyDescent="0.4">
      <c r="A231" s="740"/>
      <c r="B231" s="146" t="str">
        <f t="shared" si="67"/>
        <v>6240-36</v>
      </c>
      <c r="C231" s="590" t="s">
        <v>363</v>
      </c>
      <c r="D231" s="720">
        <v>1</v>
      </c>
      <c r="E231" s="720"/>
      <c r="F231" s="702"/>
      <c r="G231" s="616">
        <v>225</v>
      </c>
      <c r="H231" s="612">
        <f t="shared" si="72"/>
        <v>225</v>
      </c>
      <c r="I231" s="594">
        <f ca="1">-(SUMIF(INDIRECT(LEFT($A$195,4)&amp;"!i3:i200"),"="&amp;B231&amp;" *",INDIRECT(LEFT($A$195,4)&amp;"!k3:k200")))</f>
        <v>-250</v>
      </c>
      <c r="J231" s="594">
        <f t="shared" ca="1" si="68"/>
        <v>-25</v>
      </c>
      <c r="K231" s="704">
        <v>225</v>
      </c>
      <c r="N231" s="61"/>
      <c r="O231" s="328"/>
      <c r="P231" s="328"/>
      <c r="Q231" s="246"/>
    </row>
    <row r="232" spans="1:17" ht="12.65" customHeight="1" x14ac:dyDescent="0.4">
      <c r="A232" s="734" t="s">
        <v>366</v>
      </c>
      <c r="B232" s="147" t="str">
        <f t="shared" si="67"/>
        <v>6240-37</v>
      </c>
      <c r="C232" s="604" t="s">
        <v>367</v>
      </c>
      <c r="D232" s="676">
        <v>1</v>
      </c>
      <c r="E232" s="676"/>
      <c r="F232" s="691"/>
      <c r="G232" s="646">
        <v>200</v>
      </c>
      <c r="H232" s="608">
        <f>(D232+E232+F232)*G232</f>
        <v>200</v>
      </c>
      <c r="I232" s="589">
        <f ca="1">-(SUMIF(INDIRECT(LEFT($A$195,4)&amp;"!i3:i200"),"="&amp;B232&amp;" *",INDIRECT(LEFT($A$195,4)&amp;"!k3:k200")))</f>
        <v>0</v>
      </c>
      <c r="J232" s="589">
        <f t="shared" ca="1" si="68"/>
        <v>200</v>
      </c>
      <c r="K232" s="677"/>
      <c r="M232" s="134"/>
      <c r="N232" s="61"/>
      <c r="O232" s="328"/>
      <c r="P232" s="328"/>
      <c r="Q232" s="246"/>
    </row>
    <row r="233" spans="1:17" ht="12.65" customHeight="1" x14ac:dyDescent="0.4">
      <c r="A233" s="740"/>
      <c r="B233" s="146" t="str">
        <f t="shared" si="67"/>
        <v>6240-38</v>
      </c>
      <c r="C233" s="590" t="s">
        <v>364</v>
      </c>
      <c r="D233" s="720">
        <v>1</v>
      </c>
      <c r="E233" s="720"/>
      <c r="F233" s="702"/>
      <c r="G233" s="616">
        <v>150</v>
      </c>
      <c r="H233" s="612">
        <f t="shared" si="72"/>
        <v>150</v>
      </c>
      <c r="I233" s="594">
        <f ca="1">-(SUMIF(INDIRECT(LEFT($A$195,4)&amp;"!i3:i200"),"="&amp;B233&amp;" *",INDIRECT(LEFT($A$195,4)&amp;"!k3:k200")))</f>
        <v>0</v>
      </c>
      <c r="J233" s="594">
        <f t="shared" ca="1" si="68"/>
        <v>150</v>
      </c>
      <c r="K233" s="704">
        <v>150</v>
      </c>
      <c r="N233" s="61"/>
      <c r="O233" s="328"/>
      <c r="P233" s="328"/>
      <c r="Q233" s="246"/>
    </row>
    <row r="234" spans="1:17" ht="12.65" customHeight="1" x14ac:dyDescent="0.4">
      <c r="A234" s="734"/>
      <c r="B234" s="147" t="str">
        <f t="shared" si="67"/>
        <v>6240-39</v>
      </c>
      <c r="C234" s="604" t="s">
        <v>588</v>
      </c>
      <c r="D234" s="676">
        <v>1</v>
      </c>
      <c r="E234" s="676"/>
      <c r="F234" s="691"/>
      <c r="G234" s="646">
        <v>50</v>
      </c>
      <c r="H234" s="608">
        <f>(D234+E234+F234)*G234</f>
        <v>50</v>
      </c>
      <c r="I234" s="589">
        <f ca="1">-(SUMIF(INDIRECT(LEFT($A$195,4)&amp;"!i3:i200"),"="&amp;B234&amp;" *",INDIRECT(LEFT($A$195,4)&amp;"!k3:k200")))</f>
        <v>-52.5</v>
      </c>
      <c r="J234" s="589">
        <f t="shared" ca="1" si="68"/>
        <v>-2.5</v>
      </c>
      <c r="K234" s="677">
        <v>50</v>
      </c>
      <c r="M234" s="134"/>
      <c r="N234" s="61"/>
      <c r="O234" s="328"/>
      <c r="P234" s="328"/>
      <c r="Q234" s="246"/>
    </row>
    <row r="235" spans="1:17" ht="12.65" customHeight="1" x14ac:dyDescent="0.4">
      <c r="A235" s="740"/>
      <c r="B235" s="146" t="str">
        <f t="shared" si="67"/>
        <v>6240-40</v>
      </c>
      <c r="C235" s="590" t="s">
        <v>365</v>
      </c>
      <c r="D235" s="720">
        <v>1</v>
      </c>
      <c r="E235" s="720"/>
      <c r="F235" s="702"/>
      <c r="G235" s="616">
        <v>35000</v>
      </c>
      <c r="H235" s="612">
        <f t="shared" si="72"/>
        <v>35000</v>
      </c>
      <c r="I235" s="594">
        <f ca="1">-(SUMIF(INDIRECT(LEFT($A$195,4)&amp;"!i3:i200"),"="&amp;B235&amp;" *",INDIRECT(LEFT($A$195,4)&amp;"!k3:k200")))</f>
        <v>-35428.800000000003</v>
      </c>
      <c r="J235" s="594">
        <f t="shared" ca="1" si="68"/>
        <v>-428.80000000000291</v>
      </c>
      <c r="K235" s="704">
        <v>32400</v>
      </c>
      <c r="M235" s="134"/>
      <c r="N235" s="61"/>
      <c r="O235" s="328"/>
      <c r="P235" s="328"/>
      <c r="Q235" s="246"/>
    </row>
    <row r="236" spans="1:17" thickBot="1" x14ac:dyDescent="0.45">
      <c r="A236" s="733"/>
      <c r="B236" s="95"/>
      <c r="C236" s="617" t="s">
        <v>106</v>
      </c>
      <c r="D236" s="688"/>
      <c r="E236" s="666"/>
      <c r="F236" s="454"/>
      <c r="G236" s="619">
        <f>(H236-K236)/K236</f>
        <v>-3.3384853168469862E-2</v>
      </c>
      <c r="H236" s="621">
        <f>SUM(H196:H235)</f>
        <v>109445</v>
      </c>
      <c r="I236" s="621">
        <f ca="1">SUM(I196:I235)</f>
        <v>-97748.64</v>
      </c>
      <c r="J236" s="621">
        <f ca="1">SUM(J196:J235)</f>
        <v>11696.359999999997</v>
      </c>
      <c r="K236" s="692">
        <f>SUM(K196:K235)</f>
        <v>113225</v>
      </c>
      <c r="N236" s="61"/>
      <c r="O236" s="328"/>
      <c r="P236" s="328"/>
      <c r="Q236" s="246"/>
    </row>
    <row r="237" spans="1:17" ht="7.5" customHeight="1" thickTop="1" x14ac:dyDescent="0.4">
      <c r="A237" s="48"/>
      <c r="B237" s="147"/>
      <c r="C237" s="71"/>
      <c r="D237" s="102"/>
      <c r="E237" s="54"/>
      <c r="F237" s="102"/>
      <c r="G237" s="55"/>
      <c r="H237" s="73"/>
      <c r="I237" s="73"/>
      <c r="J237" s="73"/>
      <c r="K237" s="73"/>
      <c r="N237" s="52"/>
      <c r="O237" s="328"/>
      <c r="P237" s="328"/>
      <c r="Q237" s="246"/>
    </row>
    <row r="238" spans="1:17" ht="19.5" customHeight="1" x14ac:dyDescent="0.5">
      <c r="A238" s="978" t="s">
        <v>370</v>
      </c>
      <c r="B238" s="978"/>
      <c r="C238" s="979"/>
      <c r="D238" s="979"/>
      <c r="E238" s="979"/>
      <c r="F238" s="979"/>
      <c r="G238" s="979"/>
      <c r="H238" s="979"/>
      <c r="I238" s="979" t="e">
        <f ca="1">-(SUMIF(INDIRECT(LEFT($A$212,4)&amp;"!E3:E200"),"="&amp;B238&amp;" *",INDIRECT(LEFT($A$212,4)&amp;"!F3:F200")))</f>
        <v>#REF!</v>
      </c>
      <c r="J238" s="979" t="e">
        <f t="shared" ref="J238:J244" ca="1" si="73">SUM(H238:I238)</f>
        <v>#REF!</v>
      </c>
      <c r="K238" s="979"/>
      <c r="L238" s="104"/>
      <c r="N238" s="52"/>
      <c r="O238" s="328"/>
      <c r="P238" s="328"/>
      <c r="Q238" s="246"/>
    </row>
    <row r="239" spans="1:17" ht="15" customHeight="1" x14ac:dyDescent="0.4">
      <c r="A239" s="728"/>
      <c r="B239" s="95" t="str">
        <f>LEFT($A238,4)&amp;"-1"</f>
        <v>6250-1</v>
      </c>
      <c r="C239" s="625" t="s">
        <v>371</v>
      </c>
      <c r="D239" s="688"/>
      <c r="E239" s="666"/>
      <c r="F239" s="709">
        <v>1</v>
      </c>
      <c r="G239" s="599">
        <v>500</v>
      </c>
      <c r="H239" s="589">
        <f>(D239+E239+F239)*G239</f>
        <v>500</v>
      </c>
      <c r="I239" s="589">
        <f ca="1">-(SUMIF(INDIRECT(LEFT(A238,4)&amp;"!i3:i200"),"="&amp;B239&amp;" *",INDIRECT(LEFT(A238,4)&amp;"!k3:F200")))</f>
        <v>0</v>
      </c>
      <c r="J239" s="589">
        <f t="shared" ca="1" si="73"/>
        <v>500</v>
      </c>
      <c r="K239" s="589">
        <v>500</v>
      </c>
      <c r="L239" s="60"/>
      <c r="N239" s="61"/>
      <c r="O239" s="328"/>
      <c r="P239" s="328"/>
      <c r="Q239" s="246"/>
    </row>
    <row r="240" spans="1:17" ht="15" customHeight="1" thickBot="1" x14ac:dyDescent="0.45">
      <c r="A240" s="37"/>
      <c r="B240" s="148"/>
      <c r="C240" s="617" t="s">
        <v>106</v>
      </c>
      <c r="D240" s="688"/>
      <c r="E240" s="666"/>
      <c r="F240" s="454"/>
      <c r="G240" s="619">
        <f>(H240-K240)/K240</f>
        <v>0</v>
      </c>
      <c r="H240" s="621">
        <f>SUM(H239)</f>
        <v>500</v>
      </c>
      <c r="I240" s="621">
        <f t="shared" ref="I240:J240" ca="1" si="74">SUM(I239)</f>
        <v>0</v>
      </c>
      <c r="J240" s="621">
        <f t="shared" ca="1" si="74"/>
        <v>500</v>
      </c>
      <c r="K240" s="621">
        <f>SUM(K239)</f>
        <v>500</v>
      </c>
      <c r="L240" s="60"/>
      <c r="N240" s="61"/>
      <c r="O240" s="328"/>
      <c r="P240" s="328"/>
      <c r="Q240" s="246"/>
    </row>
    <row r="241" spans="1:18" ht="9.75" hidden="1" customHeight="1" thickBot="1" x14ac:dyDescent="0.45">
      <c r="A241" s="48"/>
      <c r="B241" s="95"/>
      <c r="C241" s="48"/>
      <c r="D241" s="102"/>
      <c r="E241" s="54"/>
      <c r="F241" s="102"/>
      <c r="G241" s="55"/>
      <c r="H241" s="37"/>
      <c r="I241" s="37"/>
      <c r="J241" s="37"/>
      <c r="K241" s="37"/>
      <c r="N241" s="61"/>
      <c r="O241" s="328"/>
      <c r="P241" s="328"/>
      <c r="Q241" s="246"/>
    </row>
    <row r="242" spans="1:18" ht="19.5" customHeight="1" thickTop="1" x14ac:dyDescent="0.5">
      <c r="A242" s="978" t="s">
        <v>372</v>
      </c>
      <c r="B242" s="978"/>
      <c r="C242" s="979"/>
      <c r="D242" s="979"/>
      <c r="E242" s="979"/>
      <c r="F242" s="979"/>
      <c r="G242" s="979"/>
      <c r="H242" s="979"/>
      <c r="I242" s="979" t="e">
        <f ca="1">-(SUMIF(INDIRECT(LEFT($A$212,4)&amp;"!E3:E200"),"="&amp;B242&amp;" *",INDIRECT(LEFT($A$212,4)&amp;"!F3:F200")))</f>
        <v>#REF!</v>
      </c>
      <c r="J242" s="979" t="e">
        <f t="shared" ca="1" si="73"/>
        <v>#REF!</v>
      </c>
      <c r="K242" s="979"/>
      <c r="N242" s="61"/>
      <c r="O242" s="328"/>
      <c r="P242" s="328"/>
      <c r="Q242" s="246"/>
    </row>
    <row r="243" spans="1:18" ht="15" customHeight="1" x14ac:dyDescent="0.4">
      <c r="A243" s="730"/>
      <c r="B243" s="95" t="str">
        <f>LEFT($A242,4)&amp;"-1"</f>
        <v>6260-1</v>
      </c>
      <c r="C243" s="625" t="s">
        <v>373</v>
      </c>
      <c r="D243" s="688"/>
      <c r="E243" s="666"/>
      <c r="F243" s="709">
        <v>1</v>
      </c>
      <c r="G243" s="588">
        <v>10000</v>
      </c>
      <c r="H243" s="589">
        <f t="shared" ref="H243:H250" si="75">(D243+E243+F243)*G243</f>
        <v>10000</v>
      </c>
      <c r="I243" s="589">
        <f t="shared" ref="I243:I245" ca="1" si="76">-(SUMIF(INDIRECT(LEFT($A$242,4)&amp;"!i3:i200"),"="&amp;B243&amp;" *",INDIRECT(LEFT($A$242,4)&amp;"!k3:k200")))</f>
        <v>-8900</v>
      </c>
      <c r="J243" s="589">
        <f t="shared" ca="1" si="73"/>
        <v>1100</v>
      </c>
      <c r="K243" s="452">
        <v>10000</v>
      </c>
      <c r="N243" s="61"/>
      <c r="O243" s="328"/>
      <c r="P243" s="328"/>
      <c r="Q243" s="246"/>
    </row>
    <row r="244" spans="1:18" ht="15" customHeight="1" x14ac:dyDescent="0.4">
      <c r="A244" s="740"/>
      <c r="B244" s="143" t="str">
        <f t="shared" ref="B244:B258" si="77">LEFT($B243,4)&amp;"-"&amp;VALUE(MID($B243,FIND("-",$B243)+1,256))+1</f>
        <v>6260-2</v>
      </c>
      <c r="C244" s="643" t="s">
        <v>573</v>
      </c>
      <c r="D244" s="717"/>
      <c r="E244" s="711"/>
      <c r="F244" s="717">
        <v>2</v>
      </c>
      <c r="G244" s="616">
        <v>15000</v>
      </c>
      <c r="H244" s="658">
        <f t="shared" si="75"/>
        <v>30000</v>
      </c>
      <c r="I244" s="612">
        <f t="shared" ca="1" si="76"/>
        <v>-14150</v>
      </c>
      <c r="J244" s="612">
        <f t="shared" ca="1" si="73"/>
        <v>15850</v>
      </c>
      <c r="K244" s="704">
        <v>15000</v>
      </c>
      <c r="N244" s="61"/>
      <c r="O244" s="328"/>
      <c r="P244" s="328"/>
      <c r="Q244" s="246"/>
    </row>
    <row r="245" spans="1:18" ht="15" customHeight="1" x14ac:dyDescent="0.4">
      <c r="A245" s="734"/>
      <c r="B245" s="95" t="str">
        <f t="shared" si="77"/>
        <v>6260-3</v>
      </c>
      <c r="C245" s="604" t="s">
        <v>374</v>
      </c>
      <c r="D245" s="676"/>
      <c r="E245" s="676">
        <v>12</v>
      </c>
      <c r="F245" s="708"/>
      <c r="G245" s="646">
        <v>1400</v>
      </c>
      <c r="H245" s="608">
        <f>(D245+E245+F245)*G245</f>
        <v>16800</v>
      </c>
      <c r="I245" s="589">
        <f t="shared" ca="1" si="76"/>
        <v>-16800</v>
      </c>
      <c r="J245" s="589">
        <f t="shared" ref="J245:J258" ca="1" si="78">SUM(H245:I245)</f>
        <v>0</v>
      </c>
      <c r="K245" s="677">
        <v>16800</v>
      </c>
      <c r="M245" s="3"/>
      <c r="N245" s="61"/>
      <c r="O245" s="328"/>
      <c r="P245" s="328"/>
      <c r="Q245" s="246"/>
    </row>
    <row r="246" spans="1:18" ht="15" customHeight="1" x14ac:dyDescent="0.4">
      <c r="A246" s="740"/>
      <c r="B246" s="143" t="str">
        <f t="shared" si="77"/>
        <v>6260-4</v>
      </c>
      <c r="C246" s="590" t="s">
        <v>375</v>
      </c>
      <c r="D246" s="720"/>
      <c r="E246" s="720"/>
      <c r="F246" s="720">
        <v>1</v>
      </c>
      <c r="G246" s="616">
        <v>15000</v>
      </c>
      <c r="H246" s="630">
        <f>(D246+E246+F246)*G246</f>
        <v>15000</v>
      </c>
      <c r="I246" s="612">
        <f t="shared" ref="I246:I258" ca="1" si="79">-(SUMIF(INDIRECT(LEFT($A$242,4)&amp;"!i3:i205"),"="&amp;B246&amp;" *",INDIRECT(LEFT($A$242,4)&amp;"!k3:k205")))</f>
        <v>-20975</v>
      </c>
      <c r="J246" s="612">
        <f t="shared" ca="1" si="78"/>
        <v>-5975</v>
      </c>
      <c r="K246" s="704">
        <v>15000</v>
      </c>
      <c r="M246" s="3"/>
      <c r="N246" s="61"/>
      <c r="O246" s="328"/>
      <c r="P246" s="328"/>
      <c r="Q246" s="246"/>
    </row>
    <row r="247" spans="1:18" ht="15" customHeight="1" x14ac:dyDescent="0.4">
      <c r="A247" s="730"/>
      <c r="B247" s="147" t="str">
        <f>LEFT($B246,4)&amp;"-"&amp;VALUE(MID($B246,FIND("-",$B246)+1,256))+1</f>
        <v>6260-5</v>
      </c>
      <c r="C247" s="625" t="s">
        <v>376</v>
      </c>
      <c r="D247" s="688"/>
      <c r="E247" s="666"/>
      <c r="F247" s="688">
        <v>1</v>
      </c>
      <c r="G247" s="588">
        <v>30000</v>
      </c>
      <c r="H247" s="589">
        <f t="shared" si="75"/>
        <v>30000</v>
      </c>
      <c r="I247" s="589">
        <f t="shared" ca="1" si="79"/>
        <v>-37431.050000000003</v>
      </c>
      <c r="J247" s="589">
        <f t="shared" ca="1" si="78"/>
        <v>-7431.0500000000029</v>
      </c>
      <c r="K247" s="452">
        <v>30000</v>
      </c>
      <c r="M247" s="3"/>
      <c r="N247" s="61"/>
      <c r="O247" s="328"/>
      <c r="P247" s="328"/>
      <c r="Q247" s="246"/>
    </row>
    <row r="248" spans="1:18" ht="58.5" customHeight="1" x14ac:dyDescent="0.4">
      <c r="A248" s="735" t="s">
        <v>514</v>
      </c>
      <c r="B248" s="143" t="str">
        <f>LEFT($B247,4)&amp;"-"&amp;VALUE(MID($B247,FIND("-",$B247)+1,256))+1</f>
        <v>6260-6</v>
      </c>
      <c r="C248" s="651" t="s">
        <v>377</v>
      </c>
      <c r="D248" s="765"/>
      <c r="E248" s="686">
        <v>1</v>
      </c>
      <c r="F248" s="765"/>
      <c r="G248" s="603">
        <v>287159</v>
      </c>
      <c r="H248" s="594">
        <f t="shared" si="75"/>
        <v>287159</v>
      </c>
      <c r="I248" s="594">
        <f t="shared" ca="1" si="79"/>
        <v>-295223.63</v>
      </c>
      <c r="J248" s="594">
        <f t="shared" ca="1" si="78"/>
        <v>-8064.6300000000047</v>
      </c>
      <c r="K248" s="679">
        <v>304759</v>
      </c>
      <c r="M248" s="3"/>
      <c r="N248" s="61"/>
      <c r="O248" s="328"/>
      <c r="P248" s="328"/>
      <c r="Q248" s="246"/>
    </row>
    <row r="249" spans="1:18" ht="22.3" x14ac:dyDescent="0.4">
      <c r="A249" s="733" t="s">
        <v>522</v>
      </c>
      <c r="B249" s="147" t="str">
        <f>LEFT($B248,4)&amp;"-"&amp;VALUE(MID($B248,FIND("-",$B248)+1,256))+1</f>
        <v>6260-7</v>
      </c>
      <c r="C249" s="659" t="s">
        <v>378</v>
      </c>
      <c r="D249" s="712"/>
      <c r="E249" s="681"/>
      <c r="F249" s="712">
        <v>5</v>
      </c>
      <c r="G249" s="588">
        <v>145</v>
      </c>
      <c r="H249" s="589">
        <f t="shared" si="75"/>
        <v>725</v>
      </c>
      <c r="I249" s="589">
        <f t="shared" ca="1" si="79"/>
        <v>-2567.41</v>
      </c>
      <c r="J249" s="589">
        <f t="shared" ca="1" si="78"/>
        <v>-1842.4099999999999</v>
      </c>
      <c r="K249" s="452">
        <v>145</v>
      </c>
      <c r="N249" s="61"/>
      <c r="O249" s="328"/>
      <c r="P249" s="328"/>
      <c r="Q249" s="246"/>
    </row>
    <row r="250" spans="1:18" ht="15" customHeight="1" x14ac:dyDescent="0.4">
      <c r="A250" s="740"/>
      <c r="B250" s="143" t="str">
        <f t="shared" si="77"/>
        <v>6260-8</v>
      </c>
      <c r="C250" s="701" t="s">
        <v>379</v>
      </c>
      <c r="D250" s="702"/>
      <c r="E250" s="720"/>
      <c r="F250" s="702">
        <v>1</v>
      </c>
      <c r="G250" s="616">
        <v>350000</v>
      </c>
      <c r="H250" s="594">
        <f t="shared" si="75"/>
        <v>350000</v>
      </c>
      <c r="I250" s="612">
        <f t="shared" ca="1" si="79"/>
        <v>-274566.17</v>
      </c>
      <c r="J250" s="612">
        <f t="shared" ca="1" si="78"/>
        <v>75433.830000000016</v>
      </c>
      <c r="K250" s="704">
        <v>350000</v>
      </c>
      <c r="N250" s="61"/>
      <c r="O250" s="328"/>
      <c r="P250" s="328"/>
      <c r="Q250" s="246"/>
    </row>
    <row r="251" spans="1:18" ht="15" customHeight="1" x14ac:dyDescent="0.4">
      <c r="A251" s="730" t="s">
        <v>380</v>
      </c>
      <c r="B251" s="308" t="str">
        <f t="shared" si="77"/>
        <v>6260-9</v>
      </c>
      <c r="C251" s="625" t="s">
        <v>381</v>
      </c>
      <c r="D251" s="688">
        <v>1</v>
      </c>
      <c r="E251" s="666"/>
      <c r="F251" s="709"/>
      <c r="G251" s="588">
        <v>78332</v>
      </c>
      <c r="H251" s="589">
        <f t="shared" ref="H251:H258" si="80">(D251+E251+F251)*G251</f>
        <v>78332</v>
      </c>
      <c r="I251" s="589">
        <f t="shared" ca="1" si="79"/>
        <v>-58500</v>
      </c>
      <c r="J251" s="589">
        <f t="shared" ca="1" si="78"/>
        <v>19832</v>
      </c>
      <c r="K251" s="452">
        <v>78332</v>
      </c>
      <c r="N251" s="61"/>
      <c r="O251" s="328"/>
      <c r="P251" s="328"/>
      <c r="Q251" s="322"/>
    </row>
    <row r="252" spans="1:18" ht="15" customHeight="1" x14ac:dyDescent="0.4">
      <c r="A252" s="742" t="s">
        <v>591</v>
      </c>
      <c r="B252" s="143" t="str">
        <f>LEFT($B251,4)&amp;"-"&amp;VALUE(MID($B251,FIND("-",$B251)+1,256))+1</f>
        <v>6260-10</v>
      </c>
      <c r="C252" s="651" t="s">
        <v>523</v>
      </c>
      <c r="D252" s="765"/>
      <c r="E252" s="686">
        <v>1</v>
      </c>
      <c r="F252" s="722"/>
      <c r="G252" s="603">
        <v>35000</v>
      </c>
      <c r="H252" s="594">
        <f t="shared" si="80"/>
        <v>35000</v>
      </c>
      <c r="I252" s="594">
        <f t="shared" ca="1" si="79"/>
        <v>-35352</v>
      </c>
      <c r="J252" s="594">
        <f t="shared" ca="1" si="78"/>
        <v>-352</v>
      </c>
      <c r="K252" s="679"/>
      <c r="N252" s="61"/>
      <c r="O252" s="328"/>
      <c r="P252" s="328"/>
      <c r="Q252" s="322"/>
    </row>
    <row r="253" spans="1:18" ht="15" customHeight="1" x14ac:dyDescent="0.4">
      <c r="A253" s="733"/>
      <c r="B253" s="147" t="str">
        <f>LEFT($B252,4)&amp;"-"&amp;VALUE(MID($B252,FIND("-",$B252)+1,256))+1</f>
        <v>6260-11</v>
      </c>
      <c r="C253" s="604" t="s">
        <v>382</v>
      </c>
      <c r="D253" s="770"/>
      <c r="E253" s="676">
        <v>12</v>
      </c>
      <c r="F253" s="708"/>
      <c r="G253" s="646">
        <v>228</v>
      </c>
      <c r="H253" s="608">
        <f>(D253+E253+F253)*G253</f>
        <v>2736</v>
      </c>
      <c r="I253" s="608">
        <f t="shared" ca="1" si="79"/>
        <v>-1368</v>
      </c>
      <c r="J253" s="589">
        <f t="shared" ca="1" si="78"/>
        <v>1368</v>
      </c>
      <c r="K253" s="677">
        <v>2736</v>
      </c>
      <c r="M253" s="3"/>
      <c r="N253" s="61"/>
      <c r="O253" s="328"/>
      <c r="P253" s="328"/>
      <c r="Q253" s="246"/>
    </row>
    <row r="254" spans="1:18" ht="15" customHeight="1" x14ac:dyDescent="0.4">
      <c r="A254" s="737"/>
      <c r="B254" s="143" t="str">
        <f t="shared" si="77"/>
        <v>6260-12</v>
      </c>
      <c r="C254" s="590" t="s">
        <v>383</v>
      </c>
      <c r="D254" s="794"/>
      <c r="E254" s="720">
        <v>12</v>
      </c>
      <c r="F254" s="721"/>
      <c r="G254" s="616">
        <v>150</v>
      </c>
      <c r="H254" s="612">
        <f t="shared" si="80"/>
        <v>1800</v>
      </c>
      <c r="I254" s="612">
        <f t="shared" ca="1" si="79"/>
        <v>-670</v>
      </c>
      <c r="J254" s="612">
        <f t="shared" ca="1" si="78"/>
        <v>1130</v>
      </c>
      <c r="K254" s="704">
        <v>1800</v>
      </c>
      <c r="M254" s="3"/>
      <c r="N254" s="61"/>
      <c r="O254" s="328"/>
      <c r="P254" s="328"/>
      <c r="Q254" s="323"/>
      <c r="R254" s="3"/>
    </row>
    <row r="255" spans="1:18" ht="22.5" customHeight="1" x14ac:dyDescent="0.4">
      <c r="A255" s="736" t="s">
        <v>589</v>
      </c>
      <c r="B255" s="147" t="str">
        <f>LEFT($B254,4)&amp;"-"&amp;VALUE(MID($B254,FIND("-",$B254)+1,256))+1</f>
        <v>6260-13</v>
      </c>
      <c r="C255" s="604" t="s">
        <v>623</v>
      </c>
      <c r="D255" s="938"/>
      <c r="E255" s="706"/>
      <c r="F255" s="708"/>
      <c r="G255" s="646">
        <v>0.45</v>
      </c>
      <c r="H255" s="608">
        <f t="shared" si="80"/>
        <v>0</v>
      </c>
      <c r="I255" s="608">
        <f t="shared" ca="1" si="79"/>
        <v>0</v>
      </c>
      <c r="J255" s="608">
        <f t="shared" ca="1" si="78"/>
        <v>0</v>
      </c>
      <c r="K255" s="677"/>
      <c r="M255" s="3"/>
      <c r="N255" s="61"/>
      <c r="O255" s="328"/>
      <c r="P255" s="328"/>
      <c r="Q255" s="323"/>
      <c r="R255" s="3"/>
    </row>
    <row r="256" spans="1:18" ht="15" customHeight="1" x14ac:dyDescent="0.4">
      <c r="A256" s="742"/>
      <c r="B256" s="143" t="str">
        <f>LEFT($B255,4)&amp;"-"&amp;VALUE(MID($B255,FIND("-",$B255)+1,256))+1</f>
        <v>6260-14</v>
      </c>
      <c r="C256" s="600" t="s">
        <v>384</v>
      </c>
      <c r="D256" s="694"/>
      <c r="E256" s="678">
        <v>1</v>
      </c>
      <c r="F256" s="694"/>
      <c r="G256" s="603">
        <v>2000</v>
      </c>
      <c r="H256" s="594">
        <f t="shared" ref="H256" si="81">(D256+E256+F256)*G256</f>
        <v>2000</v>
      </c>
      <c r="I256" s="594">
        <f t="shared" ca="1" si="79"/>
        <v>-1596</v>
      </c>
      <c r="J256" s="594">
        <f t="shared" ref="J256" ca="1" si="82">SUM(H256:I256)</f>
        <v>404</v>
      </c>
      <c r="K256" s="679">
        <v>2000</v>
      </c>
      <c r="M256" s="3"/>
      <c r="N256" s="61"/>
      <c r="O256" s="328"/>
      <c r="P256" s="328"/>
      <c r="Q256" s="130"/>
    </row>
    <row r="257" spans="1:17" ht="15" customHeight="1" x14ac:dyDescent="0.4">
      <c r="A257" s="730"/>
      <c r="B257" s="147" t="str">
        <f t="shared" si="77"/>
        <v>6260-15</v>
      </c>
      <c r="C257" s="659" t="s">
        <v>385</v>
      </c>
      <c r="D257" s="712"/>
      <c r="E257" s="681">
        <v>12</v>
      </c>
      <c r="F257" s="712"/>
      <c r="G257" s="588">
        <v>5000</v>
      </c>
      <c r="H257" s="589">
        <f t="shared" si="80"/>
        <v>60000</v>
      </c>
      <c r="I257" s="589">
        <f t="shared" ca="1" si="79"/>
        <v>-60000</v>
      </c>
      <c r="J257" s="589">
        <f t="shared" ca="1" si="78"/>
        <v>0</v>
      </c>
      <c r="K257" s="452">
        <v>60000</v>
      </c>
      <c r="M257" s="3"/>
      <c r="N257" s="61"/>
      <c r="O257" s="328"/>
      <c r="P257" s="328"/>
      <c r="Q257" s="130"/>
    </row>
    <row r="258" spans="1:17" ht="15" customHeight="1" x14ac:dyDescent="0.4">
      <c r="A258" s="740" t="s">
        <v>600</v>
      </c>
      <c r="B258" s="122" t="str">
        <f t="shared" si="77"/>
        <v>6260-16</v>
      </c>
      <c r="C258" s="590" t="s">
        <v>386</v>
      </c>
      <c r="D258" s="795"/>
      <c r="E258" s="720">
        <v>40</v>
      </c>
      <c r="F258" s="721"/>
      <c r="G258" s="616">
        <v>125</v>
      </c>
      <c r="H258" s="612">
        <f t="shared" si="80"/>
        <v>5000</v>
      </c>
      <c r="I258" s="612">
        <f t="shared" ca="1" si="79"/>
        <v>0</v>
      </c>
      <c r="J258" s="612">
        <f t="shared" ca="1" si="78"/>
        <v>5000</v>
      </c>
      <c r="K258" s="704">
        <v>12500</v>
      </c>
      <c r="M258" s="3"/>
      <c r="N258" s="61"/>
      <c r="O258" s="328"/>
      <c r="P258" s="328"/>
      <c r="Q258" s="246"/>
    </row>
    <row r="259" spans="1:17" ht="15" customHeight="1" thickBot="1" x14ac:dyDescent="0.45">
      <c r="A259" s="793"/>
      <c r="B259" s="145"/>
      <c r="C259" s="617" t="s">
        <v>106</v>
      </c>
      <c r="D259" s="618"/>
      <c r="E259" s="618"/>
      <c r="F259" s="454"/>
      <c r="G259" s="619">
        <f>(H259-K259)/K259</f>
        <v>2.8340333143507972E-2</v>
      </c>
      <c r="H259" s="621">
        <f>SUM(H243:H258)</f>
        <v>924552</v>
      </c>
      <c r="I259" s="621">
        <f ca="1">SUM(I243:I258)</f>
        <v>-828099.26</v>
      </c>
      <c r="J259" s="621">
        <f ca="1">SUM(J243:J258)</f>
        <v>96452.74</v>
      </c>
      <c r="K259" s="621">
        <f>SUM(K243:K258)</f>
        <v>899072</v>
      </c>
      <c r="N259" s="61"/>
      <c r="O259" s="328"/>
      <c r="P259" s="328"/>
      <c r="Q259" s="246"/>
    </row>
    <row r="260" spans="1:17" ht="10.5" customHeight="1" thickTop="1" x14ac:dyDescent="0.4">
      <c r="A260" s="105"/>
      <c r="B260" s="95"/>
      <c r="C260" s="68"/>
      <c r="D260" s="69"/>
      <c r="E260" s="69"/>
      <c r="F260" s="18"/>
      <c r="G260" s="40"/>
      <c r="H260" s="87"/>
      <c r="I260" s="87"/>
      <c r="J260" s="87"/>
      <c r="K260" s="97"/>
      <c r="N260" s="52"/>
      <c r="O260" s="328"/>
      <c r="P260" s="328"/>
      <c r="Q260" s="246"/>
    </row>
    <row r="261" spans="1:17" ht="19.5" customHeight="1" x14ac:dyDescent="0.5">
      <c r="A261" s="978" t="s">
        <v>387</v>
      </c>
      <c r="B261" s="978"/>
      <c r="C261" s="979"/>
      <c r="D261" s="979"/>
      <c r="E261" s="979"/>
      <c r="F261" s="979"/>
      <c r="G261" s="979"/>
      <c r="H261" s="979"/>
      <c r="I261" s="979" t="e">
        <f ca="1">-(SUMIF(INDIRECT(LEFT($A$257,4)&amp;"!E3:E200"),"="&amp;B261&amp;" *",INDIRECT(LEFT($A$257,4)&amp;"!F3:F200")))</f>
        <v>#REF!</v>
      </c>
      <c r="J261" s="979" t="e">
        <f t="shared" ref="J261" ca="1" si="83">SUM(H261:I261)</f>
        <v>#REF!</v>
      </c>
      <c r="K261" s="979"/>
      <c r="N261" s="52"/>
      <c r="O261" s="328"/>
      <c r="P261" s="328"/>
      <c r="Q261" s="246"/>
    </row>
    <row r="262" spans="1:17" ht="15" customHeight="1" x14ac:dyDescent="0.4">
      <c r="A262" s="734"/>
      <c r="B262" s="147" t="str">
        <f>LEFT($A261,4)&amp;"-1"</f>
        <v>6280-1</v>
      </c>
      <c r="C262" s="579" t="s">
        <v>388</v>
      </c>
      <c r="D262" s="724">
        <v>1</v>
      </c>
      <c r="E262" s="684"/>
      <c r="F262" s="724"/>
      <c r="G262" s="646">
        <v>5180</v>
      </c>
      <c r="H262" s="608">
        <f t="shared" ref="H262" si="84">(D262+E262+F262)*G262</f>
        <v>5180</v>
      </c>
      <c r="I262" s="608">
        <f t="shared" ref="I262:I275" ca="1" si="85">-(SUMIF(INDIRECT(LEFT($A$261,4)&amp;"!i3:i200"),"="&amp;B262&amp;" *",INDIRECT(LEFT($A$261,4)&amp;"!k3:k200")))</f>
        <v>-4180</v>
      </c>
      <c r="J262" s="608">
        <f t="shared" ref="J262" ca="1" si="86">SUM(H262:I262)</f>
        <v>1000</v>
      </c>
      <c r="K262" s="677">
        <v>5180</v>
      </c>
      <c r="M262" s="134"/>
      <c r="N262" s="61"/>
      <c r="O262" s="328"/>
      <c r="P262" s="328"/>
      <c r="Q262" s="246"/>
    </row>
    <row r="263" spans="1:17" ht="15" customHeight="1" x14ac:dyDescent="0.4">
      <c r="A263" s="796"/>
      <c r="B263" s="119" t="str">
        <f>LEFT(B262,4)&amp;"-"&amp;VALUE(MID(B262,FIND("-",B262)+1,256))+1</f>
        <v>6280-2</v>
      </c>
      <c r="C263" s="643" t="s">
        <v>389</v>
      </c>
      <c r="D263" s="717"/>
      <c r="E263" s="711">
        <v>1</v>
      </c>
      <c r="F263" s="717"/>
      <c r="G263" s="616">
        <v>12000</v>
      </c>
      <c r="H263" s="594">
        <f t="shared" ref="H263" si="87">SUM(D263:F263)*G263</f>
        <v>12000</v>
      </c>
      <c r="I263" s="612">
        <f t="shared" ca="1" si="85"/>
        <v>-12000</v>
      </c>
      <c r="J263" s="612">
        <f t="shared" ref="J263:J305" ca="1" si="88">SUM(H263:I263)</f>
        <v>0</v>
      </c>
      <c r="K263" s="704">
        <v>12000</v>
      </c>
      <c r="M263" s="131"/>
      <c r="N263" s="61"/>
      <c r="O263" s="328"/>
      <c r="P263" s="328"/>
      <c r="Q263" s="133"/>
    </row>
    <row r="264" spans="1:17" ht="15" customHeight="1" x14ac:dyDescent="0.4">
      <c r="A264" s="797"/>
      <c r="B264" s="95" t="str">
        <f>LEFT(B263,4)&amp;"-"&amp;VALUE(MID(B263,FIND("-",B263)+1,256))+1</f>
        <v>6280-3</v>
      </c>
      <c r="C264" s="650" t="s">
        <v>390</v>
      </c>
      <c r="D264" s="724"/>
      <c r="E264" s="684">
        <v>1</v>
      </c>
      <c r="F264" s="724"/>
      <c r="G264" s="646">
        <v>8000</v>
      </c>
      <c r="H264" s="589">
        <f t="shared" ref="H264:H269" si="89">(D264+E264+F264)*G264</f>
        <v>8000</v>
      </c>
      <c r="I264" s="608">
        <f t="shared" ca="1" si="85"/>
        <v>-8000</v>
      </c>
      <c r="J264" s="608">
        <f t="shared" ca="1" si="88"/>
        <v>0</v>
      </c>
      <c r="K264" s="677">
        <v>8000</v>
      </c>
      <c r="M264" s="131"/>
      <c r="N264" s="61"/>
      <c r="O264" s="328"/>
      <c r="P264" s="328"/>
      <c r="Q264" s="133"/>
    </row>
    <row r="265" spans="1:17" ht="15" customHeight="1" x14ac:dyDescent="0.4">
      <c r="A265" s="798"/>
      <c r="B265" s="119" t="str">
        <f>LEFT(B264,4)&amp;"-"&amp;VALUE(MID(B264,FIND("-",B264)+1,256))+1</f>
        <v>6280-4</v>
      </c>
      <c r="C265" s="801" t="s">
        <v>391</v>
      </c>
      <c r="D265" s="802"/>
      <c r="E265" s="803">
        <v>1</v>
      </c>
      <c r="F265" s="802"/>
      <c r="G265" s="804">
        <v>1200</v>
      </c>
      <c r="H265" s="805">
        <f t="shared" si="89"/>
        <v>1200</v>
      </c>
      <c r="I265" s="806">
        <f t="shared" ca="1" si="85"/>
        <v>-1200</v>
      </c>
      <c r="J265" s="806">
        <f ca="1">SUM(H265:I265)</f>
        <v>0</v>
      </c>
      <c r="K265" s="807">
        <v>1200</v>
      </c>
      <c r="M265" s="131"/>
      <c r="N265" s="61"/>
      <c r="O265" s="328"/>
      <c r="P265" s="328"/>
      <c r="Q265" s="133"/>
    </row>
    <row r="266" spans="1:17" ht="15" customHeight="1" x14ac:dyDescent="0.4">
      <c r="A266" s="734"/>
      <c r="B266" s="95" t="str">
        <f>LEFT(B265,4)&amp;"-"&amp;VALUE(MID(B265,FIND("-",B265)+1,256))+1</f>
        <v>6280-5</v>
      </c>
      <c r="C266" s="650" t="s">
        <v>392</v>
      </c>
      <c r="D266" s="724"/>
      <c r="E266" s="684">
        <v>1</v>
      </c>
      <c r="F266" s="724"/>
      <c r="G266" s="646">
        <v>5760</v>
      </c>
      <c r="H266" s="608">
        <f>(D266+E266+F266)*G266</f>
        <v>5760</v>
      </c>
      <c r="I266" s="608">
        <f t="shared" ca="1" si="85"/>
        <v>0</v>
      </c>
      <c r="J266" s="608"/>
      <c r="K266" s="677">
        <v>5760</v>
      </c>
      <c r="M266" s="131"/>
      <c r="N266" s="61"/>
      <c r="O266" s="328"/>
      <c r="P266" s="328"/>
      <c r="Q266" s="350"/>
    </row>
    <row r="267" spans="1:17" ht="15" customHeight="1" x14ac:dyDescent="0.4">
      <c r="A267" s="740"/>
      <c r="B267" s="119" t="str">
        <f>LEFT(B266,4)&amp;"-"&amp;VALUE(MID(B266,FIND("-",B266)+1,256))+1</f>
        <v>6280-6</v>
      </c>
      <c r="C267" s="701" t="s">
        <v>393</v>
      </c>
      <c r="D267" s="717"/>
      <c r="E267" s="711">
        <v>1</v>
      </c>
      <c r="F267" s="717"/>
      <c r="G267" s="616">
        <v>14500</v>
      </c>
      <c r="H267" s="594">
        <f t="shared" si="89"/>
        <v>14500</v>
      </c>
      <c r="I267" s="612">
        <f t="shared" ca="1" si="85"/>
        <v>-13485.89</v>
      </c>
      <c r="J267" s="612">
        <f t="shared" ca="1" si="88"/>
        <v>1014.1100000000006</v>
      </c>
      <c r="K267" s="704">
        <v>14500</v>
      </c>
      <c r="M267" s="134"/>
      <c r="N267" s="61"/>
      <c r="O267" s="328"/>
      <c r="P267" s="328"/>
      <c r="Q267" s="130"/>
    </row>
    <row r="268" spans="1:17" ht="15" customHeight="1" x14ac:dyDescent="0.4">
      <c r="A268" s="733"/>
      <c r="B268" s="95" t="str">
        <f t="shared" ref="B268:B275" si="90">LEFT($B267,4)&amp;"-"&amp;VALUE(MID($B267,FIND("-",$B267)+1,256))+1</f>
        <v>6280-7</v>
      </c>
      <c r="C268" s="680" t="s">
        <v>394</v>
      </c>
      <c r="D268" s="712"/>
      <c r="E268" s="681">
        <v>12</v>
      </c>
      <c r="F268" s="712"/>
      <c r="G268" s="588">
        <v>68</v>
      </c>
      <c r="H268" s="589">
        <f t="shared" si="89"/>
        <v>816</v>
      </c>
      <c r="I268" s="608">
        <f t="shared" ca="1" si="85"/>
        <v>-1299.5</v>
      </c>
      <c r="J268" s="608">
        <f t="shared" ca="1" si="88"/>
        <v>-483.5</v>
      </c>
      <c r="K268" s="452">
        <v>500</v>
      </c>
      <c r="M268" s="3"/>
      <c r="N268" s="61"/>
      <c r="O268" s="328"/>
      <c r="P268" s="328"/>
      <c r="Q268" s="351"/>
    </row>
    <row r="269" spans="1:17" ht="15" customHeight="1" x14ac:dyDescent="0.4">
      <c r="A269" s="742"/>
      <c r="B269" s="135" t="str">
        <f t="shared" si="90"/>
        <v>6280-8</v>
      </c>
      <c r="C269" s="648" t="s">
        <v>395</v>
      </c>
      <c r="D269" s="694"/>
      <c r="E269" s="678">
        <v>1</v>
      </c>
      <c r="F269" s="694"/>
      <c r="G269" s="603">
        <v>8800</v>
      </c>
      <c r="H269" s="594">
        <f t="shared" si="89"/>
        <v>8800</v>
      </c>
      <c r="I269" s="612">
        <f t="shared" ca="1" si="85"/>
        <v>0</v>
      </c>
      <c r="J269" s="612">
        <f t="shared" ca="1" si="88"/>
        <v>8800</v>
      </c>
      <c r="K269" s="679">
        <v>8800</v>
      </c>
      <c r="M269" s="131"/>
      <c r="N269" s="61"/>
      <c r="O269" s="328"/>
      <c r="P269" s="328"/>
      <c r="Q269" s="132"/>
    </row>
    <row r="270" spans="1:17" ht="29.15" x14ac:dyDescent="0.4">
      <c r="A270" s="734"/>
      <c r="B270" s="95" t="str">
        <f>LEFT($B269,4)&amp;"-"&amp;VALUE(MID($B269,FIND("-",$B269)+1,256))+1</f>
        <v>6280-9</v>
      </c>
      <c r="C270" s="650" t="s">
        <v>574</v>
      </c>
      <c r="D270" s="695"/>
      <c r="E270" s="684">
        <v>1</v>
      </c>
      <c r="F270" s="695"/>
      <c r="G270" s="646">
        <v>3360</v>
      </c>
      <c r="H270" s="608">
        <f t="shared" ref="H270:H275" si="91">SUM(D270:F270)*G270</f>
        <v>3360</v>
      </c>
      <c r="I270" s="608">
        <f t="shared" ca="1" si="85"/>
        <v>-4148</v>
      </c>
      <c r="J270" s="608">
        <f t="shared" ca="1" si="88"/>
        <v>-788</v>
      </c>
      <c r="K270" s="646">
        <v>3200</v>
      </c>
      <c r="M270" s="3"/>
      <c r="N270" s="61"/>
      <c r="O270" s="328"/>
      <c r="P270" s="328"/>
      <c r="Q270" s="94"/>
    </row>
    <row r="271" spans="1:17" ht="29.15" x14ac:dyDescent="0.4">
      <c r="A271" s="735"/>
      <c r="B271" s="119" t="str">
        <f t="shared" si="90"/>
        <v>6280-10</v>
      </c>
      <c r="C271" s="808" t="s">
        <v>575</v>
      </c>
      <c r="D271" s="808"/>
      <c r="E271" s="686">
        <v>1</v>
      </c>
      <c r="F271" s="808"/>
      <c r="G271" s="808">
        <v>1355</v>
      </c>
      <c r="H271" s="594">
        <f t="shared" si="91"/>
        <v>1355</v>
      </c>
      <c r="I271" s="612">
        <f t="shared" ca="1" si="85"/>
        <v>-1200</v>
      </c>
      <c r="J271" s="612">
        <f t="shared" ca="1" si="88"/>
        <v>155</v>
      </c>
      <c r="K271" s="642">
        <v>1290</v>
      </c>
      <c r="M271" s="3"/>
      <c r="N271" s="61"/>
      <c r="O271" s="328"/>
      <c r="P271" s="328"/>
      <c r="Q271" s="94"/>
    </row>
    <row r="272" spans="1:17" ht="29.15" x14ac:dyDescent="0.4">
      <c r="A272" s="734"/>
      <c r="B272" s="95" t="str">
        <f t="shared" si="90"/>
        <v>6280-11</v>
      </c>
      <c r="C272" s="644" t="s">
        <v>576</v>
      </c>
      <c r="D272" s="695"/>
      <c r="E272" s="684">
        <v>1</v>
      </c>
      <c r="F272" s="695"/>
      <c r="G272" s="646">
        <v>1680</v>
      </c>
      <c r="H272" s="608">
        <f t="shared" si="91"/>
        <v>1680</v>
      </c>
      <c r="I272" s="608">
        <f t="shared" ca="1" si="85"/>
        <v>-1500</v>
      </c>
      <c r="J272" s="608">
        <f t="shared" ca="1" si="88"/>
        <v>180</v>
      </c>
      <c r="K272" s="677">
        <v>1600</v>
      </c>
      <c r="M272" s="3"/>
      <c r="N272" s="61"/>
      <c r="O272" s="328"/>
      <c r="P272" s="328"/>
      <c r="Q272" s="94"/>
    </row>
    <row r="273" spans="1:17" ht="29.15" x14ac:dyDescent="0.4">
      <c r="A273" s="742"/>
      <c r="B273" s="119" t="str">
        <f t="shared" si="90"/>
        <v>6280-12</v>
      </c>
      <c r="C273" s="600" t="s">
        <v>577</v>
      </c>
      <c r="D273" s="696"/>
      <c r="E273" s="686">
        <v>5</v>
      </c>
      <c r="F273" s="766"/>
      <c r="G273" s="603">
        <v>1323</v>
      </c>
      <c r="H273" s="594">
        <f t="shared" si="91"/>
        <v>6615</v>
      </c>
      <c r="I273" s="612">
        <f t="shared" ca="1" si="85"/>
        <v>-4800</v>
      </c>
      <c r="J273" s="612">
        <f t="shared" ca="1" si="88"/>
        <v>1815</v>
      </c>
      <c r="K273" s="679">
        <v>6300</v>
      </c>
      <c r="L273" s="75"/>
      <c r="M273" s="3"/>
      <c r="N273" s="61"/>
      <c r="O273" s="328"/>
      <c r="P273" s="328"/>
      <c r="Q273" s="94"/>
    </row>
    <row r="274" spans="1:17" ht="15" customHeight="1" x14ac:dyDescent="0.4">
      <c r="A274" s="734"/>
      <c r="B274" s="95" t="str">
        <f>LEFT($B273,4)&amp;"-"&amp;VALUE(MID($B273,FIND("-",$B273)+1,256))+1</f>
        <v>6280-13</v>
      </c>
      <c r="C274" s="644" t="s">
        <v>578</v>
      </c>
      <c r="D274" s="695"/>
      <c r="E274" s="684">
        <v>1</v>
      </c>
      <c r="F274" s="724"/>
      <c r="G274" s="646">
        <v>447</v>
      </c>
      <c r="H274" s="608">
        <f t="shared" si="91"/>
        <v>447</v>
      </c>
      <c r="I274" s="608">
        <f t="shared" ca="1" si="85"/>
        <v>-400</v>
      </c>
      <c r="J274" s="608">
        <f t="shared" ca="1" si="88"/>
        <v>47</v>
      </c>
      <c r="K274" s="677">
        <v>425</v>
      </c>
      <c r="M274" s="3"/>
      <c r="N274" s="61"/>
      <c r="O274" s="328"/>
      <c r="P274" s="328"/>
      <c r="Q274" s="94"/>
    </row>
    <row r="275" spans="1:17" ht="14.6" x14ac:dyDescent="0.4">
      <c r="A275" s="799"/>
      <c r="B275" s="119" t="str">
        <f t="shared" si="90"/>
        <v>6280-14</v>
      </c>
      <c r="C275" s="639" t="s">
        <v>579</v>
      </c>
      <c r="D275" s="809"/>
      <c r="E275" s="686">
        <v>2</v>
      </c>
      <c r="F275" s="639"/>
      <c r="G275" s="603">
        <v>336</v>
      </c>
      <c r="H275" s="594">
        <f t="shared" si="91"/>
        <v>672</v>
      </c>
      <c r="I275" s="612">
        <f t="shared" ca="1" si="85"/>
        <v>-600</v>
      </c>
      <c r="J275" s="612">
        <f t="shared" ca="1" si="88"/>
        <v>72</v>
      </c>
      <c r="K275" s="642">
        <v>640</v>
      </c>
      <c r="M275" s="3"/>
      <c r="N275" s="61"/>
      <c r="O275" s="328"/>
      <c r="P275" s="328"/>
      <c r="Q275" s="94"/>
    </row>
    <row r="276" spans="1:17" ht="19.5" customHeight="1" x14ac:dyDescent="0.5">
      <c r="A276" s="978" t="s">
        <v>584</v>
      </c>
      <c r="B276" s="978"/>
      <c r="C276" s="979"/>
      <c r="D276" s="979"/>
      <c r="E276" s="979"/>
      <c r="F276" s="979"/>
      <c r="G276" s="979"/>
      <c r="H276" s="979"/>
      <c r="I276" s="979" t="e">
        <f ca="1">-(SUMIF(INDIRECT(LEFT($A$257,4)&amp;"!E3:E200"),"="&amp;B276&amp;" *",INDIRECT(LEFT($A$257,4)&amp;"!F3:F200")))</f>
        <v>#REF!</v>
      </c>
      <c r="J276" s="979" t="e">
        <f t="shared" ca="1" si="88"/>
        <v>#REF!</v>
      </c>
      <c r="K276" s="979"/>
      <c r="N276" s="52"/>
      <c r="O276" s="328"/>
      <c r="P276" s="328"/>
      <c r="Q276" s="246"/>
    </row>
    <row r="277" spans="1:17" ht="15" customHeight="1" x14ac:dyDescent="0.4">
      <c r="A277" s="734"/>
      <c r="B277" s="95" t="str">
        <f>LEFT($B275,4)&amp;"-"&amp;VALUE(MID($B275,FIND("-",$B275)+1,256))+1</f>
        <v>6280-15</v>
      </c>
      <c r="C277" s="650" t="s">
        <v>396</v>
      </c>
      <c r="D277" s="695"/>
      <c r="E277" s="684">
        <v>2</v>
      </c>
      <c r="F277" s="724"/>
      <c r="G277" s="646">
        <v>5570</v>
      </c>
      <c r="H277" s="608">
        <f t="shared" ref="H277:H305" si="92">(D277+E277+F277)*G277</f>
        <v>11140</v>
      </c>
      <c r="I277" s="608">
        <f t="shared" ref="I277:I294" ca="1" si="93">-(SUMIF(INDIRECT(LEFT($A$261,4)&amp;"!i3:i200"),"="&amp;B277&amp;" *",INDIRECT(LEFT($A$261,4)&amp;"!k3:k200")))</f>
        <v>-10000</v>
      </c>
      <c r="J277" s="608">
        <f t="shared" ca="1" si="88"/>
        <v>1140</v>
      </c>
      <c r="K277" s="677">
        <v>10610</v>
      </c>
      <c r="M277" s="3"/>
      <c r="N277" s="61"/>
      <c r="O277" s="328"/>
      <c r="P277" s="328"/>
      <c r="Q277" s="94"/>
    </row>
    <row r="278" spans="1:17" ht="29.15" x14ac:dyDescent="0.4">
      <c r="A278" s="742"/>
      <c r="B278" s="119" t="str">
        <f t="shared" ref="B278:B305" si="94">LEFT($B277,4)&amp;"-"&amp;VALUE(MID($B277,FIND("-",$B277)+1,256))+1</f>
        <v>6280-16</v>
      </c>
      <c r="C278" s="639" t="s">
        <v>580</v>
      </c>
      <c r="D278" s="696"/>
      <c r="E278" s="686">
        <v>1</v>
      </c>
      <c r="F278" s="766"/>
      <c r="G278" s="603">
        <v>557</v>
      </c>
      <c r="H278" s="594">
        <f t="shared" si="92"/>
        <v>557</v>
      </c>
      <c r="I278" s="612">
        <f t="shared" ca="1" si="93"/>
        <v>-500</v>
      </c>
      <c r="J278" s="612">
        <f t="shared" ca="1" si="88"/>
        <v>57</v>
      </c>
      <c r="K278" s="679">
        <v>530</v>
      </c>
      <c r="M278" s="3"/>
      <c r="N278" s="61"/>
      <c r="O278" s="328"/>
      <c r="P278" s="328"/>
      <c r="Q278" s="94"/>
    </row>
    <row r="279" spans="1:17" ht="15" customHeight="1" x14ac:dyDescent="0.4">
      <c r="A279" s="734"/>
      <c r="B279" s="95" t="str">
        <f>LEFT($B278,4)&amp;"-"&amp;VALUE(MID($B278,FIND("-",$B278)+1,256))+1</f>
        <v>6280-17</v>
      </c>
      <c r="C279" s="604" t="s">
        <v>581</v>
      </c>
      <c r="D279" s="695"/>
      <c r="E279" s="676">
        <v>1</v>
      </c>
      <c r="F279" s="708"/>
      <c r="G279" s="646">
        <v>557</v>
      </c>
      <c r="H279" s="608">
        <f t="shared" ref="H279" si="95">(D279+E279+F279)*G279</f>
        <v>557</v>
      </c>
      <c r="I279" s="608">
        <f t="shared" ca="1" si="93"/>
        <v>-500</v>
      </c>
      <c r="J279" s="608">
        <f t="shared" ref="J279" ca="1" si="96">SUM(H279:I279)</f>
        <v>57</v>
      </c>
      <c r="K279" s="677">
        <v>530</v>
      </c>
      <c r="M279" s="3"/>
      <c r="N279" s="61"/>
      <c r="O279" s="328"/>
      <c r="P279" s="328"/>
      <c r="Q279" s="94"/>
    </row>
    <row r="280" spans="1:17" ht="29.15" x14ac:dyDescent="0.4">
      <c r="A280" s="740"/>
      <c r="B280" s="119" t="str">
        <f>LEFT($B279,4)&amp;"-"&amp;VALUE(MID($B279,FIND("-",$B279)+1,256))+1</f>
        <v>6280-18</v>
      </c>
      <c r="C280" s="590" t="s">
        <v>397</v>
      </c>
      <c r="D280" s="791"/>
      <c r="E280" s="720">
        <v>1</v>
      </c>
      <c r="F280" s="721"/>
      <c r="G280" s="616">
        <v>651</v>
      </c>
      <c r="H280" s="612">
        <f t="shared" si="92"/>
        <v>651</v>
      </c>
      <c r="I280" s="612">
        <f t="shared" ca="1" si="93"/>
        <v>-500</v>
      </c>
      <c r="J280" s="612">
        <f t="shared" ca="1" si="88"/>
        <v>151</v>
      </c>
      <c r="K280" s="704">
        <v>620</v>
      </c>
      <c r="M280" s="3"/>
      <c r="N280" s="61"/>
      <c r="O280" s="328"/>
      <c r="P280" s="328"/>
      <c r="Q280" s="94"/>
    </row>
    <row r="281" spans="1:17" ht="30.75" customHeight="1" x14ac:dyDescent="0.4">
      <c r="A281" s="734"/>
      <c r="B281" s="95" t="str">
        <f>LEFT($B280,4)&amp;"-"&amp;VALUE(MID($B280,FIND("-",$B280)+1,256))+1</f>
        <v>6280-19</v>
      </c>
      <c r="C281" s="661" t="s">
        <v>398</v>
      </c>
      <c r="D281" s="695"/>
      <c r="E281" s="676">
        <v>1</v>
      </c>
      <c r="F281" s="708"/>
      <c r="G281" s="646">
        <v>546</v>
      </c>
      <c r="H281" s="608">
        <f t="shared" si="92"/>
        <v>546</v>
      </c>
      <c r="I281" s="608">
        <f t="shared" ca="1" si="93"/>
        <v>-500</v>
      </c>
      <c r="J281" s="608"/>
      <c r="K281" s="677">
        <v>520</v>
      </c>
      <c r="M281" s="3"/>
      <c r="N281" s="61"/>
      <c r="O281" s="328"/>
      <c r="P281" s="328"/>
      <c r="Q281" s="94"/>
    </row>
    <row r="282" spans="1:17" ht="15" customHeight="1" x14ac:dyDescent="0.4">
      <c r="A282" s="740"/>
      <c r="B282" s="119" t="str">
        <f>LEFT($B281,4)&amp;"-"&amp;VALUE(MID($B281,FIND("-",$B281)+1,256))+1</f>
        <v>6280-20</v>
      </c>
      <c r="C282" s="590" t="s">
        <v>399</v>
      </c>
      <c r="D282" s="791">
        <v>2</v>
      </c>
      <c r="E282" s="720">
        <v>1</v>
      </c>
      <c r="F282" s="721"/>
      <c r="G282" s="616">
        <v>546</v>
      </c>
      <c r="H282" s="594">
        <f t="shared" si="92"/>
        <v>1638</v>
      </c>
      <c r="I282" s="612">
        <f t="shared" ca="1" si="93"/>
        <v>-500</v>
      </c>
      <c r="J282" s="612">
        <f t="shared" ca="1" si="88"/>
        <v>1138</v>
      </c>
      <c r="K282" s="704">
        <v>520</v>
      </c>
      <c r="M282" s="3"/>
      <c r="N282" s="61"/>
      <c r="O282" s="328"/>
      <c r="P282" s="328"/>
      <c r="Q282" s="94"/>
    </row>
    <row r="283" spans="1:17" ht="15" customHeight="1" x14ac:dyDescent="0.4">
      <c r="A283" s="733"/>
      <c r="B283" s="95" t="str">
        <f>LEFT($B282,4)&amp;"-"&amp;VALUE(MID($B282,FIND("-",$B282)+1,256))+1</f>
        <v>6280-21</v>
      </c>
      <c r="C283" s="625" t="s">
        <v>400</v>
      </c>
      <c r="D283" s="666"/>
      <c r="E283" s="666">
        <v>50</v>
      </c>
      <c r="F283" s="688"/>
      <c r="G283" s="599">
        <v>220</v>
      </c>
      <c r="H283" s="589">
        <f t="shared" si="92"/>
        <v>11000</v>
      </c>
      <c r="I283" s="608">
        <f t="shared" ca="1" si="93"/>
        <v>-10000</v>
      </c>
      <c r="J283" s="608">
        <f t="shared" ca="1" si="88"/>
        <v>1000</v>
      </c>
      <c r="K283" s="599">
        <v>10500</v>
      </c>
      <c r="L283" s="75"/>
      <c r="M283" s="3"/>
      <c r="N283" s="61"/>
      <c r="O283" s="328"/>
      <c r="P283" s="328"/>
      <c r="Q283" s="94"/>
    </row>
    <row r="284" spans="1:17" ht="15" customHeight="1" x14ac:dyDescent="0.4">
      <c r="A284" s="740"/>
      <c r="B284" s="119" t="str">
        <f t="shared" si="94"/>
        <v>6280-22</v>
      </c>
      <c r="C284" s="643" t="s">
        <v>401</v>
      </c>
      <c r="D284" s="810"/>
      <c r="E284" s="711">
        <v>1</v>
      </c>
      <c r="F284" s="810"/>
      <c r="G284" s="616">
        <v>2500</v>
      </c>
      <c r="H284" s="594">
        <f t="shared" si="92"/>
        <v>2500</v>
      </c>
      <c r="I284" s="612">
        <f t="shared" ca="1" si="93"/>
        <v>0</v>
      </c>
      <c r="J284" s="612">
        <f t="shared" ca="1" si="88"/>
        <v>2500</v>
      </c>
      <c r="K284" s="704">
        <v>2500</v>
      </c>
      <c r="M284" s="131"/>
      <c r="N284" s="61"/>
      <c r="O284" s="328"/>
      <c r="P284" s="328"/>
      <c r="Q284" s="132"/>
    </row>
    <row r="285" spans="1:17" ht="15" customHeight="1" x14ac:dyDescent="0.4">
      <c r="A285" s="730"/>
      <c r="B285" s="95" t="str">
        <f t="shared" si="94"/>
        <v>6280-23</v>
      </c>
      <c r="C285" s="625" t="s">
        <v>402</v>
      </c>
      <c r="D285" s="688"/>
      <c r="E285" s="666"/>
      <c r="F285" s="688">
        <v>1</v>
      </c>
      <c r="G285" s="588">
        <v>2000</v>
      </c>
      <c r="H285" s="589">
        <f t="shared" si="92"/>
        <v>2000</v>
      </c>
      <c r="I285" s="608">
        <f t="shared" ca="1" si="93"/>
        <v>-2690.4999999999995</v>
      </c>
      <c r="J285" s="608">
        <f t="shared" ca="1" si="88"/>
        <v>-690.49999999999955</v>
      </c>
      <c r="K285" s="452">
        <v>2000</v>
      </c>
      <c r="M285" s="3"/>
      <c r="N285" s="61"/>
      <c r="O285" s="328"/>
      <c r="P285" s="328"/>
      <c r="Q285" s="130"/>
    </row>
    <row r="286" spans="1:17" ht="15" customHeight="1" x14ac:dyDescent="0.4">
      <c r="A286" s="742"/>
      <c r="B286" s="119" t="str">
        <f>LEFT($B285,4)&amp;"-"&amp;VALUE(MID($B285,FIND("-",$B285)+1,256))+1</f>
        <v>6280-24</v>
      </c>
      <c r="C286" s="682" t="s">
        <v>404</v>
      </c>
      <c r="D286" s="694"/>
      <c r="E286" s="678">
        <v>1</v>
      </c>
      <c r="F286" s="694"/>
      <c r="G286" s="603">
        <v>900</v>
      </c>
      <c r="H286" s="594">
        <f t="shared" si="92"/>
        <v>900</v>
      </c>
      <c r="I286" s="612">
        <f t="shared" ca="1" si="93"/>
        <v>-614.84</v>
      </c>
      <c r="J286" s="612">
        <f t="shared" ca="1" si="88"/>
        <v>285.15999999999997</v>
      </c>
      <c r="K286" s="679">
        <v>900</v>
      </c>
      <c r="M286" s="3"/>
      <c r="N286" s="61"/>
      <c r="O286" s="328"/>
      <c r="P286" s="328"/>
      <c r="Q286" s="94"/>
    </row>
    <row r="287" spans="1:17" ht="15" customHeight="1" x14ac:dyDescent="0.4">
      <c r="A287" s="734"/>
      <c r="B287" s="95" t="str">
        <f t="shared" si="94"/>
        <v>6280-25</v>
      </c>
      <c r="C287" s="604" t="s">
        <v>405</v>
      </c>
      <c r="D287" s="770"/>
      <c r="E287" s="676">
        <v>1</v>
      </c>
      <c r="F287" s="708"/>
      <c r="G287" s="646">
        <v>500</v>
      </c>
      <c r="H287" s="589">
        <f t="shared" si="92"/>
        <v>500</v>
      </c>
      <c r="I287" s="608">
        <f t="shared" ca="1" si="93"/>
        <v>0</v>
      </c>
      <c r="J287" s="608">
        <f t="shared" ca="1" si="88"/>
        <v>500</v>
      </c>
      <c r="K287" s="677">
        <v>500</v>
      </c>
      <c r="M287" s="3"/>
      <c r="N287" s="61"/>
      <c r="O287" s="328"/>
      <c r="P287" s="328"/>
      <c r="Q287" s="246"/>
    </row>
    <row r="288" spans="1:17" ht="15" customHeight="1" x14ac:dyDescent="0.4">
      <c r="A288" s="740"/>
      <c r="B288" s="119" t="str">
        <f t="shared" si="94"/>
        <v>6280-26</v>
      </c>
      <c r="C288" s="701" t="s">
        <v>406</v>
      </c>
      <c r="D288" s="717"/>
      <c r="E288" s="711">
        <v>1</v>
      </c>
      <c r="F288" s="717"/>
      <c r="G288" s="616">
        <v>4950</v>
      </c>
      <c r="H288" s="594">
        <f t="shared" si="92"/>
        <v>4950</v>
      </c>
      <c r="I288" s="612">
        <f t="shared" ca="1" si="93"/>
        <v>-4941.8</v>
      </c>
      <c r="J288" s="612">
        <f t="shared" ca="1" si="88"/>
        <v>8.1999999999998181</v>
      </c>
      <c r="K288" s="704">
        <v>4950</v>
      </c>
      <c r="M288" s="134"/>
      <c r="N288" s="61"/>
      <c r="O288" s="328"/>
      <c r="P288" s="328"/>
      <c r="Q288" s="130"/>
    </row>
    <row r="289" spans="1:17" ht="15" customHeight="1" x14ac:dyDescent="0.4">
      <c r="A289" s="800"/>
      <c r="B289" s="95" t="str">
        <f t="shared" si="94"/>
        <v>6280-27</v>
      </c>
      <c r="C289" s="584" t="s">
        <v>407</v>
      </c>
      <c r="D289" s="712"/>
      <c r="E289" s="681">
        <v>1</v>
      </c>
      <c r="F289" s="700"/>
      <c r="G289" s="588">
        <v>6682</v>
      </c>
      <c r="H289" s="589">
        <f t="shared" si="92"/>
        <v>6682</v>
      </c>
      <c r="I289" s="608">
        <f t="shared" ca="1" si="93"/>
        <v>-1552.1</v>
      </c>
      <c r="J289" s="608">
        <f t="shared" ca="1" si="88"/>
        <v>5129.8999999999996</v>
      </c>
      <c r="K289" s="452">
        <v>6364</v>
      </c>
      <c r="M289" s="134"/>
      <c r="N289" s="61"/>
      <c r="O289" s="328"/>
      <c r="P289" s="328"/>
      <c r="Q289" s="130"/>
    </row>
    <row r="290" spans="1:17" ht="15" customHeight="1" x14ac:dyDescent="0.4">
      <c r="A290" s="740"/>
      <c r="B290" s="119" t="str">
        <f t="shared" si="94"/>
        <v>6280-28</v>
      </c>
      <c r="C290" s="613" t="s">
        <v>408</v>
      </c>
      <c r="D290" s="791"/>
      <c r="E290" s="711">
        <v>1</v>
      </c>
      <c r="F290" s="791"/>
      <c r="G290" s="616">
        <v>3589</v>
      </c>
      <c r="H290" s="612">
        <f t="shared" si="92"/>
        <v>3589</v>
      </c>
      <c r="I290" s="612">
        <f t="shared" ca="1" si="93"/>
        <v>-3189.53</v>
      </c>
      <c r="J290" s="612">
        <f t="shared" ca="1" si="88"/>
        <v>399.4699999999998</v>
      </c>
      <c r="K290" s="704">
        <v>3418</v>
      </c>
      <c r="M290" s="134"/>
      <c r="N290" s="61"/>
      <c r="O290" s="328"/>
      <c r="P290" s="328"/>
      <c r="Q290" s="130"/>
    </row>
    <row r="291" spans="1:17" ht="15" customHeight="1" x14ac:dyDescent="0.4">
      <c r="A291" s="730"/>
      <c r="B291" s="95" t="str">
        <f t="shared" si="94"/>
        <v>6280-29</v>
      </c>
      <c r="C291" s="659" t="s">
        <v>409</v>
      </c>
      <c r="D291" s="700"/>
      <c r="E291" s="681">
        <v>1</v>
      </c>
      <c r="F291" s="700"/>
      <c r="G291" s="588">
        <v>3500</v>
      </c>
      <c r="H291" s="589">
        <f t="shared" si="92"/>
        <v>3500</v>
      </c>
      <c r="I291" s="608">
        <f t="shared" ca="1" si="93"/>
        <v>-3307.5</v>
      </c>
      <c r="J291" s="608">
        <f t="shared" ca="1" si="88"/>
        <v>192.5</v>
      </c>
      <c r="K291" s="452">
        <v>3150</v>
      </c>
      <c r="N291" s="61"/>
      <c r="O291" s="328"/>
      <c r="P291" s="328"/>
      <c r="Q291" s="130"/>
    </row>
    <row r="292" spans="1:17" ht="15" customHeight="1" x14ac:dyDescent="0.4">
      <c r="A292" s="740"/>
      <c r="B292" s="119" t="str">
        <f t="shared" si="94"/>
        <v>6280-30</v>
      </c>
      <c r="C292" s="590" t="s">
        <v>410</v>
      </c>
      <c r="D292" s="720"/>
      <c r="E292" s="720">
        <v>1</v>
      </c>
      <c r="F292" s="795"/>
      <c r="G292" s="616">
        <v>2200</v>
      </c>
      <c r="H292" s="594">
        <f t="shared" si="92"/>
        <v>2200</v>
      </c>
      <c r="I292" s="612">
        <f t="shared" ca="1" si="93"/>
        <v>-1531.54</v>
      </c>
      <c r="J292" s="612">
        <f t="shared" ca="1" si="88"/>
        <v>668.46</v>
      </c>
      <c r="K292" s="704">
        <v>2200</v>
      </c>
      <c r="M292" s="3"/>
      <c r="N292" s="61"/>
      <c r="O292" s="328"/>
      <c r="P292" s="328"/>
      <c r="Q292" s="132"/>
    </row>
    <row r="293" spans="1:17" ht="15" customHeight="1" x14ac:dyDescent="0.4">
      <c r="A293" s="730"/>
      <c r="B293" s="95" t="str">
        <f t="shared" si="94"/>
        <v>6280-31</v>
      </c>
      <c r="C293" s="596" t="s">
        <v>411</v>
      </c>
      <c r="D293" s="666"/>
      <c r="E293" s="666">
        <v>14</v>
      </c>
      <c r="F293" s="811"/>
      <c r="G293" s="588">
        <v>600</v>
      </c>
      <c r="H293" s="589">
        <f t="shared" si="92"/>
        <v>8400</v>
      </c>
      <c r="I293" s="608">
        <f t="shared" ca="1" si="93"/>
        <v>-5946.33</v>
      </c>
      <c r="J293" s="608">
        <f t="shared" ca="1" si="88"/>
        <v>2453.67</v>
      </c>
      <c r="K293" s="452">
        <v>8400</v>
      </c>
      <c r="M293" s="3"/>
      <c r="N293" s="61"/>
      <c r="O293" s="328"/>
      <c r="P293" s="328"/>
      <c r="Q293" s="132"/>
    </row>
    <row r="294" spans="1:17" ht="29.5" customHeight="1" x14ac:dyDescent="0.4">
      <c r="A294" s="735" t="s">
        <v>412</v>
      </c>
      <c r="B294" s="119" t="str">
        <f t="shared" si="94"/>
        <v>6280-32</v>
      </c>
      <c r="C294" s="639" t="s">
        <v>592</v>
      </c>
      <c r="D294" s="686"/>
      <c r="E294" s="686">
        <v>1</v>
      </c>
      <c r="F294" s="812"/>
      <c r="G294" s="603">
        <v>75000</v>
      </c>
      <c r="H294" s="594">
        <f>(D294+E294+F294)*G294</f>
        <v>75000</v>
      </c>
      <c r="I294" s="612">
        <f t="shared" ca="1" si="93"/>
        <v>-78000</v>
      </c>
      <c r="J294" s="612">
        <f ca="1">SUM(H294:I294)</f>
        <v>-3000</v>
      </c>
      <c r="K294" s="679"/>
      <c r="M294" s="3"/>
      <c r="N294" s="61"/>
      <c r="O294" s="328"/>
      <c r="P294" s="328"/>
      <c r="Q294" s="132"/>
    </row>
    <row r="295" spans="1:17" ht="15" customHeight="1" x14ac:dyDescent="0.4">
      <c r="A295" s="734"/>
      <c r="B295" s="95" t="str">
        <f t="shared" si="94"/>
        <v>6280-33</v>
      </c>
      <c r="C295" s="661" t="s">
        <v>413</v>
      </c>
      <c r="D295" s="691"/>
      <c r="E295" s="676">
        <v>1</v>
      </c>
      <c r="F295" s="691"/>
      <c r="G295" s="646">
        <f t="shared" ref="G295:G302" si="97">K295*1.03</f>
        <v>121540</v>
      </c>
      <c r="H295" s="608">
        <f t="shared" si="92"/>
        <v>121540</v>
      </c>
      <c r="I295" s="608">
        <f t="shared" ref="I295:I303" ca="1" si="98">-(SUMIF(INDIRECT(LEFT($A$261,4)&amp;"!i3:i200"),"="&amp;B295&amp;" *",INDIRECT(LEFT($A$261,4)&amp;"!k3:k200")))</f>
        <v>-124279.31</v>
      </c>
      <c r="J295" s="608">
        <f t="shared" ca="1" si="88"/>
        <v>-2739.3099999999977</v>
      </c>
      <c r="K295" s="677">
        <v>118000</v>
      </c>
      <c r="M295" s="3"/>
      <c r="N295" s="61"/>
      <c r="O295" s="328"/>
      <c r="P295" s="328"/>
      <c r="Q295" s="130"/>
    </row>
    <row r="296" spans="1:17" ht="15" customHeight="1" x14ac:dyDescent="0.4">
      <c r="A296" s="742"/>
      <c r="B296" s="119" t="str">
        <f t="shared" si="94"/>
        <v>6280-34</v>
      </c>
      <c r="C296" s="651" t="s">
        <v>414</v>
      </c>
      <c r="D296" s="765"/>
      <c r="E296" s="686">
        <v>1</v>
      </c>
      <c r="F296" s="765"/>
      <c r="G296" s="603">
        <f t="shared" si="97"/>
        <v>1867.39</v>
      </c>
      <c r="H296" s="594">
        <f t="shared" si="92"/>
        <v>1867.39</v>
      </c>
      <c r="I296" s="612">
        <f t="shared" ca="1" si="98"/>
        <v>-1830.15</v>
      </c>
      <c r="J296" s="612">
        <f t="shared" ca="1" si="88"/>
        <v>37.240000000000009</v>
      </c>
      <c r="K296" s="679">
        <v>1813</v>
      </c>
      <c r="M296" s="3"/>
      <c r="N296" s="61"/>
      <c r="O296" s="328"/>
      <c r="P296" s="328"/>
      <c r="Q296" s="130"/>
    </row>
    <row r="297" spans="1:17" ht="15" customHeight="1" x14ac:dyDescent="0.4">
      <c r="A297" s="734"/>
      <c r="B297" s="95" t="str">
        <f>LEFT($B296,4)&amp;"-"&amp;VALUE(MID($B296,FIND("-",$B296)+1,256))+1</f>
        <v>6280-35</v>
      </c>
      <c r="C297" s="644" t="s">
        <v>415</v>
      </c>
      <c r="D297" s="695"/>
      <c r="E297" s="684">
        <v>1</v>
      </c>
      <c r="F297" s="695"/>
      <c r="G297" s="646">
        <f t="shared" si="97"/>
        <v>4409.43</v>
      </c>
      <c r="H297" s="608">
        <f t="shared" si="92"/>
        <v>4409.43</v>
      </c>
      <c r="I297" s="608">
        <f t="shared" ca="1" si="98"/>
        <v>-4316.29</v>
      </c>
      <c r="J297" s="608">
        <f t="shared" ca="1" si="88"/>
        <v>93.140000000000327</v>
      </c>
      <c r="K297" s="677">
        <v>4281</v>
      </c>
      <c r="M297" s="3"/>
      <c r="N297" s="61"/>
      <c r="O297" s="328"/>
      <c r="P297" s="328"/>
      <c r="Q297" s="130"/>
    </row>
    <row r="298" spans="1:17" ht="15" customHeight="1" x14ac:dyDescent="0.4">
      <c r="A298" s="735"/>
      <c r="B298" s="119" t="str">
        <f t="shared" si="94"/>
        <v>6280-36</v>
      </c>
      <c r="C298" s="600" t="s">
        <v>416</v>
      </c>
      <c r="D298" s="696"/>
      <c r="E298" s="678">
        <v>1</v>
      </c>
      <c r="F298" s="696"/>
      <c r="G298" s="603">
        <f t="shared" si="97"/>
        <v>3806.88</v>
      </c>
      <c r="H298" s="594">
        <f t="shared" si="92"/>
        <v>3806.88</v>
      </c>
      <c r="I298" s="612">
        <f t="shared" ca="1" si="98"/>
        <v>-3731.95</v>
      </c>
      <c r="J298" s="612">
        <f t="shared" ca="1" si="88"/>
        <v>74.930000000000291</v>
      </c>
      <c r="K298" s="679">
        <v>3696</v>
      </c>
      <c r="M298" s="3"/>
      <c r="N298" s="61"/>
      <c r="O298" s="328"/>
      <c r="P298" s="328"/>
      <c r="Q298" s="130"/>
    </row>
    <row r="299" spans="1:17" ht="15" customHeight="1" x14ac:dyDescent="0.4">
      <c r="A299" s="736"/>
      <c r="B299" s="95" t="str">
        <f t="shared" si="94"/>
        <v>6280-37</v>
      </c>
      <c r="C299" s="644" t="s">
        <v>417</v>
      </c>
      <c r="D299" s="695"/>
      <c r="E299" s="684">
        <v>1</v>
      </c>
      <c r="F299" s="695"/>
      <c r="G299" s="646">
        <f t="shared" si="97"/>
        <v>1866.3600000000001</v>
      </c>
      <c r="H299" s="608">
        <f t="shared" si="92"/>
        <v>1866.3600000000001</v>
      </c>
      <c r="I299" s="608">
        <f t="shared" ca="1" si="98"/>
        <v>0</v>
      </c>
      <c r="J299" s="608">
        <f t="shared" ca="1" si="88"/>
        <v>1866.3600000000001</v>
      </c>
      <c r="K299" s="677">
        <v>1812</v>
      </c>
      <c r="M299" s="3"/>
      <c r="N299" s="61"/>
      <c r="O299" s="328"/>
      <c r="P299" s="328"/>
      <c r="Q299" s="130"/>
    </row>
    <row r="300" spans="1:17" ht="15" customHeight="1" x14ac:dyDescent="0.4">
      <c r="A300" s="735"/>
      <c r="B300" s="119" t="str">
        <f t="shared" si="94"/>
        <v>6280-38</v>
      </c>
      <c r="C300" s="600" t="s">
        <v>418</v>
      </c>
      <c r="D300" s="696"/>
      <c r="E300" s="678">
        <v>1</v>
      </c>
      <c r="F300" s="696"/>
      <c r="G300" s="603">
        <f t="shared" si="97"/>
        <v>7601.4000000000005</v>
      </c>
      <c r="H300" s="594">
        <f t="shared" si="92"/>
        <v>7601.4000000000005</v>
      </c>
      <c r="I300" s="612">
        <f t="shared" ca="1" si="98"/>
        <v>0</v>
      </c>
      <c r="J300" s="612">
        <f t="shared" ca="1" si="88"/>
        <v>7601.4000000000005</v>
      </c>
      <c r="K300" s="679">
        <v>7380</v>
      </c>
      <c r="M300" s="3"/>
      <c r="N300" s="61"/>
      <c r="O300" s="328"/>
      <c r="P300" s="328"/>
      <c r="Q300" s="130"/>
    </row>
    <row r="301" spans="1:17" ht="15" customHeight="1" x14ac:dyDescent="0.4">
      <c r="A301" s="734"/>
      <c r="B301" s="95" t="str">
        <f t="shared" si="94"/>
        <v>6280-39</v>
      </c>
      <c r="C301" s="604" t="s">
        <v>419</v>
      </c>
      <c r="D301" s="676"/>
      <c r="E301" s="676">
        <v>1</v>
      </c>
      <c r="F301" s="770"/>
      <c r="G301" s="646">
        <f t="shared" si="97"/>
        <v>3144.59</v>
      </c>
      <c r="H301" s="608">
        <f t="shared" si="92"/>
        <v>3144.59</v>
      </c>
      <c r="I301" s="608">
        <f t="shared" ca="1" si="98"/>
        <v>-3103.55</v>
      </c>
      <c r="J301" s="608">
        <f t="shared" ca="1" si="88"/>
        <v>41.039999999999964</v>
      </c>
      <c r="K301" s="677">
        <v>3053</v>
      </c>
      <c r="M301" s="3"/>
      <c r="N301" s="61"/>
      <c r="O301" s="328"/>
      <c r="P301" s="328"/>
      <c r="Q301" s="130"/>
    </row>
    <row r="302" spans="1:17" ht="15" customHeight="1" x14ac:dyDescent="0.4">
      <c r="A302" s="735"/>
      <c r="B302" s="119" t="str">
        <f t="shared" si="94"/>
        <v>6280-40</v>
      </c>
      <c r="C302" s="639" t="s">
        <v>420</v>
      </c>
      <c r="D302" s="686"/>
      <c r="E302" s="686">
        <v>1</v>
      </c>
      <c r="F302" s="812"/>
      <c r="G302" s="603">
        <f t="shared" si="97"/>
        <v>12978</v>
      </c>
      <c r="H302" s="612">
        <f t="shared" si="92"/>
        <v>12978</v>
      </c>
      <c r="I302" s="612">
        <f t="shared" ca="1" si="98"/>
        <v>-12715</v>
      </c>
      <c r="J302" s="612">
        <f t="shared" ca="1" si="88"/>
        <v>263</v>
      </c>
      <c r="K302" s="679">
        <v>12600</v>
      </c>
      <c r="M302" s="3"/>
      <c r="N302" s="61"/>
      <c r="O302" s="328"/>
      <c r="P302" s="328"/>
      <c r="Q302" s="132"/>
    </row>
    <row r="303" spans="1:17" ht="63" customHeight="1" x14ac:dyDescent="0.4">
      <c r="A303" s="733" t="s">
        <v>615</v>
      </c>
      <c r="B303" s="95" t="str">
        <f t="shared" si="94"/>
        <v>6280-41</v>
      </c>
      <c r="C303" s="596" t="s">
        <v>597</v>
      </c>
      <c r="D303" s="666"/>
      <c r="E303" s="939">
        <v>0.5</v>
      </c>
      <c r="F303" s="811"/>
      <c r="G303" s="588">
        <v>50565</v>
      </c>
      <c r="H303" s="608">
        <f t="shared" si="92"/>
        <v>25282.5</v>
      </c>
      <c r="I303" s="608">
        <f t="shared" ca="1" si="98"/>
        <v>-38000</v>
      </c>
      <c r="J303" s="608">
        <f t="shared" ca="1" si="88"/>
        <v>-12717.5</v>
      </c>
      <c r="K303" s="452"/>
      <c r="M303" s="3"/>
      <c r="N303" s="61"/>
      <c r="O303" s="328"/>
      <c r="P303" s="328"/>
      <c r="Q303" s="132"/>
    </row>
    <row r="304" spans="1:17" ht="15" customHeight="1" x14ac:dyDescent="0.4">
      <c r="A304" s="740"/>
      <c r="B304" s="119" t="str">
        <f t="shared" si="94"/>
        <v>6280-42</v>
      </c>
      <c r="C304" s="643" t="s">
        <v>421</v>
      </c>
      <c r="D304" s="717"/>
      <c r="E304" s="711">
        <v>2</v>
      </c>
      <c r="F304" s="717"/>
      <c r="G304" s="616">
        <v>2500</v>
      </c>
      <c r="H304" s="612">
        <f t="shared" si="92"/>
        <v>5000</v>
      </c>
      <c r="I304" s="612">
        <f ca="1">-(SUMIF(INDIRECT(LEFT($A$261,4)&amp;"!i3:i200"),"="&amp;B304&amp;" *",INDIRECT(LEFT($A$261,4)&amp;"!k3:k200")))</f>
        <v>-3568</v>
      </c>
      <c r="J304" s="612">
        <f t="shared" ref="J304" ca="1" si="99">SUM(H304:I304)</f>
        <v>1432</v>
      </c>
      <c r="K304" s="704">
        <v>5000</v>
      </c>
      <c r="M304" s="131"/>
      <c r="N304" s="61"/>
      <c r="O304" s="328"/>
      <c r="P304" s="328"/>
      <c r="Q304" s="133"/>
    </row>
    <row r="305" spans="1:29" ht="15" customHeight="1" x14ac:dyDescent="0.4">
      <c r="A305" s="734"/>
      <c r="B305" s="95" t="str">
        <f t="shared" si="94"/>
        <v>6280-43</v>
      </c>
      <c r="C305" s="650" t="s">
        <v>422</v>
      </c>
      <c r="D305" s="724"/>
      <c r="E305" s="684">
        <v>2</v>
      </c>
      <c r="F305" s="724"/>
      <c r="G305" s="646">
        <v>250</v>
      </c>
      <c r="H305" s="608">
        <f t="shared" si="92"/>
        <v>500</v>
      </c>
      <c r="I305" s="608">
        <f ca="1">-(SUMIF(INDIRECT(LEFT($A$261,4)&amp;"!i3:i200"),"="&amp;B305&amp;" *",INDIRECT(LEFT($A$261,4)&amp;"!k3:k200")))</f>
        <v>0</v>
      </c>
      <c r="J305" s="608">
        <f t="shared" ca="1" si="88"/>
        <v>500</v>
      </c>
      <c r="K305" s="677">
        <v>500</v>
      </c>
      <c r="M305" s="131"/>
      <c r="N305" s="61"/>
      <c r="O305" s="328"/>
      <c r="P305" s="328"/>
      <c r="Q305" s="133"/>
    </row>
    <row r="306" spans="1:29" ht="15" customHeight="1" thickBot="1" x14ac:dyDescent="0.45">
      <c r="A306" s="746"/>
      <c r="B306" s="95"/>
      <c r="C306" s="617" t="s">
        <v>106</v>
      </c>
      <c r="D306" s="618"/>
      <c r="E306" s="618"/>
      <c r="F306" s="454"/>
      <c r="G306" s="619">
        <f>(H306-K306)/K306</f>
        <v>0.38128644021529928</v>
      </c>
      <c r="H306" s="621">
        <f>SUM(H262:H305)</f>
        <v>394691.55000000005</v>
      </c>
      <c r="I306" s="621">
        <f ca="1">SUM(I262:I275) + SUM(I277:I305)</f>
        <v>-368631.78</v>
      </c>
      <c r="J306" s="621">
        <f ca="1">SUM(J262:J275) + SUM(J277:J305)</f>
        <v>20253.770000000004</v>
      </c>
      <c r="K306" s="692">
        <f>SUM(K262:L305)</f>
        <v>285742</v>
      </c>
      <c r="N306" s="61"/>
      <c r="O306" s="328"/>
      <c r="P306" s="328"/>
      <c r="Q306" s="246"/>
    </row>
    <row r="307" spans="1:29" ht="11.25" customHeight="1" thickTop="1" x14ac:dyDescent="0.4">
      <c r="A307" s="92"/>
      <c r="B307" s="95"/>
      <c r="C307" s="68"/>
      <c r="D307" s="69"/>
      <c r="E307" s="69"/>
      <c r="F307" s="18"/>
      <c r="G307" s="232"/>
      <c r="H307" s="242"/>
      <c r="I307" s="242"/>
      <c r="J307" s="242"/>
      <c r="K307" s="243"/>
      <c r="N307" s="61"/>
      <c r="O307" s="328"/>
      <c r="P307" s="328"/>
      <c r="Q307" s="246"/>
    </row>
    <row r="308" spans="1:29" ht="19.5" customHeight="1" x14ac:dyDescent="0.5">
      <c r="A308" s="978" t="s">
        <v>423</v>
      </c>
      <c r="B308" s="978"/>
      <c r="C308" s="979"/>
      <c r="D308" s="979"/>
      <c r="E308" s="979"/>
      <c r="F308" s="979"/>
      <c r="G308" s="979"/>
      <c r="H308" s="979"/>
      <c r="I308" s="979" t="e">
        <f ca="1">-(SUMIF(INDIRECT(LEFT($A$273,4)&amp;"!E3:E200"),"="&amp;B308&amp;" *",INDIRECT(LEFT($A$273,4)&amp;"!F3:F200")))</f>
        <v>#REF!</v>
      </c>
      <c r="J308" s="979" t="e">
        <f t="shared" ref="J308:J310" ca="1" si="100">SUM(H308:I308)</f>
        <v>#REF!</v>
      </c>
      <c r="K308" s="979"/>
      <c r="N308" s="61"/>
      <c r="O308" s="328"/>
      <c r="P308" s="328"/>
      <c r="Q308" s="246"/>
    </row>
    <row r="309" spans="1:29" ht="15" customHeight="1" x14ac:dyDescent="0.4">
      <c r="A309" s="730"/>
      <c r="B309" s="95" t="str">
        <f>LEFT($A308,4)&amp;"-1"</f>
        <v>6285-1</v>
      </c>
      <c r="C309" s="596" t="s">
        <v>424</v>
      </c>
      <c r="D309" s="516"/>
      <c r="E309" s="684">
        <v>15</v>
      </c>
      <c r="F309" s="516"/>
      <c r="G309" s="588">
        <v>204</v>
      </c>
      <c r="H309" s="589">
        <f t="shared" ref="H309:H326" si="101">(D309+E309+F309)*G309</f>
        <v>3060</v>
      </c>
      <c r="I309" s="589">
        <f ca="1">-(SUMIF(INDIRECT(LEFT($A$308,4)&amp;"!i3:i200"),"="&amp;B309&amp;" *",INDIRECT(LEFT($A$308,4)&amp;"!k3:k200")))</f>
        <v>-1939.93</v>
      </c>
      <c r="J309" s="589">
        <f t="shared" ca="1" si="100"/>
        <v>1120.07</v>
      </c>
      <c r="K309" s="452">
        <v>3060</v>
      </c>
      <c r="L309" s="75"/>
      <c r="M309" s="3"/>
      <c r="N309" s="61"/>
      <c r="O309" s="328"/>
      <c r="P309" s="328"/>
    </row>
    <row r="310" spans="1:29" ht="15" customHeight="1" x14ac:dyDescent="0.4">
      <c r="A310" s="745"/>
      <c r="B310" s="239" t="str">
        <f t="shared" ref="B310:B326" si="102">LEFT($B309,4)&amp;"-"&amp;VALUE(MID($B309,FIND("-",$B309)+1,256))+1</f>
        <v>6285-2</v>
      </c>
      <c r="C310" s="813" t="s">
        <v>425</v>
      </c>
      <c r="D310" s="784"/>
      <c r="E310" s="785">
        <v>22</v>
      </c>
      <c r="F310" s="784"/>
      <c r="G310" s="786">
        <v>250</v>
      </c>
      <c r="H310" s="658">
        <f>(D310+E310+F310)*G310</f>
        <v>5500</v>
      </c>
      <c r="I310" s="658">
        <f ca="1">-(SUMIF(INDIRECT(LEFT($A$308,4)&amp;"!i3:i200"),"="&amp;B310&amp;" *",INDIRECT(LEFT($A$308,4)&amp;"!k3:k200")))</f>
        <v>-3982</v>
      </c>
      <c r="J310" s="658">
        <f t="shared" ca="1" si="100"/>
        <v>1518</v>
      </c>
      <c r="K310" s="690">
        <v>5000</v>
      </c>
      <c r="M310" s="131"/>
      <c r="N310" s="61"/>
      <c r="O310" s="328"/>
      <c r="P310" s="328"/>
      <c r="Q310" s="322"/>
    </row>
    <row r="311" spans="1:29" ht="15" customHeight="1" x14ac:dyDescent="0.4">
      <c r="A311" s="733"/>
      <c r="B311" s="147" t="str">
        <f t="shared" si="102"/>
        <v>6285-3</v>
      </c>
      <c r="C311" s="596" t="s">
        <v>426</v>
      </c>
      <c r="D311" s="618"/>
      <c r="E311" s="666">
        <v>1.05</v>
      </c>
      <c r="F311" s="496"/>
      <c r="G311" s="588">
        <v>3600</v>
      </c>
      <c r="H311" s="589">
        <f>(D311+E311+F311)*G311</f>
        <v>3780</v>
      </c>
      <c r="I311" s="589">
        <f ca="1">-(SUMIF(INDIRECT(LEFT($A$308,4)&amp;"!i3:i200"),"="&amp;B311&amp;" *",INDIRECT(LEFT($A$308,4)&amp;"!k3:k200")))</f>
        <v>-5997.2</v>
      </c>
      <c r="J311" s="589"/>
      <c r="K311" s="452">
        <v>3600</v>
      </c>
      <c r="M311" s="134"/>
      <c r="N311" s="61"/>
      <c r="O311" s="328"/>
      <c r="P311" s="328"/>
      <c r="Q311" s="246"/>
    </row>
    <row r="312" spans="1:29" ht="15" customHeight="1" x14ac:dyDescent="0.4">
      <c r="A312" s="742"/>
      <c r="B312" s="239" t="str">
        <f t="shared" si="102"/>
        <v>6285-4</v>
      </c>
      <c r="C312" s="651" t="s">
        <v>427</v>
      </c>
      <c r="D312" s="765"/>
      <c r="E312" s="686">
        <v>4</v>
      </c>
      <c r="F312" s="765"/>
      <c r="G312" s="603">
        <v>500</v>
      </c>
      <c r="H312" s="594">
        <f t="shared" si="101"/>
        <v>2000</v>
      </c>
      <c r="I312" s="594">
        <f ca="1">-(SUMIF(INDIRECT(LEFT($A$308,4)&amp;"!i3:i200"),"="&amp;B312&amp;" *",INDIRECT(LEFT($A$308,4)&amp;"!k3:k200")))</f>
        <v>-3649.77</v>
      </c>
      <c r="J312" s="594">
        <f t="shared" ref="J312:J326" ca="1" si="103">SUM(H312:I312)</f>
        <v>-1649.77</v>
      </c>
      <c r="K312" s="679">
        <v>2000</v>
      </c>
      <c r="M312" s="134"/>
      <c r="N312" s="61"/>
      <c r="O312" s="328"/>
      <c r="P312" s="328"/>
      <c r="Q312" s="246"/>
    </row>
    <row r="313" spans="1:29" ht="15" customHeight="1" x14ac:dyDescent="0.4">
      <c r="A313" s="730" t="s">
        <v>428</v>
      </c>
      <c r="B313" s="147" t="str">
        <f t="shared" si="102"/>
        <v>6285-5</v>
      </c>
      <c r="C313" s="625" t="s">
        <v>524</v>
      </c>
      <c r="D313" s="688"/>
      <c r="E313" s="666">
        <v>12</v>
      </c>
      <c r="F313" s="688"/>
      <c r="G313" s="588">
        <v>900</v>
      </c>
      <c r="H313" s="589">
        <f>(D313+E313+F313)*G313</f>
        <v>10800</v>
      </c>
      <c r="I313" s="589">
        <f ca="1">-(SUMIF(INDIRECT(LEFT($A$308,4)&amp;"!i3:i200"),"="&amp;B313&amp;" *",INDIRECT(LEFT($A$308,4)&amp;"!k3:k200")))</f>
        <v>-4002.3</v>
      </c>
      <c r="J313" s="589">
        <f t="shared" ca="1" si="103"/>
        <v>6797.7</v>
      </c>
      <c r="K313" s="452"/>
      <c r="M313" s="134"/>
      <c r="N313" s="61"/>
      <c r="O313" s="328"/>
      <c r="P313" s="328"/>
      <c r="Q313" s="246"/>
    </row>
    <row r="314" spans="1:29" ht="15" customHeight="1" x14ac:dyDescent="0.4">
      <c r="A314" s="740"/>
      <c r="B314" s="143" t="str">
        <f t="shared" si="102"/>
        <v>6285-6</v>
      </c>
      <c r="C314" s="701" t="s">
        <v>429</v>
      </c>
      <c r="D314" s="702"/>
      <c r="E314" s="720"/>
      <c r="F314" s="702">
        <v>1</v>
      </c>
      <c r="G314" s="616">
        <v>15000</v>
      </c>
      <c r="H314" s="594">
        <f t="shared" si="101"/>
        <v>15000</v>
      </c>
      <c r="I314" s="594">
        <f t="shared" ref="I314:I326" ca="1" si="104">-(SUMIF(INDIRECT(LEFT($A$308,4)&amp;"!i3:i200"),"="&amp;B314&amp;" *",INDIRECT(LEFT($A$308,4)&amp;"!k3:k200")))</f>
        <v>-16944.359999999997</v>
      </c>
      <c r="J314" s="594">
        <f t="shared" ca="1" si="103"/>
        <v>-1944.3599999999969</v>
      </c>
      <c r="K314" s="704">
        <v>15000</v>
      </c>
      <c r="M314" s="134"/>
      <c r="N314" s="61"/>
      <c r="O314" s="328"/>
      <c r="P314" s="328"/>
      <c r="Q314" s="246"/>
    </row>
    <row r="315" spans="1:29" ht="15" customHeight="1" x14ac:dyDescent="0.4">
      <c r="A315" s="733"/>
      <c r="B315" s="147" t="str">
        <f t="shared" si="102"/>
        <v>6285-7</v>
      </c>
      <c r="C315" s="596" t="s">
        <v>430</v>
      </c>
      <c r="D315" s="618"/>
      <c r="E315" s="666">
        <v>12</v>
      </c>
      <c r="F315" s="496"/>
      <c r="G315" s="588">
        <v>5042</v>
      </c>
      <c r="H315" s="589">
        <f t="shared" si="101"/>
        <v>60504</v>
      </c>
      <c r="I315" s="589">
        <f t="shared" ca="1" si="104"/>
        <v>-60500.039999999986</v>
      </c>
      <c r="J315" s="589">
        <f t="shared" ca="1" si="103"/>
        <v>3.9600000000136788</v>
      </c>
      <c r="K315" s="452">
        <v>60504</v>
      </c>
      <c r="M315" s="134"/>
      <c r="N315" s="61"/>
      <c r="O315" s="328"/>
      <c r="P315" s="328"/>
      <c r="Q315" s="246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5" customHeight="1" x14ac:dyDescent="0.4">
      <c r="A316" s="742"/>
      <c r="B316" s="143" t="str">
        <f t="shared" si="102"/>
        <v>6285-8</v>
      </c>
      <c r="C316" s="648" t="s">
        <v>431</v>
      </c>
      <c r="D316" s="694"/>
      <c r="E316" s="678">
        <v>0</v>
      </c>
      <c r="F316" s="694"/>
      <c r="G316" s="603">
        <v>50</v>
      </c>
      <c r="H316" s="594">
        <f t="shared" si="101"/>
        <v>0</v>
      </c>
      <c r="I316" s="594">
        <f t="shared" ca="1" si="104"/>
        <v>0</v>
      </c>
      <c r="J316" s="594">
        <f t="shared" ca="1" si="103"/>
        <v>0</v>
      </c>
      <c r="K316" s="679">
        <v>50</v>
      </c>
      <c r="M316" s="131"/>
      <c r="N316" s="61"/>
      <c r="O316" s="328"/>
      <c r="P316" s="328"/>
      <c r="Q316" s="246"/>
    </row>
    <row r="317" spans="1:29" ht="15" customHeight="1" x14ac:dyDescent="0.4">
      <c r="A317" s="730"/>
      <c r="B317" s="147" t="str">
        <f t="shared" si="102"/>
        <v>6285-9</v>
      </c>
      <c r="C317" s="672" t="s">
        <v>432</v>
      </c>
      <c r="D317" s="688"/>
      <c r="E317" s="666">
        <v>1</v>
      </c>
      <c r="F317" s="688"/>
      <c r="G317" s="588">
        <v>1000</v>
      </c>
      <c r="H317" s="589">
        <f t="shared" si="101"/>
        <v>1000</v>
      </c>
      <c r="I317" s="589">
        <f t="shared" ca="1" si="104"/>
        <v>-1184.45</v>
      </c>
      <c r="J317" s="589">
        <f t="shared" ca="1" si="103"/>
        <v>-184.45000000000005</v>
      </c>
      <c r="K317" s="452">
        <v>1000</v>
      </c>
      <c r="M317" s="3"/>
      <c r="N317" s="61"/>
      <c r="O317" s="328"/>
      <c r="P317" s="328"/>
      <c r="Q317" s="246"/>
    </row>
    <row r="318" spans="1:29" ht="15" customHeight="1" x14ac:dyDescent="0.4">
      <c r="A318" s="740"/>
      <c r="B318" s="239" t="str">
        <f t="shared" si="102"/>
        <v>6285-10</v>
      </c>
      <c r="C318" s="814" t="s">
        <v>433</v>
      </c>
      <c r="D318" s="717"/>
      <c r="E318" s="711">
        <v>1</v>
      </c>
      <c r="F318" s="717"/>
      <c r="G318" s="616">
        <v>4000</v>
      </c>
      <c r="H318" s="594">
        <f t="shared" si="101"/>
        <v>4000</v>
      </c>
      <c r="I318" s="594">
        <f t="shared" ca="1" si="104"/>
        <v>-670.71000000000015</v>
      </c>
      <c r="J318" s="594">
        <f t="shared" ca="1" si="103"/>
        <v>3329.29</v>
      </c>
      <c r="K318" s="704">
        <v>4000</v>
      </c>
      <c r="M318" s="134"/>
      <c r="N318" s="61"/>
      <c r="O318" s="328"/>
      <c r="P318" s="328"/>
      <c r="Q318" s="246"/>
    </row>
    <row r="319" spans="1:29" ht="15" customHeight="1" x14ac:dyDescent="0.4">
      <c r="A319" s="734"/>
      <c r="B319" s="147" t="str">
        <f t="shared" si="102"/>
        <v>6285-11</v>
      </c>
      <c r="C319" s="815" t="s">
        <v>403</v>
      </c>
      <c r="D319" s="724"/>
      <c r="E319" s="684">
        <v>1</v>
      </c>
      <c r="F319" s="724"/>
      <c r="G319" s="646">
        <v>2000</v>
      </c>
      <c r="H319" s="589">
        <f t="shared" si="101"/>
        <v>2000</v>
      </c>
      <c r="I319" s="589">
        <f t="shared" ca="1" si="104"/>
        <v>0</v>
      </c>
      <c r="J319" s="589">
        <f t="shared" ca="1" si="103"/>
        <v>2000</v>
      </c>
      <c r="K319" s="677">
        <v>2000</v>
      </c>
      <c r="M319" s="3"/>
      <c r="N319" s="61"/>
      <c r="O319" s="328"/>
      <c r="P319" s="328"/>
      <c r="Q319" s="246"/>
    </row>
    <row r="320" spans="1:29" ht="15" customHeight="1" x14ac:dyDescent="0.4">
      <c r="A320" s="742" t="s">
        <v>434</v>
      </c>
      <c r="B320" s="143" t="str">
        <f t="shared" si="102"/>
        <v>6285-12</v>
      </c>
      <c r="C320" s="682" t="s">
        <v>435</v>
      </c>
      <c r="D320" s="694"/>
      <c r="E320" s="678">
        <v>12</v>
      </c>
      <c r="F320" s="694"/>
      <c r="G320" s="603">
        <v>1950</v>
      </c>
      <c r="H320" s="594">
        <f t="shared" si="101"/>
        <v>23400</v>
      </c>
      <c r="I320" s="594">
        <f t="shared" ca="1" si="104"/>
        <v>-28251.590000000004</v>
      </c>
      <c r="J320" s="594">
        <f t="shared" ca="1" si="103"/>
        <v>-4851.5900000000038</v>
      </c>
      <c r="K320" s="679">
        <v>18200</v>
      </c>
      <c r="M320" s="3"/>
      <c r="N320" s="61"/>
      <c r="O320" s="328"/>
      <c r="P320" s="328"/>
      <c r="Q320" s="246"/>
    </row>
    <row r="321" spans="1:17" ht="15" customHeight="1" x14ac:dyDescent="0.4">
      <c r="A321" s="733"/>
      <c r="B321" s="147" t="str">
        <f t="shared" si="102"/>
        <v>6285-13</v>
      </c>
      <c r="C321" s="596" t="s">
        <v>436</v>
      </c>
      <c r="D321" s="618"/>
      <c r="E321" s="666">
        <v>1</v>
      </c>
      <c r="F321" s="496"/>
      <c r="G321" s="588">
        <v>100</v>
      </c>
      <c r="H321" s="589">
        <f t="shared" si="101"/>
        <v>100</v>
      </c>
      <c r="I321" s="589">
        <f t="shared" ca="1" si="104"/>
        <v>-149.94999999999999</v>
      </c>
      <c r="J321" s="589">
        <f t="shared" ca="1" si="103"/>
        <v>-49.949999999999989</v>
      </c>
      <c r="K321" s="452">
        <v>100</v>
      </c>
      <c r="M321" s="134"/>
      <c r="N321" s="61"/>
      <c r="O321" s="328"/>
      <c r="P321" s="328"/>
      <c r="Q321" s="246"/>
    </row>
    <row r="322" spans="1:17" ht="15" customHeight="1" x14ac:dyDescent="0.4">
      <c r="A322" s="742"/>
      <c r="B322" s="143" t="str">
        <f t="shared" si="102"/>
        <v>6285-14</v>
      </c>
      <c r="C322" s="648" t="s">
        <v>437</v>
      </c>
      <c r="D322" s="694"/>
      <c r="E322" s="678">
        <v>13</v>
      </c>
      <c r="F322" s="694"/>
      <c r="G322" s="603">
        <v>350</v>
      </c>
      <c r="H322" s="594">
        <f t="shared" si="101"/>
        <v>4550</v>
      </c>
      <c r="I322" s="594">
        <f t="shared" ca="1" si="104"/>
        <v>0</v>
      </c>
      <c r="J322" s="594">
        <f t="shared" ca="1" si="103"/>
        <v>4550</v>
      </c>
      <c r="K322" s="679">
        <v>4200</v>
      </c>
      <c r="M322" s="131"/>
      <c r="N322" s="61"/>
      <c r="O322" s="328"/>
      <c r="P322" s="328"/>
      <c r="Q322" s="246"/>
    </row>
    <row r="323" spans="1:17" ht="15" customHeight="1" x14ac:dyDescent="0.4">
      <c r="A323" s="734"/>
      <c r="B323" s="147" t="str">
        <f t="shared" si="102"/>
        <v>6285-15</v>
      </c>
      <c r="C323" s="815" t="s">
        <v>438</v>
      </c>
      <c r="D323" s="724"/>
      <c r="E323" s="684">
        <v>1</v>
      </c>
      <c r="F323" s="724"/>
      <c r="G323" s="646">
        <v>4500</v>
      </c>
      <c r="H323" s="589">
        <f t="shared" si="101"/>
        <v>4500</v>
      </c>
      <c r="I323" s="589">
        <f t="shared" ca="1" si="104"/>
        <v>0</v>
      </c>
      <c r="J323" s="589">
        <f t="shared" ca="1" si="103"/>
        <v>4500</v>
      </c>
      <c r="K323" s="677">
        <v>4500</v>
      </c>
      <c r="M323" s="134"/>
      <c r="N323" s="61"/>
      <c r="O323" s="328"/>
      <c r="P323" s="328"/>
      <c r="Q323" s="94"/>
    </row>
    <row r="324" spans="1:17" ht="15" customHeight="1" x14ac:dyDescent="0.4">
      <c r="A324" s="742"/>
      <c r="B324" s="239" t="str">
        <f t="shared" si="102"/>
        <v>6285-16</v>
      </c>
      <c r="C324" s="648" t="s">
        <v>439</v>
      </c>
      <c r="D324" s="694"/>
      <c r="E324" s="678">
        <v>2.5</v>
      </c>
      <c r="F324" s="694"/>
      <c r="G324" s="603">
        <v>2872</v>
      </c>
      <c r="H324" s="594">
        <f t="shared" si="101"/>
        <v>7180</v>
      </c>
      <c r="I324" s="594">
        <f t="shared" ca="1" si="104"/>
        <v>-6975</v>
      </c>
      <c r="J324" s="594">
        <f t="shared" ca="1" si="103"/>
        <v>205</v>
      </c>
      <c r="K324" s="679">
        <v>7180</v>
      </c>
      <c r="M324" s="131"/>
      <c r="N324" s="61"/>
      <c r="O324" s="328"/>
      <c r="P324" s="328"/>
      <c r="Q324" s="246"/>
    </row>
    <row r="325" spans="1:17" ht="36.65" customHeight="1" x14ac:dyDescent="0.4">
      <c r="A325" s="733" t="s">
        <v>440</v>
      </c>
      <c r="B325" s="147" t="str">
        <f t="shared" si="102"/>
        <v>6285-17</v>
      </c>
      <c r="C325" s="596" t="s">
        <v>441</v>
      </c>
      <c r="D325" s="516">
        <v>9</v>
      </c>
      <c r="E325" s="666">
        <v>12</v>
      </c>
      <c r="F325" s="516"/>
      <c r="G325" s="588">
        <v>480</v>
      </c>
      <c r="H325" s="589">
        <f t="shared" si="101"/>
        <v>10080</v>
      </c>
      <c r="I325" s="589">
        <f t="shared" ca="1" si="104"/>
        <v>-18479.150000000005</v>
      </c>
      <c r="J325" s="589">
        <f t="shared" ca="1" si="103"/>
        <v>-8399.1500000000051</v>
      </c>
      <c r="K325" s="452">
        <v>4500</v>
      </c>
      <c r="L325" s="75"/>
      <c r="M325" s="3"/>
      <c r="N325" s="61"/>
      <c r="O325" s="328"/>
      <c r="P325" s="328"/>
    </row>
    <row r="326" spans="1:17" ht="22.3" x14ac:dyDescent="0.4">
      <c r="A326" s="737" t="s">
        <v>442</v>
      </c>
      <c r="B326" s="143" t="str">
        <f t="shared" si="102"/>
        <v>6285-18</v>
      </c>
      <c r="C326" s="590" t="s">
        <v>443</v>
      </c>
      <c r="D326" s="818"/>
      <c r="E326" s="720">
        <v>1</v>
      </c>
      <c r="F326" s="819"/>
      <c r="G326" s="616">
        <v>300</v>
      </c>
      <c r="H326" s="816">
        <f t="shared" si="101"/>
        <v>300</v>
      </c>
      <c r="I326" s="816">
        <f t="shared" ca="1" si="104"/>
        <v>0</v>
      </c>
      <c r="J326" s="816">
        <f t="shared" ca="1" si="103"/>
        <v>300</v>
      </c>
      <c r="K326" s="817">
        <v>400</v>
      </c>
      <c r="M326" s="134"/>
      <c r="N326" s="61"/>
      <c r="O326" s="328"/>
      <c r="P326" s="328"/>
      <c r="Q326" s="246"/>
    </row>
    <row r="327" spans="1:17" ht="15" customHeight="1" thickBot="1" x14ac:dyDescent="0.45">
      <c r="A327" s="733"/>
      <c r="B327" s="92"/>
      <c r="C327" s="617" t="s">
        <v>106</v>
      </c>
      <c r="D327" s="618"/>
      <c r="E327" s="618"/>
      <c r="F327" s="454"/>
      <c r="G327" s="619">
        <f>(H327-K327)/K327</f>
        <v>0.16600884000768695</v>
      </c>
      <c r="H327" s="621">
        <f>SUM(H309:H326)</f>
        <v>157754</v>
      </c>
      <c r="I327" s="621">
        <f ca="1">SUM(I309:I326)</f>
        <v>-152726.44999999998</v>
      </c>
      <c r="J327" s="621">
        <f ca="1">SUM(J309:J326)</f>
        <v>7244.7500000000073</v>
      </c>
      <c r="K327" s="692">
        <f>SUM(K309:K326)</f>
        <v>135294</v>
      </c>
      <c r="N327" s="61"/>
      <c r="O327" s="328"/>
      <c r="P327" s="328"/>
      <c r="Q327" s="246"/>
    </row>
    <row r="328" spans="1:17" ht="17.25" customHeight="1" thickTop="1" x14ac:dyDescent="0.4">
      <c r="A328" s="733"/>
      <c r="B328" s="66"/>
      <c r="C328" s="68"/>
      <c r="D328" s="69"/>
      <c r="E328" s="69"/>
      <c r="F328" s="18"/>
      <c r="G328" s="238"/>
      <c r="H328" s="87"/>
      <c r="I328" s="87"/>
      <c r="J328" s="87"/>
      <c r="K328" s="126"/>
      <c r="N328" s="61"/>
      <c r="O328" s="328"/>
      <c r="P328" s="328"/>
      <c r="Q328" s="246"/>
    </row>
    <row r="329" spans="1:17" ht="19.5" customHeight="1" x14ac:dyDescent="0.5">
      <c r="A329" s="978" t="s">
        <v>444</v>
      </c>
      <c r="B329" s="978"/>
      <c r="C329" s="979"/>
      <c r="D329" s="979"/>
      <c r="E329" s="979"/>
      <c r="F329" s="979"/>
      <c r="G329" s="979"/>
      <c r="H329" s="979"/>
      <c r="I329" s="979" t="e">
        <f ca="1">-(SUMIF(INDIRECT(LEFT($A$328,4)&amp;"!E3:E200"),"="&amp;B329&amp;" *",INDIRECT(LEFT($A$328,4)&amp;"!F3:F200")))</f>
        <v>#REF!</v>
      </c>
      <c r="J329" s="979" t="e">
        <f ca="1">SUM(H329:I329)</f>
        <v>#REF!</v>
      </c>
      <c r="K329" s="979"/>
      <c r="N329" s="61"/>
      <c r="O329" s="328"/>
      <c r="P329" s="328"/>
      <c r="Q329" s="246"/>
    </row>
    <row r="330" spans="1:17" ht="15" customHeight="1" x14ac:dyDescent="0.4">
      <c r="A330" s="665"/>
      <c r="B330" s="145" t="str">
        <f>LEFT($A329,4)&amp;"-1"</f>
        <v>6290-1</v>
      </c>
      <c r="C330" s="596" t="s">
        <v>445</v>
      </c>
      <c r="D330" s="688"/>
      <c r="E330" s="666"/>
      <c r="F330" s="688">
        <v>1</v>
      </c>
      <c r="G330" s="588">
        <f>65*105%</f>
        <v>68.25</v>
      </c>
      <c r="H330" s="589">
        <f t="shared" ref="H330:H334" si="105">SUM((D330+E330+F330)*G330)</f>
        <v>68.25</v>
      </c>
      <c r="I330" s="589">
        <f ca="1">-(SUMIF(INDIRECT(LEFT($A$329,4)&amp;"!i3:i200"),"="&amp;B330&amp;" *",INDIRECT(LEFT($A$329,4)&amp;"!k3:k200")))</f>
        <v>-64.680000000000007</v>
      </c>
      <c r="J330" s="589">
        <f t="shared" ref="J330:J342" ca="1" si="106">SUM(H330:I330)</f>
        <v>3.5699999999999932</v>
      </c>
      <c r="K330" s="589">
        <v>68.25</v>
      </c>
      <c r="N330" s="61"/>
      <c r="O330" s="328"/>
      <c r="P330" s="328"/>
      <c r="Q330" s="246"/>
    </row>
    <row r="331" spans="1:17" ht="15" customHeight="1" x14ac:dyDescent="0.4">
      <c r="A331" s="670"/>
      <c r="B331" s="119" t="str">
        <f t="shared" ref="B331:B334" si="107">LEFT($B330,4)&amp;"-"&amp;VALUE(MID($B330,FIND("-",$B330)+1,256))+1</f>
        <v>6290-2</v>
      </c>
      <c r="C331" s="752" t="s">
        <v>446</v>
      </c>
      <c r="D331" s="768"/>
      <c r="E331" s="754"/>
      <c r="F331" s="768">
        <v>1</v>
      </c>
      <c r="G331" s="633">
        <f>600*105%</f>
        <v>630</v>
      </c>
      <c r="H331" s="595">
        <f t="shared" si="105"/>
        <v>630</v>
      </c>
      <c r="I331" s="595">
        <f ca="1">-(SUMIF(INDIRECT(LEFT($A$329,4)&amp;"!i3:i200"),"="&amp;B331&amp;" *",INDIRECT(LEFT($A$329,4)&amp;"!k3:k200")))</f>
        <v>-588</v>
      </c>
      <c r="J331" s="595">
        <f t="shared" ca="1" si="106"/>
        <v>42</v>
      </c>
      <c r="K331" s="595">
        <v>630</v>
      </c>
      <c r="N331" s="61"/>
      <c r="O331" s="328"/>
      <c r="P331" s="328"/>
      <c r="Q331" s="246"/>
    </row>
    <row r="332" spans="1:17" ht="15" customHeight="1" x14ac:dyDescent="0.4">
      <c r="A332" s="665"/>
      <c r="B332" s="147" t="str">
        <f t="shared" si="107"/>
        <v>6290-3</v>
      </c>
      <c r="C332" s="659" t="s">
        <v>447</v>
      </c>
      <c r="D332" s="712"/>
      <c r="E332" s="681"/>
      <c r="F332" s="712">
        <v>1</v>
      </c>
      <c r="G332" s="588">
        <f>6546*105%</f>
        <v>6873.3</v>
      </c>
      <c r="H332" s="589">
        <f t="shared" si="105"/>
        <v>6873.3</v>
      </c>
      <c r="I332" s="589">
        <f ca="1">-(SUMIF(INDIRECT(LEFT($A$329,4)&amp;"!i3:i200"),"="&amp;B332&amp;" *",INDIRECT(LEFT($A$329,4)&amp;"!k3:k200")))</f>
        <v>-7023.66</v>
      </c>
      <c r="J332" s="589">
        <f t="shared" ref="J332:J334" ca="1" si="108">SUM(H332:I332)</f>
        <v>-150.35999999999967</v>
      </c>
      <c r="K332" s="589">
        <v>6578.25</v>
      </c>
      <c r="N332" s="61"/>
      <c r="O332" s="328"/>
      <c r="P332" s="328"/>
      <c r="Q332" s="246"/>
    </row>
    <row r="333" spans="1:17" ht="15" customHeight="1" x14ac:dyDescent="0.4">
      <c r="A333" s="670"/>
      <c r="B333" s="143" t="str">
        <f t="shared" si="107"/>
        <v>6290-4</v>
      </c>
      <c r="C333" s="634" t="s">
        <v>448</v>
      </c>
      <c r="D333" s="769"/>
      <c r="E333" s="675"/>
      <c r="F333" s="769">
        <v>1</v>
      </c>
      <c r="G333" s="633">
        <f>2802*105%</f>
        <v>2942.1</v>
      </c>
      <c r="H333" s="595">
        <f t="shared" si="105"/>
        <v>2942.1</v>
      </c>
      <c r="I333" s="595">
        <f ca="1">-(SUMIF(INDIRECT(LEFT($A$329,4)&amp;"!i3:i200"),"="&amp;B333&amp;" *",INDIRECT(LEFT($A$329,4)&amp;"!k3:k200")))</f>
        <v>-2765.56</v>
      </c>
      <c r="J333" s="595">
        <f t="shared" ca="1" si="108"/>
        <v>176.53999999999996</v>
      </c>
      <c r="K333" s="595">
        <v>3639.3</v>
      </c>
      <c r="N333" s="61"/>
      <c r="O333" s="328"/>
      <c r="P333" s="328"/>
      <c r="Q333" s="246"/>
    </row>
    <row r="334" spans="1:17" ht="15" customHeight="1" x14ac:dyDescent="0.4">
      <c r="A334" s="665"/>
      <c r="B334" s="95" t="str">
        <f t="shared" si="107"/>
        <v>6290-5</v>
      </c>
      <c r="C334" s="596" t="s">
        <v>449</v>
      </c>
      <c r="D334" s="688"/>
      <c r="E334" s="666"/>
      <c r="F334" s="688">
        <v>1</v>
      </c>
      <c r="G334" s="588">
        <f>8766*105%</f>
        <v>9204.3000000000011</v>
      </c>
      <c r="H334" s="589">
        <f t="shared" si="105"/>
        <v>9204.3000000000011</v>
      </c>
      <c r="I334" s="589">
        <f ca="1">-(SUMIF(INDIRECT(LEFT($A$329,4)&amp;"!i3:i200"),"="&amp;B334&amp;" *",INDIRECT(LEFT($A$329,4)&amp;"!k3:k200")))</f>
        <v>-11417</v>
      </c>
      <c r="J334" s="589">
        <f t="shared" ca="1" si="108"/>
        <v>-2212.6999999999989</v>
      </c>
      <c r="K334" s="589">
        <v>6854.4000000000005</v>
      </c>
      <c r="N334" s="61"/>
      <c r="O334" s="328"/>
      <c r="P334" s="328"/>
      <c r="Q334" s="246"/>
    </row>
    <row r="335" spans="1:17" ht="15" customHeight="1" thickBot="1" x14ac:dyDescent="0.45">
      <c r="A335" s="820"/>
      <c r="B335" s="95"/>
      <c r="C335" s="617" t="s">
        <v>106</v>
      </c>
      <c r="D335" s="618"/>
      <c r="E335" s="618"/>
      <c r="F335" s="454"/>
      <c r="G335" s="619">
        <f>SUM(Summary!H27)</f>
        <v>0.11235955056179775</v>
      </c>
      <c r="H335" s="621">
        <f>SUM(H330:H334)</f>
        <v>19717.95</v>
      </c>
      <c r="I335" s="621">
        <f t="shared" ref="I335:J335" ca="1" si="109">SUM(I330:I334)</f>
        <v>-21858.9</v>
      </c>
      <c r="J335" s="621">
        <f t="shared" ca="1" si="109"/>
        <v>-2140.9499999999985</v>
      </c>
      <c r="K335" s="621">
        <f>SUM(K330:K334)</f>
        <v>17770.2</v>
      </c>
      <c r="N335" s="61"/>
      <c r="O335" s="328"/>
      <c r="P335" s="328"/>
      <c r="Q335" s="246"/>
    </row>
    <row r="336" spans="1:17" ht="9.75" customHeight="1" thickTop="1" x14ac:dyDescent="0.4">
      <c r="A336" s="583"/>
      <c r="B336" s="147"/>
      <c r="C336" s="617"/>
      <c r="D336" s="618"/>
      <c r="E336" s="618"/>
      <c r="F336" s="618"/>
      <c r="G336" s="599"/>
      <c r="H336" s="653"/>
      <c r="I336" s="653"/>
      <c r="J336" s="653"/>
      <c r="K336" s="653"/>
      <c r="N336" s="61"/>
      <c r="O336" s="328"/>
      <c r="P336" s="328"/>
      <c r="Q336" s="246"/>
    </row>
    <row r="337" spans="1:18" ht="19.5" customHeight="1" x14ac:dyDescent="0.5">
      <c r="A337" s="978" t="s">
        <v>450</v>
      </c>
      <c r="B337" s="978"/>
      <c r="C337" s="979"/>
      <c r="D337" s="979"/>
      <c r="E337" s="979"/>
      <c r="F337" s="979"/>
      <c r="G337" s="979"/>
      <c r="H337" s="979"/>
      <c r="I337" s="979" t="e">
        <f ca="1">-(SUMIF(INDIRECT(LEFT($A$328,4)&amp;"!E3:E200"),"="&amp;B337&amp;" *",INDIRECT(LEFT($A$328,4)&amp;"!F3:F200")))</f>
        <v>#REF!</v>
      </c>
      <c r="J337" s="979" t="e">
        <f t="shared" ca="1" si="106"/>
        <v>#REF!</v>
      </c>
      <c r="K337" s="979"/>
      <c r="N337" s="61"/>
      <c r="O337" s="328"/>
      <c r="P337" s="328"/>
      <c r="Q337" s="246"/>
    </row>
    <row r="338" spans="1:18" ht="15" customHeight="1" x14ac:dyDescent="0.4">
      <c r="A338" s="773" t="s">
        <v>451</v>
      </c>
      <c r="B338" s="147" t="str">
        <f>LEFT($A337,4)&amp;"-1"</f>
        <v>6810-1</v>
      </c>
      <c r="C338" s="775" t="s">
        <v>621</v>
      </c>
      <c r="D338" s="775"/>
      <c r="E338" s="775"/>
      <c r="F338" s="776">
        <v>0</v>
      </c>
      <c r="G338" s="772">
        <v>35459.730000000003</v>
      </c>
      <c r="H338" s="589">
        <f>SUM((D338+E338+F338)*G338)</f>
        <v>0</v>
      </c>
      <c r="I338" s="589">
        <f ca="1">-(SUMIF(INDIRECT(LEFT($A$337,4)&amp;"!i3:i200"),"="&amp;B338&amp;" *",INDIRECT(LEFT($A$337,4)&amp;"!k3:k200")))+705.49</f>
        <v>-34048.75</v>
      </c>
      <c r="J338" s="589">
        <f t="shared" ca="1" si="106"/>
        <v>-34048.75</v>
      </c>
      <c r="K338" s="589">
        <v>425516.76</v>
      </c>
      <c r="N338" s="61"/>
      <c r="O338" s="328"/>
      <c r="P338" s="328"/>
      <c r="Q338" s="246"/>
    </row>
    <row r="339" spans="1:18" ht="15" customHeight="1" thickBot="1" x14ac:dyDescent="0.45">
      <c r="A339" s="98"/>
      <c r="B339" s="95"/>
      <c r="C339" s="617" t="s">
        <v>153</v>
      </c>
      <c r="D339" s="775"/>
      <c r="E339" s="775"/>
      <c r="F339" s="454"/>
      <c r="G339" s="619">
        <f>(H339-K339)/K339</f>
        <v>-1</v>
      </c>
      <c r="H339" s="621">
        <f>SUM(H338)</f>
        <v>0</v>
      </c>
      <c r="I339" s="621">
        <f t="shared" ref="I339:J339" ca="1" si="110">SUM(I338)</f>
        <v>-34048.75</v>
      </c>
      <c r="J339" s="621">
        <f t="shared" ca="1" si="110"/>
        <v>-34048.75</v>
      </c>
      <c r="K339" s="621">
        <f>SUM(K338)</f>
        <v>425516.76</v>
      </c>
      <c r="N339" s="61"/>
      <c r="O339" s="328"/>
      <c r="P339" s="328"/>
      <c r="Q339" s="246"/>
    </row>
    <row r="340" spans="1:18" ht="9.75" customHeight="1" thickTop="1" x14ac:dyDescent="0.4">
      <c r="A340" s="106"/>
      <c r="B340" s="147"/>
      <c r="C340" s="101"/>
      <c r="D340" s="49"/>
      <c r="E340" s="49"/>
      <c r="F340" s="49"/>
      <c r="G340" s="57"/>
      <c r="H340" s="35"/>
      <c r="K340" s="35"/>
      <c r="N340" s="61"/>
      <c r="O340" s="328"/>
      <c r="P340" s="328"/>
      <c r="Q340" s="246"/>
    </row>
    <row r="341" spans="1:18" ht="19.5" customHeight="1" x14ac:dyDescent="0.5">
      <c r="A341" s="978" t="s">
        <v>452</v>
      </c>
      <c r="B341" s="978"/>
      <c r="C341" s="979"/>
      <c r="D341" s="979"/>
      <c r="E341" s="979"/>
      <c r="F341" s="979"/>
      <c r="G341" s="979"/>
      <c r="H341" s="979"/>
      <c r="I341" s="979" t="e">
        <f ca="1">-(SUMIF(INDIRECT(LEFT($A$328,4)&amp;"!E3:E200"),"="&amp;B341&amp;" *",INDIRECT(LEFT($A$328,4)&amp;"!F3:F200")))</f>
        <v>#REF!</v>
      </c>
      <c r="J341" s="979" t="e">
        <f t="shared" ca="1" si="106"/>
        <v>#REF!</v>
      </c>
      <c r="K341" s="979"/>
      <c r="N341" s="61"/>
      <c r="O341" s="328"/>
      <c r="P341" s="328"/>
      <c r="Q341" s="246"/>
    </row>
    <row r="342" spans="1:18" ht="15" customHeight="1" x14ac:dyDescent="0.4">
      <c r="A342" s="733"/>
      <c r="B342" s="147" t="str">
        <f>LEFT($A341,4)&amp;"-1"</f>
        <v>8010-1</v>
      </c>
      <c r="C342" s="775" t="s">
        <v>453</v>
      </c>
      <c r="D342" s="618"/>
      <c r="E342" s="666">
        <v>1</v>
      </c>
      <c r="F342" s="496"/>
      <c r="G342" s="588">
        <v>17500</v>
      </c>
      <c r="H342" s="608">
        <f t="shared" ref="H342:H344" si="111">SUM((D342+E342+F342)*G342)</f>
        <v>17500</v>
      </c>
      <c r="I342" s="589">
        <f ca="1">-(SUMIF(INDIRECT(LEFT($A$341,4)&amp;"!i3:i200"),"="&amp;B342&amp;" *",INDIRECT(LEFT($A$341,4)&amp;"!k3:k200")))</f>
        <v>0</v>
      </c>
      <c r="J342" s="589">
        <f t="shared" ca="1" si="106"/>
        <v>17500</v>
      </c>
      <c r="K342" s="452">
        <v>13700</v>
      </c>
      <c r="N342" s="61"/>
      <c r="O342" s="328"/>
      <c r="P342" s="328"/>
      <c r="Q342" s="246"/>
      <c r="R342" s="246"/>
    </row>
    <row r="343" spans="1:18" ht="15" customHeight="1" x14ac:dyDescent="0.4">
      <c r="A343" s="742"/>
      <c r="B343" s="119" t="str">
        <f>LEFT($B342,4)&amp;"-"&amp;VALUE(MID($B342,FIND("-",$B342)+1,256))+1</f>
        <v>8010-2</v>
      </c>
      <c r="C343" s="639" t="s">
        <v>454</v>
      </c>
      <c r="D343" s="850"/>
      <c r="E343" s="686">
        <v>5</v>
      </c>
      <c r="F343" s="850"/>
      <c r="G343" s="603">
        <v>5000</v>
      </c>
      <c r="H343" s="612">
        <f t="shared" si="111"/>
        <v>25000</v>
      </c>
      <c r="I343" s="594">
        <f ca="1">-(SUMIF(INDIRECT(LEFT($A$341,4)&amp;"!i3:i200"),"="&amp;B343&amp;" *",INDIRECT(LEFT($A$341,4)&amp;"!k3:k200")))</f>
        <v>-32789.410000000003</v>
      </c>
      <c r="J343" s="594">
        <f t="shared" ref="J343" ca="1" si="112">SUM(H343:I343)</f>
        <v>-7789.4100000000035</v>
      </c>
      <c r="K343" s="594">
        <v>25000</v>
      </c>
      <c r="M343" s="3"/>
      <c r="N343" s="61"/>
      <c r="O343" s="328"/>
      <c r="P343" s="328"/>
      <c r="Q343" s="246"/>
      <c r="R343" s="246"/>
    </row>
    <row r="344" spans="1:18" ht="15" customHeight="1" x14ac:dyDescent="0.4">
      <c r="A344" s="734"/>
      <c r="B344" s="95" t="str">
        <f>LEFT($B343,4)&amp;"-"&amp;VALUE(MID($B343,FIND("-",$B343)+1,256))+1</f>
        <v>8010-3</v>
      </c>
      <c r="C344" s="604" t="s">
        <v>455</v>
      </c>
      <c r="D344" s="519"/>
      <c r="E344" s="676">
        <v>3</v>
      </c>
      <c r="F344" s="519"/>
      <c r="G344" s="646">
        <v>7500</v>
      </c>
      <c r="H344" s="608">
        <f t="shared" si="111"/>
        <v>22500</v>
      </c>
      <c r="I344" s="589">
        <f ca="1">-(SUMIF(INDIRECT(LEFT($A$341,4)&amp;"!i3:i200"),"="&amp;B344&amp;" *",INDIRECT(LEFT($A$341,4)&amp;"!k3:k200")))</f>
        <v>-97.48</v>
      </c>
      <c r="J344" s="589">
        <f ca="1">SUM(H344:I344)</f>
        <v>22402.52</v>
      </c>
      <c r="K344" s="608">
        <v>22500</v>
      </c>
      <c r="M344" s="3"/>
      <c r="N344" s="61"/>
      <c r="O344" s="328"/>
      <c r="P344" s="328"/>
      <c r="Q344" s="246"/>
      <c r="R344" s="246"/>
    </row>
    <row r="345" spans="1:18" ht="15" customHeight="1" thickBot="1" x14ac:dyDescent="0.45">
      <c r="A345" s="746"/>
      <c r="B345" s="147"/>
      <c r="C345" s="617" t="s">
        <v>106</v>
      </c>
      <c r="D345" s="618"/>
      <c r="E345" s="618"/>
      <c r="F345" s="454"/>
      <c r="G345" s="619">
        <f>(H345-K345)/K345</f>
        <v>6.2091503267973858E-2</v>
      </c>
      <c r="H345" s="621">
        <f>SUM(H342:H344)</f>
        <v>65000</v>
      </c>
      <c r="I345" s="621">
        <f ca="1">SUM(I342:I344)</f>
        <v>-32886.890000000007</v>
      </c>
      <c r="J345" s="621">
        <f ca="1">SUM(J342:J344)</f>
        <v>32113.109999999997</v>
      </c>
      <c r="K345" s="692">
        <f>SUM(K342:K344)</f>
        <v>61200</v>
      </c>
      <c r="N345" s="61"/>
      <c r="O345" s="328"/>
      <c r="P345" s="328"/>
      <c r="Q345" s="981"/>
      <c r="R345" s="971"/>
    </row>
    <row r="346" spans="1:18" ht="9.75" customHeight="1" thickTop="1" x14ac:dyDescent="0.4">
      <c r="A346" s="48"/>
      <c r="C346" s="71"/>
      <c r="D346" s="72"/>
      <c r="E346" s="72"/>
      <c r="F346" s="72"/>
      <c r="G346" s="53"/>
      <c r="H346" s="73"/>
      <c r="I346" s="73"/>
      <c r="J346" s="73"/>
      <c r="K346" s="73"/>
      <c r="N346" s="209"/>
      <c r="O346" s="328"/>
      <c r="P346" s="328"/>
      <c r="Q346" s="246"/>
    </row>
    <row r="347" spans="1:18" ht="19.5" customHeight="1" x14ac:dyDescent="0.5">
      <c r="A347" s="978" t="s">
        <v>456</v>
      </c>
      <c r="B347" s="978"/>
      <c r="C347" s="979"/>
      <c r="D347" s="979"/>
      <c r="E347" s="979"/>
      <c r="F347" s="979"/>
      <c r="G347" s="979"/>
      <c r="H347" s="979"/>
      <c r="I347" s="979" t="e">
        <f ca="1">SUM(I329:I346)</f>
        <v>#REF!</v>
      </c>
      <c r="J347" s="979" t="e">
        <f ca="1">SUM(J329:J346)</f>
        <v>#REF!</v>
      </c>
      <c r="K347" s="979"/>
      <c r="Q347" s="246"/>
    </row>
    <row r="348" spans="1:18" ht="15" customHeight="1" x14ac:dyDescent="0.4">
      <c r="A348" s="821"/>
      <c r="B348" s="95" t="str">
        <f>LEFT($A347,4)&amp;"-1"</f>
        <v>8020-1</v>
      </c>
      <c r="C348" s="486"/>
      <c r="D348" s="486"/>
      <c r="E348" s="486"/>
      <c r="F348" s="486"/>
      <c r="G348" s="589"/>
      <c r="H348" s="486"/>
      <c r="I348" s="589"/>
      <c r="J348" s="589"/>
      <c r="K348" s="486"/>
      <c r="Q348" s="246"/>
    </row>
    <row r="349" spans="1:18" ht="15" customHeight="1" thickBot="1" x14ac:dyDescent="0.45">
      <c r="A349" s="746"/>
      <c r="B349" s="48"/>
      <c r="C349" s="617" t="s">
        <v>106</v>
      </c>
      <c r="D349" s="618"/>
      <c r="E349" s="618"/>
      <c r="F349" s="496"/>
      <c r="G349" s="652">
        <f>SUM(Summary!H30)</f>
        <v>0</v>
      </c>
      <c r="H349" s="621">
        <f>SUM(H348)</f>
        <v>0</v>
      </c>
      <c r="I349" s="621">
        <f t="shared" ref="I349:J349" si="113">SUM(I348)</f>
        <v>0</v>
      </c>
      <c r="J349" s="621">
        <f t="shared" si="113"/>
        <v>0</v>
      </c>
      <c r="K349" s="692">
        <f>SUM(K348)</f>
        <v>0</v>
      </c>
      <c r="Q349" s="246"/>
    </row>
    <row r="350" spans="1:18" ht="10.5" customHeight="1" thickTop="1" thickBot="1" x14ac:dyDescent="0.45">
      <c r="A350" s="746"/>
      <c r="B350" s="145"/>
      <c r="C350" s="617"/>
      <c r="D350" s="618"/>
      <c r="E350" s="618"/>
      <c r="F350" s="618"/>
      <c r="G350" s="622"/>
      <c r="H350" s="623"/>
      <c r="I350" s="623"/>
      <c r="J350" s="623"/>
      <c r="K350" s="623"/>
      <c r="Q350" s="246"/>
    </row>
    <row r="351" spans="1:18" ht="15" customHeight="1" thickBot="1" x14ac:dyDescent="0.45">
      <c r="A351" s="822"/>
      <c r="B351" s="145"/>
      <c r="C351" s="617" t="s">
        <v>74</v>
      </c>
      <c r="D351" s="618"/>
      <c r="E351" s="618"/>
      <c r="F351" s="618"/>
      <c r="G351" s="619">
        <f>(H351-K351)/K351</f>
        <v>-7.7406883442222102E-2</v>
      </c>
      <c r="H351" s="823">
        <f>SUM(H349,H345,H339,H335,H327,H306,H259,H240,H236,H193,H189,H183,H155,H144,H135,H97,H82,H66,H62,H38,H15)</f>
        <v>2671158.8850000002</v>
      </c>
      <c r="I351" s="823">
        <f ca="1">SUM(I349,I345,I339,I335,I327,I306,I259,I240,I236,I193,I189,I183,I155,I144,I135,I97,I82,I66,I62,I38,I15)</f>
        <v>-2437331.25</v>
      </c>
      <c r="J351" s="823">
        <f ca="1">SUM(J349,J345,J339,J335,J327,J306,J259,J240,J236,J193,J189,J183,J155,J144,J135,J97,J82,J66,J62,J38,J15)</f>
        <v>229863.83500000005</v>
      </c>
      <c r="K351" s="823">
        <f>SUM(K349,K345,K339,K335,K327,K306,K259,K240,K236,K193,K189,K183,K155,K144,K135,K97,K82,K66,K62,K38,K15)</f>
        <v>2895272.94</v>
      </c>
      <c r="Q351" s="246"/>
    </row>
    <row r="352" spans="1:18" ht="15.75" customHeight="1" x14ac:dyDescent="0.4">
      <c r="A352" s="793"/>
      <c r="B352" s="59"/>
      <c r="G352" s="52"/>
      <c r="H352" s="3"/>
      <c r="Q352" s="246"/>
    </row>
    <row r="353" spans="8:8" ht="15" customHeight="1" x14ac:dyDescent="0.4">
      <c r="H353" s="3"/>
    </row>
    <row r="354" spans="8:8" ht="15" customHeight="1" x14ac:dyDescent="0.4">
      <c r="H354" s="3"/>
    </row>
  </sheetData>
  <protectedRanges>
    <protectedRange sqref="H2:H1048576" name="Range1" securityDescriptor="O:WDG:WDD:(A;;CC;;;S-1-5-21-751916245-1090913435-1903153266-1213)"/>
  </protectedRanges>
  <mergeCells count="24">
    <mergeCell ref="A1:K1"/>
    <mergeCell ref="A347:K347"/>
    <mergeCell ref="A341:K341"/>
    <mergeCell ref="A195:K195"/>
    <mergeCell ref="A242:K242"/>
    <mergeCell ref="A238:K238"/>
    <mergeCell ref="A329:K329"/>
    <mergeCell ref="A308:K308"/>
    <mergeCell ref="A261:K261"/>
    <mergeCell ref="A157:K157"/>
    <mergeCell ref="A146:K146"/>
    <mergeCell ref="A137:K137"/>
    <mergeCell ref="A337:K337"/>
    <mergeCell ref="A17:K17"/>
    <mergeCell ref="A3:K3"/>
    <mergeCell ref="A40:K40"/>
    <mergeCell ref="A64:K64"/>
    <mergeCell ref="A99:K99"/>
    <mergeCell ref="A84:K84"/>
    <mergeCell ref="Q345:R345"/>
    <mergeCell ref="A191:K191"/>
    <mergeCell ref="A185:K185"/>
    <mergeCell ref="A68:K68"/>
    <mergeCell ref="A276:K276"/>
  </mergeCells>
  <phoneticPr fontId="108" type="noConversion"/>
  <conditionalFormatting sqref="G15">
    <cfRule type="cellIs" dxfId="110" priority="30" operator="equal">
      <formula>0</formula>
    </cfRule>
    <cfRule type="cellIs" dxfId="109" priority="29" operator="greaterThan">
      <formula>0</formula>
    </cfRule>
    <cfRule type="cellIs" dxfId="108" priority="28" operator="lessThan">
      <formula>0</formula>
    </cfRule>
  </conditionalFormatting>
  <conditionalFormatting sqref="G38">
    <cfRule type="cellIs" dxfId="107" priority="33" operator="equal">
      <formula>0</formula>
    </cfRule>
    <cfRule type="cellIs" dxfId="106" priority="31" operator="lessThan">
      <formula>0</formula>
    </cfRule>
    <cfRule type="cellIs" dxfId="105" priority="32" operator="greaterThan">
      <formula>0</formula>
    </cfRule>
  </conditionalFormatting>
  <conditionalFormatting sqref="G62">
    <cfRule type="cellIs" dxfId="104" priority="36" operator="equal">
      <formula>0</formula>
    </cfRule>
    <cfRule type="cellIs" dxfId="103" priority="35" operator="greaterThan">
      <formula>0</formula>
    </cfRule>
    <cfRule type="cellIs" dxfId="102" priority="34" operator="lessThan">
      <formula>0</formula>
    </cfRule>
  </conditionalFormatting>
  <conditionalFormatting sqref="G66">
    <cfRule type="cellIs" dxfId="101" priority="213" operator="equal">
      <formula>0</formula>
    </cfRule>
    <cfRule type="cellIs" dxfId="100" priority="211" operator="lessThan">
      <formula>0</formula>
    </cfRule>
    <cfRule type="cellIs" dxfId="99" priority="212" operator="greaterThan">
      <formula>0</formula>
    </cfRule>
  </conditionalFormatting>
  <conditionalFormatting sqref="G82">
    <cfRule type="cellIs" dxfId="98" priority="39" operator="equal">
      <formula>0</formula>
    </cfRule>
    <cfRule type="cellIs" dxfId="97" priority="38" operator="greaterThan">
      <formula>0</formula>
    </cfRule>
    <cfRule type="cellIs" dxfId="96" priority="37" operator="lessThan">
      <formula>0</formula>
    </cfRule>
  </conditionalFormatting>
  <conditionalFormatting sqref="G97">
    <cfRule type="cellIs" dxfId="95" priority="40" operator="lessThan">
      <formula>0</formula>
    </cfRule>
    <cfRule type="cellIs" dxfId="94" priority="41" operator="greaterThan">
      <formula>0</formula>
    </cfRule>
    <cfRule type="cellIs" dxfId="93" priority="42" operator="equal">
      <formula>0</formula>
    </cfRule>
  </conditionalFormatting>
  <conditionalFormatting sqref="G135">
    <cfRule type="cellIs" dxfId="92" priority="45" operator="equal">
      <formula>0</formula>
    </cfRule>
    <cfRule type="cellIs" dxfId="91" priority="43" operator="lessThan">
      <formula>0</formula>
    </cfRule>
    <cfRule type="cellIs" dxfId="90" priority="44" operator="greaterThan">
      <formula>0</formula>
    </cfRule>
  </conditionalFormatting>
  <conditionalFormatting sqref="G144">
    <cfRule type="cellIs" dxfId="89" priority="47" operator="greaterThan">
      <formula>0</formula>
    </cfRule>
    <cfRule type="cellIs" dxfId="88" priority="48" operator="equal">
      <formula>0</formula>
    </cfRule>
    <cfRule type="cellIs" dxfId="87" priority="46" operator="lessThan">
      <formula>0</formula>
    </cfRule>
  </conditionalFormatting>
  <conditionalFormatting sqref="G155">
    <cfRule type="cellIs" dxfId="86" priority="196" operator="lessThan">
      <formula>0</formula>
    </cfRule>
    <cfRule type="cellIs" dxfId="85" priority="197" operator="greaterThan">
      <formula>0</formula>
    </cfRule>
    <cfRule type="cellIs" dxfId="84" priority="198" operator="equal">
      <formula>0</formula>
    </cfRule>
  </conditionalFormatting>
  <conditionalFormatting sqref="G183">
    <cfRule type="cellIs" dxfId="83" priority="193" operator="lessThan">
      <formula>0</formula>
    </cfRule>
    <cfRule type="cellIs" dxfId="82" priority="194" operator="greaterThan">
      <formula>0</formula>
    </cfRule>
    <cfRule type="cellIs" dxfId="81" priority="195" operator="equal">
      <formula>0</formula>
    </cfRule>
  </conditionalFormatting>
  <conditionalFormatting sqref="G189">
    <cfRule type="cellIs" dxfId="80" priority="25" operator="lessThan">
      <formula>0</formula>
    </cfRule>
    <cfRule type="cellIs" dxfId="79" priority="26" operator="greaterThan">
      <formula>0</formula>
    </cfRule>
    <cfRule type="cellIs" dxfId="78" priority="27" operator="equal">
      <formula>0</formula>
    </cfRule>
  </conditionalFormatting>
  <conditionalFormatting sqref="G193">
    <cfRule type="cellIs" dxfId="77" priority="187" operator="lessThan">
      <formula>0</formula>
    </cfRule>
    <cfRule type="cellIs" dxfId="76" priority="188" operator="greaterThan">
      <formula>0</formula>
    </cfRule>
    <cfRule type="cellIs" dxfId="75" priority="189" operator="equal">
      <formula>0</formula>
    </cfRule>
  </conditionalFormatting>
  <conditionalFormatting sqref="G236">
    <cfRule type="cellIs" dxfId="74" priority="24" operator="equal">
      <formula>0</formula>
    </cfRule>
    <cfRule type="cellIs" dxfId="73" priority="23" operator="greaterThan">
      <formula>0</formula>
    </cfRule>
    <cfRule type="cellIs" dxfId="72" priority="22" operator="lessThan">
      <formula>0</formula>
    </cfRule>
  </conditionalFormatting>
  <conditionalFormatting sqref="G240">
    <cfRule type="cellIs" dxfId="71" priority="21" operator="equal">
      <formula>0</formula>
    </cfRule>
    <cfRule type="cellIs" dxfId="70" priority="19" operator="lessThan">
      <formula>0</formula>
    </cfRule>
    <cfRule type="cellIs" dxfId="69" priority="20" operator="greaterThan">
      <formula>0</formula>
    </cfRule>
  </conditionalFormatting>
  <conditionalFormatting sqref="G259">
    <cfRule type="cellIs" dxfId="68" priority="17" operator="greaterThan">
      <formula>0</formula>
    </cfRule>
    <cfRule type="cellIs" dxfId="67" priority="16" operator="lessThan">
      <formula>0</formula>
    </cfRule>
    <cfRule type="cellIs" dxfId="66" priority="18" operator="equal">
      <formula>0</formula>
    </cfRule>
  </conditionalFormatting>
  <conditionalFormatting sqref="G306:G307">
    <cfRule type="cellIs" dxfId="65" priority="15" operator="equal">
      <formula>0</formula>
    </cfRule>
    <cfRule type="cellIs" dxfId="64" priority="14" operator="greaterThan">
      <formula>0</formula>
    </cfRule>
    <cfRule type="cellIs" dxfId="63" priority="13" operator="lessThan">
      <formula>0</formula>
    </cfRule>
  </conditionalFormatting>
  <conditionalFormatting sqref="G327">
    <cfRule type="cellIs" dxfId="62" priority="11" operator="greaterThan">
      <formula>0</formula>
    </cfRule>
    <cfRule type="cellIs" dxfId="61" priority="10" operator="lessThan">
      <formula>0</formula>
    </cfRule>
    <cfRule type="cellIs" dxfId="60" priority="12" operator="equal">
      <formula>0</formula>
    </cfRule>
  </conditionalFormatting>
  <conditionalFormatting sqref="G335">
    <cfRule type="cellIs" dxfId="59" priority="170" operator="greaterThan">
      <formula>0</formula>
    </cfRule>
    <cfRule type="cellIs" dxfId="58" priority="171" operator="equal">
      <formula>0</formula>
    </cfRule>
    <cfRule type="cellIs" dxfId="57" priority="169" operator="lessThan">
      <formula>0</formula>
    </cfRule>
  </conditionalFormatting>
  <conditionalFormatting sqref="G339">
    <cfRule type="cellIs" dxfId="56" priority="4" operator="lessThan">
      <formula>0</formula>
    </cfRule>
    <cfRule type="cellIs" dxfId="55" priority="5" operator="greaterThan">
      <formula>0</formula>
    </cfRule>
    <cfRule type="cellIs" dxfId="54" priority="6" operator="equal">
      <formula>0</formula>
    </cfRule>
  </conditionalFormatting>
  <conditionalFormatting sqref="G345">
    <cfRule type="cellIs" dxfId="53" priority="8" operator="greaterThan">
      <formula>0</formula>
    </cfRule>
    <cfRule type="cellIs" dxfId="52" priority="9" operator="equal">
      <formula>0</formula>
    </cfRule>
    <cfRule type="cellIs" dxfId="51" priority="7" operator="lessThan">
      <formula>0</formula>
    </cfRule>
  </conditionalFormatting>
  <conditionalFormatting sqref="G351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equal">
      <formula>0</formula>
    </cfRule>
  </conditionalFormatting>
  <conditionalFormatting sqref="H3:H1048576">
    <cfRule type="expression" dxfId="47" priority="56">
      <formula>H3&lt;K3</formula>
    </cfRule>
    <cfRule type="expression" dxfId="46" priority="57">
      <formula>H3&gt;K3</formula>
    </cfRule>
    <cfRule type="expression" dxfId="45" priority="58">
      <formula>H3=K3</formula>
    </cfRule>
  </conditionalFormatting>
  <conditionalFormatting sqref="I82:J82 I97:J97 I135:J135 I144:J144 I155:J155 I189:J189 I193:J193 I240:J240 I306:J307 I327:J327 I335:J335 I339:J339 I345:J345 I349:J349 I351:J351">
    <cfRule type="expression" dxfId="44" priority="229">
      <formula>I82=L82</formula>
    </cfRule>
    <cfRule type="expression" dxfId="43" priority="227">
      <formula>I82&lt;L82</formula>
    </cfRule>
    <cfRule type="expression" dxfId="42" priority="228">
      <formula>I82&gt;L82</formula>
    </cfRule>
  </conditionalFormatting>
  <conditionalFormatting sqref="N4:N15 N65:N82 N85:N97 N147:N155 N239:N259 N262:N275 N277:N345">
    <cfRule type="expression" dxfId="41" priority="85">
      <formula>N4&gt;5000</formula>
    </cfRule>
  </conditionalFormatting>
  <conditionalFormatting sqref="N4:N345">
    <cfRule type="expression" dxfId="40" priority="49">
      <formula>N4&gt;1</formula>
    </cfRule>
  </conditionalFormatting>
  <conditionalFormatting sqref="N17:N38">
    <cfRule type="expression" dxfId="39" priority="82">
      <formula>N17&gt;5000</formula>
    </cfRule>
  </conditionalFormatting>
  <conditionalFormatting sqref="N41:N62">
    <cfRule type="expression" dxfId="38" priority="81">
      <formula>N41&gt;5000</formula>
    </cfRule>
  </conditionalFormatting>
  <conditionalFormatting sqref="N100:N135">
    <cfRule type="expression" dxfId="37" priority="78">
      <formula>N100&gt;5000</formula>
    </cfRule>
  </conditionalFormatting>
  <conditionalFormatting sqref="N138:N144">
    <cfRule type="expression" dxfId="36" priority="77">
      <formula>N138&gt;5000</formula>
    </cfRule>
  </conditionalFormatting>
  <conditionalFormatting sqref="N158:N183">
    <cfRule type="expression" dxfId="35" priority="75">
      <formula>N158&gt;5000</formula>
    </cfRule>
  </conditionalFormatting>
  <conditionalFormatting sqref="N186:N189">
    <cfRule type="expression" dxfId="34" priority="74">
      <formula>N186&gt;5000</formula>
    </cfRule>
  </conditionalFormatting>
  <conditionalFormatting sqref="N192:N236">
    <cfRule type="expression" dxfId="33" priority="73">
      <formula>N192&gt;5000</formula>
    </cfRule>
  </conditionalFormatting>
  <conditionalFormatting sqref="O4:P346">
    <cfRule type="cellIs" dxfId="32" priority="55" operator="greaterThan">
      <formula>0</formula>
    </cfRule>
    <cfRule type="cellIs" dxfId="31" priority="54" operator="lessThan">
      <formula>0</formula>
    </cfRule>
    <cfRule type="cellIs" dxfId="30" priority="53" operator="equal">
      <formula>0</formula>
    </cfRule>
    <cfRule type="cellIs" dxfId="29" priority="50" stopIfTrue="1" operator="equal">
      <formula>0</formula>
    </cfRule>
    <cfRule type="cellIs" dxfId="28" priority="51" stopIfTrue="1" operator="lessThan">
      <formula>0</formula>
    </cfRule>
    <cfRule type="cellIs" dxfId="27" priority="52" stopIfTrue="1" operator="greaterThan">
      <formula>0</formula>
    </cfRule>
  </conditionalFormatting>
  <printOptions horizontalCentered="1"/>
  <pageMargins left="0.45" right="0.45" top="0.6" bottom="0.25" header="0.3" footer="0"/>
  <pageSetup scale="77" fitToHeight="0" orientation="landscape" r:id="rId1"/>
  <headerFooter>
    <oddHeader xml:space="preserve">&amp;C&amp;"Calibri,Bold"&amp;20 </oddHeader>
  </headerFooter>
  <rowBreaks count="9" manualBreakCount="9">
    <brk id="39" max="10" man="1"/>
    <brk id="67" max="10" man="1"/>
    <brk id="98" max="10" man="1"/>
    <brk id="135" max="10" man="1"/>
    <brk id="156" max="10" man="1"/>
    <brk id="194" max="10" man="1"/>
    <brk id="236" max="10" man="1"/>
    <brk id="307" max="10" man="1"/>
    <brk id="336" max="10" man="1"/>
  </rowBreaks>
  <ignoredErrors>
    <ignoredError sqref="H131 H128 H26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M40"/>
  <sheetViews>
    <sheetView zoomScaleNormal="100" workbookViewId="0">
      <pane ySplit="2" topLeftCell="A3" activePane="bottomLeft" state="frozen"/>
      <selection activeCell="K39" sqref="K39"/>
      <selection pane="bottomLeft" activeCell="C27" sqref="C27"/>
    </sheetView>
  </sheetViews>
  <sheetFormatPr defaultColWidth="14.3828125" defaultRowHeight="15" customHeight="1" x14ac:dyDescent="0.4"/>
  <cols>
    <col min="1" max="1" width="19.53515625" customWidth="1"/>
    <col min="2" max="2" width="5.84375" style="144" bestFit="1" customWidth="1"/>
    <col min="3" max="3" width="72.3828125" customWidth="1"/>
    <col min="4" max="4" width="7.3046875" customWidth="1"/>
    <col min="5" max="5" width="11" customWidth="1"/>
    <col min="6" max="6" width="11.84375" bestFit="1" customWidth="1"/>
    <col min="7" max="7" width="12.53515625" bestFit="1" customWidth="1"/>
    <col min="8" max="8" width="11.84375" bestFit="1" customWidth="1"/>
    <col min="9" max="9" width="13.3046875" customWidth="1"/>
    <col min="10" max="10" width="17.3828125" customWidth="1"/>
    <col min="11" max="12" width="9.69140625" customWidth="1"/>
    <col min="13" max="16" width="13.3046875" customWidth="1"/>
    <col min="17" max="17" width="4.3828125" customWidth="1"/>
    <col min="18" max="20" width="13.3046875" customWidth="1"/>
    <col min="21" max="28" width="15.15234375" customWidth="1"/>
  </cols>
  <sheetData>
    <row r="1" spans="1:13" ht="26.15" x14ac:dyDescent="0.7">
      <c r="A1" s="968" t="s">
        <v>640</v>
      </c>
      <c r="B1" s="968"/>
      <c r="C1" s="968"/>
      <c r="D1" s="968"/>
      <c r="E1" s="968"/>
      <c r="F1" s="968"/>
      <c r="G1" s="968"/>
      <c r="H1" s="968"/>
      <c r="I1" s="968"/>
    </row>
    <row r="2" spans="1:13" ht="52.5" customHeight="1" x14ac:dyDescent="0.4">
      <c r="A2" s="473" t="s">
        <v>65</v>
      </c>
      <c r="B2" s="473" t="s">
        <v>180</v>
      </c>
      <c r="C2" s="473" t="s">
        <v>77</v>
      </c>
      <c r="D2" s="824"/>
      <c r="E2" s="476" t="s">
        <v>184</v>
      </c>
      <c r="F2" s="476" t="s">
        <v>635</v>
      </c>
      <c r="G2" s="476" t="s">
        <v>79</v>
      </c>
      <c r="H2" s="476" t="s">
        <v>80</v>
      </c>
      <c r="I2" s="825" t="s">
        <v>168</v>
      </c>
    </row>
    <row r="3" spans="1:13" ht="19.5" customHeight="1" x14ac:dyDescent="0.5">
      <c r="A3" s="978" t="s">
        <v>457</v>
      </c>
      <c r="B3" s="978"/>
      <c r="C3" s="979"/>
      <c r="D3" s="979"/>
      <c r="E3" s="979"/>
      <c r="F3" s="979"/>
      <c r="G3" s="979"/>
      <c r="H3" s="979"/>
      <c r="I3" s="979"/>
      <c r="J3" s="37"/>
      <c r="K3" s="37"/>
      <c r="L3" s="37"/>
    </row>
    <row r="4" spans="1:13" ht="15" customHeight="1" x14ac:dyDescent="0.4">
      <c r="A4" s="942"/>
      <c r="B4" s="287" t="str">
        <f>LEFT(A3,4)&amp;"-1"</f>
        <v>6310-1</v>
      </c>
      <c r="C4" s="943" t="s">
        <v>616</v>
      </c>
      <c r="D4" s="706">
        <v>6</v>
      </c>
      <c r="E4" s="646">
        <v>520</v>
      </c>
      <c r="F4" s="831">
        <f>(D4*E4)</f>
        <v>3120</v>
      </c>
      <c r="G4" s="608">
        <f ca="1">(-SUMIF(INDIRECT(LEFT($A$3,4)&amp;"!i3:i200"),"="&amp;B4&amp;" *",INDIRECT(LEFT($A$3,4)&amp;"!k3:k200")))</f>
        <v>0</v>
      </c>
      <c r="H4" s="607">
        <f ca="1">SUM(F4:G4)</f>
        <v>3120</v>
      </c>
      <c r="I4" s="607">
        <v>2080</v>
      </c>
      <c r="J4" s="42"/>
      <c r="K4" s="134"/>
      <c r="L4" s="134"/>
    </row>
    <row r="5" spans="1:13" ht="15" customHeight="1" x14ac:dyDescent="0.4">
      <c r="A5" s="940"/>
      <c r="B5" s="286" t="str">
        <f>LEFT($B4,4)&amp;"-"&amp;VALUE(MID($B4,FIND("-",$B4)+1,256))+1</f>
        <v>6310-2</v>
      </c>
      <c r="C5" s="761" t="s">
        <v>604</v>
      </c>
      <c r="D5" s="941">
        <v>2</v>
      </c>
      <c r="E5" s="760">
        <v>155</v>
      </c>
      <c r="F5" s="827">
        <f>(D5*E5)*70</f>
        <v>21700</v>
      </c>
      <c r="G5" s="761">
        <f t="shared" ref="G5:G9" ca="1" si="0">(-SUMIF(INDIRECT(LEFT($A$3,4)&amp;"!i3:i200"),"="&amp;B5&amp;" *",INDIRECT(LEFT($A$3,4)&amp;"!k3:k200")))</f>
        <v>-43725</v>
      </c>
      <c r="H5" s="761">
        <f t="shared" ref="H5" ca="1" si="1">SUM(F5:G5)</f>
        <v>-22025</v>
      </c>
      <c r="I5" s="934">
        <v>21700</v>
      </c>
      <c r="J5" s="42"/>
      <c r="K5" s="37"/>
      <c r="L5" s="37"/>
    </row>
    <row r="6" spans="1:13" ht="15" customHeight="1" x14ac:dyDescent="0.4">
      <c r="A6" s="942"/>
      <c r="B6" s="147" t="str">
        <f t="shared" ref="B6:B9" si="2">LEFT($B5,4)&amp;"-"&amp;VALUE(MID($B5,FIND("-",$B5)+1,256))+1</f>
        <v>6310-3</v>
      </c>
      <c r="C6" s="608" t="s">
        <v>605</v>
      </c>
      <c r="D6" s="676">
        <v>3</v>
      </c>
      <c r="E6" s="646">
        <v>170</v>
      </c>
      <c r="F6" s="831">
        <f>(D6*E6)*70</f>
        <v>35700</v>
      </c>
      <c r="G6" s="608">
        <f t="shared" ca="1" si="0"/>
        <v>-48260</v>
      </c>
      <c r="H6" s="608">
        <f t="shared" ref="H6:H7" ca="1" si="3">SUM(F6:G6)</f>
        <v>-12560</v>
      </c>
      <c r="I6" s="607">
        <v>35700</v>
      </c>
      <c r="J6" s="42"/>
      <c r="K6" s="37"/>
      <c r="L6" s="37"/>
      <c r="M6" s="134"/>
    </row>
    <row r="7" spans="1:13" ht="15" customHeight="1" x14ac:dyDescent="0.4">
      <c r="A7" s="940"/>
      <c r="B7" s="286" t="str">
        <f t="shared" si="2"/>
        <v>6310-4</v>
      </c>
      <c r="C7" s="761" t="s">
        <v>606</v>
      </c>
      <c r="D7" s="941">
        <v>5</v>
      </c>
      <c r="E7" s="760">
        <v>195</v>
      </c>
      <c r="F7" s="827">
        <f>(D7*E7)*70</f>
        <v>68250</v>
      </c>
      <c r="G7" s="761">
        <f t="shared" ca="1" si="0"/>
        <v>-70032.5</v>
      </c>
      <c r="H7" s="761">
        <f t="shared" ca="1" si="3"/>
        <v>-1782.5</v>
      </c>
      <c r="I7" s="934">
        <v>122850</v>
      </c>
      <c r="J7" s="42"/>
      <c r="K7" s="37"/>
      <c r="L7" s="37"/>
      <c r="M7" s="134"/>
    </row>
    <row r="8" spans="1:13" ht="15" customHeight="1" x14ac:dyDescent="0.4">
      <c r="A8" s="942"/>
      <c r="B8" s="147" t="str">
        <f t="shared" si="2"/>
        <v>6310-5</v>
      </c>
      <c r="C8" s="608" t="s">
        <v>607</v>
      </c>
      <c r="D8" s="676">
        <v>5</v>
      </c>
      <c r="E8" s="646">
        <v>220</v>
      </c>
      <c r="F8" s="831">
        <f>(D8*E8)*70</f>
        <v>77000</v>
      </c>
      <c r="G8" s="608">
        <f t="shared" ca="1" si="0"/>
        <v>-98385</v>
      </c>
      <c r="H8" s="608">
        <f t="shared" ref="H8:H9" ca="1" si="4">SUM(F8:G8)</f>
        <v>-21385</v>
      </c>
      <c r="I8" s="607">
        <v>30800</v>
      </c>
      <c r="J8" s="42"/>
      <c r="K8" s="37"/>
      <c r="L8" s="37"/>
      <c r="M8" s="134"/>
    </row>
    <row r="9" spans="1:13" ht="15" customHeight="1" x14ac:dyDescent="0.4">
      <c r="A9" s="940"/>
      <c r="B9" s="286" t="str">
        <f t="shared" si="2"/>
        <v>6310-6</v>
      </c>
      <c r="C9" s="761" t="s">
        <v>458</v>
      </c>
      <c r="D9" s="759">
        <v>1</v>
      </c>
      <c r="E9" s="760">
        <v>30</v>
      </c>
      <c r="F9" s="827">
        <f>E9*85</f>
        <v>2550</v>
      </c>
      <c r="G9" s="761">
        <f t="shared" ca="1" si="0"/>
        <v>-4185</v>
      </c>
      <c r="H9" s="761">
        <f t="shared" ca="1" si="4"/>
        <v>-1635</v>
      </c>
      <c r="I9" s="934">
        <v>2100</v>
      </c>
      <c r="J9" s="42"/>
      <c r="K9" s="37"/>
      <c r="L9" s="37"/>
    </row>
    <row r="10" spans="1:13" ht="15" customHeight="1" x14ac:dyDescent="0.4">
      <c r="A10" s="746"/>
      <c r="B10" s="150"/>
      <c r="C10" s="622" t="s">
        <v>106</v>
      </c>
      <c r="D10" s="666"/>
      <c r="E10" s="829">
        <f>(F10-I10)/I10</f>
        <v>-3.2105189796961392E-2</v>
      </c>
      <c r="F10" s="830">
        <f>SUM(F4:F9)</f>
        <v>208320</v>
      </c>
      <c r="G10" s="830">
        <f t="shared" ref="G10:H10" ca="1" si="5">SUM(G4:G9)</f>
        <v>-264587.5</v>
      </c>
      <c r="H10" s="830">
        <f t="shared" ca="1" si="5"/>
        <v>-56267.5</v>
      </c>
      <c r="I10" s="621">
        <f>SUM(I4:I9)</f>
        <v>215230</v>
      </c>
      <c r="J10" s="42"/>
      <c r="K10" s="37"/>
      <c r="L10" s="37"/>
    </row>
    <row r="11" spans="1:13" ht="15" customHeight="1" x14ac:dyDescent="0.4">
      <c r="A11" s="746"/>
      <c r="B11" s="150"/>
      <c r="C11" s="53"/>
      <c r="D11" s="54"/>
      <c r="E11" s="55"/>
      <c r="F11" s="56"/>
      <c r="G11" s="56"/>
      <c r="H11" s="56"/>
      <c r="I11" s="35"/>
      <c r="J11" s="42"/>
      <c r="K11" s="37"/>
      <c r="L11" s="37"/>
    </row>
    <row r="12" spans="1:13" ht="19.5" customHeight="1" x14ac:dyDescent="0.5">
      <c r="A12" s="978" t="s">
        <v>459</v>
      </c>
      <c r="B12" s="978"/>
      <c r="C12" s="979"/>
      <c r="D12" s="979"/>
      <c r="E12" s="979"/>
      <c r="F12" s="979"/>
      <c r="G12" s="979"/>
      <c r="H12" s="979"/>
      <c r="I12" s="979"/>
      <c r="J12" s="42"/>
      <c r="K12" s="37"/>
      <c r="L12" s="37"/>
    </row>
    <row r="13" spans="1:13" ht="15" customHeight="1" x14ac:dyDescent="0.4">
      <c r="A13" s="730"/>
      <c r="B13" s="151" t="str">
        <f>LEFT(A12,4)&amp;"-1"</f>
        <v>6320-1</v>
      </c>
      <c r="C13" s="589" t="s">
        <v>460</v>
      </c>
      <c r="D13" s="666">
        <v>1</v>
      </c>
      <c r="E13" s="599">
        <v>1000</v>
      </c>
      <c r="F13" s="826">
        <f>E13*D13</f>
        <v>1000</v>
      </c>
      <c r="G13" s="589">
        <f ca="1">(-SUMIF(INDIRECT(LEFT($A$12,4)&amp;"!i3:i200"),"="&amp;B13&amp;" *",INDIRECT(LEFT($A$12,4)&amp;"!k3:k200")))</f>
        <v>-697.75999999999988</v>
      </c>
      <c r="H13" s="589">
        <f ca="1">SUM(F13:G13)</f>
        <v>302.24000000000012</v>
      </c>
      <c r="I13" s="589">
        <v>1000</v>
      </c>
      <c r="J13" s="42"/>
      <c r="K13" s="37"/>
      <c r="L13" s="37"/>
    </row>
    <row r="14" spans="1:13" ht="15" customHeight="1" x14ac:dyDescent="0.4">
      <c r="A14" s="731"/>
      <c r="B14" s="152" t="str">
        <f>LEFT($B13,4)&amp;"-"&amp;VALUE(MID($B13,FIND("-",$B13)+1,256))+1</f>
        <v>6320-2</v>
      </c>
      <c r="C14" s="595" t="s">
        <v>461</v>
      </c>
      <c r="D14" s="675">
        <v>1</v>
      </c>
      <c r="E14" s="636">
        <v>60</v>
      </c>
      <c r="F14" s="828">
        <f>E14*D14</f>
        <v>60</v>
      </c>
      <c r="G14" s="595">
        <f ca="1">(-SUMIF(INDIRECT(LEFT($A$12,4)&amp;"!i3:i200"),"="&amp;B14&amp;" *",INDIRECT(LEFT($A$12,4)&amp;"!k3:k200")))</f>
        <v>0</v>
      </c>
      <c r="H14" s="595">
        <f t="shared" ref="H14" ca="1" si="6">SUM(F14:G14)</f>
        <v>60</v>
      </c>
      <c r="I14" s="595">
        <v>60</v>
      </c>
      <c r="J14" s="42"/>
      <c r="K14" s="37"/>
      <c r="L14" s="37"/>
    </row>
    <row r="15" spans="1:13" ht="15" customHeight="1" x14ac:dyDescent="0.4">
      <c r="A15" s="733"/>
      <c r="B15" s="150"/>
      <c r="C15" s="622" t="s">
        <v>106</v>
      </c>
      <c r="D15" s="666"/>
      <c r="E15" s="829">
        <f>(F15-I15)/I15</f>
        <v>0</v>
      </c>
      <c r="F15" s="830">
        <f>SUM(F13:F14)</f>
        <v>1060</v>
      </c>
      <c r="G15" s="830">
        <f t="shared" ref="G15:H15" ca="1" si="7">SUM(G13:G14)</f>
        <v>-697.75999999999988</v>
      </c>
      <c r="H15" s="830">
        <f t="shared" ca="1" si="7"/>
        <v>362.24000000000012</v>
      </c>
      <c r="I15" s="621">
        <f>SUM(I13:I14)</f>
        <v>1060</v>
      </c>
      <c r="J15" s="42"/>
      <c r="K15" s="37"/>
      <c r="L15" s="37"/>
    </row>
    <row r="16" spans="1:13" ht="15.75" customHeight="1" x14ac:dyDescent="0.4">
      <c r="A16" s="733"/>
      <c r="B16" s="150"/>
      <c r="C16" s="589"/>
      <c r="D16" s="666"/>
      <c r="E16" s="599"/>
      <c r="F16" s="589"/>
      <c r="G16" s="589"/>
      <c r="H16" s="589"/>
      <c r="I16" s="589"/>
      <c r="J16" s="42"/>
      <c r="K16" s="37"/>
      <c r="L16" s="37"/>
    </row>
    <row r="17" spans="1:12" ht="19.5" customHeight="1" x14ac:dyDescent="0.5">
      <c r="A17" s="978" t="s">
        <v>462</v>
      </c>
      <c r="B17" s="978"/>
      <c r="C17" s="979"/>
      <c r="D17" s="979"/>
      <c r="E17" s="979"/>
      <c r="F17" s="979"/>
      <c r="G17" s="979"/>
      <c r="H17" s="979"/>
      <c r="I17" s="979"/>
      <c r="J17" s="42"/>
      <c r="K17" s="37"/>
      <c r="L17" s="37"/>
    </row>
    <row r="18" spans="1:12" ht="15" customHeight="1" x14ac:dyDescent="0.4">
      <c r="A18" s="734"/>
      <c r="B18" s="147" t="str">
        <f>LEFT(A17,4)&amp;"-1"</f>
        <v>6330-1</v>
      </c>
      <c r="C18" s="663" t="s">
        <v>463</v>
      </c>
      <c r="D18" s="676">
        <v>1</v>
      </c>
      <c r="E18" s="646">
        <v>300</v>
      </c>
      <c r="F18" s="831">
        <f t="shared" ref="F18" si="8">D18*E18</f>
        <v>300</v>
      </c>
      <c r="G18" s="589">
        <f ca="1">(-SUMIF(INDIRECT(LEFT($A$17,4)&amp;"!i3:i200"),"="&amp;B18&amp;" *",INDIRECT(LEFT($A$17,4)&amp;"!k3:k200")))</f>
        <v>0</v>
      </c>
      <c r="H18" s="832">
        <f ca="1">SUM(F18:G18)</f>
        <v>300</v>
      </c>
      <c r="I18" s="608">
        <v>300</v>
      </c>
      <c r="J18" s="42"/>
      <c r="K18" s="138"/>
      <c r="L18" s="348"/>
    </row>
    <row r="19" spans="1:12" ht="15" customHeight="1" x14ac:dyDescent="0.4">
      <c r="A19" s="735"/>
      <c r="B19" s="118" t="str">
        <f>LEFT($B18,4)&amp;"-"&amp;VALUE(MID($B18,FIND("-",$B18)+1,256))+1</f>
        <v>6330-2</v>
      </c>
      <c r="C19" s="833" t="s">
        <v>464</v>
      </c>
      <c r="D19" s="686">
        <v>8900</v>
      </c>
      <c r="E19" s="603">
        <v>0.8</v>
      </c>
      <c r="F19" s="834">
        <f t="shared" ref="F19:F26" si="9">D19*E19</f>
        <v>7120</v>
      </c>
      <c r="G19" s="835">
        <f t="shared" ref="G19:G26" ca="1" si="10">(-SUMIF(INDIRECT(LEFT($A$17,4)&amp;"!i3:i200"),"="&amp;B19&amp;" *",INDIRECT(LEFT($A$17,4)&amp;"!k3:k200")))</f>
        <v>-22217.439999999999</v>
      </c>
      <c r="H19" s="835">
        <f t="shared" ref="H19" ca="1" si="11">SUM(F19:G19)</f>
        <v>-15097.439999999999</v>
      </c>
      <c r="I19" s="594">
        <v>6720</v>
      </c>
      <c r="J19" s="42"/>
      <c r="K19" s="37"/>
      <c r="L19" s="37"/>
    </row>
    <row r="20" spans="1:12" ht="15" customHeight="1" x14ac:dyDescent="0.4">
      <c r="A20" s="736"/>
      <c r="B20" s="145" t="str">
        <f t="shared" ref="B20:B26" si="12">LEFT($B19,4)&amp;"-"&amp;VALUE(MID($B19,FIND("-",$B19)+1,256))+1</f>
        <v>6330-3</v>
      </c>
      <c r="C20" s="650" t="s">
        <v>465</v>
      </c>
      <c r="D20" s="836">
        <v>9</v>
      </c>
      <c r="E20" s="646">
        <v>150</v>
      </c>
      <c r="F20" s="831">
        <f t="shared" si="9"/>
        <v>1350</v>
      </c>
      <c r="G20" s="837">
        <f t="shared" ca="1" si="10"/>
        <v>-1677.57</v>
      </c>
      <c r="H20" s="837">
        <f t="shared" ref="H20:H21" ca="1" si="13">SUM(F20:G20)</f>
        <v>-327.56999999999994</v>
      </c>
      <c r="I20" s="608">
        <v>1287</v>
      </c>
      <c r="J20" s="42"/>
      <c r="K20" s="35"/>
      <c r="L20" s="35"/>
    </row>
    <row r="21" spans="1:12" ht="15" customHeight="1" x14ac:dyDescent="0.4">
      <c r="A21" s="735"/>
      <c r="B21" s="118" t="str">
        <f t="shared" si="12"/>
        <v>6330-4</v>
      </c>
      <c r="C21" s="792" t="s">
        <v>200</v>
      </c>
      <c r="D21" s="678">
        <v>2200</v>
      </c>
      <c r="E21" s="603">
        <v>4.25</v>
      </c>
      <c r="F21" s="834">
        <f t="shared" si="9"/>
        <v>9350</v>
      </c>
      <c r="G21" s="835">
        <f t="shared" ca="1" si="10"/>
        <v>-4000</v>
      </c>
      <c r="H21" s="835">
        <f t="shared" ca="1" si="13"/>
        <v>5350</v>
      </c>
      <c r="I21" s="594">
        <v>8925</v>
      </c>
      <c r="J21" s="42"/>
      <c r="K21" s="37"/>
      <c r="L21" s="37"/>
    </row>
    <row r="22" spans="1:12" ht="15" customHeight="1" x14ac:dyDescent="0.4">
      <c r="A22" s="736"/>
      <c r="B22" s="145" t="str">
        <f t="shared" si="12"/>
        <v>6330-5</v>
      </c>
      <c r="C22" s="556" t="s">
        <v>205</v>
      </c>
      <c r="D22" s="676">
        <v>200</v>
      </c>
      <c r="E22" s="646">
        <v>0.54</v>
      </c>
      <c r="F22" s="831">
        <f t="shared" si="9"/>
        <v>108</v>
      </c>
      <c r="G22" s="837">
        <f t="shared" ca="1" si="10"/>
        <v>0</v>
      </c>
      <c r="H22" s="837">
        <f t="shared" ref="H22:H26" ca="1" si="14">SUM(F22:G22)</f>
        <v>108</v>
      </c>
      <c r="I22" s="608">
        <v>108</v>
      </c>
      <c r="J22" s="42"/>
      <c r="K22" s="37"/>
      <c r="L22" s="37"/>
    </row>
    <row r="23" spans="1:12" ht="15" customHeight="1" x14ac:dyDescent="0.4">
      <c r="A23" s="735"/>
      <c r="B23" s="118" t="str">
        <f t="shared" si="12"/>
        <v>6330-6</v>
      </c>
      <c r="C23" s="792" t="s">
        <v>231</v>
      </c>
      <c r="D23" s="694">
        <v>500</v>
      </c>
      <c r="E23" s="603">
        <v>0.09</v>
      </c>
      <c r="F23" s="834">
        <f t="shared" si="9"/>
        <v>45</v>
      </c>
      <c r="G23" s="835">
        <f t="shared" ca="1" si="10"/>
        <v>0</v>
      </c>
      <c r="H23" s="835">
        <f t="shared" ca="1" si="14"/>
        <v>45</v>
      </c>
      <c r="I23" s="594">
        <v>27</v>
      </c>
      <c r="J23" s="42"/>
      <c r="K23" s="37"/>
      <c r="L23" s="37"/>
    </row>
    <row r="24" spans="1:12" ht="15" customHeight="1" x14ac:dyDescent="0.4">
      <c r="A24" s="730"/>
      <c r="B24" s="145" t="str">
        <f t="shared" si="12"/>
        <v>6330-7</v>
      </c>
      <c r="C24" s="589" t="s">
        <v>466</v>
      </c>
      <c r="D24" s="666">
        <v>1</v>
      </c>
      <c r="E24" s="588">
        <v>900</v>
      </c>
      <c r="F24" s="826">
        <f t="shared" si="9"/>
        <v>900</v>
      </c>
      <c r="G24" s="837">
        <f t="shared" ca="1" si="10"/>
        <v>-2805</v>
      </c>
      <c r="H24" s="837">
        <f t="shared" ca="1" si="14"/>
        <v>-1905</v>
      </c>
      <c r="I24" s="589">
        <v>900</v>
      </c>
      <c r="J24" s="42"/>
      <c r="K24" s="138"/>
      <c r="L24" s="348"/>
    </row>
    <row r="25" spans="1:12" ht="15" customHeight="1" x14ac:dyDescent="0.4">
      <c r="A25" s="740"/>
      <c r="B25" s="118" t="str">
        <f t="shared" si="12"/>
        <v>6330-8</v>
      </c>
      <c r="C25" s="838" t="s">
        <v>467</v>
      </c>
      <c r="D25" s="720">
        <v>8900</v>
      </c>
      <c r="E25" s="839">
        <v>7.0000000000000007E-2</v>
      </c>
      <c r="F25" s="840">
        <f t="shared" si="9"/>
        <v>623.00000000000011</v>
      </c>
      <c r="G25" s="835">
        <f t="shared" ca="1" si="10"/>
        <v>0</v>
      </c>
      <c r="H25" s="835">
        <f t="shared" ca="1" si="14"/>
        <v>623.00000000000011</v>
      </c>
      <c r="I25" s="612">
        <v>588</v>
      </c>
      <c r="J25" s="42"/>
      <c r="K25" s="138"/>
      <c r="L25" s="348"/>
    </row>
    <row r="26" spans="1:12" ht="15" customHeight="1" x14ac:dyDescent="0.4">
      <c r="A26" s="730"/>
      <c r="B26" s="145" t="str">
        <f t="shared" si="12"/>
        <v>6330-9</v>
      </c>
      <c r="C26" s="589" t="s">
        <v>582</v>
      </c>
      <c r="D26" s="666">
        <v>22</v>
      </c>
      <c r="E26" s="588">
        <v>20</v>
      </c>
      <c r="F26" s="826">
        <f t="shared" si="9"/>
        <v>440</v>
      </c>
      <c r="G26" s="837">
        <f t="shared" ca="1" si="10"/>
        <v>-210</v>
      </c>
      <c r="H26" s="837">
        <f t="shared" ca="1" si="14"/>
        <v>230</v>
      </c>
      <c r="I26" s="589">
        <v>0</v>
      </c>
      <c r="J26" s="42"/>
      <c r="K26" s="138"/>
      <c r="L26" s="348"/>
    </row>
    <row r="27" spans="1:12" ht="15" customHeight="1" x14ac:dyDescent="0.4">
      <c r="A27" s="733"/>
      <c r="B27" s="150"/>
      <c r="C27" s="622" t="s">
        <v>106</v>
      </c>
      <c r="D27" s="666"/>
      <c r="E27" s="829">
        <f>(F27-I27)/I27</f>
        <v>7.3243171572527174E-2</v>
      </c>
      <c r="F27" s="830">
        <f>SUM(F18:F26)</f>
        <v>20236</v>
      </c>
      <c r="G27" s="777">
        <f t="shared" ref="G27:H27" ca="1" si="15">SUM(G18:G26)</f>
        <v>-30910.01</v>
      </c>
      <c r="H27" s="777">
        <f t="shared" ca="1" si="15"/>
        <v>-10674.009999999998</v>
      </c>
      <c r="I27" s="621">
        <f>SUM(I18:I26)</f>
        <v>18855</v>
      </c>
      <c r="J27" s="42"/>
      <c r="K27" s="37"/>
      <c r="L27" s="37"/>
    </row>
    <row r="28" spans="1:12" ht="15.75" customHeight="1" x14ac:dyDescent="0.4">
      <c r="A28" s="733"/>
      <c r="B28" s="150"/>
      <c r="C28" s="622"/>
      <c r="D28" s="666"/>
      <c r="E28" s="599"/>
      <c r="F28" s="653"/>
      <c r="G28" s="653"/>
      <c r="H28" s="653"/>
      <c r="I28" s="589"/>
      <c r="J28" s="42"/>
      <c r="K28" s="37"/>
      <c r="L28" s="37"/>
    </row>
    <row r="29" spans="1:12" ht="19.5" customHeight="1" x14ac:dyDescent="0.5">
      <c r="A29" s="978" t="s">
        <v>468</v>
      </c>
      <c r="B29" s="978"/>
      <c r="C29" s="979"/>
      <c r="D29" s="979"/>
      <c r="E29" s="979"/>
      <c r="F29" s="979"/>
      <c r="G29" s="979"/>
      <c r="H29" s="979"/>
      <c r="I29" s="979"/>
      <c r="J29" s="42"/>
      <c r="K29" s="37"/>
      <c r="L29" s="37"/>
    </row>
    <row r="30" spans="1:12" ht="15" customHeight="1" x14ac:dyDescent="0.4">
      <c r="A30" s="730"/>
      <c r="B30" s="151" t="str">
        <f>LEFT(A29,4)&amp;"-1"</f>
        <v>6340-1</v>
      </c>
      <c r="C30" s="589" t="s">
        <v>608</v>
      </c>
      <c r="D30" s="666">
        <v>22</v>
      </c>
      <c r="E30" s="588">
        <v>120</v>
      </c>
      <c r="F30" s="826">
        <f>D30*E30</f>
        <v>2640</v>
      </c>
      <c r="G30" s="837">
        <f ca="1">(-SUMIF(INDIRECT(LEFT($A$29,4)&amp;"!i3:i200"),"="&amp;B30&amp;" *",INDIRECT(LEFT($A$29,4)&amp;"!k3:k200")))</f>
        <v>0</v>
      </c>
      <c r="H30" s="589">
        <f ca="1">SUM(F30:G30)</f>
        <v>2640</v>
      </c>
      <c r="I30" s="589">
        <v>2400</v>
      </c>
      <c r="J30" s="42"/>
      <c r="K30" s="37"/>
      <c r="L30" s="37"/>
    </row>
    <row r="31" spans="1:12" ht="15" customHeight="1" x14ac:dyDescent="0.4">
      <c r="A31" s="841"/>
      <c r="B31" s="288" t="str">
        <f>LEFT($B30,4)&amp;"-"&amp;VALUE(MID($B30,FIND("-",$B30)+1,256))+1</f>
        <v>6340-2</v>
      </c>
      <c r="C31" s="842" t="s">
        <v>609</v>
      </c>
      <c r="D31" s="759">
        <v>22</v>
      </c>
      <c r="E31" s="760">
        <v>120</v>
      </c>
      <c r="F31" s="827">
        <f>D31*E31</f>
        <v>2640</v>
      </c>
      <c r="G31" s="761">
        <f ca="1">(-SUMIF(INDIRECT(LEFT($A$29,4)&amp;"!i3:i200"),"="&amp;B31&amp;" *",INDIRECT(LEFT($A$29,4)&amp;"!k3:k200")))</f>
        <v>0</v>
      </c>
      <c r="H31" s="843">
        <f t="shared" ref="H31" ca="1" si="16">SUM(F31:G31)</f>
        <v>2640</v>
      </c>
      <c r="I31" s="761">
        <v>2400</v>
      </c>
      <c r="J31" s="42"/>
      <c r="K31" s="37"/>
      <c r="L31" s="37"/>
    </row>
    <row r="32" spans="1:12" ht="15" customHeight="1" x14ac:dyDescent="0.4">
      <c r="A32" s="733"/>
      <c r="B32" s="150"/>
      <c r="C32" s="622" t="s">
        <v>106</v>
      </c>
      <c r="D32" s="666"/>
      <c r="E32" s="829">
        <f>(F32-I32)/I32</f>
        <v>0.1</v>
      </c>
      <c r="F32" s="830">
        <f>SUM(F30:F31)</f>
        <v>5280</v>
      </c>
      <c r="G32" s="830">
        <f t="shared" ref="G32:H32" ca="1" si="17">SUM(G30:G31)</f>
        <v>0</v>
      </c>
      <c r="H32" s="830">
        <f t="shared" ca="1" si="17"/>
        <v>5280</v>
      </c>
      <c r="I32" s="621">
        <f>SUM(I30:I31)</f>
        <v>4800</v>
      </c>
      <c r="J32" s="42"/>
      <c r="K32" s="37"/>
      <c r="L32" s="37"/>
    </row>
    <row r="33" spans="1:12" ht="15.75" customHeight="1" x14ac:dyDescent="0.4">
      <c r="A33" s="733"/>
      <c r="B33" s="150"/>
      <c r="C33" s="622"/>
      <c r="D33" s="666"/>
      <c r="E33" s="599"/>
      <c r="F33" s="653"/>
      <c r="G33" s="653"/>
      <c r="H33" s="653"/>
      <c r="I33" s="589"/>
      <c r="J33" s="37"/>
      <c r="K33" s="37"/>
      <c r="L33" s="37"/>
    </row>
    <row r="34" spans="1:12" ht="19.5" customHeight="1" x14ac:dyDescent="0.5">
      <c r="A34" s="978" t="s">
        <v>469</v>
      </c>
      <c r="B34" s="978"/>
      <c r="C34" s="979"/>
      <c r="D34" s="979"/>
      <c r="E34" s="979"/>
      <c r="F34" s="979"/>
      <c r="G34" s="979"/>
      <c r="H34" s="979"/>
      <c r="I34" s="979"/>
      <c r="J34" s="37"/>
      <c r="K34" s="37"/>
      <c r="L34" s="37"/>
    </row>
    <row r="35" spans="1:12" ht="15" customHeight="1" x14ac:dyDescent="0.4">
      <c r="A35" s="730" t="s">
        <v>470</v>
      </c>
      <c r="B35" s="151" t="str">
        <f>LEFT(A34,4)&amp;"-1"</f>
        <v>6350-1</v>
      </c>
      <c r="C35" s="589" t="s">
        <v>471</v>
      </c>
      <c r="D35" s="666">
        <v>1</v>
      </c>
      <c r="E35" s="599">
        <v>3000</v>
      </c>
      <c r="F35" s="826">
        <v>6000</v>
      </c>
      <c r="G35" s="837">
        <f ca="1">(-SUMIF(INDIRECT(LEFT($A$34,4)&amp;"!i3:i200"),"="&amp;B35&amp;" *",INDIRECT(LEFT($A$34,4)&amp;"!k3:k200")))</f>
        <v>-6300</v>
      </c>
      <c r="H35" s="589">
        <f ca="1">SUM(F35:G35)</f>
        <v>-300</v>
      </c>
      <c r="I35" s="589">
        <v>3000</v>
      </c>
      <c r="J35" s="42"/>
      <c r="K35" s="37"/>
      <c r="L35" s="37"/>
    </row>
    <row r="36" spans="1:12" ht="15" customHeight="1" x14ac:dyDescent="0.4">
      <c r="A36" s="742"/>
      <c r="B36" s="136" t="str">
        <f>LEFT($B35,4)&amp;"-"&amp;VALUE(MID($B35,FIND("-",$B35)+1,256))+1</f>
        <v>6350-2</v>
      </c>
      <c r="C36" s="679" t="s">
        <v>472</v>
      </c>
      <c r="D36" s="678">
        <v>1</v>
      </c>
      <c r="E36" s="603">
        <v>1500</v>
      </c>
      <c r="F36" s="834">
        <f t="shared" ref="F36" si="18">SUM(D36*E36)</f>
        <v>1500</v>
      </c>
      <c r="G36" s="846">
        <f ca="1">(-SUMIF(INDIRECT(LEFT($A$34,4)&amp;"!i3:i200"),"="&amp;B36&amp;" *",INDIRECT(LEFT($A$34,4)&amp;"!k3:k200")))</f>
        <v>-1500</v>
      </c>
      <c r="H36" s="846">
        <f t="shared" ref="H36" ca="1" si="19">SUM(F36:G36)</f>
        <v>0</v>
      </c>
      <c r="I36" s="594">
        <v>1500</v>
      </c>
      <c r="J36" s="42"/>
      <c r="K36" s="37"/>
      <c r="L36" s="37"/>
    </row>
    <row r="37" spans="1:12" ht="15" customHeight="1" x14ac:dyDescent="0.4">
      <c r="A37" s="844"/>
      <c r="B37" s="150"/>
      <c r="C37" s="622" t="s">
        <v>106</v>
      </c>
      <c r="D37" s="666"/>
      <c r="E37" s="829">
        <f>(F37-I37)/I37</f>
        <v>0.66666666666666663</v>
      </c>
      <c r="F37" s="830">
        <f>SUM(F35:F36)</f>
        <v>7500</v>
      </c>
      <c r="G37" s="830">
        <f t="shared" ref="G37:H37" ca="1" si="20">SUM(G35:G36)</f>
        <v>-7800</v>
      </c>
      <c r="H37" s="830">
        <f t="shared" ca="1" si="20"/>
        <v>-300</v>
      </c>
      <c r="I37" s="621">
        <f>SUM(I35:I36)</f>
        <v>4500</v>
      </c>
      <c r="J37" s="42"/>
      <c r="K37" s="37"/>
      <c r="L37" s="37"/>
    </row>
    <row r="38" spans="1:12" ht="15" customHeight="1" x14ac:dyDescent="0.4">
      <c r="A38" s="845"/>
      <c r="C38" s="498"/>
      <c r="D38" s="498"/>
      <c r="E38" s="498"/>
      <c r="F38" s="452"/>
      <c r="G38" s="452"/>
      <c r="H38" s="452"/>
      <c r="I38" s="452"/>
      <c r="J38" s="42"/>
    </row>
    <row r="39" spans="1:12" ht="15" customHeight="1" x14ac:dyDescent="0.4">
      <c r="A39" s="845"/>
      <c r="C39" s="546"/>
      <c r="D39" s="498"/>
      <c r="E39" s="829">
        <f>SUM(F39-I39)/I39</f>
        <v>-8.3822536766961896E-3</v>
      </c>
      <c r="F39" s="847">
        <f>SUM(F37+F32+F27+F15+F10)</f>
        <v>242396</v>
      </c>
      <c r="G39" s="847">
        <f t="shared" ref="G39:H39" ca="1" si="21">SUM(G37+G32+G27+G15+G10)</f>
        <v>-303995.27</v>
      </c>
      <c r="H39" s="847">
        <f t="shared" ca="1" si="21"/>
        <v>-61599.27</v>
      </c>
      <c r="I39" s="823">
        <f>SUM(I37+I32+I27+I15+I10)</f>
        <v>244445</v>
      </c>
      <c r="J39" s="42"/>
    </row>
    <row r="40" spans="1:12" ht="15.75" customHeight="1" x14ac:dyDescent="0.4"/>
  </sheetData>
  <mergeCells count="6">
    <mergeCell ref="A1:I1"/>
    <mergeCell ref="A3:I3"/>
    <mergeCell ref="A12:I12"/>
    <mergeCell ref="A17:I17"/>
    <mergeCell ref="A34:I34"/>
    <mergeCell ref="A29:I29"/>
  </mergeCells>
  <conditionalFormatting sqref="E10">
    <cfRule type="cellIs" dxfId="26" priority="16" operator="lessThan">
      <formula>0</formula>
    </cfRule>
    <cfRule type="cellIs" dxfId="25" priority="17" operator="greaterThan">
      <formula>0</formula>
    </cfRule>
    <cfRule type="cellIs" dxfId="24" priority="18" operator="equal">
      <formula>0</formula>
    </cfRule>
  </conditionalFormatting>
  <conditionalFormatting sqref="E15">
    <cfRule type="cellIs" dxfId="23" priority="13" operator="lessThan">
      <formula>0</formula>
    </cfRule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E27">
    <cfRule type="cellIs" dxfId="20" priority="10" operator="lessThan">
      <formula>0</formula>
    </cfRule>
    <cfRule type="cellIs" dxfId="19" priority="11" operator="greaterThan">
      <formula>0</formula>
    </cfRule>
    <cfRule type="cellIs" dxfId="18" priority="12" operator="equal">
      <formula>0</formula>
    </cfRule>
  </conditionalFormatting>
  <conditionalFormatting sqref="E32">
    <cfRule type="cellIs" dxfId="17" priority="7" operator="lessThan">
      <formula>0</formula>
    </cfRule>
    <cfRule type="cellIs" dxfId="16" priority="8" operator="greaterThan">
      <formula>0</formula>
    </cfRule>
    <cfRule type="cellIs" dxfId="15" priority="9" operator="equal">
      <formula>0</formula>
    </cfRule>
  </conditionalFormatting>
  <conditionalFormatting sqref="E3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equal">
      <formula>0</formula>
    </cfRule>
  </conditionalFormatting>
  <conditionalFormatting sqref="E3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equal">
      <formula>0</formula>
    </cfRule>
  </conditionalFormatting>
  <conditionalFormatting sqref="F3:F1048576 G10:H10 G15:H15 G27:H27 G32:H32 G37:H37 G39:H39">
    <cfRule type="expression" dxfId="8" priority="19">
      <formula>F3=I3</formula>
    </cfRule>
    <cfRule type="expression" dxfId="7" priority="20">
      <formula>F3&lt;I3</formula>
    </cfRule>
    <cfRule type="expression" dxfId="6" priority="21">
      <formula>F3&gt;I3</formula>
    </cfRule>
  </conditionalFormatting>
  <printOptions horizontalCentered="1"/>
  <pageMargins left="0.25" right="0.25" top="1" bottom="0.5" header="0.5" footer="0"/>
  <pageSetup scale="92" fitToHeight="0" orientation="landscape" r:id="rId1"/>
  <rowBreaks count="1" manualBreakCount="1">
    <brk id="2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B90AE6C11D54CAB8D0F0E46AF4745" ma:contentTypeVersion="5" ma:contentTypeDescription="Create a new document." ma:contentTypeScope="" ma:versionID="c15ffc60c28d10bf801fab8e1bbfb785">
  <xsd:schema xmlns:xsd="http://www.w3.org/2001/XMLSchema" xmlns:xs="http://www.w3.org/2001/XMLSchema" xmlns:p="http://schemas.microsoft.com/office/2006/metadata/properties" xmlns:ns3="3e8e9013-1146-42e3-a522-eb3d5a77d96e" xmlns:ns4="fb560924-4220-4a54-9885-2ef3e518bba2" targetNamespace="http://schemas.microsoft.com/office/2006/metadata/properties" ma:root="true" ma:fieldsID="8aeffa12bf22807093e30d3e210cd154" ns3:_="" ns4:_="">
    <xsd:import namespace="3e8e9013-1146-42e3-a522-eb3d5a77d96e"/>
    <xsd:import namespace="fb560924-4220-4a54-9885-2ef3e518bb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e9013-1146-42e3-a522-eb3d5a77d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60924-4220-4a54-9885-2ef3e518b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9ABF7-CFA8-4C6D-B30A-295989FFF62A}">
  <ds:schemaRefs>
    <ds:schemaRef ds:uri="http://purl.org/dc/terms/"/>
    <ds:schemaRef ds:uri="http://schemas.microsoft.com/office/infopath/2007/PartnerControls"/>
    <ds:schemaRef ds:uri="fb560924-4220-4a54-9885-2ef3e518bba2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3e8e9013-1146-42e3-a522-eb3d5a77d96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AF8E77-6CB2-498E-B24D-38056BDFB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e9013-1146-42e3-a522-eb3d5a77d96e"/>
    <ds:schemaRef ds:uri="fb560924-4220-4a54-9885-2ef3e518bb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15418-063B-41D2-95B2-FE202207DF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64</vt:i4>
      </vt:variant>
    </vt:vector>
  </HeadingPairs>
  <TitlesOfParts>
    <vt:vector size="100" baseType="lpstr">
      <vt:lpstr>Summary</vt:lpstr>
      <vt:lpstr>1% Overview</vt:lpstr>
      <vt:lpstr>1% Personnel</vt:lpstr>
      <vt:lpstr>2% Overview</vt:lpstr>
      <vt:lpstr>2% Personnel</vt:lpstr>
      <vt:lpstr>3% Overview</vt:lpstr>
      <vt:lpstr>3% Personnel</vt:lpstr>
      <vt:lpstr>Budget-Services</vt:lpstr>
      <vt:lpstr>ARB Budget</vt:lpstr>
      <vt:lpstr>Recap chart</vt:lpstr>
      <vt:lpstr>Budget Recap</vt:lpstr>
      <vt:lpstr>6110</vt:lpstr>
      <vt:lpstr>6120</vt:lpstr>
      <vt:lpstr>6130</vt:lpstr>
      <vt:lpstr>6140</vt:lpstr>
      <vt:lpstr>6150</vt:lpstr>
      <vt:lpstr>6160</vt:lpstr>
      <vt:lpstr>6210</vt:lpstr>
      <vt:lpstr>6215</vt:lpstr>
      <vt:lpstr>6220</vt:lpstr>
      <vt:lpstr>6225</vt:lpstr>
      <vt:lpstr>6235</vt:lpstr>
      <vt:lpstr>6236</vt:lpstr>
      <vt:lpstr>6240</vt:lpstr>
      <vt:lpstr>6250</vt:lpstr>
      <vt:lpstr>6260</vt:lpstr>
      <vt:lpstr>6280</vt:lpstr>
      <vt:lpstr>6285</vt:lpstr>
      <vt:lpstr>6290</vt:lpstr>
      <vt:lpstr>6310</vt:lpstr>
      <vt:lpstr>6320</vt:lpstr>
      <vt:lpstr>6330</vt:lpstr>
      <vt:lpstr>6340</vt:lpstr>
      <vt:lpstr>6350</vt:lpstr>
      <vt:lpstr>6810</vt:lpstr>
      <vt:lpstr>8010</vt:lpstr>
      <vt:lpstr>'1% Overview'!Print_Area</vt:lpstr>
      <vt:lpstr>'1% Personnel'!Print_Area</vt:lpstr>
      <vt:lpstr>'2% Overview'!Print_Area</vt:lpstr>
      <vt:lpstr>'2% Personnel'!Print_Area</vt:lpstr>
      <vt:lpstr>'3% Overview'!Print_Area</vt:lpstr>
      <vt:lpstr>'3% Personnel'!Print_Area</vt:lpstr>
      <vt:lpstr>'ARB Budget'!Print_Area</vt:lpstr>
      <vt:lpstr>'Budget-Services'!Print_Area</vt:lpstr>
      <vt:lpstr>'Recap chart'!Print_Area</vt:lpstr>
      <vt:lpstr>Summary!Print_Area</vt:lpstr>
      <vt:lpstr>'1% Personnel'!Print_Titles</vt:lpstr>
      <vt:lpstr>'2% Personnel'!Print_Titles</vt:lpstr>
      <vt:lpstr>'3% Personnel'!Print_Titles</vt:lpstr>
      <vt:lpstr>'6110'!Print_Titles</vt:lpstr>
      <vt:lpstr>'6120'!Print_Titles</vt:lpstr>
      <vt:lpstr>'6130'!Print_Titles</vt:lpstr>
      <vt:lpstr>'6140'!Print_Titles</vt:lpstr>
      <vt:lpstr>'6150'!Print_Titles</vt:lpstr>
      <vt:lpstr>'6160'!Print_Titles</vt:lpstr>
      <vt:lpstr>'6210'!Print_Titles</vt:lpstr>
      <vt:lpstr>'6215'!Print_Titles</vt:lpstr>
      <vt:lpstr>'6220'!Print_Titles</vt:lpstr>
      <vt:lpstr>'6225'!Print_Titles</vt:lpstr>
      <vt:lpstr>'6235'!Print_Titles</vt:lpstr>
      <vt:lpstr>'6236'!Print_Titles</vt:lpstr>
      <vt:lpstr>'6240'!Print_Titles</vt:lpstr>
      <vt:lpstr>'6260'!Print_Titles</vt:lpstr>
      <vt:lpstr>'6280'!Print_Titles</vt:lpstr>
      <vt:lpstr>'6285'!Print_Titles</vt:lpstr>
      <vt:lpstr>'6290'!Print_Titles</vt:lpstr>
      <vt:lpstr>'6310'!Print_Titles</vt:lpstr>
      <vt:lpstr>'6320'!Print_Titles</vt:lpstr>
      <vt:lpstr>'6330'!Print_Titles</vt:lpstr>
      <vt:lpstr>'6350'!Print_Titles</vt:lpstr>
      <vt:lpstr>'6810'!Print_Titles</vt:lpstr>
      <vt:lpstr>'8010'!Print_Titles</vt:lpstr>
      <vt:lpstr>'ARB Budget'!Print_Titles</vt:lpstr>
      <vt:lpstr>'Budget-Services'!Print_Titles</vt:lpstr>
      <vt:lpstr>'ARB Budget'!Z_1E23C528_1A93_4869_8FED_629E3BA1C1FB_.wvu.Cols</vt:lpstr>
      <vt:lpstr>'Budget-Services'!Z_1E23C528_1A93_4869_8FED_629E3BA1C1FB_.wvu.Cols</vt:lpstr>
      <vt:lpstr>'ARB Budget'!Z_1E23C528_1A93_4869_8FED_629E3BA1C1FB_.wvu.PrintArea</vt:lpstr>
      <vt:lpstr>'Budget-Services'!Z_1E23C528_1A93_4869_8FED_629E3BA1C1FB_.wvu.PrintArea</vt:lpstr>
      <vt:lpstr>'Budget-Services'!Z_1E23C528_1A93_4869_8FED_629E3BA1C1FB_.wvu.PrintTitles</vt:lpstr>
      <vt:lpstr>'ARB Budget'!Z_240D0F1E_8A4A_44D9_9D18_FC2DB01D505B_.wvu.Cols</vt:lpstr>
      <vt:lpstr>'Budget-Services'!Z_311A91B1_0912_4AA5_9366_B03CF50601A2_.wvu.PrintTitles</vt:lpstr>
      <vt:lpstr>'Budget-Services'!Z_34964384_DFBD_46D8_9B9F_2D86A517A166_.wvu.PrintTitles</vt:lpstr>
      <vt:lpstr>'Budget-Services'!Z_462CB3DC_B2E4_454C_83C1_B844BA7D19AA_.wvu.PrintTitles</vt:lpstr>
      <vt:lpstr>'Budget-Services'!Z_6D2BABDE_BF95_4644_811C_B4DB4C5FF4DD_.wvu.PrintTitles</vt:lpstr>
      <vt:lpstr>'Budget-Services'!Z_7B966C76_DF97_4627_BB3C_77955DB39D00_.wvu.PrintTitles</vt:lpstr>
      <vt:lpstr>'Budget-Services'!Z_867852E4_99EF_4389_8FD0_AFAB4495F746_.wvu.PrintTitles</vt:lpstr>
      <vt:lpstr>'ARB Budget'!Z_87C375DB_B8D6_4CDB_A372_B6AF8E723C83_.wvu.Cols</vt:lpstr>
      <vt:lpstr>'ARB Budget'!Z_8AFAE271_A818_42D9_A8EF_972712D95EDE_.wvu.Cols</vt:lpstr>
      <vt:lpstr>'Budget-Services'!Z_8AFAE271_A818_42D9_A8EF_972712D95EDE_.wvu.Cols</vt:lpstr>
      <vt:lpstr>'Budget-Services'!Z_8AFAE271_A818_42D9_A8EF_972712D95EDE_.wvu.PrintArea</vt:lpstr>
      <vt:lpstr>'Budget-Services'!Z_8AFAE271_A818_42D9_A8EF_972712D95EDE_.wvu.PrintTitles</vt:lpstr>
      <vt:lpstr>'ARB Budget'!Z_C064177C_B77C_40AF_A193_4D3DF85CE067_.wvu.Cols</vt:lpstr>
      <vt:lpstr>'Budget-Services'!Z_C064177C_B77C_40AF_A193_4D3DF85CE067_.wvu.Cols</vt:lpstr>
      <vt:lpstr>'ARB Budget'!Z_C064177C_B77C_40AF_A193_4D3DF85CE067_.wvu.PrintArea</vt:lpstr>
      <vt:lpstr>'Budget-Services'!Z_C064177C_B77C_40AF_A193_4D3DF85CE067_.wvu.PrintArea</vt:lpstr>
      <vt:lpstr>'Budget-Services'!Z_C064177C_B77C_40AF_A193_4D3DF85CE067_.wvu.PrintTitles</vt:lpstr>
      <vt:lpstr>'Budget-Services'!Z_C48E47E7_FA0B_4A20_94A3_280718E1E67E_.wvu.PrintTitles</vt:lpstr>
      <vt:lpstr>'Budget-Services'!Z_C67EED5A_831B_42B7_8FDB_8094D4B26582_.wvu.PrintTitles</vt:lpstr>
      <vt:lpstr>'Budget-Services'!Z_E4A729BB_04B9_4DDA_A845_D330ECD6C6DE_.wvu.PrintTitles</vt:lpstr>
      <vt:lpstr>'ARB Budget'!Z_FB8A7251_402B_4E68_AD89_100C31417887_.wvu.Cols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Gamboa</dc:creator>
  <cp:keywords/>
  <dc:description/>
  <cp:lastModifiedBy>Kimberly Gamboa</cp:lastModifiedBy>
  <cp:revision/>
  <cp:lastPrinted>2022-05-11T16:52:49Z</cp:lastPrinted>
  <dcterms:created xsi:type="dcterms:W3CDTF">2018-04-13T13:33:25Z</dcterms:created>
  <dcterms:modified xsi:type="dcterms:W3CDTF">2025-01-24T17:50:36Z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0x010100834B90AE6C11D54CAB8D0F0E46AF4745</vt:lpwstr>
  </property>
</Properties>
</file>