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6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7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8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9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10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11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12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13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14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1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16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7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18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19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20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1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22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23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24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drawings/drawing25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drawings/drawing26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drawings/drawing27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drawings/drawing28.xml" ContentType="application/vnd.openxmlformats-officedocument.drawing+xml"/>
  <Override PartName="/xl/drawings/drawing29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drawings/drawing30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ivisions\Business Services\Shared\Financial Transparency\Budgets\"/>
    </mc:Choice>
  </mc:AlternateContent>
  <xr:revisionPtr revIDLastSave="0" documentId="13_ncr:1_{1B1B0E49-23E7-4436-A17B-BEEEBC65F2D7}" xr6:coauthVersionLast="47" xr6:coauthVersionMax="47" xr10:uidLastSave="{00000000-0000-0000-0000-000000000000}"/>
  <bookViews>
    <workbookView xWindow="-103" yWindow="-103" windowWidth="21600" windowHeight="13749" tabRatio="923" xr2:uid="{00000000-000D-0000-FFFF-FFFF00000000}"/>
  </bookViews>
  <sheets>
    <sheet name="Summary" sheetId="36" r:id="rId1"/>
    <sheet name="4% Overview" sheetId="34" r:id="rId2"/>
    <sheet name="4% Personnel" sheetId="35" r:id="rId3"/>
    <sheet name="Budget-Services" sheetId="4" r:id="rId4"/>
    <sheet name="ARB Budget" sheetId="5" r:id="rId5"/>
    <sheet name="Recap chart" sheetId="6" r:id="rId6"/>
    <sheet name="6110" sheetId="7" r:id="rId7"/>
    <sheet name="6120" sheetId="8" r:id="rId8"/>
    <sheet name="6130" sheetId="9" r:id="rId9"/>
    <sheet name="6140" sheetId="10" r:id="rId10"/>
    <sheet name="6150" sheetId="11" r:id="rId11"/>
    <sheet name="6160" sheetId="12" r:id="rId12"/>
    <sheet name="6210" sheetId="13" r:id="rId13"/>
    <sheet name="6215" sheetId="14" r:id="rId14"/>
    <sheet name="6220" sheetId="15" r:id="rId15"/>
    <sheet name="6225" sheetId="16" r:id="rId16"/>
    <sheet name="6235" sheetId="17" r:id="rId17"/>
    <sheet name="6236" sheetId="18" r:id="rId18"/>
    <sheet name="6240" sheetId="19" r:id="rId19"/>
    <sheet name="6250" sheetId="30" r:id="rId20"/>
    <sheet name="6260" sheetId="20" r:id="rId21"/>
    <sheet name="6280" sheetId="21" r:id="rId22"/>
    <sheet name="6285" sheetId="22" r:id="rId23"/>
    <sheet name="6290" sheetId="23" r:id="rId24"/>
    <sheet name="6310" sheetId="24" r:id="rId25"/>
    <sheet name="6320" sheetId="25" r:id="rId26"/>
    <sheet name="6330" sheetId="26" r:id="rId27"/>
    <sheet name="6340" sheetId="27" r:id="rId28"/>
    <sheet name="6350" sheetId="28" r:id="rId29"/>
    <sheet name="Alert" sheetId="148" state="hidden" r:id="rId30"/>
    <sheet name="6810" sheetId="31" r:id="rId31"/>
    <sheet name="8010" sheetId="29" r:id="rId32"/>
  </sheets>
  <definedNames>
    <definedName name="_xlnm._FilterDatabase" localSheetId="25" hidden="1">'6320'!$E$1:$K$15</definedName>
    <definedName name="_xlnm._FilterDatabase" localSheetId="27" hidden="1">'6340'!$E$1:$K$48</definedName>
    <definedName name="_xlnm._FilterDatabase" localSheetId="3" hidden="1">'Budget-Services'!$G:$G</definedName>
    <definedName name="_xlchart.v1.0" hidden="1">'Recap chart'!$D$5:$D$9</definedName>
    <definedName name="_xlchart.v1.1" hidden="1">'Recap chart'!$F$5:$F$9</definedName>
    <definedName name="LOCAL_MYSQL_DATE_FORMAT" localSheetId="2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'4% Overview'!$A$1:$K$37</definedName>
    <definedName name="_xlnm.Print_Area" localSheetId="2">'4% Personnel'!$A$1:$F$77</definedName>
    <definedName name="_xlnm.Print_Area" localSheetId="4">'ARB Budget'!$A$1:$I$38</definedName>
    <definedName name="_xlnm.Print_Area" localSheetId="3">'Budget-Services'!$A$1:$K$356</definedName>
    <definedName name="_xlnm.Print_Titles" localSheetId="2">'4% Personnel'!$1:$1</definedName>
    <definedName name="_xlnm.Print_Titles" localSheetId="6">'6110'!$A:$C,'6110'!$1:$1</definedName>
    <definedName name="_xlnm.Print_Titles" localSheetId="7">'6120'!$A:$C,'6120'!$1:$1</definedName>
    <definedName name="_xlnm.Print_Titles" localSheetId="8">'6130'!$A:$C,'6130'!$1:$1</definedName>
    <definedName name="_xlnm.Print_Titles" localSheetId="9">'6140'!$A:$C,'6140'!$1:$1</definedName>
    <definedName name="_xlnm.Print_Titles" localSheetId="10">'6150'!$A:$C,'6150'!$1:$1</definedName>
    <definedName name="_xlnm.Print_Titles" localSheetId="11">'6160'!$A:$C,'6160'!$1:$1</definedName>
    <definedName name="_xlnm.Print_Titles" localSheetId="12">'6210'!$A:$C,'6210'!$1:$1</definedName>
    <definedName name="_xlnm.Print_Titles" localSheetId="13">'6215'!$A:$C,'6215'!$1:$1</definedName>
    <definedName name="_xlnm.Print_Titles" localSheetId="14">'6220'!$A:$C,'6220'!$1:$1</definedName>
    <definedName name="_xlnm.Print_Titles" localSheetId="15">'6225'!$A:$C,'6225'!$1:$1</definedName>
    <definedName name="_xlnm.Print_Titles" localSheetId="16">'6235'!$A:$C,'6235'!$1:$1</definedName>
    <definedName name="_xlnm.Print_Titles" localSheetId="17">'6236'!$A:$C,'6236'!$1:$1</definedName>
    <definedName name="_xlnm.Print_Titles" localSheetId="18">'6240'!$A:$C,'6240'!$1:$1</definedName>
    <definedName name="_xlnm.Print_Titles" localSheetId="19">'6250'!$A:$C,'6250'!$1:$1</definedName>
    <definedName name="_xlnm.Print_Titles" localSheetId="20">'6260'!$A:$C,'6260'!$1:$1</definedName>
    <definedName name="_xlnm.Print_Titles" localSheetId="21">'6280'!$A:$C,'6280'!$1:$1</definedName>
    <definedName name="_xlnm.Print_Titles" localSheetId="22">'6285'!$A:$C,'6285'!$1:$1</definedName>
    <definedName name="_xlnm.Print_Titles" localSheetId="23">'6290'!$A:$C,'6290'!$1:$1</definedName>
    <definedName name="_xlnm.Print_Titles" localSheetId="24">'6310'!$A:$C,'6310'!$1:$1</definedName>
    <definedName name="_xlnm.Print_Titles" localSheetId="25">'6320'!$A:$C,'6320'!$1:$1</definedName>
    <definedName name="_xlnm.Print_Titles" localSheetId="26">'6330'!$A:$C,'6330'!$1:$1</definedName>
    <definedName name="_xlnm.Print_Titles" localSheetId="27">'6340'!$A:$C,'6340'!$1:$1</definedName>
    <definedName name="_xlnm.Print_Titles" localSheetId="28">'6350'!$A:$C,'6350'!$1:$1</definedName>
    <definedName name="_xlnm.Print_Titles" localSheetId="30">'6810'!$A:$C,'6810'!$1:$1</definedName>
    <definedName name="_xlnm.Print_Titles" localSheetId="31">'8010'!$A:$C,'8010'!$1:$1</definedName>
    <definedName name="_xlnm.Print_Titles" localSheetId="4">'ARB Budget'!$1:$1</definedName>
    <definedName name="_xlnm.Print_Titles" localSheetId="3">'Budget-Services'!$1:$1</definedName>
    <definedName name="QB_COLUMN_1" localSheetId="6" hidden="1">'6110'!$D$1</definedName>
    <definedName name="QB_COLUMN_1" localSheetId="7" hidden="1">'6120'!$D$1</definedName>
    <definedName name="QB_COLUMN_1" localSheetId="8" hidden="1">'6130'!$D$1</definedName>
    <definedName name="QB_COLUMN_1" localSheetId="9" hidden="1">'6140'!$D$1</definedName>
    <definedName name="QB_COLUMN_1" localSheetId="10" hidden="1">'6150'!$D$1</definedName>
    <definedName name="QB_COLUMN_1" localSheetId="11" hidden="1">'6160'!$D$1</definedName>
    <definedName name="QB_COLUMN_1" localSheetId="12" hidden="1">'6210'!$D$1</definedName>
    <definedName name="QB_COLUMN_1" localSheetId="13" hidden="1">'6215'!$D$1</definedName>
    <definedName name="QB_COLUMN_1" localSheetId="14" hidden="1">'6220'!$D$1</definedName>
    <definedName name="QB_COLUMN_1" localSheetId="15" hidden="1">'6225'!$D$1</definedName>
    <definedName name="QB_COLUMN_1" localSheetId="16" hidden="1">'6235'!$D$1</definedName>
    <definedName name="QB_COLUMN_1" localSheetId="17" hidden="1">'6236'!$D$1</definedName>
    <definedName name="QB_COLUMN_1" localSheetId="18" hidden="1">'6240'!$D$1</definedName>
    <definedName name="QB_COLUMN_1" localSheetId="19" hidden="1">'6250'!$D$1</definedName>
    <definedName name="QB_COLUMN_1" localSheetId="20" hidden="1">'6260'!$D$1</definedName>
    <definedName name="QB_COLUMN_1" localSheetId="21" hidden="1">'6280'!$D$1</definedName>
    <definedName name="QB_COLUMN_1" localSheetId="22" hidden="1">'6285'!$D$1</definedName>
    <definedName name="QB_COLUMN_1" localSheetId="23" hidden="1">'6290'!$D$1</definedName>
    <definedName name="QB_COLUMN_1" localSheetId="24" hidden="1">'6310'!$D$1</definedName>
    <definedName name="QB_COLUMN_1" localSheetId="25" hidden="1">'6320'!$D$1</definedName>
    <definedName name="QB_COLUMN_1" localSheetId="26" hidden="1">'6330'!$D$1</definedName>
    <definedName name="QB_COLUMN_1" localSheetId="27" hidden="1">'6340'!$D$1</definedName>
    <definedName name="QB_COLUMN_1" localSheetId="28" hidden="1">'6350'!$D$1</definedName>
    <definedName name="QB_COLUMN_1" localSheetId="30" hidden="1">'6810'!$D$1</definedName>
    <definedName name="QB_COLUMN_1" localSheetId="31" hidden="1">'8010'!$D$1</definedName>
    <definedName name="QB_COLUMN_20" localSheetId="6" hidden="1">'6110'!$J$1</definedName>
    <definedName name="QB_COLUMN_20" localSheetId="7" hidden="1">'6120'!$J$1</definedName>
    <definedName name="QB_COLUMN_20" localSheetId="8" hidden="1">'6130'!$J$1</definedName>
    <definedName name="QB_COLUMN_20" localSheetId="9" hidden="1">'6140'!$J$1</definedName>
    <definedName name="QB_COLUMN_20" localSheetId="10" hidden="1">'6150'!$J$1</definedName>
    <definedName name="QB_COLUMN_20" localSheetId="11" hidden="1">'6160'!$J$1</definedName>
    <definedName name="QB_COLUMN_20" localSheetId="12" hidden="1">'6210'!$J$1</definedName>
    <definedName name="QB_COLUMN_20" localSheetId="13" hidden="1">'6215'!$J$1</definedName>
    <definedName name="QB_COLUMN_20" localSheetId="14" hidden="1">'6220'!$J$1</definedName>
    <definedName name="QB_COLUMN_20" localSheetId="15" hidden="1">'6225'!$J$1</definedName>
    <definedName name="QB_COLUMN_20" localSheetId="16" hidden="1">'6235'!$J$1</definedName>
    <definedName name="QB_COLUMN_20" localSheetId="17" hidden="1">'6236'!$J$1</definedName>
    <definedName name="QB_COLUMN_20" localSheetId="18" hidden="1">'6240'!$J$1</definedName>
    <definedName name="QB_COLUMN_20" localSheetId="19" hidden="1">'6250'!$J$1</definedName>
    <definedName name="QB_COLUMN_20" localSheetId="20" hidden="1">'6260'!$J$1</definedName>
    <definedName name="QB_COLUMN_20" localSheetId="21" hidden="1">'6280'!$J$1</definedName>
    <definedName name="QB_COLUMN_20" localSheetId="22" hidden="1">'6285'!$J$1</definedName>
    <definedName name="QB_COLUMN_20" localSheetId="23" hidden="1">'6290'!$J$1</definedName>
    <definedName name="QB_COLUMN_20" localSheetId="24" hidden="1">'6310'!$J$1</definedName>
    <definedName name="QB_COLUMN_20" localSheetId="25" hidden="1">'6320'!$J$1</definedName>
    <definedName name="QB_COLUMN_20" localSheetId="26" hidden="1">'6330'!$J$1</definedName>
    <definedName name="QB_COLUMN_20" localSheetId="27" hidden="1">'6340'!$J$1</definedName>
    <definedName name="QB_COLUMN_20" localSheetId="28" hidden="1">'6350'!$J$1</definedName>
    <definedName name="QB_COLUMN_20" localSheetId="30" hidden="1">'6810'!$J$1</definedName>
    <definedName name="QB_COLUMN_20" localSheetId="31" hidden="1">'8010'!$J$1</definedName>
    <definedName name="QB_COLUMN_3" localSheetId="6" hidden="1">'6110'!$E$1</definedName>
    <definedName name="QB_COLUMN_3" localSheetId="7" hidden="1">'6120'!$E$1</definedName>
    <definedName name="QB_COLUMN_3" localSheetId="8" hidden="1">'6130'!$E$1</definedName>
    <definedName name="QB_COLUMN_3" localSheetId="9" hidden="1">'6140'!$E$1</definedName>
    <definedName name="QB_COLUMN_3" localSheetId="10" hidden="1">'6150'!$E$1</definedName>
    <definedName name="QB_COLUMN_3" localSheetId="11" hidden="1">'6160'!$E$1</definedName>
    <definedName name="QB_COLUMN_3" localSheetId="12" hidden="1">'6210'!$E$1</definedName>
    <definedName name="QB_COLUMN_3" localSheetId="13" hidden="1">'6215'!$E$1</definedName>
    <definedName name="QB_COLUMN_3" localSheetId="14" hidden="1">'6220'!$E$1</definedName>
    <definedName name="QB_COLUMN_3" localSheetId="15" hidden="1">'6225'!$E$1</definedName>
    <definedName name="QB_COLUMN_3" localSheetId="16" hidden="1">'6235'!$E$1</definedName>
    <definedName name="QB_COLUMN_3" localSheetId="17" hidden="1">'6236'!$E$1</definedName>
    <definedName name="QB_COLUMN_3" localSheetId="18" hidden="1">'6240'!$E$1</definedName>
    <definedName name="QB_COLUMN_3" localSheetId="19" hidden="1">'6250'!$E$1</definedName>
    <definedName name="QB_COLUMN_3" localSheetId="20" hidden="1">'6260'!$E$1</definedName>
    <definedName name="QB_COLUMN_3" localSheetId="21" hidden="1">'6280'!$E$1</definedName>
    <definedName name="QB_COLUMN_3" localSheetId="22" hidden="1">'6285'!$E$1</definedName>
    <definedName name="QB_COLUMN_3" localSheetId="23" hidden="1">'6290'!$E$1</definedName>
    <definedName name="QB_COLUMN_3" localSheetId="24" hidden="1">'6310'!$E$1</definedName>
    <definedName name="QB_COLUMN_3" localSheetId="25" hidden="1">'6320'!$E$1</definedName>
    <definedName name="QB_COLUMN_3" localSheetId="26" hidden="1">'6330'!$E$1</definedName>
    <definedName name="QB_COLUMN_3" localSheetId="27" hidden="1">'6340'!$E$1</definedName>
    <definedName name="QB_COLUMN_3" localSheetId="28" hidden="1">'6350'!$E$1</definedName>
    <definedName name="QB_COLUMN_3" localSheetId="30" hidden="1">'6810'!$E$1</definedName>
    <definedName name="QB_COLUMN_3" localSheetId="31" hidden="1">'8010'!$E$1</definedName>
    <definedName name="QB_COLUMN_30" localSheetId="6" hidden="1">'6110'!$K$1</definedName>
    <definedName name="QB_COLUMN_30" localSheetId="7" hidden="1">'6120'!$K$1</definedName>
    <definedName name="QB_COLUMN_30" localSheetId="8" hidden="1">'6130'!$K$1</definedName>
    <definedName name="QB_COLUMN_30" localSheetId="9" hidden="1">'6140'!$K$1</definedName>
    <definedName name="QB_COLUMN_30" localSheetId="10" hidden="1">'6150'!$K$1</definedName>
    <definedName name="QB_COLUMN_30" localSheetId="11" hidden="1">'6160'!$K$1</definedName>
    <definedName name="QB_COLUMN_30" localSheetId="12" hidden="1">'6210'!$K$1</definedName>
    <definedName name="QB_COLUMN_30" localSheetId="13" hidden="1">'6215'!$K$1</definedName>
    <definedName name="QB_COLUMN_30" localSheetId="14" hidden="1">'6220'!$K$1</definedName>
    <definedName name="QB_COLUMN_30" localSheetId="15" hidden="1">'6225'!$K$1</definedName>
    <definedName name="QB_COLUMN_30" localSheetId="16" hidden="1">'6235'!$K$1</definedName>
    <definedName name="QB_COLUMN_30" localSheetId="17" hidden="1">'6236'!$K$1</definedName>
    <definedName name="QB_COLUMN_30" localSheetId="18" hidden="1">'6240'!$K$1</definedName>
    <definedName name="QB_COLUMN_30" localSheetId="19" hidden="1">'6250'!$K$1</definedName>
    <definedName name="QB_COLUMN_30" localSheetId="20" hidden="1">'6260'!$K$1</definedName>
    <definedName name="QB_COLUMN_30" localSheetId="21" hidden="1">'6280'!$K$1</definedName>
    <definedName name="QB_COLUMN_30" localSheetId="22" hidden="1">'6285'!$K$1</definedName>
    <definedName name="QB_COLUMN_30" localSheetId="23" hidden="1">'6290'!$K$1</definedName>
    <definedName name="QB_COLUMN_30" localSheetId="24" hidden="1">'6310'!$K$1</definedName>
    <definedName name="QB_COLUMN_30" localSheetId="25" hidden="1">'6320'!$K$1</definedName>
    <definedName name="QB_COLUMN_30" localSheetId="26" hidden="1">'6330'!$K$1</definedName>
    <definedName name="QB_COLUMN_30" localSheetId="27" hidden="1">'6340'!$K$1</definedName>
    <definedName name="QB_COLUMN_30" localSheetId="28" hidden="1">'6350'!$K$1</definedName>
    <definedName name="QB_COLUMN_30" localSheetId="30" hidden="1">'6810'!$K$1</definedName>
    <definedName name="QB_COLUMN_30" localSheetId="31" hidden="1">'8010'!$K$1</definedName>
    <definedName name="QB_COLUMN_4" localSheetId="6" hidden="1">'6110'!$F$1</definedName>
    <definedName name="QB_COLUMN_4" localSheetId="7" hidden="1">'6120'!$F$1</definedName>
    <definedName name="QB_COLUMN_4" localSheetId="8" hidden="1">'6130'!$F$1</definedName>
    <definedName name="QB_COLUMN_4" localSheetId="9" hidden="1">'6140'!$F$1</definedName>
    <definedName name="QB_COLUMN_4" localSheetId="10" hidden="1">'6150'!$F$1</definedName>
    <definedName name="QB_COLUMN_4" localSheetId="11" hidden="1">'6160'!$F$1</definedName>
    <definedName name="QB_COLUMN_4" localSheetId="12" hidden="1">'6210'!$F$1</definedName>
    <definedName name="QB_COLUMN_4" localSheetId="13" hidden="1">'6215'!$F$1</definedName>
    <definedName name="QB_COLUMN_4" localSheetId="14" hidden="1">'6220'!$F$1</definedName>
    <definedName name="QB_COLUMN_4" localSheetId="15" hidden="1">'6225'!$F$1</definedName>
    <definedName name="QB_COLUMN_4" localSheetId="16" hidden="1">'6235'!$F$1</definedName>
    <definedName name="QB_COLUMN_4" localSheetId="17" hidden="1">'6236'!$F$1</definedName>
    <definedName name="QB_COLUMN_4" localSheetId="18" hidden="1">'6240'!$F$1</definedName>
    <definedName name="QB_COLUMN_4" localSheetId="19" hidden="1">'6250'!$F$1</definedName>
    <definedName name="QB_COLUMN_4" localSheetId="20" hidden="1">'6260'!$F$1</definedName>
    <definedName name="QB_COLUMN_4" localSheetId="21" hidden="1">'6280'!$F$1</definedName>
    <definedName name="QB_COLUMN_4" localSheetId="22" hidden="1">'6285'!$F$1</definedName>
    <definedName name="QB_COLUMN_4" localSheetId="23" hidden="1">'6290'!$F$1</definedName>
    <definedName name="QB_COLUMN_4" localSheetId="24" hidden="1">'6310'!$F$1</definedName>
    <definedName name="QB_COLUMN_4" localSheetId="25" hidden="1">'6320'!$F$1</definedName>
    <definedName name="QB_COLUMN_4" localSheetId="26" hidden="1">'6330'!$F$1</definedName>
    <definedName name="QB_COLUMN_4" localSheetId="27" hidden="1">'6340'!$F$1</definedName>
    <definedName name="QB_COLUMN_4" localSheetId="28" hidden="1">'6350'!$F$1</definedName>
    <definedName name="QB_COLUMN_4" localSheetId="30" hidden="1">'6810'!$F$1</definedName>
    <definedName name="QB_COLUMN_4" localSheetId="31" hidden="1">'8010'!$F$1</definedName>
    <definedName name="QB_COLUMN_5" localSheetId="6" hidden="1">'6110'!$G$1</definedName>
    <definedName name="QB_COLUMN_5" localSheetId="7" hidden="1">'6120'!$G$1</definedName>
    <definedName name="QB_COLUMN_5" localSheetId="8" hidden="1">'6130'!$G$1</definedName>
    <definedName name="QB_COLUMN_5" localSheetId="9" hidden="1">'6140'!$G$1</definedName>
    <definedName name="QB_COLUMN_5" localSheetId="10" hidden="1">'6150'!$G$1</definedName>
    <definedName name="QB_COLUMN_5" localSheetId="11" hidden="1">'6160'!$G$1</definedName>
    <definedName name="QB_COLUMN_5" localSheetId="12" hidden="1">'6210'!$G$1</definedName>
    <definedName name="QB_COLUMN_5" localSheetId="13" hidden="1">'6215'!$G$1</definedName>
    <definedName name="QB_COLUMN_5" localSheetId="14" hidden="1">'6220'!$G$1</definedName>
    <definedName name="QB_COLUMN_5" localSheetId="15" hidden="1">'6225'!$G$1</definedName>
    <definedName name="QB_COLUMN_5" localSheetId="16" hidden="1">'6235'!$G$1</definedName>
    <definedName name="QB_COLUMN_5" localSheetId="17" hidden="1">'6236'!$G$1</definedName>
    <definedName name="QB_COLUMN_5" localSheetId="18" hidden="1">'6240'!$G$1</definedName>
    <definedName name="QB_COLUMN_5" localSheetId="19" hidden="1">'6250'!$G$1</definedName>
    <definedName name="QB_COLUMN_5" localSheetId="20" hidden="1">'6260'!$G$1</definedName>
    <definedName name="QB_COLUMN_5" localSheetId="21" hidden="1">'6280'!$G$1</definedName>
    <definedName name="QB_COLUMN_5" localSheetId="22" hidden="1">'6285'!$G$1</definedName>
    <definedName name="QB_COLUMN_5" localSheetId="23" hidden="1">'6290'!$G$1</definedName>
    <definedName name="QB_COLUMN_5" localSheetId="24" hidden="1">'6310'!$G$1</definedName>
    <definedName name="QB_COLUMN_5" localSheetId="25" hidden="1">'6320'!$G$1</definedName>
    <definedName name="QB_COLUMN_5" localSheetId="26" hidden="1">'6330'!$G$1</definedName>
    <definedName name="QB_COLUMN_5" localSheetId="27" hidden="1">'6340'!$G$1</definedName>
    <definedName name="QB_COLUMN_5" localSheetId="28" hidden="1">'6350'!$G$1</definedName>
    <definedName name="QB_COLUMN_5" localSheetId="30" hidden="1">'6810'!$G$1</definedName>
    <definedName name="QB_COLUMN_5" localSheetId="31" hidden="1">'8010'!$G$1</definedName>
    <definedName name="QB_COLUMN_7" localSheetId="6" hidden="1">'6110'!$H$1</definedName>
    <definedName name="QB_COLUMN_7" localSheetId="7" hidden="1">'6120'!$H$1</definedName>
    <definedName name="QB_COLUMN_7" localSheetId="8" hidden="1">'6130'!$H$1</definedName>
    <definedName name="QB_COLUMN_7" localSheetId="9" hidden="1">'6140'!$H$1</definedName>
    <definedName name="QB_COLUMN_7" localSheetId="10" hidden="1">'6150'!$H$1</definedName>
    <definedName name="QB_COLUMN_7" localSheetId="11" hidden="1">'6160'!$H$1</definedName>
    <definedName name="QB_COLUMN_7" localSheetId="12" hidden="1">'6210'!$H$1</definedName>
    <definedName name="QB_COLUMN_7" localSheetId="13" hidden="1">'6215'!$H$1</definedName>
    <definedName name="QB_COLUMN_7" localSheetId="14" hidden="1">'6220'!$H$1</definedName>
    <definedName name="QB_COLUMN_7" localSheetId="15" hidden="1">'6225'!$H$1</definedName>
    <definedName name="QB_COLUMN_7" localSheetId="16" hidden="1">'6235'!$H$1</definedName>
    <definedName name="QB_COLUMN_7" localSheetId="17" hidden="1">'6236'!$H$1</definedName>
    <definedName name="QB_COLUMN_7" localSheetId="18" hidden="1">'6240'!$H$1</definedName>
    <definedName name="QB_COLUMN_7" localSheetId="19" hidden="1">'6250'!$H$1</definedName>
    <definedName name="QB_COLUMN_7" localSheetId="20" hidden="1">'6260'!$H$1</definedName>
    <definedName name="QB_COLUMN_7" localSheetId="21" hidden="1">'6280'!$H$1</definedName>
    <definedName name="QB_COLUMN_7" localSheetId="22" hidden="1">'6285'!$H$1</definedName>
    <definedName name="QB_COLUMN_7" localSheetId="23" hidden="1">'6290'!$H$1</definedName>
    <definedName name="QB_COLUMN_7" localSheetId="24" hidden="1">'6310'!$H$1</definedName>
    <definedName name="QB_COLUMN_7" localSheetId="25" hidden="1">'6320'!$H$1</definedName>
    <definedName name="QB_COLUMN_7" localSheetId="26" hidden="1">'6330'!$H$1</definedName>
    <definedName name="QB_COLUMN_7" localSheetId="27" hidden="1">'6340'!$H$1</definedName>
    <definedName name="QB_COLUMN_7" localSheetId="28" hidden="1">'6350'!$H$1</definedName>
    <definedName name="QB_COLUMN_7" localSheetId="30" hidden="1">'6810'!$H$1</definedName>
    <definedName name="QB_COLUMN_7" localSheetId="31" hidden="1">'8010'!$H$1</definedName>
    <definedName name="QB_COLUMN_8" localSheetId="6" hidden="1">'6110'!$I$1</definedName>
    <definedName name="QB_COLUMN_8" localSheetId="7" hidden="1">'6120'!$I$1</definedName>
    <definedName name="QB_COLUMN_8" localSheetId="8" hidden="1">'6130'!$I$1</definedName>
    <definedName name="QB_COLUMN_8" localSheetId="9" hidden="1">'6140'!$I$1</definedName>
    <definedName name="QB_COLUMN_8" localSheetId="10" hidden="1">'6150'!$I$1</definedName>
    <definedName name="QB_COLUMN_8" localSheetId="11" hidden="1">'6160'!$I$1</definedName>
    <definedName name="QB_COLUMN_8" localSheetId="12" hidden="1">'6210'!$I$1</definedName>
    <definedName name="QB_COLUMN_8" localSheetId="13" hidden="1">'6215'!$I$1</definedName>
    <definedName name="QB_COLUMN_8" localSheetId="14" hidden="1">'6220'!$I$1</definedName>
    <definedName name="QB_COLUMN_8" localSheetId="15" hidden="1">'6225'!$I$1</definedName>
    <definedName name="QB_COLUMN_8" localSheetId="16" hidden="1">'6235'!$I$1</definedName>
    <definedName name="QB_COLUMN_8" localSheetId="17" hidden="1">'6236'!$I$1</definedName>
    <definedName name="QB_COLUMN_8" localSheetId="18" hidden="1">'6240'!$I$1</definedName>
    <definedName name="QB_COLUMN_8" localSheetId="19" hidden="1">'6250'!$I$1</definedName>
    <definedName name="QB_COLUMN_8" localSheetId="20" hidden="1">'6260'!$I$1</definedName>
    <definedName name="QB_COLUMN_8" localSheetId="21" hidden="1">'6280'!$I$1</definedName>
    <definedName name="QB_COLUMN_8" localSheetId="22" hidden="1">'6285'!$I$1</definedName>
    <definedName name="QB_COLUMN_8" localSheetId="23" hidden="1">'6290'!$I$1</definedName>
    <definedName name="QB_COLUMN_8" localSheetId="24" hidden="1">'6310'!$I$1</definedName>
    <definedName name="QB_COLUMN_8" localSheetId="25" hidden="1">'6320'!$I$1</definedName>
    <definedName name="QB_COLUMN_8" localSheetId="26" hidden="1">'6330'!$I$1</definedName>
    <definedName name="QB_COLUMN_8" localSheetId="27" hidden="1">'6340'!$I$1</definedName>
    <definedName name="QB_COLUMN_8" localSheetId="28" hidden="1">'6350'!$I$1</definedName>
    <definedName name="QB_COLUMN_8" localSheetId="30" hidden="1">'6810'!$I$1</definedName>
    <definedName name="QB_COLUMN_8" localSheetId="31" hidden="1">'8010'!$I$1</definedName>
    <definedName name="QB_DATA_0" localSheetId="6" hidden="1">'6110'!$4:$4,'6110'!$5:$5,'6110'!$6:$6,'6110'!$7:$7,'6110'!$8:$8,'6110'!$9:$9,'6110'!$10:$10,'6110'!$11:$11,'6110'!$12:$12,'6110'!$13:$13,'6110'!$14:$14,'6110'!$15:$15,'6110'!$16:$16,'6110'!$17:$17,'6110'!$18:$18,'6110'!$19:$19</definedName>
    <definedName name="QB_DATA_0" localSheetId="7" hidden="1">'6120'!$4:$4,'6120'!$5:$5,'6120'!$6:$6,'6120'!$7:$7,'6120'!$8:$8,'6120'!$9:$9,'6120'!$10:$10,'6120'!$11:$11,'6120'!$12:$12,'6120'!$13:$13,'6120'!$14:$14,'6120'!$15:$15,'6120'!$16:$16,'6120'!$17:$17,'6120'!$18:$18,'6120'!$19:$19</definedName>
    <definedName name="QB_DATA_0" localSheetId="8" hidden="1">'6130'!$4:$4,'6130'!$5:$5,'6130'!$6:$6,'6130'!$7:$7,'6130'!$8:$8,'6130'!$9:$9,'6130'!$10:$10,'6130'!$11:$11,'6130'!$12:$12,'6130'!$13:$13,'6130'!$14:$14,'6130'!$15:$15,'6130'!$16:$16,'6130'!$17:$17,'6130'!$18:$18,'6130'!$19:$19</definedName>
    <definedName name="QB_DATA_0" localSheetId="9" hidden="1">'6140'!$4:$4,'6140'!$5:$5,'6140'!$6:$6,'6140'!$7:$7,'6140'!$8:$8,'6140'!$9:$9,'6140'!$10:$10,'6140'!$11:$11,'6140'!$12:$12,'6140'!$13:$13,'6140'!$14:$14,'6140'!$15:$15,'6140'!$16:$16,'6140'!$17:$17</definedName>
    <definedName name="QB_DATA_0" localSheetId="10" hidden="1">'6150'!$4:$4,'6150'!$5:$5,'6150'!$6:$6,'6150'!$7:$7,'6150'!$8:$8,'6150'!$9:$9,'6150'!$10:$10,'6150'!$11:$11,'6150'!$12:$12,'6150'!$13:$13,'6150'!$14:$14,'6150'!$15:$15,'6150'!$16:$16,'6150'!$17:$17,'6150'!$18:$18,'6150'!$19:$19</definedName>
    <definedName name="QB_DATA_0" localSheetId="11" hidden="1">'6160'!$4:$4,'6160'!$5:$5,'6160'!$6:$6,'6160'!$7:$7,'6160'!$8:$8,'6160'!$9:$9,'6160'!$10:$10,'6160'!$11:$11,'6160'!$12:$12,'6160'!$13:$13,'6160'!$14:$14,'6160'!$15:$15,'6160'!$16:$16,'6160'!$17:$17,'6160'!$18:$18,'6160'!$19:$19</definedName>
    <definedName name="QB_DATA_0" localSheetId="12" hidden="1">'6210'!$4:$4,'6210'!$5:$5,'6210'!$6:$6,'6210'!$7:$7,'6210'!$8:$8,'6210'!$9:$9,'6210'!$10:$10,'6210'!$11:$11,'6210'!$12:$12,'6210'!$13:$13,'6210'!$14:$14,'6210'!$15:$15,'6210'!$16:$16,'6210'!$17:$17,'6210'!$18:$18,'6210'!$19:$19</definedName>
    <definedName name="QB_DATA_0" localSheetId="13" hidden="1">'6215'!$4:$4,'6215'!$5:$5,'6215'!$6:$6,'6215'!$7:$7,'6215'!$8:$8,'6215'!$9:$9,'6215'!$10:$10,'6215'!$11:$11,'6215'!$12:$12,'6215'!$13:$13,'6215'!$14:$14,'6215'!$15:$15,'6215'!$16:$16,'6215'!$17:$17,'6215'!$18:$18,'6215'!$19:$19</definedName>
    <definedName name="QB_DATA_0" localSheetId="14" hidden="1">'6220'!$4:$4,'6220'!$5:$5,'6220'!$6:$6,'6220'!$7:$7,'6220'!$8:$8,'6220'!$9:$9,'6220'!$10:$10,'6220'!$11:$11,'6220'!$12:$12,'6220'!$13:$13,'6220'!$14:$14,'6220'!$15:$15,'6220'!$16:$16,'6220'!$17:$17,'6220'!$18:$18,'6220'!$19:$19</definedName>
    <definedName name="QB_DATA_0" localSheetId="15" hidden="1">'6225'!$4:$4,'6225'!$5:$5,'6225'!$6:$6,'6225'!$7:$7,'6225'!$8:$8,'6225'!$9:$9,'6225'!$10:$10,'6225'!$11:$11,'6225'!$12:$12,'6225'!$13:$13,'6225'!$14:$14,'6225'!$15:$15,'6225'!$16:$16,'6225'!$17:$17,'6225'!$18:$18,'6225'!$19:$19</definedName>
    <definedName name="QB_DATA_0" localSheetId="16" hidden="1">'6235'!$4:$4,'6235'!$5:$5,'6235'!$6:$6,'6235'!$7:$7,'6235'!$8:$8,'6235'!$9:$9,'6235'!$10:$10,'6235'!$11:$11,'6235'!$12:$12,'6235'!$13:$13,'6235'!$14:$14,'6235'!$15:$15,'6235'!$16:$16,'6235'!$17:$17,'6235'!$18:$18,'6235'!$19:$19</definedName>
    <definedName name="QB_DATA_0" localSheetId="17" hidden="1">'6236'!$4:$4,'6236'!$5:$5,'6236'!$6:$6,'6236'!$7:$7,'6236'!$8:$8,'6236'!$9:$9,'6236'!$10:$10,'6236'!$11:$11,'6236'!$12:$12,'6236'!$13:$13,'6236'!$14:$14,'6236'!$15:$15,'6236'!$16:$16,'6236'!$17:$17,'6236'!$18:$18,'6236'!$19:$19</definedName>
    <definedName name="QB_DATA_0" localSheetId="18" hidden="1">'6240'!$4:$4,'6240'!$5:$5,'6240'!$6:$6,'6240'!$7:$7,'6240'!$8:$8,'6240'!$9:$9,'6240'!$10:$10,'6240'!$11:$11,'6240'!$12:$12,'6240'!$13:$13,'6240'!$14:$14,'6240'!$15:$15,'6240'!$16:$16,'6240'!$17:$17,'6240'!$18:$18,'6240'!$19:$19</definedName>
    <definedName name="QB_DATA_0" localSheetId="19" hidden="1">'6250'!$4:$4,'6250'!$5:$5,'6250'!$6:$6,'6250'!$7:$7,'6250'!$8:$8,'6250'!$9:$9,'6250'!$10:$10,'6250'!$11:$11,'6250'!$12:$12,'6250'!$13:$13,'6250'!$14:$14,'6250'!$15:$15,'6250'!$16:$16,'6250'!$17:$17,'6250'!$18:$18,'6250'!$19:$19</definedName>
    <definedName name="QB_DATA_0" localSheetId="20" hidden="1">'6260'!$4:$4,'6260'!$5:$5,'6260'!$6:$6,'6260'!$7:$7,'6260'!$8:$8,'6260'!$9:$9,'6260'!$10:$10,'6260'!$11:$11,'6260'!$12:$12,'6260'!$13:$13,'6260'!$14:$14,'6260'!$15:$15,'6260'!$16:$16,'6260'!$17:$17,'6260'!$18:$18,'6260'!$19:$19</definedName>
    <definedName name="QB_DATA_0" localSheetId="21" hidden="1">'6280'!$4:$4,'6280'!$5:$5,'6280'!$6:$6,'6280'!$7:$7,'6280'!$8:$8,'6280'!$9:$9,'6280'!$10:$10,'6280'!$11:$11,'6280'!$12:$12,'6280'!$13:$13,'6280'!$14:$14,'6280'!$15:$15,'6280'!$16:$16,'6280'!$17:$17,'6280'!$18:$18,'6280'!$19:$19</definedName>
    <definedName name="QB_DATA_0" localSheetId="22" hidden="1">'6285'!$4:$4,'6285'!$5:$5,'6285'!$6:$6,'6285'!$7:$7,'6285'!$8:$8,'6285'!$9:$9,'6285'!$10:$10,'6285'!$11:$11,'6285'!$12:$12,'6285'!$13:$13,'6285'!$14:$14,'6285'!$15:$15,'6285'!$16:$16,'6285'!$17:$17,'6285'!$18:$18,'6285'!$19:$19</definedName>
    <definedName name="QB_DATA_0" localSheetId="23" hidden="1">'6290'!$4:$4,'6290'!$5:$5,'6290'!$6:$6,'6290'!$7:$7,'6290'!$8:$8,'6290'!$9:$9,'6290'!$10:$10,'6290'!$11:$11,'6290'!$12:$12,'6290'!$13:$13,'6290'!$14:$14</definedName>
    <definedName name="QB_DATA_0" localSheetId="24" hidden="1">'6310'!$4:$4,'6310'!$5:$5,'6310'!$6:$6,'6310'!$7:$7,'6310'!$8:$8,'6310'!$9:$9,'6310'!$10:$10,'6310'!$11:$11,'6310'!$12:$12,'6310'!$13:$13,'6310'!$14:$14,'6310'!$15:$15,'6310'!$16:$16,'6310'!$17:$17,'6310'!$18:$18,'6310'!$19:$19</definedName>
    <definedName name="QB_DATA_0" localSheetId="25" hidden="1">'6320'!$4:$4,'6320'!$5:$5,'6320'!$6:$6,'6320'!$7:$7,'6320'!$8:$8,'6320'!$9:$9,'6320'!$10:$10,'6320'!$11:$11,'6320'!$12:$12</definedName>
    <definedName name="QB_DATA_0" localSheetId="26" hidden="1">'6330'!$4:$4,'6330'!$5:$5,'6330'!$6:$6,'6330'!$7:$7,'6330'!$8:$8,'6330'!$9:$9,'6330'!$10:$10,'6330'!$11:$11,'6330'!$12:$12</definedName>
    <definedName name="QB_DATA_0" localSheetId="27" hidden="1">'6340'!$4:$4,'6340'!$5:$5,'6340'!$6:$6,'6340'!$7:$7,'6340'!$8:$8,'6340'!$9:$9,'6340'!$10:$10,'6340'!$11:$11,'6340'!$12:$12,'6340'!$13:$13,'6340'!$14:$14,'6340'!$15:$15,'6340'!$16:$16,'6340'!$17:$17,'6340'!$18:$18,'6340'!$19:$19</definedName>
    <definedName name="QB_DATA_0" localSheetId="28" hidden="1">'6350'!$4:$4,'6350'!$5:$5,'6350'!$6:$6,'6350'!$7:$7</definedName>
    <definedName name="QB_DATA_0" localSheetId="30" hidden="1">'6810'!$4:$4,'6810'!$5:$5,'6810'!$6:$6,'6810'!$7:$7,'6810'!$8:$8,'6810'!$9:$9,'6810'!$10:$10,'6810'!$11:$11,'6810'!$12:$12,'6810'!$13:$13,'6810'!$14:$14,'6810'!$15:$15</definedName>
    <definedName name="QB_DATA_0" localSheetId="31" hidden="1">'8010'!$4:$4,'8010'!$5:$5,'8010'!$6:$6,'8010'!$7:$7,'8010'!$8:$8,'8010'!$9:$9,'8010'!$10:$10,'8010'!$11:$11,'8010'!$12:$12,'8010'!$13:$13,'8010'!$14:$14,'8010'!$15:$15,'8010'!$16:$16,'8010'!$17:$17,'8010'!$18:$18,'8010'!$19:$19</definedName>
    <definedName name="QB_DATA_1" localSheetId="6" hidden="1">'6110'!$20:$20,'6110'!$21:$21,'6110'!$22:$22,'6110'!$23:$23,'6110'!$24:$24,'6110'!$25:$25,'6110'!$26:$26,'6110'!$27:$27,'6110'!$28:$28,'6110'!$29:$29,'6110'!$30:$30,'6110'!$31:$31,'6110'!$32:$32,'6110'!$33:$33,'6110'!$34:$34,'6110'!$35:$35</definedName>
    <definedName name="QB_DATA_1" localSheetId="7" hidden="1">'6120'!$20:$20,'6120'!$21:$21,'6120'!$22:$22,'6120'!$23:$23,'6120'!$24:$24,'6120'!$25:$25,'6120'!$26:$26,'6120'!$27:$27,'6120'!$28:$28,'6120'!$29:$29,'6120'!$30:$30,'6120'!$31:$31,'6120'!$32:$32,'6120'!$33:$33,'6120'!$34:$34,'6120'!$35:$35</definedName>
    <definedName name="QB_DATA_1" localSheetId="8" hidden="1">'6130'!$20:$20,'6130'!$21:$21,'6130'!$22:$22,'6130'!$23:$23,'6130'!$24:$24,'6130'!$25:$25,'6130'!$26:$26,'6130'!$27:$27,'6130'!$28:$28,'6130'!$29:$29,'6130'!$30:$30,'6130'!$31:$31,'6130'!$32:$32,'6130'!$33:$33,'6130'!$34:$34,'6130'!$35:$35</definedName>
    <definedName name="QB_DATA_1" localSheetId="10" hidden="1">'6150'!$20:$20,'6150'!$21:$21,'6150'!$22:$22,'6150'!$23:$23,'6150'!$24:$24,'6150'!$25:$25,'6150'!$26:$26,'6150'!$27:$27,'6150'!$28:$28,'6150'!$29:$29,'6150'!$30:$30,'6150'!$31:$31,'6150'!$32:$32,'6150'!$33:$33,'6150'!$34:$34,'6150'!$35:$35</definedName>
    <definedName name="QB_DATA_1" localSheetId="11" hidden="1">'6160'!$20:$20,'6160'!$21:$21,'6160'!$22:$22,'6160'!$23:$23,'6160'!$24:$24,'6160'!$25:$25,'6160'!$26:$26,'6160'!$27:$27,'6160'!$28:$28,'6160'!$29:$29,'6160'!$30:$30,'6160'!$31:$31,'6160'!$32:$32,'6160'!$33:$33,'6160'!$34:$34,'6160'!$35:$35</definedName>
    <definedName name="QB_DATA_1" localSheetId="12" hidden="1">'6210'!$20:$20,'6210'!$21:$21,'6210'!$22:$22,'6210'!$23:$23,'6210'!$24:$24,'6210'!$25:$25,'6210'!$26:$26,'6210'!$27:$27,'6210'!$28:$28,'6210'!$29:$29,'6210'!$30:$30,'6210'!$31:$31,'6210'!$32:$32,'6210'!$33:$33,'6210'!$34:$34,'6210'!$35:$35</definedName>
    <definedName name="QB_DATA_1" localSheetId="13" hidden="1">'6215'!$20:$20,'6215'!$21:$21,'6215'!$22:$22,'6215'!$23:$23,'6215'!$24:$24,'6215'!$25:$25,'6215'!$26:$26,'6215'!$27:$27,'6215'!$28:$28,'6215'!$29:$29,'6215'!$30:$30,'6215'!$31:$31,'6215'!$32:$32,'6215'!$33:$33,'6215'!$34:$34,'6215'!$35:$35</definedName>
    <definedName name="QB_DATA_1" localSheetId="14" hidden="1">'6220'!$20:$20,'6220'!$21:$21,'6220'!$22:$22,'6220'!$23:$23,'6220'!$24:$24,'6220'!$25:$25,'6220'!$26:$26,'6220'!$27:$27,'6220'!$28:$28,'6220'!$29:$29,'6220'!$30:$30,'6220'!$31:$31,'6220'!$32:$32,'6220'!$33:$33,'6220'!$34:$34,'6220'!$35:$35</definedName>
    <definedName name="QB_DATA_1" localSheetId="15" hidden="1">'6225'!$20:$20,'6225'!$21:$21,'6225'!$22:$22,'6225'!$23:$23,'6225'!$24:$24,'6225'!$25:$25,'6225'!$26:$26,'6225'!$27:$27,'6225'!$28:$28,'6225'!$29:$29,'6225'!$30:$30,'6225'!$31:$31,'6225'!$32:$32,'6225'!$33:$33,'6225'!$34:$34,'6225'!$35:$35</definedName>
    <definedName name="QB_DATA_1" localSheetId="16" hidden="1">'6235'!$20:$20,'6235'!$21:$21,'6235'!$22:$22,'6235'!$23:$23,'6235'!$24:$24,'6235'!$25:$25,'6235'!$26:$26,'6235'!$27:$27</definedName>
    <definedName name="QB_DATA_1" localSheetId="17" hidden="1">'6236'!$20:$20,'6236'!$21:$21,'6236'!$22:$22,'6236'!$23:$23,'6236'!$24:$24,'6236'!$25:$25,'6236'!$26:$26</definedName>
    <definedName name="QB_DATA_1" localSheetId="18" hidden="1">'6240'!$20:$20,'6240'!$21:$21,'6240'!$22:$22,'6240'!$23:$23,'6240'!$24:$24,'6240'!$25:$25,'6240'!$26:$26,'6240'!$27:$27,'6240'!$28:$28,'6240'!$29:$29,'6240'!$30:$30,'6240'!$31:$31,'6240'!$32:$32,'6240'!$33:$33,'6240'!$34:$34,'6240'!$35:$35</definedName>
    <definedName name="QB_DATA_1" localSheetId="19" hidden="1">'6250'!$20:$20,'6250'!$21:$21,'6250'!$22:$22,'6250'!$23:$23,'6250'!$24:$24,'6250'!$25:$25,'6250'!$26:$26,'6250'!$27:$27,'6250'!$28:$28,'6250'!$29:$29,'6250'!$30:$30,'6250'!$31:$31,'6250'!$32:$32,'6250'!$33:$33,'6250'!$34:$34,'6250'!$35:$35</definedName>
    <definedName name="QB_DATA_1" localSheetId="20" hidden="1">'6260'!$20:$20,'6260'!$21:$21,'6260'!$22:$22,'6260'!$23:$23,'6260'!$24:$24,'6260'!$25:$25,'6260'!$26:$26,'6260'!$27:$27,'6260'!$28:$28,'6260'!$29:$29,'6260'!$30:$30,'6260'!$31:$31,'6260'!$32:$32,'6260'!$33:$33,'6260'!$34:$34,'6260'!$35:$35</definedName>
    <definedName name="QB_DATA_1" localSheetId="21" hidden="1">'6280'!$20:$20,'6280'!$21:$21,'6280'!$22:$22,'6280'!$23:$23,'6280'!$24:$24,'6280'!$25:$25,'6280'!$26:$26,'6280'!$27:$27,'6280'!$28:$28,'6280'!$29:$29,'6280'!$30:$30,'6280'!$31:$31,'6280'!$32:$32,'6280'!$33:$33,'6280'!$34:$34,'6280'!$35:$35</definedName>
    <definedName name="QB_DATA_1" localSheetId="22" hidden="1">'6285'!$20:$20,'6285'!$21:$21,'6285'!$22:$22,'6285'!$23:$23,'6285'!$24:$24,'6285'!$25:$25,'6285'!$26:$26,'6285'!$27:$27,'6285'!$28:$28,'6285'!$29:$29,'6285'!$30:$30,'6285'!$31:$31,'6285'!$32:$32,'6285'!$33:$33,'6285'!$34:$34,'6285'!$35:$35</definedName>
    <definedName name="QB_DATA_1" localSheetId="24" hidden="1">'6310'!$20:$20,'6310'!$21:$21,'6310'!$22:$22,'6310'!$23:$23,'6310'!$24:$24,'6310'!$25:$25,'6310'!$26:$26,'6310'!$27:$27,'6310'!$28:$28,'6310'!$29:$29,'6310'!$30:$30,'6310'!$31:$31,'6310'!$32:$32,'6310'!$33:$33,'6310'!$34:$34,'6310'!$35:$35</definedName>
    <definedName name="QB_DATA_1" localSheetId="27" hidden="1">'6340'!$20:$20,'6340'!$21:$21,'6340'!$22:$22,'6340'!$23:$23,'6340'!$24:$24,'6340'!$25:$25,'6340'!$26:$26,'6340'!$27:$27,'6340'!$28:$28,'6340'!$29:$29,'6340'!$30:$30,'6340'!$31:$31,'6340'!$32:$32,'6340'!$33:$33,'6340'!$34:$34,'6340'!$35:$35</definedName>
    <definedName name="QB_DATA_1" localSheetId="31" hidden="1">'8010'!$20:$20,'8010'!$21:$21,'8010'!$22:$22,'8010'!$23:$23</definedName>
    <definedName name="QB_DATA_10" localSheetId="8" hidden="1">'6130'!$164:$164,'6130'!$165:$165,'6130'!$166:$166,'6130'!$167:$167,'6130'!$168:$168,'6130'!$169:$169,'6130'!$170:$170,'6130'!$171:$171,'6130'!$172:$172,'6130'!$173:$173,'6130'!$174:$174,'6130'!$175:$175,'6130'!$176:$176,'6130'!$177:$177,'6130'!$178:$178,'6130'!$179:$179</definedName>
    <definedName name="QB_DATA_10" localSheetId="12" hidden="1">'6210'!$164:$164,'6210'!$165:$165,'6210'!$166:$166,'6210'!$167:$167,'6210'!$168:$168,'6210'!$169:$169,'6210'!$170:$170,'6210'!$171:$171,'6210'!$172:$172,'6210'!$173:$173,'6210'!$174:$174,'6210'!$175:$175,'6210'!$176:$176,'6210'!$177:$177,'6210'!$178:$178,'6210'!$179:$179</definedName>
    <definedName name="QB_DATA_11" localSheetId="8" hidden="1">'6130'!$180:$180,'6130'!$181:$181,'6130'!$182:$182,'6130'!$183:$183,'6130'!$184:$184,'6130'!$185:$185,'6130'!$186:$186,'6130'!$187:$187,'6130'!$188:$188,'6130'!$189:$189,'6130'!$190:$190,'6130'!$191:$191,'6130'!$192:$192,'6130'!$193:$193,'6130'!$194:$194,'6130'!$195:$195</definedName>
    <definedName name="QB_DATA_11" localSheetId="12" hidden="1">'6210'!$180:$180,'6210'!$181:$181,'6210'!$182:$182,'6210'!$183:$183,'6210'!$184:$184,'6210'!$185:$185,'6210'!$186:$186,'6210'!$187:$187,'6210'!$188:$188,'6210'!$189:$189,'6210'!$190:$190,'6210'!$191:$191,'6210'!$192:$192,'6210'!$193:$193,'6210'!$194:$194,'6210'!$195:$195</definedName>
    <definedName name="QB_DATA_12" localSheetId="8" hidden="1">'6130'!$196:$196,'6130'!$197:$197,'6130'!$198:$198,'6130'!$199:$199,'6130'!$200:$200,'6130'!$201:$201,'6130'!$202:$202,'6130'!$203:$203,'6130'!$204:$204,'6130'!$205:$205,'6130'!$206:$206,'6130'!$207:$207,'6130'!$208:$208,'6130'!$209:$209,'6130'!$210:$210,'6130'!$211:$211</definedName>
    <definedName name="QB_DATA_12" localSheetId="12" hidden="1">'6210'!$196:$196,'6210'!$197:$197,'6210'!$198:$198,'6210'!$199:$199,'6210'!$200:$200,'6210'!$201:$201,'6210'!$202:$202,'6210'!$203:$203,'6210'!$204:$204,'6210'!$205:$205,'6210'!$206:$206,'6210'!$207:$207,'6210'!$208:$208,'6210'!$209:$209,'6210'!$210:$210,'6210'!$211:$211</definedName>
    <definedName name="QB_DATA_13" localSheetId="8" hidden="1">'6130'!$212:$212,'6130'!$213:$213,'6130'!$214:$214,'6130'!$215:$215,'6130'!$216:$216,'6130'!$217:$217,'6130'!$218:$218,'6130'!$219:$219,'6130'!$220:$220,'6130'!$221:$221,'6130'!$222:$222,'6130'!$223:$223,'6130'!$224:$224,'6130'!$225:$225</definedName>
    <definedName name="QB_DATA_13" localSheetId="12" hidden="1">'6210'!$212:$212,'6210'!$213:$213,'6210'!$214:$214,'6210'!$215:$215,'6210'!$216:$216,'6210'!$217:$217,'6210'!$218:$218,'6210'!$219:$219,'6210'!$220:$220,'6210'!$221:$221,'6210'!$222:$222,'6210'!$223:$223,'6210'!$224:$224,'6210'!$225:$225,'6210'!$226:$226,'6210'!$227:$227</definedName>
    <definedName name="QB_DATA_14" localSheetId="12" hidden="1">'6210'!$228:$228,'6210'!$229:$229,'6210'!$230:$230,'6210'!$231:$231,'6210'!$232:$232,'6210'!$233:$233,'6210'!$234:$234,'6210'!$235:$235,'6210'!$236:$236,'6210'!$237:$237,'6210'!$238:$238,'6210'!$239:$239,'6210'!$240:$240,'6210'!$241:$241,'6210'!$242:$242,'6210'!$243:$243</definedName>
    <definedName name="QB_DATA_15" localSheetId="12" hidden="1">'6210'!$244:$244,'6210'!$245:$245,'6210'!$246:$246,'6210'!$247:$247,'6210'!$248:$248,'6210'!$249:$249,'6210'!$250:$250,'6210'!$251:$251,'6210'!$252:$252,'6210'!$253:$253,'6210'!$254:$254,'6210'!$255:$255,'6210'!$256:$256,'6210'!$257:$257,'6210'!$258:$258,'6210'!$259:$259</definedName>
    <definedName name="QB_DATA_16" localSheetId="12" hidden="1">'6210'!$260:$260,'6210'!$261:$261,'6210'!$262:$262,'6210'!$263:$263,'6210'!$264:$264,'6210'!$265:$265,'6210'!$266:$266,'6210'!$267:$267,'6210'!$268:$268,'6210'!$269:$269,'6210'!$270:$270,'6210'!$271:$271,'6210'!$272:$272,'6210'!$273:$273,'6210'!$274:$274,'6210'!$275:$275</definedName>
    <definedName name="QB_DATA_17" localSheetId="12" hidden="1">'6210'!$276:$276,'6210'!$277:$277,'6210'!$278:$278,'6210'!$279:$279,'6210'!$280:$280,'6210'!$281:$281,'6210'!$282:$282,'6210'!$283:$283,'6210'!$284:$284,'6210'!$285:$285,'6210'!$286:$286,'6210'!$287:$287,'6210'!$288:$288,'6210'!$289:$289,'6210'!$290:$290,'6210'!$291:$291</definedName>
    <definedName name="QB_DATA_18" localSheetId="12" hidden="1">'6210'!$292:$292,'6210'!$293:$293,'6210'!$294:$294,'6210'!$295:$295,'6210'!$296:$296,'6210'!$297:$297,'6210'!$298:$298,'6210'!$299:$299,'6210'!$300:$300,'6210'!$301:$301,'6210'!$302:$302,'6210'!$303:$303,'6210'!$304:$304,'6210'!$305:$305,'6210'!$306:$306,'6210'!$307:$307</definedName>
    <definedName name="QB_DATA_19" localSheetId="12" hidden="1">'6210'!$308:$308,'6210'!$309:$309,'6210'!$310:$310,'6210'!$311:$311,'6210'!$312:$312,'6210'!$313:$313,'6210'!$314:$314,'6210'!$315:$315,'6210'!$316:$316,'6210'!$317:$317,'6210'!$318:$318,'6210'!$319:$319,'6210'!$320:$320,'6210'!$321:$321,'6210'!$322:$322,'6210'!$323:$323</definedName>
    <definedName name="QB_DATA_2" localSheetId="6" hidden="1">'6110'!$36:$36,'6110'!$37:$37,'6110'!$38:$38,'6110'!$39:$39,'6110'!$40:$40,'6110'!$41:$41,'6110'!$42:$42,'6110'!$43:$43,'6110'!$44:$44,'6110'!$45:$45,'6110'!$46:$46,'6110'!$47:$47,'6110'!$48:$48,'6110'!$49:$49,'6110'!$50:$50,'6110'!$51:$51</definedName>
    <definedName name="QB_DATA_2" localSheetId="7" hidden="1">'6120'!$36:$36,'6120'!$37:$37,'6120'!$38:$38,'6120'!$39:$39,'6120'!$40:$40,'6120'!$41:$41,'6120'!$42:$42,'6120'!$43:$43,'6120'!$44:$44,'6120'!$45:$45,'6120'!$46:$46,'6120'!$47:$47,'6120'!$48:$48,'6120'!$49:$49,'6120'!$50:$50,'6120'!$51:$51</definedName>
    <definedName name="QB_DATA_2" localSheetId="8" hidden="1">'6130'!$36:$36,'6130'!$37:$37,'6130'!$38:$38,'6130'!$39:$39,'6130'!$40:$40,'6130'!$41:$41,'6130'!$42:$42,'6130'!$43:$43,'6130'!$44:$44,'6130'!$45:$45,'6130'!$46:$46,'6130'!$47:$47,'6130'!$48:$48,'6130'!$49:$49,'6130'!$50:$50,'6130'!$51:$51</definedName>
    <definedName name="QB_DATA_2" localSheetId="10" hidden="1">'6150'!$36:$36,'6150'!$37:$37,'6150'!$38:$38,'6150'!$39:$39,'6150'!$40:$40,'6150'!$41:$41,'6150'!$42:$42,'6150'!$43:$43,'6150'!$44:$44,'6150'!$45:$45,'6150'!$46:$46,'6150'!$47:$47,'6150'!$48:$48,'6150'!$49:$49,'6150'!$50:$50,'6150'!$51:$51</definedName>
    <definedName name="QB_DATA_2" localSheetId="11" hidden="1">'6160'!$36:$36,'6160'!$37:$37,'6160'!$38:$38,'6160'!$39:$39,'6160'!$40:$40,'6160'!$41:$41,'6160'!$42:$42,'6160'!$43:$43,'6160'!$44:$44,'6160'!$45:$45,'6160'!$46:$46,'6160'!$47:$47,'6160'!$48:$48,'6160'!$49:$49,'6160'!$50:$50,'6160'!$51:$51</definedName>
    <definedName name="QB_DATA_2" localSheetId="12" hidden="1">'6210'!$36:$36,'6210'!$37:$37,'6210'!$38:$38,'6210'!$39:$39,'6210'!$40:$40,'6210'!$41:$41,'6210'!$42:$42,'6210'!$43:$43,'6210'!$44:$44,'6210'!$45:$45,'6210'!$46:$46,'6210'!$47:$47,'6210'!$48:$48,'6210'!$49:$49,'6210'!$50:$50,'6210'!$51:$51</definedName>
    <definedName name="QB_DATA_2" localSheetId="13" hidden="1">'6215'!$36:$36,'6215'!$37:$37</definedName>
    <definedName name="QB_DATA_2" localSheetId="14" hidden="1">'6220'!$36:$36,'6220'!$37:$37,'6220'!$38:$38,'6220'!$39:$39,'6220'!$40:$40,'6220'!$41:$41,'6220'!$42:$42,'6220'!$43:$43,'6220'!$44:$44,'6220'!$45:$45,'6220'!$46:$46,'6220'!$47:$47,'6220'!$48:$48,'6220'!$49:$49,'6220'!$50:$50,'6220'!$51:$51</definedName>
    <definedName name="QB_DATA_2" localSheetId="15" hidden="1">'6225'!$36:$36,'6225'!$37:$37,'6225'!$38:$38,'6225'!$39:$39,'6225'!$40:$40,'6225'!$41:$41,'6225'!$42:$42,'6225'!$43:$43,'6225'!$44:$44,'6225'!$45:$45,'6225'!$46:$46,'6225'!$47:$47,'6225'!$48:$48,'6225'!$49:$49,'6225'!$50:$50,'6225'!$51:$51</definedName>
    <definedName name="QB_DATA_2" localSheetId="18" hidden="1">'6240'!$36:$36,'6240'!$37:$37,'6240'!$38:$38,'6240'!$39:$39,'6240'!$40:$40,'6240'!$41:$41,'6240'!$42:$42,'6240'!$43:$43,'6240'!$44:$44,'6240'!$45:$45,'6240'!$46:$46,'6240'!$47:$47,'6240'!$48:$48,'6240'!$49:$49,'6240'!$50:$50,'6240'!$51:$51</definedName>
    <definedName name="QB_DATA_2" localSheetId="19" hidden="1">'6250'!$36:$36,'6250'!$37:$37,'6250'!$38:$38,'6250'!$39:$39,'6250'!$40:$40,'6250'!$41:$41,'6250'!$42:$42,'6250'!$43:$43,'6250'!$44:$44,'6250'!$45:$45,'6250'!$46:$46,'6250'!$47:$47,'6250'!$48:$48,'6250'!$49:$49,'6250'!$50:$50,'6250'!$51:$51</definedName>
    <definedName name="QB_DATA_2" localSheetId="20" hidden="1">'6260'!$36:$36,'6260'!$37:$37,'6260'!$38:$38,'6260'!$39:$39,'6260'!$40:$40,'6260'!$41:$41,'6260'!$42:$42,'6260'!$43:$43,'6260'!$44:$44,'6260'!$45:$45,'6260'!$46:$46,'6260'!$47:$47,'6260'!$48:$48,'6260'!$49:$49,'6260'!$50:$50,'6260'!$51:$51</definedName>
    <definedName name="QB_DATA_2" localSheetId="21" hidden="1">'6280'!$36:$36,'6280'!$37:$37,'6280'!$38:$38,'6280'!$39:$39,'6280'!$40:$40,'6280'!$41:$41,'6280'!$42:$42,'6280'!$43:$43,'6280'!$44:$44,'6280'!$45:$45,'6280'!$46:$46,'6280'!$47:$47,'6280'!$48:$48,'6280'!$49:$49,'6280'!$50:$50,'6280'!$51:$51</definedName>
    <definedName name="QB_DATA_2" localSheetId="22" hidden="1">'6285'!$36:$36,'6285'!$37:$37,'6285'!$38:$38,'6285'!$39:$39,'6285'!$40:$40,'6285'!$41:$41,'6285'!$42:$42,'6285'!$43:$43,'6285'!$44:$44,'6285'!$45:$45,'6285'!$46:$46,'6285'!$47:$47,'6285'!$48:$48,'6285'!$49:$49,'6285'!$50:$50,'6285'!$51:$51</definedName>
    <definedName name="QB_DATA_2" localSheetId="24" hidden="1">'6310'!$36:$36,'6310'!$37:$37,'6310'!$38:$38,'6310'!$39:$39,'6310'!$40:$40,'6310'!$41:$41,'6310'!$42:$42,'6310'!$43:$43,'6310'!$44:$44,'6310'!$45:$45,'6310'!$46:$46,'6310'!$47:$47,'6310'!$48:$48,'6310'!$49:$49,'6310'!$50:$50,'6310'!$51:$51</definedName>
    <definedName name="QB_DATA_2" localSheetId="27" hidden="1">'6340'!$36:$36,'6340'!$37:$37,'6340'!$38:$38,'6340'!$39:$39,'6340'!$40:$40,'6340'!$41:$41,'6340'!$42:$42,'6340'!$43:$43,'6340'!$44:$44,'6340'!$45:$45</definedName>
    <definedName name="QB_DATA_20" localSheetId="12" hidden="1">'6210'!$324:$324,'6210'!$325:$325,'6210'!$326:$326,'6210'!$327:$327,'6210'!$328:$328,'6210'!$329:$329,'6210'!$330:$330,'6210'!$331:$331,'6210'!$332:$332,'6210'!$333:$333,'6210'!$334:$334,'6210'!$335:$335,'6210'!$336:$336,'6210'!$337:$337,'6210'!$338:$338,'6210'!$339:$339</definedName>
    <definedName name="QB_DATA_21" localSheetId="12" hidden="1">'6210'!$340:$340,'6210'!$341:$341,'6210'!$342:$342,'6210'!$343:$343,'6210'!$344:$344,'6210'!$345:$345,'6210'!$346:$346,'6210'!$347:$347,'6210'!$348:$348,'6210'!$349:$349,'6210'!$350:$350,'6210'!$351:$351,'6210'!$352:$352,'6210'!$353:$353,'6210'!$354:$354,'6210'!$355:$355</definedName>
    <definedName name="QB_DATA_22" localSheetId="12" hidden="1">'6210'!$356:$356,'6210'!$357:$357,'6210'!$358:$358,'6210'!$359:$359,'6210'!$360:$360,'6210'!$361:$361,'6210'!$362:$362,'6210'!$363:$363,'6210'!$364:$364,'6210'!$365:$365,'6210'!$366:$366</definedName>
    <definedName name="QB_DATA_3" localSheetId="6" hidden="1">'6110'!$52:$52,'6110'!$53:$53,'6110'!$54:$54,'6110'!$55:$55,'6110'!$56:$56,'6110'!$57:$57,'6110'!$58:$58,'6110'!$59:$59,'6110'!$60:$60,'6110'!$61:$61,'6110'!$62:$62,'6110'!$63:$63,'6110'!$64:$64,'6110'!$65:$65,'6110'!$66:$66,'6110'!$67:$67</definedName>
    <definedName name="QB_DATA_3" localSheetId="7" hidden="1">'6120'!$52:$52,'6120'!$53:$53,'6120'!$54:$54,'6120'!$55:$55,'6120'!$56:$56,'6120'!$57:$57,'6120'!$58:$58,'6120'!$59:$59,'6120'!$60:$60</definedName>
    <definedName name="QB_DATA_3" localSheetId="8" hidden="1">'6130'!$52:$52,'6130'!$53:$53,'6130'!$54:$54,'6130'!$55:$55,'6130'!$56:$56,'6130'!$57:$57,'6130'!$58:$58,'6130'!$59:$59,'6130'!$60:$60,'6130'!$61:$61,'6130'!$62:$62,'6130'!$63:$63,'6130'!$64:$64,'6130'!$65:$65,'6130'!$66:$66,'6130'!$67:$67</definedName>
    <definedName name="QB_DATA_3" localSheetId="10" hidden="1">'6150'!$52:$52,'6150'!$53:$53,'6150'!$54:$54,'6150'!$55:$55,'6150'!$56:$56,'6150'!$57:$57,'6150'!$58:$58,'6150'!$59:$59,'6150'!$60:$60,'6150'!$61:$61,'6150'!$62:$62,'6150'!$63:$63,'6150'!$64:$64,'6150'!$65:$65,'6150'!$66:$66,'6150'!$67:$67</definedName>
    <definedName name="QB_DATA_3" localSheetId="11" hidden="1">'6160'!$52:$52,'6160'!$53:$53,'6160'!$54:$54,'6160'!$55:$55,'6160'!$56:$56,'6160'!$57:$57,'6160'!$58:$58,'6160'!$59:$59,'6160'!$60:$60,'6160'!$61:$61,'6160'!$62:$62,'6160'!$63:$63,'6160'!$64:$64,'6160'!$65:$65,'6160'!$66:$66</definedName>
    <definedName name="QB_DATA_3" localSheetId="12" hidden="1">'6210'!$52:$52,'6210'!$53:$53,'6210'!$54:$54,'6210'!$55:$55,'6210'!$56:$56,'6210'!$57:$57,'6210'!$58:$58,'6210'!$59:$59,'6210'!$60:$60,'6210'!$61:$61,'6210'!$62:$62,'6210'!$63:$63,'6210'!$64:$64,'6210'!$65:$65,'6210'!$66:$66,'6210'!$67:$67</definedName>
    <definedName name="QB_DATA_3" localSheetId="14" hidden="1">'6220'!$52:$52,'6220'!$53:$53,'6220'!$54:$54,'6220'!$55:$55,'6220'!$56:$56,'6220'!$57:$57,'6220'!$58:$58,'6220'!$59:$59,'6220'!$60:$60,'6220'!$61:$61,'6220'!$62:$62,'6220'!$63:$63,'6220'!$64:$64,'6220'!$65:$65,'6220'!$66:$66,'6220'!$67:$67</definedName>
    <definedName name="QB_DATA_3" localSheetId="15" hidden="1">'6225'!$52:$52,'6225'!$53:$53,'6225'!$54:$54,'6225'!$55:$55,'6225'!$56:$56,'6225'!$57:$57,'6225'!$58:$58,'6225'!$59:$59,'6225'!$60:$60,'6225'!$61:$61,'6225'!$62:$62,'6225'!$63:$63,'6225'!$64:$64,'6225'!$65:$65,'6225'!$66:$66,'6225'!$67:$67</definedName>
    <definedName name="QB_DATA_3" localSheetId="18" hidden="1">'6240'!$52:$52,'6240'!$53:$53,'6240'!$54:$54,'6240'!$55:$55,'6240'!$56:$56,'6240'!$57:$57,'6240'!$58:$58,'6240'!$59:$59,'6240'!$60:$60,'6240'!$61:$61,'6240'!$62:$62,'6240'!$63:$63,'6240'!$64:$64</definedName>
    <definedName name="QB_DATA_3" localSheetId="19" hidden="1">'6250'!$52:$52,'6250'!$53:$53,'6250'!$54:$54,'6250'!$55:$55,'6250'!$56:$56,'6250'!$57:$57,'6250'!$58:$58,'6250'!$59:$59,'6250'!$60:$60,'6250'!$61:$61,'6250'!$62:$62,'6250'!$63:$63,'6250'!$64:$64,'6250'!$65:$65,'6250'!$66:$66,'6250'!$67:$67</definedName>
    <definedName name="QB_DATA_3" localSheetId="20" hidden="1">'6260'!$52:$52,'6260'!$53:$53,'6260'!$54:$54,'6260'!$55:$55,'6260'!$56:$56,'6260'!$57:$57,'6260'!$58:$58,'6260'!$59:$59,'6260'!$60:$60,'6260'!$61:$61,'6260'!$62:$62,'6260'!$63:$63,'6260'!$64:$64,'6260'!$65:$65,'6260'!$66:$66,'6260'!$67:$67</definedName>
    <definedName name="QB_DATA_3" localSheetId="21" hidden="1">'6280'!$52:$52,'6280'!$53:$53,'6280'!$54:$54,'6280'!$55:$55,'6280'!$56:$56,'6280'!$57:$57,'6280'!$58:$58,'6280'!$59:$59,'6280'!$60:$60,'6280'!$61:$61,'6280'!$62:$62,'6280'!$63:$63,'6280'!$64:$64,'6280'!$65:$65,'6280'!$66:$66,'6280'!$67:$67</definedName>
    <definedName name="QB_DATA_3" localSheetId="22" hidden="1">'6285'!$52:$52,'6285'!$53:$53,'6285'!$54:$54,'6285'!$55:$55,'6285'!$56:$56,'6285'!$57:$57,'6285'!$58:$58,'6285'!$59:$59,'6285'!$60:$60,'6285'!$61:$61,'6285'!$62:$62,'6285'!$63:$63,'6285'!$64:$64,'6285'!$65:$65,'6285'!$66:$66,'6285'!$67:$67</definedName>
    <definedName name="QB_DATA_3" localSheetId="24" hidden="1">'6310'!$52:$52,'6310'!$53:$53,'6310'!$54:$54,'6310'!$55:$55,'6310'!$56:$56,'6310'!$57:$57,'6310'!$58:$58,'6310'!$59:$59,'6310'!$60:$60,'6310'!$61:$61,'6310'!$62:$62,'6310'!$63:$63,'6310'!$64:$64,'6310'!$65:$65,'6310'!$66:$66,'6310'!$67:$67</definedName>
    <definedName name="QB_DATA_4" localSheetId="6" hidden="1">'6110'!$68:$68,'6110'!$69:$69,'6110'!$70:$70,'6110'!$71:$71,'6110'!$72:$72,'6110'!$73:$73,'6110'!$74:$74,'6110'!$75:$75,'6110'!$76:$76,'6110'!$77:$77,'6110'!$78:$78,'6110'!$79:$79,'6110'!$80:$80,'6110'!$81:$81,'6110'!$82:$82,'6110'!$83:$83</definedName>
    <definedName name="QB_DATA_4" localSheetId="8" hidden="1">'6130'!$68:$68,'6130'!$69:$69,'6130'!$70:$70,'6130'!$71:$71,'6130'!$72:$72,'6130'!$73:$73,'6130'!$74:$74,'6130'!$75:$75,'6130'!$76:$76,'6130'!$77:$77,'6130'!$78:$78,'6130'!$79:$79,'6130'!$80:$80,'6130'!$81:$81,'6130'!$82:$82,'6130'!$83:$83</definedName>
    <definedName name="QB_DATA_4" localSheetId="10" hidden="1">'6150'!$68:$68,'6150'!$69:$69,'6150'!$70:$70,'6150'!$71:$71,'6150'!$72:$72,'6150'!$73:$73,'6150'!$74:$74,'6150'!$75:$75,'6150'!$76:$76,'6150'!$77:$77,'6150'!$78:$78,'6150'!$79:$79,'6150'!$80:$80,'6150'!$81:$81,'6150'!$82:$82,'6150'!$83:$83</definedName>
    <definedName name="QB_DATA_4" localSheetId="12" hidden="1">'6210'!$68:$68,'6210'!$69:$69,'6210'!$70:$70,'6210'!$71:$71,'6210'!$72:$72,'6210'!$73:$73,'6210'!$74:$74,'6210'!$75:$75,'6210'!$76:$76,'6210'!$77:$77,'6210'!$78:$78,'6210'!$79:$79,'6210'!$80:$80,'6210'!$81:$81,'6210'!$82:$82,'6210'!$83:$83</definedName>
    <definedName name="QB_DATA_4" localSheetId="14" hidden="1">'6220'!$68:$68,'6220'!$69:$69,'6220'!$70:$70,'6220'!$71:$71,'6220'!$72:$72,'6220'!$73:$73,'6220'!$74:$74,'6220'!$75:$75,'6220'!$76:$76,'6220'!$77:$77,'6220'!$78:$78,'6220'!$79:$79,'6220'!$80:$80,'6220'!$81:$81,'6220'!$82:$82,'6220'!$83:$83</definedName>
    <definedName name="QB_DATA_4" localSheetId="15" hidden="1">'6225'!$68:$68,'6225'!$69:$69,'6225'!$70:$70,'6225'!$71:$71,'6225'!$72:$72,'6225'!$73:$73,'6225'!$74:$74,'6225'!$75:$75,'6225'!$76:$76,'6225'!$77:$77,'6225'!$78:$78,'6225'!$79:$79,'6225'!$80:$80,'6225'!$81:$81,'6225'!$82:$82,'6225'!$83:$83</definedName>
    <definedName name="QB_DATA_4" localSheetId="19" hidden="1">'6250'!$68:$68,'6250'!$69:$69,'6250'!$70:$70,'6250'!$71:$71,'6250'!$72:$72,'6250'!$73:$73,'6250'!$74:$74,'6250'!$75:$75,'6250'!$76:$76,'6250'!$77:$77,'6250'!$78:$78,'6250'!$79:$79,'6250'!$80:$80,'6250'!$81:$81,'6250'!$82:$82</definedName>
    <definedName name="QB_DATA_4" localSheetId="20" hidden="1">'6260'!$68:$68,'6260'!$69:$69,'6260'!$70:$70,'6260'!$71:$71,'6260'!$72:$72,'6260'!$73:$73,'6260'!$74:$74,'6260'!$75:$75,'6260'!$76:$76,'6260'!$77:$77,'6260'!$78:$78,'6260'!$79:$79,'6260'!$80:$80,'6260'!$81:$81,'6260'!$82:$82,'6260'!$83:$83</definedName>
    <definedName name="QB_DATA_4" localSheetId="21" hidden="1">'6280'!$68:$68,'6280'!$69:$69,'6280'!$70:$70,'6280'!$71:$71</definedName>
    <definedName name="QB_DATA_4" localSheetId="22" hidden="1">'6285'!$68:$68,'6285'!$69:$69,'6285'!$70:$70,'6285'!$71:$71,'6285'!$72:$72,'6285'!$73:$73,'6285'!$74:$74,'6285'!$75:$75,'6285'!$76:$76,'6285'!$77:$77,'6285'!$78:$78,'6285'!$79:$79,'6285'!$80:$80,'6285'!$81:$81,'6285'!$82:$82,'6285'!$83:$83</definedName>
    <definedName name="QB_DATA_4" localSheetId="24" hidden="1">'6310'!$68:$68,'6310'!$69:$69,'6310'!$70:$70,'6310'!$71:$71,'6310'!$72:$72,'6310'!$73:$73,'6310'!$74:$74,'6310'!$75:$75,'6310'!$76:$76,'6310'!$77:$77,'6310'!$78:$78,'6310'!$79:$79,'6310'!$80:$80,'6310'!$81:$81,'6310'!$82:$82,'6310'!$83:$83</definedName>
    <definedName name="QB_DATA_5" localSheetId="6" hidden="1">'6110'!$84:$84,'6110'!$85:$85,'6110'!$86:$86,'6110'!$87:$87,'6110'!$88:$88,'6110'!$89:$89,'6110'!$90:$90,'6110'!$91:$91,'6110'!$92:$92,'6110'!$93:$93,'6110'!$94:$94,'6110'!$95:$95,'6110'!$96:$96,'6110'!$97:$97,'6110'!$98:$98,'6110'!$99:$99</definedName>
    <definedName name="QB_DATA_5" localSheetId="8" hidden="1">'6130'!$84:$84,'6130'!$85:$85,'6130'!$86:$86,'6130'!$87:$87,'6130'!$88:$88,'6130'!$89:$89,'6130'!$90:$90,'6130'!$91:$91,'6130'!$92:$92,'6130'!$93:$93,'6130'!$94:$94,'6130'!$95:$95,'6130'!$96:$96,'6130'!$97:$97,'6130'!$98:$98,'6130'!$99:$99</definedName>
    <definedName name="QB_DATA_5" localSheetId="10" hidden="1">'6150'!$84:$84,'6150'!$85:$85,'6150'!$86:$86,'6150'!$87:$87,'6150'!$88:$88,'6150'!$89:$89,'6150'!$90:$90,'6150'!$91:$91,'6150'!$92:$92,'6150'!$93:$93,'6150'!$94:$94,'6150'!$95:$95,'6150'!$96:$96,'6150'!$97:$97,'6150'!$98:$98,'6150'!$99:$99</definedName>
    <definedName name="QB_DATA_5" localSheetId="12" hidden="1">'6210'!$84:$84,'6210'!$85:$85,'6210'!$86:$86,'6210'!$87:$87,'6210'!$88:$88,'6210'!$89:$89,'6210'!$90:$90,'6210'!$91:$91,'6210'!$92:$92,'6210'!$93:$93,'6210'!$94:$94,'6210'!$95:$95,'6210'!$96:$96,'6210'!$97:$97,'6210'!$98:$98,'6210'!$99:$99</definedName>
    <definedName name="QB_DATA_5" localSheetId="14" hidden="1">'6220'!$84:$84,'6220'!$85:$85,'6220'!$86:$86,'6220'!$87:$87,'6220'!$88:$88,'6220'!$89:$89,'6220'!$90:$90,'6220'!$91:$91,'6220'!$92:$92,'6220'!$93:$93,'6220'!$94:$94,'6220'!$95:$95,'6220'!$96:$96,'6220'!$97:$97,'6220'!$98:$98,'6220'!$99:$99</definedName>
    <definedName name="QB_DATA_5" localSheetId="15" hidden="1">'6225'!$84:$84,'6225'!$85:$85,'6225'!$86:$86,'6225'!$87:$87,'6225'!$88:$88,'6225'!$89:$89,'6225'!$90:$90,'6225'!$91:$91,'6225'!$92:$92,'6225'!$93:$93,'6225'!$94:$94,'6225'!$95:$95,'6225'!$96:$96,'6225'!$97:$97,'6225'!$98:$98,'6225'!$99:$99</definedName>
    <definedName name="QB_DATA_5" localSheetId="20" hidden="1">'6260'!$84:$84,'6260'!$85:$85,'6260'!$86:$86,'6260'!$87:$87,'6260'!$88:$88,'6260'!$89:$89,'6260'!$90:$90,'6260'!$91:$91,'6260'!$92:$92,'6260'!$93:$93,'6260'!$94:$94,'6260'!$95:$95,'6260'!$96:$96,'6260'!$97:$97,'6260'!$98:$98,'6260'!$99:$99</definedName>
    <definedName name="QB_DATA_5" localSheetId="22" hidden="1">'6285'!$84:$84,'6285'!$85:$85,'6285'!$86:$86,'6285'!$87:$87,'6285'!$88:$88,'6285'!$89:$89,'6285'!$90:$90,'6285'!$91:$91,'6285'!$92:$92,'6285'!$93:$93,'6285'!$94:$94,'6285'!$95:$95,'6285'!$96:$96,'6285'!$97:$97,'6285'!$98:$98,'6285'!$99:$99</definedName>
    <definedName name="QB_DATA_5" localSheetId="24" hidden="1">'6310'!$84:$84,'6310'!$85:$85,'6310'!$86:$86,'6310'!$87:$87,'6310'!$88:$88,'6310'!$89:$89,'6310'!$90:$90,'6310'!$91:$91,'6310'!$92:$92,'6310'!$93:$93,'6310'!$94:$94,'6310'!$95:$95,'6310'!$96:$96,'6310'!$97:$97,'6310'!$98:$98,'6310'!$99:$99</definedName>
    <definedName name="QB_DATA_6" localSheetId="6" hidden="1">'6110'!$100:$100,'6110'!$101:$101,'6110'!$102:$102,'6110'!$103:$103,'6110'!$104:$104,'6110'!$105:$105,'6110'!$106:$106,'6110'!$107:$107,'6110'!$108:$108,'6110'!$109:$109,'6110'!$110:$110,'6110'!$111:$111,'6110'!$112:$112,'6110'!$113:$113,'6110'!$114:$114,'6110'!$115:$115</definedName>
    <definedName name="QB_DATA_6" localSheetId="8" hidden="1">'6130'!$100:$100,'6130'!$101:$101,'6130'!$102:$102,'6130'!$103:$103,'6130'!$104:$104,'6130'!$105:$105,'6130'!$106:$106,'6130'!$107:$107,'6130'!$108:$108,'6130'!$109:$109,'6130'!$110:$110,'6130'!$111:$111,'6130'!$112:$112,'6130'!$113:$113,'6130'!$114:$114,'6130'!$115:$115</definedName>
    <definedName name="QB_DATA_6" localSheetId="10" hidden="1">'6150'!$100:$100,'6150'!$101:$101,'6150'!$102:$102,'6150'!$103:$103,'6150'!$104:$104,'6150'!$105:$105,'6150'!$106:$106,'6150'!$107:$107,'6150'!$108:$108,'6150'!$109:$109,'6150'!$110:$110,'6150'!$111:$111,'6150'!$112:$112</definedName>
    <definedName name="QB_DATA_6" localSheetId="12" hidden="1">'6210'!$100:$100,'6210'!$101:$101,'6210'!$102:$102,'6210'!$103:$103,'6210'!$104:$104,'6210'!$105:$105,'6210'!$106:$106,'6210'!$107:$107,'6210'!$108:$108,'6210'!$109:$109,'6210'!$110:$110,'6210'!$111:$111,'6210'!$112:$112,'6210'!$113:$113,'6210'!$114:$114,'6210'!$115:$115</definedName>
    <definedName name="QB_DATA_6" localSheetId="14" hidden="1">'6220'!$100:$100,'6220'!$101:$101,'6220'!$102:$102,'6220'!$103:$103,'6220'!$104:$104,'6220'!$105:$105,'6220'!$106:$106,'6220'!$107:$107,'6220'!$108:$108,'6220'!$109:$109,'6220'!$110:$110,'6220'!$111:$111,'6220'!$112:$112,'6220'!$113:$113,'6220'!$114:$114,'6220'!$115:$115</definedName>
    <definedName name="QB_DATA_6" localSheetId="15" hidden="1">'6225'!$100:$100,'6225'!$101:$101,'6225'!$102:$102,'6225'!$103:$103,'6225'!$104:$104,'6225'!$105:$105,'6225'!$106:$106,'6225'!$107:$107,'6225'!$108:$108,'6225'!$109:$109,'6225'!$110:$110,'6225'!$111:$111,'6225'!$112:$112,'6225'!$113:$113,'6225'!$114:$114,'6225'!$115:$115</definedName>
    <definedName name="QB_DATA_6" localSheetId="20" hidden="1">'6260'!$100:$100,'6260'!$101:$101,'6260'!$102:$102,'6260'!$103:$103,'6260'!$104:$104,'6260'!$105:$105,'6260'!$106:$106,'6260'!$107:$107,'6260'!$108:$108,'6260'!$109:$109,'6260'!$110:$110,'6260'!$111:$111,'6260'!$112:$112,'6260'!$113:$113,'6260'!$114:$114,'6260'!$115:$115</definedName>
    <definedName name="QB_DATA_6" localSheetId="22" hidden="1">'6285'!$100:$100,'6285'!$101:$101,'6285'!$102:$102,'6285'!$103:$103,'6285'!$104:$104,'6285'!$105:$105,'6285'!$106:$106,'6285'!$107:$107,'6285'!$108:$108,'6285'!$109:$109,'6285'!$110:$110,'6285'!$111:$111,'6285'!$112:$112,'6285'!$113:$113,'6285'!$114:$114,'6285'!$115:$115</definedName>
    <definedName name="QB_DATA_6" localSheetId="24" hidden="1">'6310'!$100:$100,'6310'!$101:$101,'6310'!$102:$102,'6310'!$103:$103,'6310'!$104:$104,'6310'!$105:$105,'6310'!$106:$106,'6310'!$107:$107,'6310'!$108:$108,'6310'!$109:$109,'6310'!$110:$110,'6310'!$111:$111,'6310'!$112:$112,'6310'!$113:$113,'6310'!$114:$114,'6310'!$115:$115</definedName>
    <definedName name="QB_DATA_7" localSheetId="6" hidden="1">'6110'!$116:$116,'6110'!$117:$117,'6110'!$118:$118,'6110'!$119:$119,'6110'!$120:$120,'6110'!$121:$121,'6110'!$122:$122,'6110'!$123:$123,'6110'!$124:$124,'6110'!$125:$125,'6110'!$126:$126,'6110'!$127:$127,'6110'!$128:$128,'6110'!$129:$129,'6110'!$130:$130,'6110'!$131:$131</definedName>
    <definedName name="QB_DATA_7" localSheetId="8" hidden="1">'6130'!$116:$116,'6130'!$117:$117,'6130'!$118:$118,'6130'!$119:$119,'6130'!$120:$120,'6130'!$121:$121,'6130'!$122:$122,'6130'!$123:$123,'6130'!$124:$124,'6130'!$125:$125,'6130'!$126:$126,'6130'!$127:$127,'6130'!$128:$128,'6130'!$129:$129,'6130'!$130:$130,'6130'!$131:$131</definedName>
    <definedName name="QB_DATA_7" localSheetId="12" hidden="1">'6210'!$116:$116,'6210'!$117:$117,'6210'!$118:$118,'6210'!$119:$119,'6210'!$120:$120,'6210'!$121:$121,'6210'!$122:$122,'6210'!$123:$123,'6210'!$124:$124,'6210'!$125:$125,'6210'!$126:$126,'6210'!$127:$127,'6210'!$128:$128,'6210'!$129:$129,'6210'!$130:$130,'6210'!$131:$131</definedName>
    <definedName name="QB_DATA_7" localSheetId="14" hidden="1">'6220'!$116:$116,'6220'!$117:$117,'6220'!$118:$118,'6220'!$119:$119,'6220'!$120:$120,'6220'!$121:$121,'6220'!$122:$122,'6220'!$123:$123,'6220'!$124:$124,'6220'!$125:$125,'6220'!$126:$126,'6220'!$127:$127,'6220'!$128:$128,'6220'!$129:$129,'6220'!$130:$130,'6220'!$131:$131</definedName>
    <definedName name="QB_DATA_7" localSheetId="15" hidden="1">'6225'!$116:$116,'6225'!$117:$117,'6225'!$118:$118,'6225'!$119:$119,'6225'!$120:$120,'6225'!$121:$121,'6225'!$122:$122,'6225'!$123:$123,'6225'!$124:$124,'6225'!$125:$125,'6225'!$126:$126,'6225'!$127:$127,'6225'!$128:$128,'6225'!$129:$129,'6225'!$130:$130,'6225'!$131:$131</definedName>
    <definedName name="QB_DATA_7" localSheetId="20" hidden="1">'6260'!$116:$116,'6260'!$117:$117,'6260'!$118:$118,'6260'!$119:$119,'6260'!$120:$120,'6260'!$121:$121,'6260'!$122:$122,'6260'!$123:$123,'6260'!$124:$124,'6260'!$125:$125</definedName>
    <definedName name="QB_DATA_7" localSheetId="22" hidden="1">'6285'!$116:$116,'6285'!$117:$117,'6285'!$118:$118,'6285'!$119:$119,'6285'!$120:$120,'6285'!$121:$121,'6285'!$122:$122,'6285'!$123:$123,'6285'!$124:$124</definedName>
    <definedName name="QB_DATA_7" localSheetId="24" hidden="1">'6310'!$116:$116,'6310'!$117:$117,'6310'!$118:$118,'6310'!$119:$119,'6310'!$120:$120,'6310'!$121:$121,'6310'!$122:$122,'6310'!$123:$123,'6310'!$124:$124,'6310'!$125:$125,'6310'!$126:$126,'6310'!$127:$127,'6310'!$128:$128,'6310'!$129:$129,'6310'!$130:$130,'6310'!$131:$131</definedName>
    <definedName name="QB_DATA_8" localSheetId="6" hidden="1">'6110'!$132:$132,'6110'!$133:$133,'6110'!$134:$134,'6110'!$135:$135,'6110'!$136:$136,'6110'!$137:$137,'6110'!$138:$138,'6110'!$139:$139,'6110'!$140:$140,'6110'!$141:$141,'6110'!$142:$142,'6110'!$143:$143,'6110'!$144:$144</definedName>
    <definedName name="QB_DATA_8" localSheetId="8" hidden="1">'6130'!$132:$132,'6130'!$133:$133,'6130'!$134:$134,'6130'!$135:$135,'6130'!$136:$136,'6130'!$137:$137,'6130'!$138:$138,'6130'!$139:$139,'6130'!$140:$140,'6130'!$141:$141,'6130'!$142:$142,'6130'!$143:$143,'6130'!$144:$144,'6130'!$145:$145,'6130'!$146:$146,'6130'!$147:$147</definedName>
    <definedName name="QB_DATA_8" localSheetId="12" hidden="1">'6210'!$132:$132,'6210'!$133:$133,'6210'!$134:$134,'6210'!$135:$135,'6210'!$136:$136,'6210'!$137:$137,'6210'!$138:$138,'6210'!$139:$139,'6210'!$140:$140,'6210'!$141:$141,'6210'!$142:$142,'6210'!$143:$143,'6210'!$144:$144,'6210'!$145:$145,'6210'!$146:$146,'6210'!$147:$147</definedName>
    <definedName name="QB_DATA_8" localSheetId="15" hidden="1">'6225'!$132:$132,'6225'!$133:$133,'6225'!$134:$134,'6225'!$135:$135,'6225'!$136:$136,'6225'!$137:$137,'6225'!$138:$138,'6225'!$139:$139,'6225'!$140:$140,'6225'!$141:$141,'6225'!$142:$142,'6225'!$143:$143,'6225'!$144:$144,'6225'!$145:$145,'6225'!$146:$146,'6225'!$147:$147</definedName>
    <definedName name="QB_DATA_8" localSheetId="24" hidden="1">'6310'!$132:$132,'6310'!$133:$133,'6310'!$134:$134,'6310'!$135:$135,'6310'!$136:$136</definedName>
    <definedName name="QB_DATA_9" localSheetId="8" hidden="1">'6130'!$148:$148,'6130'!$149:$149,'6130'!$150:$150,'6130'!$151:$151,'6130'!$152:$152,'6130'!$153:$153,'6130'!$154:$154,'6130'!$155:$155,'6130'!$156:$156,'6130'!$157:$157,'6130'!$158:$158,'6130'!$159:$159,'6130'!$160:$160,'6130'!$161:$161,'6130'!$162:$162,'6130'!$163:$163</definedName>
    <definedName name="QB_DATA_9" localSheetId="12" hidden="1">'6210'!$148:$148,'6210'!$149:$149,'6210'!$150:$150,'6210'!$151:$151,'6210'!$152:$152,'6210'!$153:$153,'6210'!$154:$154,'6210'!$155:$155,'6210'!$156:$156,'6210'!$157:$157,'6210'!$158:$158,'6210'!$159:$159,'6210'!$160:$160,'6210'!$161:$161,'6210'!$162:$162,'6210'!$163:$163</definedName>
    <definedName name="QB_DATA_9" localSheetId="15" hidden="1">'6225'!$148:$148,'6225'!$149:$149,'6225'!$150:$150,'6225'!$151:$151,'6225'!$152:$152,'6225'!$153:$153,'6225'!$154:$154,'6225'!$155:$155,'6225'!$156:$156</definedName>
    <definedName name="QB_FORMULA_0" localSheetId="6" hidden="1">'6110'!$K$145,'6110'!$K$146,'6110'!$K$147</definedName>
    <definedName name="QB_FORMULA_0" localSheetId="7" hidden="1">'6120'!$K$61,'6120'!$K$62,'6120'!$K$63</definedName>
    <definedName name="QB_FORMULA_0" localSheetId="8" hidden="1">'6130'!$K$226,'6130'!$K$227,'6130'!$K$228</definedName>
    <definedName name="QB_FORMULA_0" localSheetId="9" hidden="1">'6140'!$K$18,'6140'!$K$19,'6140'!$K$20</definedName>
    <definedName name="QB_FORMULA_0" localSheetId="10" hidden="1">'6150'!$K$113,'6150'!$K$114,'6150'!$K$115</definedName>
    <definedName name="QB_FORMULA_0" localSheetId="11" hidden="1">'6160'!$K$67,'6160'!$K$68,'6160'!$K$69</definedName>
    <definedName name="QB_FORMULA_0" localSheetId="12" hidden="1">'6210'!$K$367,'6210'!$K$368,'6210'!$K$369</definedName>
    <definedName name="QB_FORMULA_0" localSheetId="13" hidden="1">'6215'!$K$38,'6215'!$K$39,'6215'!$K$40</definedName>
    <definedName name="QB_FORMULA_0" localSheetId="14" hidden="1">'6220'!$K$132,'6220'!$K$133,'6220'!$K$134</definedName>
    <definedName name="QB_FORMULA_0" localSheetId="15" hidden="1">'6225'!$K$157,'6225'!$K$158,'6225'!$K$159</definedName>
    <definedName name="QB_FORMULA_0" localSheetId="16" hidden="1">'6235'!$K$28,'6235'!$K$29,'6235'!$K$30</definedName>
    <definedName name="QB_FORMULA_0" localSheetId="17" hidden="1">'6236'!$K$27,'6236'!$K$28,'6236'!$K$29</definedName>
    <definedName name="QB_FORMULA_0" localSheetId="18" hidden="1">'6240'!$K$65,'6240'!$K$66,'6240'!$K$67</definedName>
    <definedName name="QB_FORMULA_0" localSheetId="19" hidden="1">'6250'!$K$83,'6250'!$K$84,'6250'!$K$85</definedName>
    <definedName name="QB_FORMULA_0" localSheetId="20" hidden="1">'6260'!$K$126,'6260'!$K$127</definedName>
    <definedName name="QB_FORMULA_0" localSheetId="21" hidden="1">'6280'!$K$72,'6280'!$K$73,'6280'!$K$74</definedName>
    <definedName name="QB_FORMULA_0" localSheetId="22" hidden="1">'6285'!$K$125,'6285'!$K$126,'6285'!$K$127</definedName>
    <definedName name="QB_FORMULA_0" localSheetId="23" hidden="1">'6290'!$K$15,'6290'!$K$16,'6290'!$K$17</definedName>
    <definedName name="QB_FORMULA_0" localSheetId="24" hidden="1">'6310'!$K$137,'6310'!$K$138,'6310'!$K$139</definedName>
    <definedName name="QB_FORMULA_0" localSheetId="25" hidden="1">'6320'!$K$13,'6320'!$K$14,'6320'!$K$15</definedName>
    <definedName name="QB_FORMULA_0" localSheetId="26" hidden="1">'6330'!$K$13,'6330'!$K$14,'6330'!$K$15</definedName>
    <definedName name="QB_FORMULA_0" localSheetId="27" hidden="1">'6340'!$K$46,'6340'!$K$47,'6340'!$K$48</definedName>
    <definedName name="QB_FORMULA_0" localSheetId="28" hidden="1">'6350'!$K$8,'6350'!$K$9,'6350'!$K$10</definedName>
    <definedName name="QB_FORMULA_0" localSheetId="30" hidden="1">'6810'!$K$16,'6810'!$K$17,'6810'!$K$18</definedName>
    <definedName name="QB_FORMULA_0" localSheetId="31" hidden="1">'8010'!$K$24,'8010'!$K$25,'8010'!$K$26</definedName>
    <definedName name="QB_ROW_161020" localSheetId="11" hidden="1">'6160'!$C$3</definedName>
    <definedName name="QB_ROW_161320" localSheetId="11" hidden="1">'6160'!$C$67</definedName>
    <definedName name="QB_ROW_163010" localSheetId="6" hidden="1">'6110'!$B$2</definedName>
    <definedName name="QB_ROW_163010" localSheetId="7" hidden="1">'6120'!$B$2</definedName>
    <definedName name="QB_ROW_163010" localSheetId="8" hidden="1">'6130'!$B$2</definedName>
    <definedName name="QB_ROW_163010" localSheetId="9" hidden="1">'6140'!$B$2</definedName>
    <definedName name="QB_ROW_163010" localSheetId="10" hidden="1">'6150'!$B$2</definedName>
    <definedName name="QB_ROW_163010" localSheetId="11" hidden="1">'6160'!$B$2</definedName>
    <definedName name="QB_ROW_163310" localSheetId="6" hidden="1">'6110'!$B$146</definedName>
    <definedName name="QB_ROW_163310" localSheetId="7" hidden="1">'6120'!$B$62</definedName>
    <definedName name="QB_ROW_163310" localSheetId="8" hidden="1">'6130'!$B$227</definedName>
    <definedName name="QB_ROW_163310" localSheetId="9" hidden="1">'6140'!$B$19</definedName>
    <definedName name="QB_ROW_163310" localSheetId="10" hidden="1">'6150'!$B$114</definedName>
    <definedName name="QB_ROW_163310" localSheetId="11" hidden="1">'6160'!$B$68</definedName>
    <definedName name="QB_ROW_164020" localSheetId="17" hidden="1">'6236'!$C$3</definedName>
    <definedName name="QB_ROW_164320" localSheetId="17" hidden="1">'6236'!$C$27</definedName>
    <definedName name="QB_ROW_165020" localSheetId="15" hidden="1">'6225'!$C$3</definedName>
    <definedName name="QB_ROW_165320" localSheetId="15" hidden="1">'6225'!$C$157</definedName>
    <definedName name="QB_ROW_166020" localSheetId="13" hidden="1">'6215'!$C$3</definedName>
    <definedName name="QB_ROW_166320" localSheetId="13" hidden="1">'6215'!$C$38</definedName>
    <definedName name="QB_ROW_168010" localSheetId="12" hidden="1">'6210'!$B$2</definedName>
    <definedName name="QB_ROW_168010" localSheetId="13" hidden="1">'6215'!$B$2</definedName>
    <definedName name="QB_ROW_168010" localSheetId="14" hidden="1">'6220'!$B$2</definedName>
    <definedName name="QB_ROW_168010" localSheetId="15" hidden="1">'6225'!$B$2</definedName>
    <definedName name="QB_ROW_168010" localSheetId="16" hidden="1">'6235'!$B$2</definedName>
    <definedName name="QB_ROW_168010" localSheetId="17" hidden="1">'6236'!$B$2</definedName>
    <definedName name="QB_ROW_168010" localSheetId="18" hidden="1">'6240'!$B$2</definedName>
    <definedName name="QB_ROW_168010" localSheetId="19" hidden="1">'6250'!$B$2</definedName>
    <definedName name="QB_ROW_168010" localSheetId="20" hidden="1">'6260'!$B$2</definedName>
    <definedName name="QB_ROW_168010" localSheetId="21" hidden="1">'6280'!$B$2</definedName>
    <definedName name="QB_ROW_168010" localSheetId="22" hidden="1">'6285'!$B$2</definedName>
    <definedName name="QB_ROW_168010" localSheetId="23" hidden="1">'6290'!$B$2</definedName>
    <definedName name="QB_ROW_168310" localSheetId="12" hidden="1">'6210'!$B$368</definedName>
    <definedName name="QB_ROW_168310" localSheetId="13" hidden="1">'6215'!$B$39</definedName>
    <definedName name="QB_ROW_168310" localSheetId="14" hidden="1">'6220'!$B$133</definedName>
    <definedName name="QB_ROW_168310" localSheetId="15" hidden="1">'6225'!$B$158</definedName>
    <definedName name="QB_ROW_168310" localSheetId="16" hidden="1">'6235'!$B$29</definedName>
    <definedName name="QB_ROW_168310" localSheetId="17" hidden="1">'6236'!$B$28</definedName>
    <definedName name="QB_ROW_168310" localSheetId="18" hidden="1">'6240'!$B$66</definedName>
    <definedName name="QB_ROW_168310" localSheetId="19" hidden="1">'6250'!$B$84</definedName>
    <definedName name="QB_ROW_168310" localSheetId="20" hidden="1">'6260'!$B$126</definedName>
    <definedName name="QB_ROW_168310" localSheetId="21" hidden="1">'6280'!$B$73</definedName>
    <definedName name="QB_ROW_168310" localSheetId="22" hidden="1">'6285'!$B$126</definedName>
    <definedName name="QB_ROW_168310" localSheetId="23" hidden="1">'6290'!$B$16</definedName>
    <definedName name="QB_ROW_169020" localSheetId="22" hidden="1">'6285'!$C$3</definedName>
    <definedName name="QB_ROW_169320" localSheetId="22" hidden="1">'6285'!$C$125</definedName>
    <definedName name="QB_ROW_170020" localSheetId="19" hidden="1">'6250'!$C$3</definedName>
    <definedName name="QB_ROW_170320" localSheetId="19" hidden="1">'6250'!$C$83</definedName>
    <definedName name="QB_ROW_172010" localSheetId="30" hidden="1">'6810'!$B$2</definedName>
    <definedName name="QB_ROW_172310" localSheetId="30" hidden="1">'6810'!$B$17</definedName>
    <definedName name="QB_ROW_178020" localSheetId="23" hidden="1">'6290'!$C$3</definedName>
    <definedName name="QB_ROW_178320" localSheetId="23" hidden="1">'6290'!$C$15</definedName>
    <definedName name="QB_ROW_179020" localSheetId="21" hidden="1">'6280'!$C$3</definedName>
    <definedName name="QB_ROW_179320" localSheetId="21" hidden="1">'6280'!$C$72</definedName>
    <definedName name="QB_ROW_181020" localSheetId="20" hidden="1">'6260'!$C$3</definedName>
    <definedName name="QB_ROW_181320" localSheetId="20" hidden="1">'6260'!$C$125</definedName>
    <definedName name="QB_ROW_183020" localSheetId="30" hidden="1">'6810'!$C$3</definedName>
    <definedName name="QB_ROW_183320" localSheetId="30" hidden="1">'6810'!$C$16</definedName>
    <definedName name="QB_ROW_184020" localSheetId="12" hidden="1">'6210'!$C$3</definedName>
    <definedName name="QB_ROW_184320" localSheetId="12" hidden="1">'6210'!$C$367</definedName>
    <definedName name="QB_ROW_186020" localSheetId="18" hidden="1">'6240'!$C$3</definedName>
    <definedName name="QB_ROW_186320" localSheetId="18" hidden="1">'6240'!$C$65</definedName>
    <definedName name="QB_ROW_187020" localSheetId="8" hidden="1">'6130'!$C$3</definedName>
    <definedName name="QB_ROW_187320" localSheetId="8" hidden="1">'6130'!$C$226</definedName>
    <definedName name="QB_ROW_188020" localSheetId="14" hidden="1">'6220'!$C$3</definedName>
    <definedName name="QB_ROW_188320" localSheetId="14" hidden="1">'6220'!$C$132</definedName>
    <definedName name="QB_ROW_189020" localSheetId="9" hidden="1">'6140'!$C$3</definedName>
    <definedName name="QB_ROW_189320" localSheetId="9" hidden="1">'6140'!$C$18</definedName>
    <definedName name="QB_ROW_191020" localSheetId="6" hidden="1">'6110'!$C$3</definedName>
    <definedName name="QB_ROW_191320" localSheetId="6" hidden="1">'6110'!$C$145</definedName>
    <definedName name="QB_ROW_192020" localSheetId="7" hidden="1">'6120'!$C$3</definedName>
    <definedName name="QB_ROW_192320" localSheetId="7" hidden="1">'6120'!$C$61</definedName>
    <definedName name="QB_ROW_193020" localSheetId="10" hidden="1">'6150'!$C$3</definedName>
    <definedName name="QB_ROW_193320" localSheetId="10" hidden="1">'6150'!$C$113</definedName>
    <definedName name="QB_ROW_194010" localSheetId="31" hidden="1">'8010'!$B$2</definedName>
    <definedName name="QB_ROW_194310" localSheetId="31" hidden="1">'8010'!$B$25</definedName>
    <definedName name="QB_ROW_195020" localSheetId="31" hidden="1">'8010'!$C$3</definedName>
    <definedName name="QB_ROW_195320" localSheetId="31" hidden="1">'8010'!$C$24</definedName>
    <definedName name="QB_ROW_201020" localSheetId="24" hidden="1">'6310'!$C$3</definedName>
    <definedName name="QB_ROW_201320" localSheetId="24" hidden="1">'6310'!$C$137</definedName>
    <definedName name="QB_ROW_213020" localSheetId="16" hidden="1">'6235'!$C$3</definedName>
    <definedName name="QB_ROW_213320" localSheetId="16" hidden="1">'6235'!$C$28</definedName>
    <definedName name="QB_ROW_214020" localSheetId="25" hidden="1">'6320'!$C$3</definedName>
    <definedName name="QB_ROW_214320" localSheetId="25" hidden="1">'6320'!$C$13</definedName>
    <definedName name="QB_ROW_215020" localSheetId="26" hidden="1">'6330'!$C$3</definedName>
    <definedName name="QB_ROW_215320" localSheetId="26" hidden="1">'6330'!$C$13</definedName>
    <definedName name="QB_ROW_216020" localSheetId="27" hidden="1">'6340'!$C$3</definedName>
    <definedName name="QB_ROW_216320" localSheetId="27" hidden="1">'6340'!$C$46</definedName>
    <definedName name="QB_ROW_217020" localSheetId="28" hidden="1">'6350'!$C$3</definedName>
    <definedName name="QB_ROW_217320" localSheetId="28" hidden="1">'6350'!$C$8</definedName>
    <definedName name="QB_ROW_232010" localSheetId="24" hidden="1">'6310'!$B$2</definedName>
    <definedName name="QB_ROW_232010" localSheetId="25" hidden="1">'6320'!$B$2</definedName>
    <definedName name="QB_ROW_232010" localSheetId="26" hidden="1">'6330'!$B$2</definedName>
    <definedName name="QB_ROW_232010" localSheetId="27" hidden="1">'6340'!$B$2</definedName>
    <definedName name="QB_ROW_232010" localSheetId="28" hidden="1">'6350'!$B$2</definedName>
    <definedName name="QB_ROW_232310" localSheetId="24" hidden="1">'6310'!$B$138</definedName>
    <definedName name="QB_ROW_232310" localSheetId="25" hidden="1">'6320'!$B$14</definedName>
    <definedName name="QB_ROW_232310" localSheetId="26" hidden="1">'6330'!$B$14</definedName>
    <definedName name="QB_ROW_232310" localSheetId="27" hidden="1">'6340'!$B$47</definedName>
    <definedName name="QB_ROW_232310" localSheetId="28" hidden="1">'6350'!$B$9</definedName>
    <definedName name="QB_ROW_25301" localSheetId="6" hidden="1">'6110'!$A$147</definedName>
    <definedName name="QB_ROW_25301" localSheetId="7" hidden="1">'6120'!$A$63</definedName>
    <definedName name="QB_ROW_25301" localSheetId="8" hidden="1">'6130'!$A$228</definedName>
    <definedName name="QB_ROW_25301" localSheetId="9" hidden="1">'6140'!$A$20</definedName>
    <definedName name="QB_ROW_25301" localSheetId="10" hidden="1">'6150'!$A$115</definedName>
    <definedName name="QB_ROW_25301" localSheetId="11" hidden="1">'6160'!$A$69</definedName>
    <definedName name="QB_ROW_25301" localSheetId="12" hidden="1">'6210'!$A$369</definedName>
    <definedName name="QB_ROW_25301" localSheetId="13" hidden="1">'6215'!$A$40</definedName>
    <definedName name="QB_ROW_25301" localSheetId="14" hidden="1">'6220'!$A$134</definedName>
    <definedName name="QB_ROW_25301" localSheetId="15" hidden="1">'6225'!$A$159</definedName>
    <definedName name="QB_ROW_25301" localSheetId="16" hidden="1">'6235'!$A$30</definedName>
    <definedName name="QB_ROW_25301" localSheetId="17" hidden="1">'6236'!$A$29</definedName>
    <definedName name="QB_ROW_25301" localSheetId="18" hidden="1">'6240'!$A$67</definedName>
    <definedName name="QB_ROW_25301" localSheetId="19" hidden="1">'6250'!$A$85</definedName>
    <definedName name="QB_ROW_25301" localSheetId="20" hidden="1">'6260'!$A$127</definedName>
    <definedName name="QB_ROW_25301" localSheetId="21" hidden="1">'6280'!$A$74</definedName>
    <definedName name="QB_ROW_25301" localSheetId="22" hidden="1">'6285'!$A$127</definedName>
    <definedName name="QB_ROW_25301" localSheetId="23" hidden="1">'6290'!$A$17</definedName>
    <definedName name="QB_ROW_25301" localSheetId="24" hidden="1">'6310'!$A$139</definedName>
    <definedName name="QB_ROW_25301" localSheetId="25" hidden="1">'6320'!$A$15</definedName>
    <definedName name="QB_ROW_25301" localSheetId="26" hidden="1">'6330'!$A$15</definedName>
    <definedName name="QB_ROW_25301" localSheetId="27" hidden="1">'6340'!$A$48</definedName>
    <definedName name="QB_ROW_25301" localSheetId="28" hidden="1">'6350'!$A$10</definedName>
    <definedName name="QB_ROW_25301" localSheetId="30" hidden="1">'6810'!$A$18</definedName>
    <definedName name="QB_ROW_25301" localSheetId="31" hidden="1">'8010'!$A$26</definedName>
    <definedName name="QBCANSUPPORTUPDATE" localSheetId="6">TRUE</definedName>
    <definedName name="QBCANSUPPORTUPDATE" localSheetId="7">TRUE</definedName>
    <definedName name="QBCANSUPPORTUPDATE" localSheetId="8">TRUE</definedName>
    <definedName name="QBCANSUPPORTUPDATE" localSheetId="9">TRUE</definedName>
    <definedName name="QBCANSUPPORTUPDATE" localSheetId="10">TRUE</definedName>
    <definedName name="QBCANSUPPORTUPDATE" localSheetId="11">TRUE</definedName>
    <definedName name="QBCANSUPPORTUPDATE" localSheetId="12">TRUE</definedName>
    <definedName name="QBCANSUPPORTUPDATE" localSheetId="13">TRUE</definedName>
    <definedName name="QBCANSUPPORTUPDATE" localSheetId="14">TRUE</definedName>
    <definedName name="QBCANSUPPORTUPDATE" localSheetId="15">TRUE</definedName>
    <definedName name="QBCANSUPPORTUPDATE" localSheetId="16">TRUE</definedName>
    <definedName name="QBCANSUPPORTUPDATE" localSheetId="17">TRUE</definedName>
    <definedName name="QBCANSUPPORTUPDATE" localSheetId="18">TRUE</definedName>
    <definedName name="QBCANSUPPORTUPDATE" localSheetId="19">TRUE</definedName>
    <definedName name="QBCANSUPPORTUPDATE" localSheetId="20">TRUE</definedName>
    <definedName name="QBCANSUPPORTUPDATE" localSheetId="21">TRUE</definedName>
    <definedName name="QBCANSUPPORTUPDATE" localSheetId="22">TRUE</definedName>
    <definedName name="QBCANSUPPORTUPDATE" localSheetId="23">TRUE</definedName>
    <definedName name="QBCANSUPPORTUPDATE" localSheetId="24">TRUE</definedName>
    <definedName name="QBCANSUPPORTUPDATE" localSheetId="25">TRUE</definedName>
    <definedName name="QBCANSUPPORTUPDATE" localSheetId="26">TRUE</definedName>
    <definedName name="QBCANSUPPORTUPDATE" localSheetId="27">TRUE</definedName>
    <definedName name="QBCANSUPPORTUPDATE" localSheetId="28">TRUE</definedName>
    <definedName name="QBCANSUPPORTUPDATE" localSheetId="30">TRUE</definedName>
    <definedName name="QBCANSUPPORTUPDATE" localSheetId="31">TRUE</definedName>
    <definedName name="QBCOMPANYFILENAME" localSheetId="6">"Q:\williamson county appraisal district.qbw"</definedName>
    <definedName name="QBCOMPANYFILENAME" localSheetId="7">"Q:\williamson county appraisal district.qbw"</definedName>
    <definedName name="QBCOMPANYFILENAME" localSheetId="8">"Q:\williamson county appraisal district.qbw"</definedName>
    <definedName name="QBCOMPANYFILENAME" localSheetId="9">"Q:\williamson county appraisal district.qbw"</definedName>
    <definedName name="QBCOMPANYFILENAME" localSheetId="10">"Q:\williamson county appraisal district.qbw"</definedName>
    <definedName name="QBCOMPANYFILENAME" localSheetId="11">"Q:\williamson county appraisal district.qbw"</definedName>
    <definedName name="QBCOMPANYFILENAME" localSheetId="12">"Q:\williamson county appraisal district.qbw"</definedName>
    <definedName name="QBCOMPANYFILENAME" localSheetId="13">"Q:\williamson county appraisal district.qbw"</definedName>
    <definedName name="QBCOMPANYFILENAME" localSheetId="14">"Q:\williamson county appraisal district.qbw"</definedName>
    <definedName name="QBCOMPANYFILENAME" localSheetId="15">"Q:\williamson county appraisal district.qbw"</definedName>
    <definedName name="QBCOMPANYFILENAME" localSheetId="16">"Q:\williamson county appraisal district.qbw"</definedName>
    <definedName name="QBCOMPANYFILENAME" localSheetId="17">"Q:\williamson county appraisal district.qbw"</definedName>
    <definedName name="QBCOMPANYFILENAME" localSheetId="18">"Q:\williamson county appraisal district.qbw"</definedName>
    <definedName name="QBCOMPANYFILENAME" localSheetId="19">"Q:\Williamson County Appraisal District.QBW"</definedName>
    <definedName name="QBCOMPANYFILENAME" localSheetId="20">"Q:\williamson county appraisal district.qbw"</definedName>
    <definedName name="QBCOMPANYFILENAME" localSheetId="21">"Q:\williamson county appraisal district.qbw"</definedName>
    <definedName name="QBCOMPANYFILENAME" localSheetId="22">"Q:\williamson county appraisal district.qbw"</definedName>
    <definedName name="QBCOMPANYFILENAME" localSheetId="23">"Q:\Williamson County Appraisal District.QBW"</definedName>
    <definedName name="QBCOMPANYFILENAME" localSheetId="24">"Q:\williamson county appraisal district.qbw"</definedName>
    <definedName name="QBCOMPANYFILENAME" localSheetId="25">"Q:\Williamson County Appraisal District.QBW"</definedName>
    <definedName name="QBCOMPANYFILENAME" localSheetId="26">"Q:\williamson county appraisal district.qbw"</definedName>
    <definedName name="QBCOMPANYFILENAME" localSheetId="27">"Q:\Williamson County Appraisal District.QBW"</definedName>
    <definedName name="QBCOMPANYFILENAME" localSheetId="28">"Q:\williamson county appraisal district.qbw"</definedName>
    <definedName name="QBCOMPANYFILENAME" localSheetId="30">"Q:\williamson county appraisal district.qbw"</definedName>
    <definedName name="QBCOMPANYFILENAME" localSheetId="31">"Q:\williamson county appraisal district.qbw"</definedName>
    <definedName name="QBENDDATE" localSheetId="6">20201231</definedName>
    <definedName name="QBENDDATE" localSheetId="7">20201231</definedName>
    <definedName name="QBENDDATE" localSheetId="8">20201231</definedName>
    <definedName name="QBENDDATE" localSheetId="9">20201231</definedName>
    <definedName name="QBENDDATE" localSheetId="10">20201231</definedName>
    <definedName name="QBENDDATE" localSheetId="11">20201231</definedName>
    <definedName name="QBENDDATE" localSheetId="12">20201231</definedName>
    <definedName name="QBENDDATE" localSheetId="13">20201231</definedName>
    <definedName name="QBENDDATE" localSheetId="14">20201231</definedName>
    <definedName name="QBENDDATE" localSheetId="15">20201231</definedName>
    <definedName name="QBENDDATE" localSheetId="16">20201231</definedName>
    <definedName name="QBENDDATE" localSheetId="17">20201231</definedName>
    <definedName name="QBENDDATE" localSheetId="18">20201231</definedName>
    <definedName name="QBENDDATE" localSheetId="19">20201112</definedName>
    <definedName name="QBENDDATE" localSheetId="20">20201231</definedName>
    <definedName name="QBENDDATE" localSheetId="21">20201231</definedName>
    <definedName name="QBENDDATE" localSheetId="22">20201231</definedName>
    <definedName name="QBENDDATE" localSheetId="23">20201021</definedName>
    <definedName name="QBENDDATE" localSheetId="24">20201231</definedName>
    <definedName name="QBENDDATE" localSheetId="25">20200723</definedName>
    <definedName name="QBENDDATE" localSheetId="26">20201231</definedName>
    <definedName name="QBENDDATE" localSheetId="27">20200309</definedName>
    <definedName name="QBENDDATE" localSheetId="28">20201231</definedName>
    <definedName name="QBENDDATE" localSheetId="30">20201231</definedName>
    <definedName name="QBENDDATE" localSheetId="31">20201231</definedName>
    <definedName name="QBHEADERSONSCREEN" localSheetId="6">FALSE</definedName>
    <definedName name="QBHEADERSONSCREEN" localSheetId="7">FALSE</definedName>
    <definedName name="QBHEADERSONSCREEN" localSheetId="8">FALSE</definedName>
    <definedName name="QBHEADERSONSCREEN" localSheetId="9">FALSE</definedName>
    <definedName name="QBHEADERSONSCREEN" localSheetId="10">FALSE</definedName>
    <definedName name="QBHEADERSONSCREEN" localSheetId="11">FALSE</definedName>
    <definedName name="QBHEADERSONSCREEN" localSheetId="12">FALSE</definedName>
    <definedName name="QBHEADERSONSCREEN" localSheetId="13">FALSE</definedName>
    <definedName name="QBHEADERSONSCREEN" localSheetId="14">FALSE</definedName>
    <definedName name="QBHEADERSONSCREEN" localSheetId="15">FALSE</definedName>
    <definedName name="QBHEADERSONSCREEN" localSheetId="16">FALSE</definedName>
    <definedName name="QBHEADERSONSCREEN" localSheetId="17">FALSE</definedName>
    <definedName name="QBHEADERSONSCREEN" localSheetId="18">FALSE</definedName>
    <definedName name="QBHEADERSONSCREEN" localSheetId="19">FALSE</definedName>
    <definedName name="QBHEADERSONSCREEN" localSheetId="20">FALSE</definedName>
    <definedName name="QBHEADERSONSCREEN" localSheetId="21">FALSE</definedName>
    <definedName name="QBHEADERSONSCREEN" localSheetId="22">FALSE</definedName>
    <definedName name="QBHEADERSONSCREEN" localSheetId="23">FALSE</definedName>
    <definedName name="QBHEADERSONSCREEN" localSheetId="24">FALSE</definedName>
    <definedName name="QBHEADERSONSCREEN" localSheetId="25">FALSE</definedName>
    <definedName name="QBHEADERSONSCREEN" localSheetId="26">FALSE</definedName>
    <definedName name="QBHEADERSONSCREEN" localSheetId="27">FALSE</definedName>
    <definedName name="QBHEADERSONSCREEN" localSheetId="28">FALSE</definedName>
    <definedName name="QBHEADERSONSCREEN" localSheetId="30">FALSE</definedName>
    <definedName name="QBHEADERSONSCREEN" localSheetId="31">FALSE</definedName>
    <definedName name="QBMETADATASIZE" localSheetId="6">7622</definedName>
    <definedName name="QBMETADATASIZE" localSheetId="7">7622</definedName>
    <definedName name="QBMETADATASIZE" localSheetId="8">7622</definedName>
    <definedName name="QBMETADATASIZE" localSheetId="9">7622</definedName>
    <definedName name="QBMETADATASIZE" localSheetId="10">7622</definedName>
    <definedName name="QBMETADATASIZE" localSheetId="11">7622</definedName>
    <definedName name="QBMETADATASIZE" localSheetId="12">7622</definedName>
    <definedName name="QBMETADATASIZE" localSheetId="13">7622</definedName>
    <definedName name="QBMETADATASIZE" localSheetId="14">7622</definedName>
    <definedName name="QBMETADATASIZE" localSheetId="15">7622</definedName>
    <definedName name="QBMETADATASIZE" localSheetId="16">7622</definedName>
    <definedName name="QBMETADATASIZE" localSheetId="17">7622</definedName>
    <definedName name="QBMETADATASIZE" localSheetId="18">7622</definedName>
    <definedName name="QBMETADATASIZE" localSheetId="19">7582</definedName>
    <definedName name="QBMETADATASIZE" localSheetId="20">7622</definedName>
    <definedName name="QBMETADATASIZE" localSheetId="21">7622</definedName>
    <definedName name="QBMETADATASIZE" localSheetId="22">7622</definedName>
    <definedName name="QBMETADATASIZE" localSheetId="23">7582</definedName>
    <definedName name="QBMETADATASIZE" localSheetId="24">7622</definedName>
    <definedName name="QBMETADATASIZE" localSheetId="25">7582</definedName>
    <definedName name="QBMETADATASIZE" localSheetId="26">7622</definedName>
    <definedName name="QBMETADATASIZE" localSheetId="27">7582</definedName>
    <definedName name="QBMETADATASIZE" localSheetId="28">7622</definedName>
    <definedName name="QBMETADATASIZE" localSheetId="30">7622</definedName>
    <definedName name="QBMETADATASIZE" localSheetId="31">7622</definedName>
    <definedName name="QBPRESERVECOLOR" localSheetId="6">FALSE</definedName>
    <definedName name="QBPRESERVECOLOR" localSheetId="7">FALSE</definedName>
    <definedName name="QBPRESERVECOLOR" localSheetId="8">FALSE</definedName>
    <definedName name="QBPRESERVECOLOR" localSheetId="9">FALSE</definedName>
    <definedName name="QBPRESERVECOLOR" localSheetId="10">FALSE</definedName>
    <definedName name="QBPRESERVECOLOR" localSheetId="11">FALSE</definedName>
    <definedName name="QBPRESERVECOLOR" localSheetId="12">FALSE</definedName>
    <definedName name="QBPRESERVECOLOR" localSheetId="13">FALSE</definedName>
    <definedName name="QBPRESERVECOLOR" localSheetId="14">FALSE</definedName>
    <definedName name="QBPRESERVECOLOR" localSheetId="15">FALSE</definedName>
    <definedName name="QBPRESERVECOLOR" localSheetId="16">FALSE</definedName>
    <definedName name="QBPRESERVECOLOR" localSheetId="17">FALSE</definedName>
    <definedName name="QBPRESERVECOLOR" localSheetId="18">FALSE</definedName>
    <definedName name="QBPRESERVECOLOR" localSheetId="19">FALSE</definedName>
    <definedName name="QBPRESERVECOLOR" localSheetId="20">FALSE</definedName>
    <definedName name="QBPRESERVECOLOR" localSheetId="21">FALSE</definedName>
    <definedName name="QBPRESERVECOLOR" localSheetId="22">FALSE</definedName>
    <definedName name="QBPRESERVECOLOR" localSheetId="23">FALSE</definedName>
    <definedName name="QBPRESERVECOLOR" localSheetId="24">FALSE</definedName>
    <definedName name="QBPRESERVECOLOR" localSheetId="25">FALSE</definedName>
    <definedName name="QBPRESERVECOLOR" localSheetId="26">FALSE</definedName>
    <definedName name="QBPRESERVECOLOR" localSheetId="27">FALSE</definedName>
    <definedName name="QBPRESERVECOLOR" localSheetId="28">FALSE</definedName>
    <definedName name="QBPRESERVECOLOR" localSheetId="30">FALSE</definedName>
    <definedName name="QBPRESERVECOLOR" localSheetId="31">FALSE</definedName>
    <definedName name="QBPRESERVEFONT" localSheetId="6">FALSE</definedName>
    <definedName name="QBPRESERVEFONT" localSheetId="7">FALSE</definedName>
    <definedName name="QBPRESERVEFONT" localSheetId="8">FALSE</definedName>
    <definedName name="QBPRESERVEFONT" localSheetId="9">FALSE</definedName>
    <definedName name="QBPRESERVEFONT" localSheetId="10">FALSE</definedName>
    <definedName name="QBPRESERVEFONT" localSheetId="11">FALSE</definedName>
    <definedName name="QBPRESERVEFONT" localSheetId="12">FALSE</definedName>
    <definedName name="QBPRESERVEFONT" localSheetId="13">FALSE</definedName>
    <definedName name="QBPRESERVEFONT" localSheetId="14">FALSE</definedName>
    <definedName name="QBPRESERVEFONT" localSheetId="15">FALSE</definedName>
    <definedName name="QBPRESERVEFONT" localSheetId="16">FALSE</definedName>
    <definedName name="QBPRESERVEFONT" localSheetId="17">FALSE</definedName>
    <definedName name="QBPRESERVEFONT" localSheetId="18">FALSE</definedName>
    <definedName name="QBPRESERVEFONT" localSheetId="19">FALSE</definedName>
    <definedName name="QBPRESERVEFONT" localSheetId="20">FALSE</definedName>
    <definedName name="QBPRESERVEFONT" localSheetId="21">FALSE</definedName>
    <definedName name="QBPRESERVEFONT" localSheetId="22">FALSE</definedName>
    <definedName name="QBPRESERVEFONT" localSheetId="23">FALSE</definedName>
    <definedName name="QBPRESERVEFONT" localSheetId="24">FALSE</definedName>
    <definedName name="QBPRESERVEFONT" localSheetId="25">FALSE</definedName>
    <definedName name="QBPRESERVEFONT" localSheetId="26">FALSE</definedName>
    <definedName name="QBPRESERVEFONT" localSheetId="27">FALSE</definedName>
    <definedName name="QBPRESERVEFONT" localSheetId="28">FALSE</definedName>
    <definedName name="QBPRESERVEFONT" localSheetId="30">FALSE</definedName>
    <definedName name="QBPRESERVEFONT" localSheetId="31">FALSE</definedName>
    <definedName name="QBPRESERVEROWHEIGHT" localSheetId="6">FALSE</definedName>
    <definedName name="QBPRESERVEROWHEIGHT" localSheetId="7">FALSE</definedName>
    <definedName name="QBPRESERVEROWHEIGHT" localSheetId="8">FALSE</definedName>
    <definedName name="QBPRESERVEROWHEIGHT" localSheetId="9">FALSE</definedName>
    <definedName name="QBPRESERVEROWHEIGHT" localSheetId="10">FALSE</definedName>
    <definedName name="QBPRESERVEROWHEIGHT" localSheetId="11">FALSE</definedName>
    <definedName name="QBPRESERVEROWHEIGHT" localSheetId="12">FALSE</definedName>
    <definedName name="QBPRESERVEROWHEIGHT" localSheetId="13">FALSE</definedName>
    <definedName name="QBPRESERVEROWHEIGHT" localSheetId="14">FALSE</definedName>
    <definedName name="QBPRESERVEROWHEIGHT" localSheetId="15">FALSE</definedName>
    <definedName name="QBPRESERVEROWHEIGHT" localSheetId="16">FALSE</definedName>
    <definedName name="QBPRESERVEROWHEIGHT" localSheetId="17">FALSE</definedName>
    <definedName name="QBPRESERVEROWHEIGHT" localSheetId="18">FALSE</definedName>
    <definedName name="QBPRESERVEROWHEIGHT" localSheetId="19">FALSE</definedName>
    <definedName name="QBPRESERVEROWHEIGHT" localSheetId="20">FALSE</definedName>
    <definedName name="QBPRESERVEROWHEIGHT" localSheetId="21">FALSE</definedName>
    <definedName name="QBPRESERVEROWHEIGHT" localSheetId="22">FALSE</definedName>
    <definedName name="QBPRESERVEROWHEIGHT" localSheetId="23">FALSE</definedName>
    <definedName name="QBPRESERVEROWHEIGHT" localSheetId="24">FALSE</definedName>
    <definedName name="QBPRESERVEROWHEIGHT" localSheetId="25">FALSE</definedName>
    <definedName name="QBPRESERVEROWHEIGHT" localSheetId="26">FALSE</definedName>
    <definedName name="QBPRESERVEROWHEIGHT" localSheetId="27">FALSE</definedName>
    <definedName name="QBPRESERVEROWHEIGHT" localSheetId="28">FALSE</definedName>
    <definedName name="QBPRESERVEROWHEIGHT" localSheetId="30">FALSE</definedName>
    <definedName name="QBPRESERVEROWHEIGHT" localSheetId="31">FALSE</definedName>
    <definedName name="QBPRESERVESPACE" localSheetId="6">FALSE</definedName>
    <definedName name="QBPRESERVESPACE" localSheetId="7">FALSE</definedName>
    <definedName name="QBPRESERVESPACE" localSheetId="8">FALSE</definedName>
    <definedName name="QBPRESERVESPACE" localSheetId="9">FALSE</definedName>
    <definedName name="QBPRESERVESPACE" localSheetId="10">FALSE</definedName>
    <definedName name="QBPRESERVESPACE" localSheetId="11">FALSE</definedName>
    <definedName name="QBPRESERVESPACE" localSheetId="12">FALSE</definedName>
    <definedName name="QBPRESERVESPACE" localSheetId="13">FALSE</definedName>
    <definedName name="QBPRESERVESPACE" localSheetId="14">FALSE</definedName>
    <definedName name="QBPRESERVESPACE" localSheetId="15">FALSE</definedName>
    <definedName name="QBPRESERVESPACE" localSheetId="16">FALSE</definedName>
    <definedName name="QBPRESERVESPACE" localSheetId="17">FALSE</definedName>
    <definedName name="QBPRESERVESPACE" localSheetId="18">FALSE</definedName>
    <definedName name="QBPRESERVESPACE" localSheetId="19">FALSE</definedName>
    <definedName name="QBPRESERVESPACE" localSheetId="20">FALSE</definedName>
    <definedName name="QBPRESERVESPACE" localSheetId="21">FALSE</definedName>
    <definedName name="QBPRESERVESPACE" localSheetId="22">FALSE</definedName>
    <definedName name="QBPRESERVESPACE" localSheetId="23">FALSE</definedName>
    <definedName name="QBPRESERVESPACE" localSheetId="24">FALSE</definedName>
    <definedName name="QBPRESERVESPACE" localSheetId="25">FALSE</definedName>
    <definedName name="QBPRESERVESPACE" localSheetId="26">FALSE</definedName>
    <definedName name="QBPRESERVESPACE" localSheetId="27">FALSE</definedName>
    <definedName name="QBPRESERVESPACE" localSheetId="28">FALSE</definedName>
    <definedName name="QBPRESERVESPACE" localSheetId="30">FALSE</definedName>
    <definedName name="QBPRESERVESPACE" localSheetId="31">FALSE</definedName>
    <definedName name="QBREPORTCOLAXIS" localSheetId="6">0</definedName>
    <definedName name="QBREPORTCOLAXIS" localSheetId="7">0</definedName>
    <definedName name="QBREPORTCOLAXIS" localSheetId="8">0</definedName>
    <definedName name="QBREPORTCOLAXIS" localSheetId="9">0</definedName>
    <definedName name="QBREPORTCOLAXIS" localSheetId="10">0</definedName>
    <definedName name="QBREPORTCOLAXIS" localSheetId="11">0</definedName>
    <definedName name="QBREPORTCOLAXIS" localSheetId="12">0</definedName>
    <definedName name="QBREPORTCOLAXIS" localSheetId="13">0</definedName>
    <definedName name="QBREPORTCOLAXIS" localSheetId="14">0</definedName>
    <definedName name="QBREPORTCOLAXIS" localSheetId="15">0</definedName>
    <definedName name="QBREPORTCOLAXIS" localSheetId="16">0</definedName>
    <definedName name="QBREPORTCOLAXIS" localSheetId="17">0</definedName>
    <definedName name="QBREPORTCOLAXIS" localSheetId="18">0</definedName>
    <definedName name="QBREPORTCOLAXIS" localSheetId="19">0</definedName>
    <definedName name="QBREPORTCOLAXIS" localSheetId="20">0</definedName>
    <definedName name="QBREPORTCOLAXIS" localSheetId="21">0</definedName>
    <definedName name="QBREPORTCOLAXIS" localSheetId="22">0</definedName>
    <definedName name="QBREPORTCOLAXIS" localSheetId="23">0</definedName>
    <definedName name="QBREPORTCOLAXIS" localSheetId="24">0</definedName>
    <definedName name="QBREPORTCOLAXIS" localSheetId="25">0</definedName>
    <definedName name="QBREPORTCOLAXIS" localSheetId="26">0</definedName>
    <definedName name="QBREPORTCOLAXIS" localSheetId="27">0</definedName>
    <definedName name="QBREPORTCOLAXIS" localSheetId="28">0</definedName>
    <definedName name="QBREPORTCOLAXIS" localSheetId="30">0</definedName>
    <definedName name="QBREPORTCOLAXIS" localSheetId="31">0</definedName>
    <definedName name="QBREPORTCOMPANYID" localSheetId="6">"b08a18a08e4f48359dec696f3262895f"</definedName>
    <definedName name="QBREPORTCOMPANYID" localSheetId="7">"b08a18a08e4f48359dec696f3262895f"</definedName>
    <definedName name="QBREPORTCOMPANYID" localSheetId="8">"b08a18a08e4f48359dec696f3262895f"</definedName>
    <definedName name="QBREPORTCOMPANYID" localSheetId="9">"b08a18a08e4f48359dec696f3262895f"</definedName>
    <definedName name="QBREPORTCOMPANYID" localSheetId="10">"b08a18a08e4f48359dec696f3262895f"</definedName>
    <definedName name="QBREPORTCOMPANYID" localSheetId="11">"b08a18a08e4f48359dec696f3262895f"</definedName>
    <definedName name="QBREPORTCOMPANYID" localSheetId="12">"b08a18a08e4f48359dec696f3262895f"</definedName>
    <definedName name="QBREPORTCOMPANYID" localSheetId="13">"b08a18a08e4f48359dec696f3262895f"</definedName>
    <definedName name="QBREPORTCOMPANYID" localSheetId="14">"b08a18a08e4f48359dec696f3262895f"</definedName>
    <definedName name="QBREPORTCOMPANYID" localSheetId="15">"b08a18a08e4f48359dec696f3262895f"</definedName>
    <definedName name="QBREPORTCOMPANYID" localSheetId="16">"b08a18a08e4f48359dec696f3262895f"</definedName>
    <definedName name="QBREPORTCOMPANYID" localSheetId="17">"b08a18a08e4f48359dec696f3262895f"</definedName>
    <definedName name="QBREPORTCOMPANYID" localSheetId="18">"b08a18a08e4f48359dec696f3262895f"</definedName>
    <definedName name="QBREPORTCOMPANYID" localSheetId="19">"b08a18a08e4f48359dec696f3262895f"</definedName>
    <definedName name="QBREPORTCOMPANYID" localSheetId="20">"b08a18a08e4f48359dec696f3262895f"</definedName>
    <definedName name="QBREPORTCOMPANYID" localSheetId="21">"b08a18a08e4f48359dec696f3262895f"</definedName>
    <definedName name="QBREPORTCOMPANYID" localSheetId="22">"b08a18a08e4f48359dec696f3262895f"</definedName>
    <definedName name="QBREPORTCOMPANYID" localSheetId="23">"b08a18a08e4f48359dec696f3262895f"</definedName>
    <definedName name="QBREPORTCOMPANYID" localSheetId="24">"b08a18a08e4f48359dec696f3262895f"</definedName>
    <definedName name="QBREPORTCOMPANYID" localSheetId="25">"b08a18a08e4f48359dec696f3262895f"</definedName>
    <definedName name="QBREPORTCOMPANYID" localSheetId="26">"b08a18a08e4f48359dec696f3262895f"</definedName>
    <definedName name="QBREPORTCOMPANYID" localSheetId="27">"b08a18a08e4f48359dec696f3262895f"</definedName>
    <definedName name="QBREPORTCOMPANYID" localSheetId="28">"b08a18a08e4f48359dec696f3262895f"</definedName>
    <definedName name="QBREPORTCOMPANYID" localSheetId="30">"b08a18a08e4f48359dec696f3262895f"</definedName>
    <definedName name="QBREPORTCOMPANYID" localSheetId="31">"b08a18a08e4f48359dec696f3262895f"</definedName>
    <definedName name="QBREPORTCOMPARECOL_ANNUALBUDGET" localSheetId="6">FALSE</definedName>
    <definedName name="QBREPORTCOMPARECOL_ANNUALBUDGET" localSheetId="7">FALSE</definedName>
    <definedName name="QBREPORTCOMPARECOL_ANNUALBUDGET" localSheetId="8">FALSE</definedName>
    <definedName name="QBREPORTCOMPARECOL_ANNUALBUDGET" localSheetId="9">FALSE</definedName>
    <definedName name="QBREPORTCOMPARECOL_ANNUALBUDGET" localSheetId="10">FALSE</definedName>
    <definedName name="QBREPORTCOMPARECOL_ANNUALBUDGET" localSheetId="11">FALSE</definedName>
    <definedName name="QBREPORTCOMPARECOL_ANNUALBUDGET" localSheetId="12">FALSE</definedName>
    <definedName name="QBREPORTCOMPARECOL_ANNUALBUDGET" localSheetId="13">FALSE</definedName>
    <definedName name="QBREPORTCOMPARECOL_ANNUALBUDGET" localSheetId="14">FALSE</definedName>
    <definedName name="QBREPORTCOMPARECOL_ANNUALBUDGET" localSheetId="15">FALSE</definedName>
    <definedName name="QBREPORTCOMPARECOL_ANNUALBUDGET" localSheetId="16">FALSE</definedName>
    <definedName name="QBREPORTCOMPARECOL_ANNUALBUDGET" localSheetId="17">FALSE</definedName>
    <definedName name="QBREPORTCOMPARECOL_ANNUALBUDGET" localSheetId="18">FALSE</definedName>
    <definedName name="QBREPORTCOMPARECOL_ANNUALBUDGET" localSheetId="19">FALSE</definedName>
    <definedName name="QBREPORTCOMPARECOL_ANNUALBUDGET" localSheetId="20">FALSE</definedName>
    <definedName name="QBREPORTCOMPARECOL_ANNUALBUDGET" localSheetId="21">FALSE</definedName>
    <definedName name="QBREPORTCOMPARECOL_ANNUALBUDGET" localSheetId="22">FALSE</definedName>
    <definedName name="QBREPORTCOMPARECOL_ANNUALBUDGET" localSheetId="23">FALSE</definedName>
    <definedName name="QBREPORTCOMPARECOL_ANNUALBUDGET" localSheetId="24">FALSE</definedName>
    <definedName name="QBREPORTCOMPARECOL_ANNUALBUDGET" localSheetId="25">FALSE</definedName>
    <definedName name="QBREPORTCOMPARECOL_ANNUALBUDGET" localSheetId="26">FALSE</definedName>
    <definedName name="QBREPORTCOMPARECOL_ANNUALBUDGET" localSheetId="27">FALSE</definedName>
    <definedName name="QBREPORTCOMPARECOL_ANNUALBUDGET" localSheetId="28">FALSE</definedName>
    <definedName name="QBREPORTCOMPARECOL_ANNUALBUDGET" localSheetId="30">FALSE</definedName>
    <definedName name="QBREPORTCOMPARECOL_ANNUALBUDGET" localSheetId="31">FALSE</definedName>
    <definedName name="QBREPORTCOMPARECOL_AVGCOGS" localSheetId="6">FALSE</definedName>
    <definedName name="QBREPORTCOMPARECOL_AVGCOGS" localSheetId="7">FALSE</definedName>
    <definedName name="QBREPORTCOMPARECOL_AVGCOGS" localSheetId="8">FALSE</definedName>
    <definedName name="QBREPORTCOMPARECOL_AVGCOGS" localSheetId="9">FALSE</definedName>
    <definedName name="QBREPORTCOMPARECOL_AVGCOGS" localSheetId="10">FALSE</definedName>
    <definedName name="QBREPORTCOMPARECOL_AVGCOGS" localSheetId="11">FALSE</definedName>
    <definedName name="QBREPORTCOMPARECOL_AVGCOGS" localSheetId="12">FALSE</definedName>
    <definedName name="QBREPORTCOMPARECOL_AVGCOGS" localSheetId="13">FALSE</definedName>
    <definedName name="QBREPORTCOMPARECOL_AVGCOGS" localSheetId="14">FALSE</definedName>
    <definedName name="QBREPORTCOMPARECOL_AVGCOGS" localSheetId="15">FALSE</definedName>
    <definedName name="QBREPORTCOMPARECOL_AVGCOGS" localSheetId="16">FALSE</definedName>
    <definedName name="QBREPORTCOMPARECOL_AVGCOGS" localSheetId="17">FALSE</definedName>
    <definedName name="QBREPORTCOMPARECOL_AVGCOGS" localSheetId="18">FALSE</definedName>
    <definedName name="QBREPORTCOMPARECOL_AVGCOGS" localSheetId="19">FALSE</definedName>
    <definedName name="QBREPORTCOMPARECOL_AVGCOGS" localSheetId="20">FALSE</definedName>
    <definedName name="QBREPORTCOMPARECOL_AVGCOGS" localSheetId="21">FALSE</definedName>
    <definedName name="QBREPORTCOMPARECOL_AVGCOGS" localSheetId="22">FALSE</definedName>
    <definedName name="QBREPORTCOMPARECOL_AVGCOGS" localSheetId="23">FALSE</definedName>
    <definedName name="QBREPORTCOMPARECOL_AVGCOGS" localSheetId="24">FALSE</definedName>
    <definedName name="QBREPORTCOMPARECOL_AVGCOGS" localSheetId="25">FALSE</definedName>
    <definedName name="QBREPORTCOMPARECOL_AVGCOGS" localSheetId="26">FALSE</definedName>
    <definedName name="QBREPORTCOMPARECOL_AVGCOGS" localSheetId="27">FALSE</definedName>
    <definedName name="QBREPORTCOMPARECOL_AVGCOGS" localSheetId="28">FALSE</definedName>
    <definedName name="QBREPORTCOMPARECOL_AVGCOGS" localSheetId="30">FALSE</definedName>
    <definedName name="QBREPORTCOMPARECOL_AVGCOGS" localSheetId="31">FALSE</definedName>
    <definedName name="QBREPORTCOMPARECOL_AVGPRICE" localSheetId="6">FALSE</definedName>
    <definedName name="QBREPORTCOMPARECOL_AVGPRICE" localSheetId="7">FALSE</definedName>
    <definedName name="QBREPORTCOMPARECOL_AVGPRICE" localSheetId="8">FALSE</definedName>
    <definedName name="QBREPORTCOMPARECOL_AVGPRICE" localSheetId="9">FALSE</definedName>
    <definedName name="QBREPORTCOMPARECOL_AVGPRICE" localSheetId="10">FALSE</definedName>
    <definedName name="QBREPORTCOMPARECOL_AVGPRICE" localSheetId="11">FALSE</definedName>
    <definedName name="QBREPORTCOMPARECOL_AVGPRICE" localSheetId="12">FALSE</definedName>
    <definedName name="QBREPORTCOMPARECOL_AVGPRICE" localSheetId="13">FALSE</definedName>
    <definedName name="QBREPORTCOMPARECOL_AVGPRICE" localSheetId="14">FALSE</definedName>
    <definedName name="QBREPORTCOMPARECOL_AVGPRICE" localSheetId="15">FALSE</definedName>
    <definedName name="QBREPORTCOMPARECOL_AVGPRICE" localSheetId="16">FALSE</definedName>
    <definedName name="QBREPORTCOMPARECOL_AVGPRICE" localSheetId="17">FALSE</definedName>
    <definedName name="QBREPORTCOMPARECOL_AVGPRICE" localSheetId="18">FALSE</definedName>
    <definedName name="QBREPORTCOMPARECOL_AVGPRICE" localSheetId="19">FALSE</definedName>
    <definedName name="QBREPORTCOMPARECOL_AVGPRICE" localSheetId="20">FALSE</definedName>
    <definedName name="QBREPORTCOMPARECOL_AVGPRICE" localSheetId="21">FALSE</definedName>
    <definedName name="QBREPORTCOMPARECOL_AVGPRICE" localSheetId="22">FALSE</definedName>
    <definedName name="QBREPORTCOMPARECOL_AVGPRICE" localSheetId="23">FALSE</definedName>
    <definedName name="QBREPORTCOMPARECOL_AVGPRICE" localSheetId="24">FALSE</definedName>
    <definedName name="QBREPORTCOMPARECOL_AVGPRICE" localSheetId="25">FALSE</definedName>
    <definedName name="QBREPORTCOMPARECOL_AVGPRICE" localSheetId="26">FALSE</definedName>
    <definedName name="QBREPORTCOMPARECOL_AVGPRICE" localSheetId="27">FALSE</definedName>
    <definedName name="QBREPORTCOMPARECOL_AVGPRICE" localSheetId="28">FALSE</definedName>
    <definedName name="QBREPORTCOMPARECOL_AVGPRICE" localSheetId="30">FALSE</definedName>
    <definedName name="QBREPORTCOMPARECOL_AVGPRICE" localSheetId="31">FALSE</definedName>
    <definedName name="QBREPORTCOMPARECOL_BUDDIFF" localSheetId="6">FALSE</definedName>
    <definedName name="QBREPORTCOMPARECOL_BUDDIFF" localSheetId="7">FALSE</definedName>
    <definedName name="QBREPORTCOMPARECOL_BUDDIFF" localSheetId="8">FALSE</definedName>
    <definedName name="QBREPORTCOMPARECOL_BUDDIFF" localSheetId="9">FALSE</definedName>
    <definedName name="QBREPORTCOMPARECOL_BUDDIFF" localSheetId="10">FALSE</definedName>
    <definedName name="QBREPORTCOMPARECOL_BUDDIFF" localSheetId="11">FALSE</definedName>
    <definedName name="QBREPORTCOMPARECOL_BUDDIFF" localSheetId="12">FALSE</definedName>
    <definedName name="QBREPORTCOMPARECOL_BUDDIFF" localSheetId="13">FALSE</definedName>
    <definedName name="QBREPORTCOMPARECOL_BUDDIFF" localSheetId="14">FALSE</definedName>
    <definedName name="QBREPORTCOMPARECOL_BUDDIFF" localSheetId="15">FALSE</definedName>
    <definedName name="QBREPORTCOMPARECOL_BUDDIFF" localSheetId="16">FALSE</definedName>
    <definedName name="QBREPORTCOMPARECOL_BUDDIFF" localSheetId="17">FALSE</definedName>
    <definedName name="QBREPORTCOMPARECOL_BUDDIFF" localSheetId="18">FALSE</definedName>
    <definedName name="QBREPORTCOMPARECOL_BUDDIFF" localSheetId="19">FALSE</definedName>
    <definedName name="QBREPORTCOMPARECOL_BUDDIFF" localSheetId="20">FALSE</definedName>
    <definedName name="QBREPORTCOMPARECOL_BUDDIFF" localSheetId="21">FALSE</definedName>
    <definedName name="QBREPORTCOMPARECOL_BUDDIFF" localSheetId="22">FALSE</definedName>
    <definedName name="QBREPORTCOMPARECOL_BUDDIFF" localSheetId="23">FALSE</definedName>
    <definedName name="QBREPORTCOMPARECOL_BUDDIFF" localSheetId="24">FALSE</definedName>
    <definedName name="QBREPORTCOMPARECOL_BUDDIFF" localSheetId="25">FALSE</definedName>
    <definedName name="QBREPORTCOMPARECOL_BUDDIFF" localSheetId="26">FALSE</definedName>
    <definedName name="QBREPORTCOMPARECOL_BUDDIFF" localSheetId="27">FALSE</definedName>
    <definedName name="QBREPORTCOMPARECOL_BUDDIFF" localSheetId="28">FALSE</definedName>
    <definedName name="QBREPORTCOMPARECOL_BUDDIFF" localSheetId="30">FALSE</definedName>
    <definedName name="QBREPORTCOMPARECOL_BUDDIFF" localSheetId="31">FALSE</definedName>
    <definedName name="QBREPORTCOMPARECOL_BUDGET" localSheetId="6">FALSE</definedName>
    <definedName name="QBREPORTCOMPARECOL_BUDGET" localSheetId="7">FALSE</definedName>
    <definedName name="QBREPORTCOMPARECOL_BUDGET" localSheetId="8">FALSE</definedName>
    <definedName name="QBREPORTCOMPARECOL_BUDGET" localSheetId="9">FALSE</definedName>
    <definedName name="QBREPORTCOMPARECOL_BUDGET" localSheetId="10">FALSE</definedName>
    <definedName name="QBREPORTCOMPARECOL_BUDGET" localSheetId="11">FALSE</definedName>
    <definedName name="QBREPORTCOMPARECOL_BUDGET" localSheetId="12">FALSE</definedName>
    <definedName name="QBREPORTCOMPARECOL_BUDGET" localSheetId="13">FALSE</definedName>
    <definedName name="QBREPORTCOMPARECOL_BUDGET" localSheetId="14">FALSE</definedName>
    <definedName name="QBREPORTCOMPARECOL_BUDGET" localSheetId="15">FALSE</definedName>
    <definedName name="QBREPORTCOMPARECOL_BUDGET" localSheetId="16">FALSE</definedName>
    <definedName name="QBREPORTCOMPARECOL_BUDGET" localSheetId="17">FALSE</definedName>
    <definedName name="QBREPORTCOMPARECOL_BUDGET" localSheetId="18">FALSE</definedName>
    <definedName name="QBREPORTCOMPARECOL_BUDGET" localSheetId="19">FALSE</definedName>
    <definedName name="QBREPORTCOMPARECOL_BUDGET" localSheetId="20">FALSE</definedName>
    <definedName name="QBREPORTCOMPARECOL_BUDGET" localSheetId="21">FALSE</definedName>
    <definedName name="QBREPORTCOMPARECOL_BUDGET" localSheetId="22">FALSE</definedName>
    <definedName name="QBREPORTCOMPARECOL_BUDGET" localSheetId="23">FALSE</definedName>
    <definedName name="QBREPORTCOMPARECOL_BUDGET" localSheetId="24">FALSE</definedName>
    <definedName name="QBREPORTCOMPARECOL_BUDGET" localSheetId="25">FALSE</definedName>
    <definedName name="QBREPORTCOMPARECOL_BUDGET" localSheetId="26">FALSE</definedName>
    <definedName name="QBREPORTCOMPARECOL_BUDGET" localSheetId="27">FALSE</definedName>
    <definedName name="QBREPORTCOMPARECOL_BUDGET" localSheetId="28">FALSE</definedName>
    <definedName name="QBREPORTCOMPARECOL_BUDGET" localSheetId="30">FALSE</definedName>
    <definedName name="QBREPORTCOMPARECOL_BUDGET" localSheetId="31">FALSE</definedName>
    <definedName name="QBREPORTCOMPARECOL_BUDPCT" localSheetId="6">FALSE</definedName>
    <definedName name="QBREPORTCOMPARECOL_BUDPCT" localSheetId="7">FALSE</definedName>
    <definedName name="QBREPORTCOMPARECOL_BUDPCT" localSheetId="8">FALSE</definedName>
    <definedName name="QBREPORTCOMPARECOL_BUDPCT" localSheetId="9">FALSE</definedName>
    <definedName name="QBREPORTCOMPARECOL_BUDPCT" localSheetId="10">FALSE</definedName>
    <definedName name="QBREPORTCOMPARECOL_BUDPCT" localSheetId="11">FALSE</definedName>
    <definedName name="QBREPORTCOMPARECOL_BUDPCT" localSheetId="12">FALSE</definedName>
    <definedName name="QBREPORTCOMPARECOL_BUDPCT" localSheetId="13">FALSE</definedName>
    <definedName name="QBREPORTCOMPARECOL_BUDPCT" localSheetId="14">FALSE</definedName>
    <definedName name="QBREPORTCOMPARECOL_BUDPCT" localSheetId="15">FALSE</definedName>
    <definedName name="QBREPORTCOMPARECOL_BUDPCT" localSheetId="16">FALSE</definedName>
    <definedName name="QBREPORTCOMPARECOL_BUDPCT" localSheetId="17">FALSE</definedName>
    <definedName name="QBREPORTCOMPARECOL_BUDPCT" localSheetId="18">FALSE</definedName>
    <definedName name="QBREPORTCOMPARECOL_BUDPCT" localSheetId="19">FALSE</definedName>
    <definedName name="QBREPORTCOMPARECOL_BUDPCT" localSheetId="20">FALSE</definedName>
    <definedName name="QBREPORTCOMPARECOL_BUDPCT" localSheetId="21">FALSE</definedName>
    <definedName name="QBREPORTCOMPARECOL_BUDPCT" localSheetId="22">FALSE</definedName>
    <definedName name="QBREPORTCOMPARECOL_BUDPCT" localSheetId="23">FALSE</definedName>
    <definedName name="QBREPORTCOMPARECOL_BUDPCT" localSheetId="24">FALSE</definedName>
    <definedName name="QBREPORTCOMPARECOL_BUDPCT" localSheetId="25">FALSE</definedName>
    <definedName name="QBREPORTCOMPARECOL_BUDPCT" localSheetId="26">FALSE</definedName>
    <definedName name="QBREPORTCOMPARECOL_BUDPCT" localSheetId="27">FALSE</definedName>
    <definedName name="QBREPORTCOMPARECOL_BUDPCT" localSheetId="28">FALSE</definedName>
    <definedName name="QBREPORTCOMPARECOL_BUDPCT" localSheetId="30">FALSE</definedName>
    <definedName name="QBREPORTCOMPARECOL_BUDPCT" localSheetId="31">FALSE</definedName>
    <definedName name="QBREPORTCOMPARECOL_COGS" localSheetId="6">FALSE</definedName>
    <definedName name="QBREPORTCOMPARECOL_COGS" localSheetId="7">FALSE</definedName>
    <definedName name="QBREPORTCOMPARECOL_COGS" localSheetId="8">FALSE</definedName>
    <definedName name="QBREPORTCOMPARECOL_COGS" localSheetId="9">FALSE</definedName>
    <definedName name="QBREPORTCOMPARECOL_COGS" localSheetId="10">FALSE</definedName>
    <definedName name="QBREPORTCOMPARECOL_COGS" localSheetId="11">FALSE</definedName>
    <definedName name="QBREPORTCOMPARECOL_COGS" localSheetId="12">FALSE</definedName>
    <definedName name="QBREPORTCOMPARECOL_COGS" localSheetId="13">FALSE</definedName>
    <definedName name="QBREPORTCOMPARECOL_COGS" localSheetId="14">FALSE</definedName>
    <definedName name="QBREPORTCOMPARECOL_COGS" localSheetId="15">FALSE</definedName>
    <definedName name="QBREPORTCOMPARECOL_COGS" localSheetId="16">FALSE</definedName>
    <definedName name="QBREPORTCOMPARECOL_COGS" localSheetId="17">FALSE</definedName>
    <definedName name="QBREPORTCOMPARECOL_COGS" localSheetId="18">FALSE</definedName>
    <definedName name="QBREPORTCOMPARECOL_COGS" localSheetId="19">FALSE</definedName>
    <definedName name="QBREPORTCOMPARECOL_COGS" localSheetId="20">FALSE</definedName>
    <definedName name="QBREPORTCOMPARECOL_COGS" localSheetId="21">FALSE</definedName>
    <definedName name="QBREPORTCOMPARECOL_COGS" localSheetId="22">FALSE</definedName>
    <definedName name="QBREPORTCOMPARECOL_COGS" localSheetId="23">FALSE</definedName>
    <definedName name="QBREPORTCOMPARECOL_COGS" localSheetId="24">FALSE</definedName>
    <definedName name="QBREPORTCOMPARECOL_COGS" localSheetId="25">FALSE</definedName>
    <definedName name="QBREPORTCOMPARECOL_COGS" localSheetId="26">FALSE</definedName>
    <definedName name="QBREPORTCOMPARECOL_COGS" localSheetId="27">FALSE</definedName>
    <definedName name="QBREPORTCOMPARECOL_COGS" localSheetId="28">FALSE</definedName>
    <definedName name="QBREPORTCOMPARECOL_COGS" localSheetId="30">FALSE</definedName>
    <definedName name="QBREPORTCOMPARECOL_COGS" localSheetId="31">FALSE</definedName>
    <definedName name="QBREPORTCOMPARECOL_EXCLUDEAMOUNT" localSheetId="6">FALSE</definedName>
    <definedName name="QBREPORTCOMPARECOL_EXCLUDEAMOUNT" localSheetId="7">FALSE</definedName>
    <definedName name="QBREPORTCOMPARECOL_EXCLUDEAMOUNT" localSheetId="8">FALSE</definedName>
    <definedName name="QBREPORTCOMPARECOL_EXCLUDEAMOUNT" localSheetId="9">FALSE</definedName>
    <definedName name="QBREPORTCOMPARECOL_EXCLUDEAMOUNT" localSheetId="10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3">FALSE</definedName>
    <definedName name="QBREPORTCOMPARECOL_EXCLUDEAMOUNT" localSheetId="14">FALSE</definedName>
    <definedName name="QBREPORTCOMPARECOL_EXCLUDEAMOUNT" localSheetId="15">FALSE</definedName>
    <definedName name="QBREPORTCOMPARECOL_EXCLUDEAMOUNT" localSheetId="16">FALSE</definedName>
    <definedName name="QBREPORTCOMPARECOL_EXCLUDEAMOUNT" localSheetId="17">FALSE</definedName>
    <definedName name="QBREPORTCOMPARECOL_EXCLUDEAMOUNT" localSheetId="18">FALSE</definedName>
    <definedName name="QBREPORTCOMPARECOL_EXCLUDEAMOUNT" localSheetId="19">FALSE</definedName>
    <definedName name="QBREPORTCOMPARECOL_EXCLUDEAMOUNT" localSheetId="20">FALSE</definedName>
    <definedName name="QBREPORTCOMPARECOL_EXCLUDEAMOUNT" localSheetId="21">FALSE</definedName>
    <definedName name="QBREPORTCOMPARECOL_EXCLUDEAMOUNT" localSheetId="22">FALSE</definedName>
    <definedName name="QBREPORTCOMPARECOL_EXCLUDEAMOUNT" localSheetId="23">FALSE</definedName>
    <definedName name="QBREPORTCOMPARECOL_EXCLUDEAMOUNT" localSheetId="24">FALSE</definedName>
    <definedName name="QBREPORTCOMPARECOL_EXCLUDEAMOUNT" localSheetId="25">FALSE</definedName>
    <definedName name="QBREPORTCOMPARECOL_EXCLUDEAMOUNT" localSheetId="26">FALSE</definedName>
    <definedName name="QBREPORTCOMPARECOL_EXCLUDEAMOUNT" localSheetId="27">FALSE</definedName>
    <definedName name="QBREPORTCOMPARECOL_EXCLUDEAMOUNT" localSheetId="28">FALSE</definedName>
    <definedName name="QBREPORTCOMPARECOL_EXCLUDEAMOUNT" localSheetId="30">FALSE</definedName>
    <definedName name="QBREPORTCOMPARECOL_EXCLUDEAMOUNT" localSheetId="31">FALSE</definedName>
    <definedName name="QBREPORTCOMPARECOL_EXCLUDECURPERIOD" localSheetId="6">FALSE</definedName>
    <definedName name="QBREPORTCOMPARECOL_EXCLUDECURPERIOD" localSheetId="7">FALSE</definedName>
    <definedName name="QBREPORTCOMPARECOL_EXCLUDECURPERIOD" localSheetId="8">FALSE</definedName>
    <definedName name="QBREPORTCOMPARECOL_EXCLUDECURPERIOD" localSheetId="9">FALSE</definedName>
    <definedName name="QBREPORTCOMPARECOL_EXCLUDECURPERIOD" localSheetId="10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3">FALSE</definedName>
    <definedName name="QBREPORTCOMPARECOL_EXCLUDECURPERIOD" localSheetId="14">FALSE</definedName>
    <definedName name="QBREPORTCOMPARECOL_EXCLUDECURPERIOD" localSheetId="15">FALSE</definedName>
    <definedName name="QBREPORTCOMPARECOL_EXCLUDECURPERIOD" localSheetId="16">FALSE</definedName>
    <definedName name="QBREPORTCOMPARECOL_EXCLUDECURPERIOD" localSheetId="17">FALSE</definedName>
    <definedName name="QBREPORTCOMPARECOL_EXCLUDECURPERIOD" localSheetId="18">FALSE</definedName>
    <definedName name="QBREPORTCOMPARECOL_EXCLUDECURPERIOD" localSheetId="19">FALSE</definedName>
    <definedName name="QBREPORTCOMPARECOL_EXCLUDECURPERIOD" localSheetId="20">FALSE</definedName>
    <definedName name="QBREPORTCOMPARECOL_EXCLUDECURPERIOD" localSheetId="21">FALSE</definedName>
    <definedName name="QBREPORTCOMPARECOL_EXCLUDECURPERIOD" localSheetId="22">FALSE</definedName>
    <definedName name="QBREPORTCOMPARECOL_EXCLUDECURPERIOD" localSheetId="23">FALSE</definedName>
    <definedName name="QBREPORTCOMPARECOL_EXCLUDECURPERIOD" localSheetId="24">FALSE</definedName>
    <definedName name="QBREPORTCOMPARECOL_EXCLUDECURPERIOD" localSheetId="25">FALSE</definedName>
    <definedName name="QBREPORTCOMPARECOL_EXCLUDECURPERIOD" localSheetId="26">FALSE</definedName>
    <definedName name="QBREPORTCOMPARECOL_EXCLUDECURPERIOD" localSheetId="27">FALSE</definedName>
    <definedName name="QBREPORTCOMPARECOL_EXCLUDECURPERIOD" localSheetId="28">FALSE</definedName>
    <definedName name="QBREPORTCOMPARECOL_EXCLUDECURPERIOD" localSheetId="30">FALSE</definedName>
    <definedName name="QBREPORTCOMPARECOL_EXCLUDECURPERIOD" localSheetId="31">FALSE</definedName>
    <definedName name="QBREPORTCOMPARECOL_FORECAST" localSheetId="6">FALSE</definedName>
    <definedName name="QBREPORTCOMPARECOL_FORECAST" localSheetId="7">FALSE</definedName>
    <definedName name="QBREPORTCOMPARECOL_FORECAST" localSheetId="8">FALSE</definedName>
    <definedName name="QBREPORTCOMPARECOL_FORECAST" localSheetId="9">FALSE</definedName>
    <definedName name="QBREPORTCOMPARECOL_FORECAST" localSheetId="10">FALSE</definedName>
    <definedName name="QBREPORTCOMPARECOL_FORECAST" localSheetId="11">FALSE</definedName>
    <definedName name="QBREPORTCOMPARECOL_FORECAST" localSheetId="12">FALSE</definedName>
    <definedName name="QBREPORTCOMPARECOL_FORECAST" localSheetId="13">FALSE</definedName>
    <definedName name="QBREPORTCOMPARECOL_FORECAST" localSheetId="14">FALSE</definedName>
    <definedName name="QBREPORTCOMPARECOL_FORECAST" localSheetId="15">FALSE</definedName>
    <definedName name="QBREPORTCOMPARECOL_FORECAST" localSheetId="16">FALSE</definedName>
    <definedName name="QBREPORTCOMPARECOL_FORECAST" localSheetId="17">FALSE</definedName>
    <definedName name="QBREPORTCOMPARECOL_FORECAST" localSheetId="18">FALSE</definedName>
    <definedName name="QBREPORTCOMPARECOL_FORECAST" localSheetId="19">FALSE</definedName>
    <definedName name="QBREPORTCOMPARECOL_FORECAST" localSheetId="20">FALSE</definedName>
    <definedName name="QBREPORTCOMPARECOL_FORECAST" localSheetId="21">FALSE</definedName>
    <definedName name="QBREPORTCOMPARECOL_FORECAST" localSheetId="22">FALSE</definedName>
    <definedName name="QBREPORTCOMPARECOL_FORECAST" localSheetId="23">FALSE</definedName>
    <definedName name="QBREPORTCOMPARECOL_FORECAST" localSheetId="24">FALSE</definedName>
    <definedName name="QBREPORTCOMPARECOL_FORECAST" localSheetId="25">FALSE</definedName>
    <definedName name="QBREPORTCOMPARECOL_FORECAST" localSheetId="26">FALSE</definedName>
    <definedName name="QBREPORTCOMPARECOL_FORECAST" localSheetId="27">FALSE</definedName>
    <definedName name="QBREPORTCOMPARECOL_FORECAST" localSheetId="28">FALSE</definedName>
    <definedName name="QBREPORTCOMPARECOL_FORECAST" localSheetId="30">FALSE</definedName>
    <definedName name="QBREPORTCOMPARECOL_FORECAST" localSheetId="31">FALSE</definedName>
    <definedName name="QBREPORTCOMPARECOL_GROSSMARGIN" localSheetId="6">FALSE</definedName>
    <definedName name="QBREPORTCOMPARECOL_GROSSMARGIN" localSheetId="7">FALSE</definedName>
    <definedName name="QBREPORTCOMPARECOL_GROSSMARGIN" localSheetId="8">FALSE</definedName>
    <definedName name="QBREPORTCOMPARECOL_GROSSMARGIN" localSheetId="9">FALSE</definedName>
    <definedName name="QBREPORTCOMPARECOL_GROSSMARGIN" localSheetId="10">FALSE</definedName>
    <definedName name="QBREPORTCOMPARECOL_GROSSMARGIN" localSheetId="11">FALSE</definedName>
    <definedName name="QBREPORTCOMPARECOL_GROSSMARGIN" localSheetId="12">FALSE</definedName>
    <definedName name="QBREPORTCOMPARECOL_GROSSMARGIN" localSheetId="13">FALSE</definedName>
    <definedName name="QBREPORTCOMPARECOL_GROSSMARGIN" localSheetId="14">FALSE</definedName>
    <definedName name="QBREPORTCOMPARECOL_GROSSMARGIN" localSheetId="15">FALSE</definedName>
    <definedName name="QBREPORTCOMPARECOL_GROSSMARGIN" localSheetId="16">FALSE</definedName>
    <definedName name="QBREPORTCOMPARECOL_GROSSMARGIN" localSheetId="17">FALSE</definedName>
    <definedName name="QBREPORTCOMPARECOL_GROSSMARGIN" localSheetId="18">FALSE</definedName>
    <definedName name="QBREPORTCOMPARECOL_GROSSMARGIN" localSheetId="19">FALSE</definedName>
    <definedName name="QBREPORTCOMPARECOL_GROSSMARGIN" localSheetId="20">FALSE</definedName>
    <definedName name="QBREPORTCOMPARECOL_GROSSMARGIN" localSheetId="21">FALSE</definedName>
    <definedName name="QBREPORTCOMPARECOL_GROSSMARGIN" localSheetId="22">FALSE</definedName>
    <definedName name="QBREPORTCOMPARECOL_GROSSMARGIN" localSheetId="23">FALSE</definedName>
    <definedName name="QBREPORTCOMPARECOL_GROSSMARGIN" localSheetId="24">FALSE</definedName>
    <definedName name="QBREPORTCOMPARECOL_GROSSMARGIN" localSheetId="25">FALSE</definedName>
    <definedName name="QBREPORTCOMPARECOL_GROSSMARGIN" localSheetId="26">FALSE</definedName>
    <definedName name="QBREPORTCOMPARECOL_GROSSMARGIN" localSheetId="27">FALSE</definedName>
    <definedName name="QBREPORTCOMPARECOL_GROSSMARGIN" localSheetId="28">FALSE</definedName>
    <definedName name="QBREPORTCOMPARECOL_GROSSMARGIN" localSheetId="30">FALSE</definedName>
    <definedName name="QBREPORTCOMPARECOL_GROSSMARGIN" localSheetId="31">FALSE</definedName>
    <definedName name="QBREPORTCOMPARECOL_GROSSMARGINPCT" localSheetId="6">FALSE</definedName>
    <definedName name="QBREPORTCOMPARECOL_GROSSMARGINPCT" localSheetId="7">FALSE</definedName>
    <definedName name="QBREPORTCOMPARECOL_GROSSMARGINPCT" localSheetId="8">FALSE</definedName>
    <definedName name="QBREPORTCOMPARECOL_GROSSMARGINPCT" localSheetId="9">FALSE</definedName>
    <definedName name="QBREPORTCOMPARECOL_GROSSMARGINPCT" localSheetId="10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3">FALSE</definedName>
    <definedName name="QBREPORTCOMPARECOL_GROSSMARGINPCT" localSheetId="14">FALSE</definedName>
    <definedName name="QBREPORTCOMPARECOL_GROSSMARGINPCT" localSheetId="15">FALSE</definedName>
    <definedName name="QBREPORTCOMPARECOL_GROSSMARGINPCT" localSheetId="16">FALSE</definedName>
    <definedName name="QBREPORTCOMPARECOL_GROSSMARGINPCT" localSheetId="17">FALSE</definedName>
    <definedName name="QBREPORTCOMPARECOL_GROSSMARGINPCT" localSheetId="18">FALSE</definedName>
    <definedName name="QBREPORTCOMPARECOL_GROSSMARGINPCT" localSheetId="19">FALSE</definedName>
    <definedName name="QBREPORTCOMPARECOL_GROSSMARGINPCT" localSheetId="20">FALSE</definedName>
    <definedName name="QBREPORTCOMPARECOL_GROSSMARGINPCT" localSheetId="21">FALSE</definedName>
    <definedName name="QBREPORTCOMPARECOL_GROSSMARGINPCT" localSheetId="22">FALSE</definedName>
    <definedName name="QBREPORTCOMPARECOL_GROSSMARGINPCT" localSheetId="23">FALSE</definedName>
    <definedName name="QBREPORTCOMPARECOL_GROSSMARGINPCT" localSheetId="24">FALSE</definedName>
    <definedName name="QBREPORTCOMPARECOL_GROSSMARGINPCT" localSheetId="25">FALSE</definedName>
    <definedName name="QBREPORTCOMPARECOL_GROSSMARGINPCT" localSheetId="26">FALSE</definedName>
    <definedName name="QBREPORTCOMPARECOL_GROSSMARGINPCT" localSheetId="27">FALSE</definedName>
    <definedName name="QBREPORTCOMPARECOL_GROSSMARGINPCT" localSheetId="28">FALSE</definedName>
    <definedName name="QBREPORTCOMPARECOL_GROSSMARGINPCT" localSheetId="30">FALSE</definedName>
    <definedName name="QBREPORTCOMPARECOL_GROSSMARGINPCT" localSheetId="31">FALSE</definedName>
    <definedName name="QBREPORTCOMPARECOL_HOURS" localSheetId="6">FALSE</definedName>
    <definedName name="QBREPORTCOMPARECOL_HOURS" localSheetId="7">FALSE</definedName>
    <definedName name="QBREPORTCOMPARECOL_HOURS" localSheetId="8">FALSE</definedName>
    <definedName name="QBREPORTCOMPARECOL_HOURS" localSheetId="9">FALSE</definedName>
    <definedName name="QBREPORTCOMPARECOL_HOURS" localSheetId="10">FALSE</definedName>
    <definedName name="QBREPORTCOMPARECOL_HOURS" localSheetId="11">FALSE</definedName>
    <definedName name="QBREPORTCOMPARECOL_HOURS" localSheetId="12">FALSE</definedName>
    <definedName name="QBREPORTCOMPARECOL_HOURS" localSheetId="13">FALSE</definedName>
    <definedName name="QBREPORTCOMPARECOL_HOURS" localSheetId="14">FALSE</definedName>
    <definedName name="QBREPORTCOMPARECOL_HOURS" localSheetId="15">FALSE</definedName>
    <definedName name="QBREPORTCOMPARECOL_HOURS" localSheetId="16">FALSE</definedName>
    <definedName name="QBREPORTCOMPARECOL_HOURS" localSheetId="17">FALSE</definedName>
    <definedName name="QBREPORTCOMPARECOL_HOURS" localSheetId="18">FALSE</definedName>
    <definedName name="QBREPORTCOMPARECOL_HOURS" localSheetId="19">FALSE</definedName>
    <definedName name="QBREPORTCOMPARECOL_HOURS" localSheetId="20">FALSE</definedName>
    <definedName name="QBREPORTCOMPARECOL_HOURS" localSheetId="21">FALSE</definedName>
    <definedName name="QBREPORTCOMPARECOL_HOURS" localSheetId="22">FALSE</definedName>
    <definedName name="QBREPORTCOMPARECOL_HOURS" localSheetId="23">FALSE</definedName>
    <definedName name="QBREPORTCOMPARECOL_HOURS" localSheetId="24">FALSE</definedName>
    <definedName name="QBREPORTCOMPARECOL_HOURS" localSheetId="25">FALSE</definedName>
    <definedName name="QBREPORTCOMPARECOL_HOURS" localSheetId="26">FALSE</definedName>
    <definedName name="QBREPORTCOMPARECOL_HOURS" localSheetId="27">FALSE</definedName>
    <definedName name="QBREPORTCOMPARECOL_HOURS" localSheetId="28">FALSE</definedName>
    <definedName name="QBREPORTCOMPARECOL_HOURS" localSheetId="30">FALSE</definedName>
    <definedName name="QBREPORTCOMPARECOL_HOURS" localSheetId="31">FALSE</definedName>
    <definedName name="QBREPORTCOMPARECOL_PCTCOL" localSheetId="6">FALSE</definedName>
    <definedName name="QBREPORTCOMPARECOL_PCTCOL" localSheetId="7">FALSE</definedName>
    <definedName name="QBREPORTCOMPARECOL_PCTCOL" localSheetId="8">FALSE</definedName>
    <definedName name="QBREPORTCOMPARECOL_PCTCOL" localSheetId="9">FALSE</definedName>
    <definedName name="QBREPORTCOMPARECOL_PCTCOL" localSheetId="10">FALSE</definedName>
    <definedName name="QBREPORTCOMPARECOL_PCTCOL" localSheetId="11">FALSE</definedName>
    <definedName name="QBREPORTCOMPARECOL_PCTCOL" localSheetId="12">FALSE</definedName>
    <definedName name="QBREPORTCOMPARECOL_PCTCOL" localSheetId="13">FALSE</definedName>
    <definedName name="QBREPORTCOMPARECOL_PCTCOL" localSheetId="14">FALSE</definedName>
    <definedName name="QBREPORTCOMPARECOL_PCTCOL" localSheetId="15">FALSE</definedName>
    <definedName name="QBREPORTCOMPARECOL_PCTCOL" localSheetId="16">FALSE</definedName>
    <definedName name="QBREPORTCOMPARECOL_PCTCOL" localSheetId="17">FALSE</definedName>
    <definedName name="QBREPORTCOMPARECOL_PCTCOL" localSheetId="18">FALSE</definedName>
    <definedName name="QBREPORTCOMPARECOL_PCTCOL" localSheetId="19">FALSE</definedName>
    <definedName name="QBREPORTCOMPARECOL_PCTCOL" localSheetId="20">FALSE</definedName>
    <definedName name="QBREPORTCOMPARECOL_PCTCOL" localSheetId="21">FALSE</definedName>
    <definedName name="QBREPORTCOMPARECOL_PCTCOL" localSheetId="22">FALSE</definedName>
    <definedName name="QBREPORTCOMPARECOL_PCTCOL" localSheetId="23">FALSE</definedName>
    <definedName name="QBREPORTCOMPARECOL_PCTCOL" localSheetId="24">FALSE</definedName>
    <definedName name="QBREPORTCOMPARECOL_PCTCOL" localSheetId="25">FALSE</definedName>
    <definedName name="QBREPORTCOMPARECOL_PCTCOL" localSheetId="26">FALSE</definedName>
    <definedName name="QBREPORTCOMPARECOL_PCTCOL" localSheetId="27">FALSE</definedName>
    <definedName name="QBREPORTCOMPARECOL_PCTCOL" localSheetId="28">FALSE</definedName>
    <definedName name="QBREPORTCOMPARECOL_PCTCOL" localSheetId="30">FALSE</definedName>
    <definedName name="QBREPORTCOMPARECOL_PCTCOL" localSheetId="31">FALSE</definedName>
    <definedName name="QBREPORTCOMPARECOL_PCTEXPENSE" localSheetId="6">FALSE</definedName>
    <definedName name="QBREPORTCOMPARECOL_PCTEXPENSE" localSheetId="7">FALSE</definedName>
    <definedName name="QBREPORTCOMPARECOL_PCTEXPENSE" localSheetId="8">FALSE</definedName>
    <definedName name="QBREPORTCOMPARECOL_PCTEXPENSE" localSheetId="9">FALSE</definedName>
    <definedName name="QBREPORTCOMPARECOL_PCTEXPENSE" localSheetId="10">FALSE</definedName>
    <definedName name="QBREPORTCOMPARECOL_PCTEXPENSE" localSheetId="11">FALSE</definedName>
    <definedName name="QBREPORTCOMPARECOL_PCTEXPENSE" localSheetId="12">FALSE</definedName>
    <definedName name="QBREPORTCOMPARECOL_PCTEXPENSE" localSheetId="13">FALSE</definedName>
    <definedName name="QBREPORTCOMPARECOL_PCTEXPENSE" localSheetId="14">FALSE</definedName>
    <definedName name="QBREPORTCOMPARECOL_PCTEXPENSE" localSheetId="15">FALSE</definedName>
    <definedName name="QBREPORTCOMPARECOL_PCTEXPENSE" localSheetId="16">FALSE</definedName>
    <definedName name="QBREPORTCOMPARECOL_PCTEXPENSE" localSheetId="17">FALSE</definedName>
    <definedName name="QBREPORTCOMPARECOL_PCTEXPENSE" localSheetId="18">FALSE</definedName>
    <definedName name="QBREPORTCOMPARECOL_PCTEXPENSE" localSheetId="19">FALSE</definedName>
    <definedName name="QBREPORTCOMPARECOL_PCTEXPENSE" localSheetId="20">FALSE</definedName>
    <definedName name="QBREPORTCOMPARECOL_PCTEXPENSE" localSheetId="21">FALSE</definedName>
    <definedName name="QBREPORTCOMPARECOL_PCTEXPENSE" localSheetId="22">FALSE</definedName>
    <definedName name="QBREPORTCOMPARECOL_PCTEXPENSE" localSheetId="23">FALSE</definedName>
    <definedName name="QBREPORTCOMPARECOL_PCTEXPENSE" localSheetId="24">FALSE</definedName>
    <definedName name="QBREPORTCOMPARECOL_PCTEXPENSE" localSheetId="25">FALSE</definedName>
    <definedName name="QBREPORTCOMPARECOL_PCTEXPENSE" localSheetId="26">FALSE</definedName>
    <definedName name="QBREPORTCOMPARECOL_PCTEXPENSE" localSheetId="27">FALSE</definedName>
    <definedName name="QBREPORTCOMPARECOL_PCTEXPENSE" localSheetId="28">FALSE</definedName>
    <definedName name="QBREPORTCOMPARECOL_PCTEXPENSE" localSheetId="30">FALSE</definedName>
    <definedName name="QBREPORTCOMPARECOL_PCTEXPENSE" localSheetId="31">FALSE</definedName>
    <definedName name="QBREPORTCOMPARECOL_PCTINCOME" localSheetId="6">FALSE</definedName>
    <definedName name="QBREPORTCOMPARECOL_PCTINCOME" localSheetId="7">FALSE</definedName>
    <definedName name="QBREPORTCOMPARECOL_PCTINCOME" localSheetId="8">FALSE</definedName>
    <definedName name="QBREPORTCOMPARECOL_PCTINCOME" localSheetId="9">FALSE</definedName>
    <definedName name="QBREPORTCOMPARECOL_PCTINCOME" localSheetId="10">FALSE</definedName>
    <definedName name="QBREPORTCOMPARECOL_PCTINCOME" localSheetId="11">FALSE</definedName>
    <definedName name="QBREPORTCOMPARECOL_PCTINCOME" localSheetId="12">FALSE</definedName>
    <definedName name="QBREPORTCOMPARECOL_PCTINCOME" localSheetId="13">FALSE</definedName>
    <definedName name="QBREPORTCOMPARECOL_PCTINCOME" localSheetId="14">FALSE</definedName>
    <definedName name="QBREPORTCOMPARECOL_PCTINCOME" localSheetId="15">FALSE</definedName>
    <definedName name="QBREPORTCOMPARECOL_PCTINCOME" localSheetId="16">FALSE</definedName>
    <definedName name="QBREPORTCOMPARECOL_PCTINCOME" localSheetId="17">FALSE</definedName>
    <definedName name="QBREPORTCOMPARECOL_PCTINCOME" localSheetId="18">FALSE</definedName>
    <definedName name="QBREPORTCOMPARECOL_PCTINCOME" localSheetId="19">FALSE</definedName>
    <definedName name="QBREPORTCOMPARECOL_PCTINCOME" localSheetId="20">FALSE</definedName>
    <definedName name="QBREPORTCOMPARECOL_PCTINCOME" localSheetId="21">FALSE</definedName>
    <definedName name="QBREPORTCOMPARECOL_PCTINCOME" localSheetId="22">FALSE</definedName>
    <definedName name="QBREPORTCOMPARECOL_PCTINCOME" localSheetId="23">FALSE</definedName>
    <definedName name="QBREPORTCOMPARECOL_PCTINCOME" localSheetId="24">FALSE</definedName>
    <definedName name="QBREPORTCOMPARECOL_PCTINCOME" localSheetId="25">FALSE</definedName>
    <definedName name="QBREPORTCOMPARECOL_PCTINCOME" localSheetId="26">FALSE</definedName>
    <definedName name="QBREPORTCOMPARECOL_PCTINCOME" localSheetId="27">FALSE</definedName>
    <definedName name="QBREPORTCOMPARECOL_PCTINCOME" localSheetId="28">FALSE</definedName>
    <definedName name="QBREPORTCOMPARECOL_PCTINCOME" localSheetId="30">FALSE</definedName>
    <definedName name="QBREPORTCOMPARECOL_PCTINCOME" localSheetId="31">FALSE</definedName>
    <definedName name="QBREPORTCOMPARECOL_PCTOFSALES" localSheetId="6">FALSE</definedName>
    <definedName name="QBREPORTCOMPARECOL_PCTOFSALES" localSheetId="7">FALSE</definedName>
    <definedName name="QBREPORTCOMPARECOL_PCTOFSALES" localSheetId="8">FALSE</definedName>
    <definedName name="QBREPORTCOMPARECOL_PCTOFSALES" localSheetId="9">FALSE</definedName>
    <definedName name="QBREPORTCOMPARECOL_PCTOFSALES" localSheetId="10">FALSE</definedName>
    <definedName name="QBREPORTCOMPARECOL_PCTOFSALES" localSheetId="11">FALSE</definedName>
    <definedName name="QBREPORTCOMPARECOL_PCTOFSALES" localSheetId="12">FALSE</definedName>
    <definedName name="QBREPORTCOMPARECOL_PCTOFSALES" localSheetId="13">FALSE</definedName>
    <definedName name="QBREPORTCOMPARECOL_PCTOFSALES" localSheetId="14">FALSE</definedName>
    <definedName name="QBREPORTCOMPARECOL_PCTOFSALES" localSheetId="15">FALSE</definedName>
    <definedName name="QBREPORTCOMPARECOL_PCTOFSALES" localSheetId="16">FALSE</definedName>
    <definedName name="QBREPORTCOMPARECOL_PCTOFSALES" localSheetId="17">FALSE</definedName>
    <definedName name="QBREPORTCOMPARECOL_PCTOFSALES" localSheetId="18">FALSE</definedName>
    <definedName name="QBREPORTCOMPARECOL_PCTOFSALES" localSheetId="19">FALSE</definedName>
    <definedName name="QBREPORTCOMPARECOL_PCTOFSALES" localSheetId="20">FALSE</definedName>
    <definedName name="QBREPORTCOMPARECOL_PCTOFSALES" localSheetId="21">FALSE</definedName>
    <definedName name="QBREPORTCOMPARECOL_PCTOFSALES" localSheetId="22">FALSE</definedName>
    <definedName name="QBREPORTCOMPARECOL_PCTOFSALES" localSheetId="23">FALSE</definedName>
    <definedName name="QBREPORTCOMPARECOL_PCTOFSALES" localSheetId="24">FALSE</definedName>
    <definedName name="QBREPORTCOMPARECOL_PCTOFSALES" localSheetId="25">FALSE</definedName>
    <definedName name="QBREPORTCOMPARECOL_PCTOFSALES" localSheetId="26">FALSE</definedName>
    <definedName name="QBREPORTCOMPARECOL_PCTOFSALES" localSheetId="27">FALSE</definedName>
    <definedName name="QBREPORTCOMPARECOL_PCTOFSALES" localSheetId="28">FALSE</definedName>
    <definedName name="QBREPORTCOMPARECOL_PCTOFSALES" localSheetId="30">FALSE</definedName>
    <definedName name="QBREPORTCOMPARECOL_PCTOFSALES" localSheetId="31">FALSE</definedName>
    <definedName name="QBREPORTCOMPARECOL_PCTROW" localSheetId="6">FALSE</definedName>
    <definedName name="QBREPORTCOMPARECOL_PCTROW" localSheetId="7">FALSE</definedName>
    <definedName name="QBREPORTCOMPARECOL_PCTROW" localSheetId="8">FALSE</definedName>
    <definedName name="QBREPORTCOMPARECOL_PCTROW" localSheetId="9">FALSE</definedName>
    <definedName name="QBREPORTCOMPARECOL_PCTROW" localSheetId="10">FALSE</definedName>
    <definedName name="QBREPORTCOMPARECOL_PCTROW" localSheetId="11">FALSE</definedName>
    <definedName name="QBREPORTCOMPARECOL_PCTROW" localSheetId="12">FALSE</definedName>
    <definedName name="QBREPORTCOMPARECOL_PCTROW" localSheetId="13">FALSE</definedName>
    <definedName name="QBREPORTCOMPARECOL_PCTROW" localSheetId="14">FALSE</definedName>
    <definedName name="QBREPORTCOMPARECOL_PCTROW" localSheetId="15">FALSE</definedName>
    <definedName name="QBREPORTCOMPARECOL_PCTROW" localSheetId="16">FALSE</definedName>
    <definedName name="QBREPORTCOMPARECOL_PCTROW" localSheetId="17">FALSE</definedName>
    <definedName name="QBREPORTCOMPARECOL_PCTROW" localSheetId="18">FALSE</definedName>
    <definedName name="QBREPORTCOMPARECOL_PCTROW" localSheetId="19">FALSE</definedName>
    <definedName name="QBREPORTCOMPARECOL_PCTROW" localSheetId="20">FALSE</definedName>
    <definedName name="QBREPORTCOMPARECOL_PCTROW" localSheetId="21">FALSE</definedName>
    <definedName name="QBREPORTCOMPARECOL_PCTROW" localSheetId="22">FALSE</definedName>
    <definedName name="QBREPORTCOMPARECOL_PCTROW" localSheetId="23">FALSE</definedName>
    <definedName name="QBREPORTCOMPARECOL_PCTROW" localSheetId="24">FALSE</definedName>
    <definedName name="QBREPORTCOMPARECOL_PCTROW" localSheetId="25">FALSE</definedName>
    <definedName name="QBREPORTCOMPARECOL_PCTROW" localSheetId="26">FALSE</definedName>
    <definedName name="QBREPORTCOMPARECOL_PCTROW" localSheetId="27">FALSE</definedName>
    <definedName name="QBREPORTCOMPARECOL_PCTROW" localSheetId="28">FALSE</definedName>
    <definedName name="QBREPORTCOMPARECOL_PCTROW" localSheetId="30">FALSE</definedName>
    <definedName name="QBREPORTCOMPARECOL_PCTROW" localSheetId="31">FALSE</definedName>
    <definedName name="QBREPORTCOMPARECOL_PPDIFF" localSheetId="6">FALSE</definedName>
    <definedName name="QBREPORTCOMPARECOL_PPDIFF" localSheetId="7">FALSE</definedName>
    <definedName name="QBREPORTCOMPARECOL_PPDIFF" localSheetId="8">FALSE</definedName>
    <definedName name="QBREPORTCOMPARECOL_PPDIFF" localSheetId="9">FALSE</definedName>
    <definedName name="QBREPORTCOMPARECOL_PPDIFF" localSheetId="10">FALSE</definedName>
    <definedName name="QBREPORTCOMPARECOL_PPDIFF" localSheetId="11">FALSE</definedName>
    <definedName name="QBREPORTCOMPARECOL_PPDIFF" localSheetId="12">FALSE</definedName>
    <definedName name="QBREPORTCOMPARECOL_PPDIFF" localSheetId="13">FALSE</definedName>
    <definedName name="QBREPORTCOMPARECOL_PPDIFF" localSheetId="14">FALSE</definedName>
    <definedName name="QBREPORTCOMPARECOL_PPDIFF" localSheetId="15">FALSE</definedName>
    <definedName name="QBREPORTCOMPARECOL_PPDIFF" localSheetId="16">FALSE</definedName>
    <definedName name="QBREPORTCOMPARECOL_PPDIFF" localSheetId="17">FALSE</definedName>
    <definedName name="QBREPORTCOMPARECOL_PPDIFF" localSheetId="18">FALSE</definedName>
    <definedName name="QBREPORTCOMPARECOL_PPDIFF" localSheetId="19">FALSE</definedName>
    <definedName name="QBREPORTCOMPARECOL_PPDIFF" localSheetId="20">FALSE</definedName>
    <definedName name="QBREPORTCOMPARECOL_PPDIFF" localSheetId="21">FALSE</definedName>
    <definedName name="QBREPORTCOMPARECOL_PPDIFF" localSheetId="22">FALSE</definedName>
    <definedName name="QBREPORTCOMPARECOL_PPDIFF" localSheetId="23">FALSE</definedName>
    <definedName name="QBREPORTCOMPARECOL_PPDIFF" localSheetId="24">FALSE</definedName>
    <definedName name="QBREPORTCOMPARECOL_PPDIFF" localSheetId="25">FALSE</definedName>
    <definedName name="QBREPORTCOMPARECOL_PPDIFF" localSheetId="26">FALSE</definedName>
    <definedName name="QBREPORTCOMPARECOL_PPDIFF" localSheetId="27">FALSE</definedName>
    <definedName name="QBREPORTCOMPARECOL_PPDIFF" localSheetId="28">FALSE</definedName>
    <definedName name="QBREPORTCOMPARECOL_PPDIFF" localSheetId="30">FALSE</definedName>
    <definedName name="QBREPORTCOMPARECOL_PPDIFF" localSheetId="31">FALSE</definedName>
    <definedName name="QBREPORTCOMPARECOL_PPPCT" localSheetId="6">FALSE</definedName>
    <definedName name="QBREPORTCOMPARECOL_PPPCT" localSheetId="7">FALSE</definedName>
    <definedName name="QBREPORTCOMPARECOL_PPPCT" localSheetId="8">FALSE</definedName>
    <definedName name="QBREPORTCOMPARECOL_PPPCT" localSheetId="9">FALSE</definedName>
    <definedName name="QBREPORTCOMPARECOL_PPPCT" localSheetId="10">FALSE</definedName>
    <definedName name="QBREPORTCOMPARECOL_PPPCT" localSheetId="11">FALSE</definedName>
    <definedName name="QBREPORTCOMPARECOL_PPPCT" localSheetId="12">FALSE</definedName>
    <definedName name="QBREPORTCOMPARECOL_PPPCT" localSheetId="13">FALSE</definedName>
    <definedName name="QBREPORTCOMPARECOL_PPPCT" localSheetId="14">FALSE</definedName>
    <definedName name="QBREPORTCOMPARECOL_PPPCT" localSheetId="15">FALSE</definedName>
    <definedName name="QBREPORTCOMPARECOL_PPPCT" localSheetId="16">FALSE</definedName>
    <definedName name="QBREPORTCOMPARECOL_PPPCT" localSheetId="17">FALSE</definedName>
    <definedName name="QBREPORTCOMPARECOL_PPPCT" localSheetId="18">FALSE</definedName>
    <definedName name="QBREPORTCOMPARECOL_PPPCT" localSheetId="19">FALSE</definedName>
    <definedName name="QBREPORTCOMPARECOL_PPPCT" localSheetId="20">FALSE</definedName>
    <definedName name="QBREPORTCOMPARECOL_PPPCT" localSheetId="21">FALSE</definedName>
    <definedName name="QBREPORTCOMPARECOL_PPPCT" localSheetId="22">FALSE</definedName>
    <definedName name="QBREPORTCOMPARECOL_PPPCT" localSheetId="23">FALSE</definedName>
    <definedName name="QBREPORTCOMPARECOL_PPPCT" localSheetId="24">FALSE</definedName>
    <definedName name="QBREPORTCOMPARECOL_PPPCT" localSheetId="25">FALSE</definedName>
    <definedName name="QBREPORTCOMPARECOL_PPPCT" localSheetId="26">FALSE</definedName>
    <definedName name="QBREPORTCOMPARECOL_PPPCT" localSheetId="27">FALSE</definedName>
    <definedName name="QBREPORTCOMPARECOL_PPPCT" localSheetId="28">FALSE</definedName>
    <definedName name="QBREPORTCOMPARECOL_PPPCT" localSheetId="30">FALSE</definedName>
    <definedName name="QBREPORTCOMPARECOL_PPPCT" localSheetId="31">FALSE</definedName>
    <definedName name="QBREPORTCOMPARECOL_PREVPERIOD" localSheetId="6">FALSE</definedName>
    <definedName name="QBREPORTCOMPARECOL_PREVPERIOD" localSheetId="7">FALSE</definedName>
    <definedName name="QBREPORTCOMPARECOL_PREVPERIOD" localSheetId="8">FALSE</definedName>
    <definedName name="QBREPORTCOMPARECOL_PREVPERIOD" localSheetId="9">FALSE</definedName>
    <definedName name="QBREPORTCOMPARECOL_PREVPERIOD" localSheetId="10">FALSE</definedName>
    <definedName name="QBREPORTCOMPARECOL_PREVPERIOD" localSheetId="11">FALSE</definedName>
    <definedName name="QBREPORTCOMPARECOL_PREVPERIOD" localSheetId="12">FALSE</definedName>
    <definedName name="QBREPORTCOMPARECOL_PREVPERIOD" localSheetId="13">FALSE</definedName>
    <definedName name="QBREPORTCOMPARECOL_PREVPERIOD" localSheetId="14">FALSE</definedName>
    <definedName name="QBREPORTCOMPARECOL_PREVPERIOD" localSheetId="15">FALSE</definedName>
    <definedName name="QBREPORTCOMPARECOL_PREVPERIOD" localSheetId="16">FALSE</definedName>
    <definedName name="QBREPORTCOMPARECOL_PREVPERIOD" localSheetId="17">FALSE</definedName>
    <definedName name="QBREPORTCOMPARECOL_PREVPERIOD" localSheetId="18">FALSE</definedName>
    <definedName name="QBREPORTCOMPARECOL_PREVPERIOD" localSheetId="19">FALSE</definedName>
    <definedName name="QBREPORTCOMPARECOL_PREVPERIOD" localSheetId="20">FALSE</definedName>
    <definedName name="QBREPORTCOMPARECOL_PREVPERIOD" localSheetId="21">FALSE</definedName>
    <definedName name="QBREPORTCOMPARECOL_PREVPERIOD" localSheetId="22">FALSE</definedName>
    <definedName name="QBREPORTCOMPARECOL_PREVPERIOD" localSheetId="23">FALSE</definedName>
    <definedName name="QBREPORTCOMPARECOL_PREVPERIOD" localSheetId="24">FALSE</definedName>
    <definedName name="QBREPORTCOMPARECOL_PREVPERIOD" localSheetId="25">FALSE</definedName>
    <definedName name="QBREPORTCOMPARECOL_PREVPERIOD" localSheetId="26">FALSE</definedName>
    <definedName name="QBREPORTCOMPARECOL_PREVPERIOD" localSheetId="27">FALSE</definedName>
    <definedName name="QBREPORTCOMPARECOL_PREVPERIOD" localSheetId="28">FALSE</definedName>
    <definedName name="QBREPORTCOMPARECOL_PREVPERIOD" localSheetId="30">FALSE</definedName>
    <definedName name="QBREPORTCOMPARECOL_PREVPERIOD" localSheetId="31">FALSE</definedName>
    <definedName name="QBREPORTCOMPARECOL_PREVYEAR" localSheetId="6">FALSE</definedName>
    <definedName name="QBREPORTCOMPARECOL_PREVYEAR" localSheetId="7">FALSE</definedName>
    <definedName name="QBREPORTCOMPARECOL_PREVYEAR" localSheetId="8">FALSE</definedName>
    <definedName name="QBREPORTCOMPARECOL_PREVYEAR" localSheetId="9">FALSE</definedName>
    <definedName name="QBREPORTCOMPARECOL_PREVYEAR" localSheetId="10">FALSE</definedName>
    <definedName name="QBREPORTCOMPARECOL_PREVYEAR" localSheetId="11">FALSE</definedName>
    <definedName name="QBREPORTCOMPARECOL_PREVYEAR" localSheetId="12">FALSE</definedName>
    <definedName name="QBREPORTCOMPARECOL_PREVYEAR" localSheetId="13">FALSE</definedName>
    <definedName name="QBREPORTCOMPARECOL_PREVYEAR" localSheetId="14">FALSE</definedName>
    <definedName name="QBREPORTCOMPARECOL_PREVYEAR" localSheetId="15">FALSE</definedName>
    <definedName name="QBREPORTCOMPARECOL_PREVYEAR" localSheetId="16">FALSE</definedName>
    <definedName name="QBREPORTCOMPARECOL_PREVYEAR" localSheetId="17">FALSE</definedName>
    <definedName name="QBREPORTCOMPARECOL_PREVYEAR" localSheetId="18">FALSE</definedName>
    <definedName name="QBREPORTCOMPARECOL_PREVYEAR" localSheetId="19">FALSE</definedName>
    <definedName name="QBREPORTCOMPARECOL_PREVYEAR" localSheetId="20">FALSE</definedName>
    <definedName name="QBREPORTCOMPARECOL_PREVYEAR" localSheetId="21">FALSE</definedName>
    <definedName name="QBREPORTCOMPARECOL_PREVYEAR" localSheetId="22">FALSE</definedName>
    <definedName name="QBREPORTCOMPARECOL_PREVYEAR" localSheetId="23">FALSE</definedName>
    <definedName name="QBREPORTCOMPARECOL_PREVYEAR" localSheetId="24">FALSE</definedName>
    <definedName name="QBREPORTCOMPARECOL_PREVYEAR" localSheetId="25">FALSE</definedName>
    <definedName name="QBREPORTCOMPARECOL_PREVYEAR" localSheetId="26">FALSE</definedName>
    <definedName name="QBREPORTCOMPARECOL_PREVYEAR" localSheetId="27">FALSE</definedName>
    <definedName name="QBREPORTCOMPARECOL_PREVYEAR" localSheetId="28">FALSE</definedName>
    <definedName name="QBREPORTCOMPARECOL_PREVYEAR" localSheetId="30">FALSE</definedName>
    <definedName name="QBREPORTCOMPARECOL_PREVYEAR" localSheetId="31">FALSE</definedName>
    <definedName name="QBREPORTCOMPARECOL_PYDIFF" localSheetId="6">FALSE</definedName>
    <definedName name="QBREPORTCOMPARECOL_PYDIFF" localSheetId="7">FALSE</definedName>
    <definedName name="QBREPORTCOMPARECOL_PYDIFF" localSheetId="8">FALSE</definedName>
    <definedName name="QBREPORTCOMPARECOL_PYDIFF" localSheetId="9">FALSE</definedName>
    <definedName name="QBREPORTCOMPARECOL_PYDIFF" localSheetId="10">FALSE</definedName>
    <definedName name="QBREPORTCOMPARECOL_PYDIFF" localSheetId="11">FALSE</definedName>
    <definedName name="QBREPORTCOMPARECOL_PYDIFF" localSheetId="12">FALSE</definedName>
    <definedName name="QBREPORTCOMPARECOL_PYDIFF" localSheetId="13">FALSE</definedName>
    <definedName name="QBREPORTCOMPARECOL_PYDIFF" localSheetId="14">FALSE</definedName>
    <definedName name="QBREPORTCOMPARECOL_PYDIFF" localSheetId="15">FALSE</definedName>
    <definedName name="QBREPORTCOMPARECOL_PYDIFF" localSheetId="16">FALSE</definedName>
    <definedName name="QBREPORTCOMPARECOL_PYDIFF" localSheetId="17">FALSE</definedName>
    <definedName name="QBREPORTCOMPARECOL_PYDIFF" localSheetId="18">FALSE</definedName>
    <definedName name="QBREPORTCOMPARECOL_PYDIFF" localSheetId="19">FALSE</definedName>
    <definedName name="QBREPORTCOMPARECOL_PYDIFF" localSheetId="20">FALSE</definedName>
    <definedName name="QBREPORTCOMPARECOL_PYDIFF" localSheetId="21">FALSE</definedName>
    <definedName name="QBREPORTCOMPARECOL_PYDIFF" localSheetId="22">FALSE</definedName>
    <definedName name="QBREPORTCOMPARECOL_PYDIFF" localSheetId="23">FALSE</definedName>
    <definedName name="QBREPORTCOMPARECOL_PYDIFF" localSheetId="24">FALSE</definedName>
    <definedName name="QBREPORTCOMPARECOL_PYDIFF" localSheetId="25">FALSE</definedName>
    <definedName name="QBREPORTCOMPARECOL_PYDIFF" localSheetId="26">FALSE</definedName>
    <definedName name="QBREPORTCOMPARECOL_PYDIFF" localSheetId="27">FALSE</definedName>
    <definedName name="QBREPORTCOMPARECOL_PYDIFF" localSheetId="28">FALSE</definedName>
    <definedName name="QBREPORTCOMPARECOL_PYDIFF" localSheetId="30">FALSE</definedName>
    <definedName name="QBREPORTCOMPARECOL_PYDIFF" localSheetId="31">FALSE</definedName>
    <definedName name="QBREPORTCOMPARECOL_PYPCT" localSheetId="6">FALSE</definedName>
    <definedName name="QBREPORTCOMPARECOL_PYPCT" localSheetId="7">FALSE</definedName>
    <definedName name="QBREPORTCOMPARECOL_PYPCT" localSheetId="8">FALSE</definedName>
    <definedName name="QBREPORTCOMPARECOL_PYPCT" localSheetId="9">FALSE</definedName>
    <definedName name="QBREPORTCOMPARECOL_PYPCT" localSheetId="10">FALSE</definedName>
    <definedName name="QBREPORTCOMPARECOL_PYPCT" localSheetId="11">FALSE</definedName>
    <definedName name="QBREPORTCOMPARECOL_PYPCT" localSheetId="12">FALSE</definedName>
    <definedName name="QBREPORTCOMPARECOL_PYPCT" localSheetId="13">FALSE</definedName>
    <definedName name="QBREPORTCOMPARECOL_PYPCT" localSheetId="14">FALSE</definedName>
    <definedName name="QBREPORTCOMPARECOL_PYPCT" localSheetId="15">FALSE</definedName>
    <definedName name="QBREPORTCOMPARECOL_PYPCT" localSheetId="16">FALSE</definedName>
    <definedName name="QBREPORTCOMPARECOL_PYPCT" localSheetId="17">FALSE</definedName>
    <definedName name="QBREPORTCOMPARECOL_PYPCT" localSheetId="18">FALSE</definedName>
    <definedName name="QBREPORTCOMPARECOL_PYPCT" localSheetId="19">FALSE</definedName>
    <definedName name="QBREPORTCOMPARECOL_PYPCT" localSheetId="20">FALSE</definedName>
    <definedName name="QBREPORTCOMPARECOL_PYPCT" localSheetId="21">FALSE</definedName>
    <definedName name="QBREPORTCOMPARECOL_PYPCT" localSheetId="22">FALSE</definedName>
    <definedName name="QBREPORTCOMPARECOL_PYPCT" localSheetId="23">FALSE</definedName>
    <definedName name="QBREPORTCOMPARECOL_PYPCT" localSheetId="24">FALSE</definedName>
    <definedName name="QBREPORTCOMPARECOL_PYPCT" localSheetId="25">FALSE</definedName>
    <definedName name="QBREPORTCOMPARECOL_PYPCT" localSheetId="26">FALSE</definedName>
    <definedName name="QBREPORTCOMPARECOL_PYPCT" localSheetId="27">FALSE</definedName>
    <definedName name="QBREPORTCOMPARECOL_PYPCT" localSheetId="28">FALSE</definedName>
    <definedName name="QBREPORTCOMPARECOL_PYPCT" localSheetId="30">FALSE</definedName>
    <definedName name="QBREPORTCOMPARECOL_PYPCT" localSheetId="31">FALSE</definedName>
    <definedName name="QBREPORTCOMPARECOL_QTY" localSheetId="6">FALSE</definedName>
    <definedName name="QBREPORTCOMPARECOL_QTY" localSheetId="7">FALSE</definedName>
    <definedName name="QBREPORTCOMPARECOL_QTY" localSheetId="8">FALSE</definedName>
    <definedName name="QBREPORTCOMPARECOL_QTY" localSheetId="9">FALSE</definedName>
    <definedName name="QBREPORTCOMPARECOL_QTY" localSheetId="10">FALSE</definedName>
    <definedName name="QBREPORTCOMPARECOL_QTY" localSheetId="11">FALSE</definedName>
    <definedName name="QBREPORTCOMPARECOL_QTY" localSheetId="12">FALSE</definedName>
    <definedName name="QBREPORTCOMPARECOL_QTY" localSheetId="13">FALSE</definedName>
    <definedName name="QBREPORTCOMPARECOL_QTY" localSheetId="14">FALSE</definedName>
    <definedName name="QBREPORTCOMPARECOL_QTY" localSheetId="15">FALSE</definedName>
    <definedName name="QBREPORTCOMPARECOL_QTY" localSheetId="16">FALSE</definedName>
    <definedName name="QBREPORTCOMPARECOL_QTY" localSheetId="17">FALSE</definedName>
    <definedName name="QBREPORTCOMPARECOL_QTY" localSheetId="18">FALSE</definedName>
    <definedName name="QBREPORTCOMPARECOL_QTY" localSheetId="19">FALSE</definedName>
    <definedName name="QBREPORTCOMPARECOL_QTY" localSheetId="20">FALSE</definedName>
    <definedName name="QBREPORTCOMPARECOL_QTY" localSheetId="21">FALSE</definedName>
    <definedName name="QBREPORTCOMPARECOL_QTY" localSheetId="22">FALSE</definedName>
    <definedName name="QBREPORTCOMPARECOL_QTY" localSheetId="23">FALSE</definedName>
    <definedName name="QBREPORTCOMPARECOL_QTY" localSheetId="24">FALSE</definedName>
    <definedName name="QBREPORTCOMPARECOL_QTY" localSheetId="25">FALSE</definedName>
    <definedName name="QBREPORTCOMPARECOL_QTY" localSheetId="26">FALSE</definedName>
    <definedName name="QBREPORTCOMPARECOL_QTY" localSheetId="27">FALSE</definedName>
    <definedName name="QBREPORTCOMPARECOL_QTY" localSheetId="28">FALSE</definedName>
    <definedName name="QBREPORTCOMPARECOL_QTY" localSheetId="30">FALSE</definedName>
    <definedName name="QBREPORTCOMPARECOL_QTY" localSheetId="31">FALSE</definedName>
    <definedName name="QBREPORTCOMPARECOL_RATE" localSheetId="6">FALSE</definedName>
    <definedName name="QBREPORTCOMPARECOL_RATE" localSheetId="7">FALSE</definedName>
    <definedName name="QBREPORTCOMPARECOL_RATE" localSheetId="8">FALSE</definedName>
    <definedName name="QBREPORTCOMPARECOL_RATE" localSheetId="9">FALSE</definedName>
    <definedName name="QBREPORTCOMPARECOL_RATE" localSheetId="10">FALSE</definedName>
    <definedName name="QBREPORTCOMPARECOL_RATE" localSheetId="11">FALSE</definedName>
    <definedName name="QBREPORTCOMPARECOL_RATE" localSheetId="12">FALSE</definedName>
    <definedName name="QBREPORTCOMPARECOL_RATE" localSheetId="13">FALSE</definedName>
    <definedName name="QBREPORTCOMPARECOL_RATE" localSheetId="14">FALSE</definedName>
    <definedName name="QBREPORTCOMPARECOL_RATE" localSheetId="15">FALSE</definedName>
    <definedName name="QBREPORTCOMPARECOL_RATE" localSheetId="16">FALSE</definedName>
    <definedName name="QBREPORTCOMPARECOL_RATE" localSheetId="17">FALSE</definedName>
    <definedName name="QBREPORTCOMPARECOL_RATE" localSheetId="18">FALSE</definedName>
    <definedName name="QBREPORTCOMPARECOL_RATE" localSheetId="19">FALSE</definedName>
    <definedName name="QBREPORTCOMPARECOL_RATE" localSheetId="20">FALSE</definedName>
    <definedName name="QBREPORTCOMPARECOL_RATE" localSheetId="21">FALSE</definedName>
    <definedName name="QBREPORTCOMPARECOL_RATE" localSheetId="22">FALSE</definedName>
    <definedName name="QBREPORTCOMPARECOL_RATE" localSheetId="23">FALSE</definedName>
    <definedName name="QBREPORTCOMPARECOL_RATE" localSheetId="24">FALSE</definedName>
    <definedName name="QBREPORTCOMPARECOL_RATE" localSheetId="25">FALSE</definedName>
    <definedName name="QBREPORTCOMPARECOL_RATE" localSheetId="26">FALSE</definedName>
    <definedName name="QBREPORTCOMPARECOL_RATE" localSheetId="27">FALSE</definedName>
    <definedName name="QBREPORTCOMPARECOL_RATE" localSheetId="28">FALSE</definedName>
    <definedName name="QBREPORTCOMPARECOL_RATE" localSheetId="30">FALSE</definedName>
    <definedName name="QBREPORTCOMPARECOL_RATE" localSheetId="31">FALSE</definedName>
    <definedName name="QBREPORTCOMPARECOL_TRIPBILLEDMILES" localSheetId="6">FALSE</definedName>
    <definedName name="QBREPORTCOMPARECOL_TRIPBILLEDMILES" localSheetId="7">FALSE</definedName>
    <definedName name="QBREPORTCOMPARECOL_TRIPBILLEDMILES" localSheetId="8">FALSE</definedName>
    <definedName name="QBREPORTCOMPARECOL_TRIPBILLEDMILES" localSheetId="9">FALSE</definedName>
    <definedName name="QBREPORTCOMPARECOL_TRIPBILLEDMILES" localSheetId="10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3">FALSE</definedName>
    <definedName name="QBREPORTCOMPARECOL_TRIPBILLEDMILES" localSheetId="14">FALSE</definedName>
    <definedName name="QBREPORTCOMPARECOL_TRIPBILLEDMILES" localSheetId="15">FALSE</definedName>
    <definedName name="QBREPORTCOMPARECOL_TRIPBILLEDMILES" localSheetId="16">FALSE</definedName>
    <definedName name="QBREPORTCOMPARECOL_TRIPBILLEDMILES" localSheetId="17">FALSE</definedName>
    <definedName name="QBREPORTCOMPARECOL_TRIPBILLEDMILES" localSheetId="18">FALSE</definedName>
    <definedName name="QBREPORTCOMPARECOL_TRIPBILLEDMILES" localSheetId="19">FALSE</definedName>
    <definedName name="QBREPORTCOMPARECOL_TRIPBILLEDMILES" localSheetId="20">FALSE</definedName>
    <definedName name="QBREPORTCOMPARECOL_TRIPBILLEDMILES" localSheetId="21">FALSE</definedName>
    <definedName name="QBREPORTCOMPARECOL_TRIPBILLEDMILES" localSheetId="22">FALSE</definedName>
    <definedName name="QBREPORTCOMPARECOL_TRIPBILLEDMILES" localSheetId="23">FALSE</definedName>
    <definedName name="QBREPORTCOMPARECOL_TRIPBILLEDMILES" localSheetId="24">FALSE</definedName>
    <definedName name="QBREPORTCOMPARECOL_TRIPBILLEDMILES" localSheetId="25">FALSE</definedName>
    <definedName name="QBREPORTCOMPARECOL_TRIPBILLEDMILES" localSheetId="26">FALSE</definedName>
    <definedName name="QBREPORTCOMPARECOL_TRIPBILLEDMILES" localSheetId="27">FALSE</definedName>
    <definedName name="QBREPORTCOMPARECOL_TRIPBILLEDMILES" localSheetId="28">FALSE</definedName>
    <definedName name="QBREPORTCOMPARECOL_TRIPBILLEDMILES" localSheetId="30">FALSE</definedName>
    <definedName name="QBREPORTCOMPARECOL_TRIPBILLEDMILES" localSheetId="31">FALSE</definedName>
    <definedName name="QBREPORTCOMPARECOL_TRIPBILLINGAMOUNT" localSheetId="6">FALSE</definedName>
    <definedName name="QBREPORTCOMPARECOL_TRIPBILLINGAMOUNT" localSheetId="7">FALSE</definedName>
    <definedName name="QBREPORTCOMPARECOL_TRIPBILLINGAMOUNT" localSheetId="8">FALSE</definedName>
    <definedName name="QBREPORTCOMPARECOL_TRIPBILLINGAMOUNT" localSheetId="9">FALSE</definedName>
    <definedName name="QBREPORTCOMPARECOL_TRIPBILLINGAMOUNT" localSheetId="10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3">FALSE</definedName>
    <definedName name="QBREPORTCOMPARECOL_TRIPBILLINGAMOUNT" localSheetId="14">FALSE</definedName>
    <definedName name="QBREPORTCOMPARECOL_TRIPBILLINGAMOUNT" localSheetId="15">FALSE</definedName>
    <definedName name="QBREPORTCOMPARECOL_TRIPBILLINGAMOUNT" localSheetId="16">FALSE</definedName>
    <definedName name="QBREPORTCOMPARECOL_TRIPBILLINGAMOUNT" localSheetId="17">FALSE</definedName>
    <definedName name="QBREPORTCOMPARECOL_TRIPBILLINGAMOUNT" localSheetId="18">FALSE</definedName>
    <definedName name="QBREPORTCOMPARECOL_TRIPBILLINGAMOUNT" localSheetId="19">FALSE</definedName>
    <definedName name="QBREPORTCOMPARECOL_TRIPBILLINGAMOUNT" localSheetId="20">FALSE</definedName>
    <definedName name="QBREPORTCOMPARECOL_TRIPBILLINGAMOUNT" localSheetId="21">FALSE</definedName>
    <definedName name="QBREPORTCOMPARECOL_TRIPBILLINGAMOUNT" localSheetId="22">FALSE</definedName>
    <definedName name="QBREPORTCOMPARECOL_TRIPBILLINGAMOUNT" localSheetId="23">FALSE</definedName>
    <definedName name="QBREPORTCOMPARECOL_TRIPBILLINGAMOUNT" localSheetId="24">FALSE</definedName>
    <definedName name="QBREPORTCOMPARECOL_TRIPBILLINGAMOUNT" localSheetId="25">FALSE</definedName>
    <definedName name="QBREPORTCOMPARECOL_TRIPBILLINGAMOUNT" localSheetId="26">FALSE</definedName>
    <definedName name="QBREPORTCOMPARECOL_TRIPBILLINGAMOUNT" localSheetId="27">FALSE</definedName>
    <definedName name="QBREPORTCOMPARECOL_TRIPBILLINGAMOUNT" localSheetId="28">FALSE</definedName>
    <definedName name="QBREPORTCOMPARECOL_TRIPBILLINGAMOUNT" localSheetId="30">FALSE</definedName>
    <definedName name="QBREPORTCOMPARECOL_TRIPBILLINGAMOUNT" localSheetId="31">FALSE</definedName>
    <definedName name="QBREPORTCOMPARECOL_TRIPMILES" localSheetId="6">FALSE</definedName>
    <definedName name="QBREPORTCOMPARECOL_TRIPMILES" localSheetId="7">FALSE</definedName>
    <definedName name="QBREPORTCOMPARECOL_TRIPMILES" localSheetId="8">FALSE</definedName>
    <definedName name="QBREPORTCOMPARECOL_TRIPMILES" localSheetId="9">FALSE</definedName>
    <definedName name="QBREPORTCOMPARECOL_TRIPMILES" localSheetId="10">FALSE</definedName>
    <definedName name="QBREPORTCOMPARECOL_TRIPMILES" localSheetId="11">FALSE</definedName>
    <definedName name="QBREPORTCOMPARECOL_TRIPMILES" localSheetId="12">FALSE</definedName>
    <definedName name="QBREPORTCOMPARECOL_TRIPMILES" localSheetId="13">FALSE</definedName>
    <definedName name="QBREPORTCOMPARECOL_TRIPMILES" localSheetId="14">FALSE</definedName>
    <definedName name="QBREPORTCOMPARECOL_TRIPMILES" localSheetId="15">FALSE</definedName>
    <definedName name="QBREPORTCOMPARECOL_TRIPMILES" localSheetId="16">FALSE</definedName>
    <definedName name="QBREPORTCOMPARECOL_TRIPMILES" localSheetId="17">FALSE</definedName>
    <definedName name="QBREPORTCOMPARECOL_TRIPMILES" localSheetId="18">FALSE</definedName>
    <definedName name="QBREPORTCOMPARECOL_TRIPMILES" localSheetId="19">FALSE</definedName>
    <definedName name="QBREPORTCOMPARECOL_TRIPMILES" localSheetId="20">FALSE</definedName>
    <definedName name="QBREPORTCOMPARECOL_TRIPMILES" localSheetId="21">FALSE</definedName>
    <definedName name="QBREPORTCOMPARECOL_TRIPMILES" localSheetId="22">FALSE</definedName>
    <definedName name="QBREPORTCOMPARECOL_TRIPMILES" localSheetId="23">FALSE</definedName>
    <definedName name="QBREPORTCOMPARECOL_TRIPMILES" localSheetId="24">FALSE</definedName>
    <definedName name="QBREPORTCOMPARECOL_TRIPMILES" localSheetId="25">FALSE</definedName>
    <definedName name="QBREPORTCOMPARECOL_TRIPMILES" localSheetId="26">FALSE</definedName>
    <definedName name="QBREPORTCOMPARECOL_TRIPMILES" localSheetId="27">FALSE</definedName>
    <definedName name="QBREPORTCOMPARECOL_TRIPMILES" localSheetId="28">FALSE</definedName>
    <definedName name="QBREPORTCOMPARECOL_TRIPMILES" localSheetId="30">FALSE</definedName>
    <definedName name="QBREPORTCOMPARECOL_TRIPMILES" localSheetId="31">FALSE</definedName>
    <definedName name="QBREPORTCOMPARECOL_TRIPNOTBILLABLEMILES" localSheetId="6">FALSE</definedName>
    <definedName name="QBREPORTCOMPARECOL_TRIPNOTBILLABLEMILES" localSheetId="7">FALSE</definedName>
    <definedName name="QBREPORTCOMPARECOL_TRIPNOTBILLABLEMILES" localSheetId="8">FALSE</definedName>
    <definedName name="QBREPORTCOMPARECOL_TRIPNOTBILLABLEMILES" localSheetId="9">FALSE</definedName>
    <definedName name="QBREPORTCOMPARECOL_TRIPNOTBILLABLEMILES" localSheetId="10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3">FALSE</definedName>
    <definedName name="QBREPORTCOMPARECOL_TRIPNOTBILLABLEMILES" localSheetId="14">FALSE</definedName>
    <definedName name="QBREPORTCOMPARECOL_TRIPNOTBILLABLEMILES" localSheetId="15">FALSE</definedName>
    <definedName name="QBREPORTCOMPARECOL_TRIPNOTBILLABLEMILES" localSheetId="16">FALSE</definedName>
    <definedName name="QBREPORTCOMPARECOL_TRIPNOTBILLABLEMILES" localSheetId="17">FALSE</definedName>
    <definedName name="QBREPORTCOMPARECOL_TRIPNOTBILLABLEMILES" localSheetId="18">FALSE</definedName>
    <definedName name="QBREPORTCOMPARECOL_TRIPNOTBILLABLEMILES" localSheetId="19">FALSE</definedName>
    <definedName name="QBREPORTCOMPARECOL_TRIPNOTBILLABLEMILES" localSheetId="20">FALSE</definedName>
    <definedName name="QBREPORTCOMPARECOL_TRIPNOTBILLABLEMILES" localSheetId="21">FALSE</definedName>
    <definedName name="QBREPORTCOMPARECOL_TRIPNOTBILLABLEMILES" localSheetId="22">FALSE</definedName>
    <definedName name="QBREPORTCOMPARECOL_TRIPNOTBILLABLEMILES" localSheetId="23">FALSE</definedName>
    <definedName name="QBREPORTCOMPARECOL_TRIPNOTBILLABLEMILES" localSheetId="24">FALSE</definedName>
    <definedName name="QBREPORTCOMPARECOL_TRIPNOTBILLABLEMILES" localSheetId="25">FALSE</definedName>
    <definedName name="QBREPORTCOMPARECOL_TRIPNOTBILLABLEMILES" localSheetId="26">FALSE</definedName>
    <definedName name="QBREPORTCOMPARECOL_TRIPNOTBILLABLEMILES" localSheetId="27">FALSE</definedName>
    <definedName name="QBREPORTCOMPARECOL_TRIPNOTBILLABLEMILES" localSheetId="28">FALSE</definedName>
    <definedName name="QBREPORTCOMPARECOL_TRIPNOTBILLABLEMILES" localSheetId="30">FALSE</definedName>
    <definedName name="QBREPORTCOMPARECOL_TRIPNOTBILLABLEMILES" localSheetId="31">FALSE</definedName>
    <definedName name="QBREPORTCOMPARECOL_TRIPTAXDEDUCTIBLEAMOUNT" localSheetId="6">FALSE</definedName>
    <definedName name="QBREPORTCOMPARECOL_TRIPTAXDEDUCTIBLEAMOUNT" localSheetId="7">FALSE</definedName>
    <definedName name="QBREPORTCOMPARECOL_TRIPTAXDEDUCTIBLEAMOUNT" localSheetId="8">FALSE</definedName>
    <definedName name="QBREPORTCOMPARECOL_TRIPTAXDEDUCTIBLEAMOUNT" localSheetId="9">FALSE</definedName>
    <definedName name="QBREPORTCOMPARECOL_TRIPTAXDEDUCTIBLEAMOUNT" localSheetId="10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3">FALSE</definedName>
    <definedName name="QBREPORTCOMPARECOL_TRIPTAXDEDUCTIBLEAMOUNT" localSheetId="14">FALSE</definedName>
    <definedName name="QBREPORTCOMPARECOL_TRIPTAXDEDUCTIBLEAMOUNT" localSheetId="15">FALSE</definedName>
    <definedName name="QBREPORTCOMPARECOL_TRIPTAXDEDUCTIBLEAMOUNT" localSheetId="16">FALSE</definedName>
    <definedName name="QBREPORTCOMPARECOL_TRIPTAXDEDUCTIBLEAMOUNT" localSheetId="17">FALSE</definedName>
    <definedName name="QBREPORTCOMPARECOL_TRIPTAXDEDUCTIBLEAMOUNT" localSheetId="18">FALSE</definedName>
    <definedName name="QBREPORTCOMPARECOL_TRIPTAXDEDUCTIBLEAMOUNT" localSheetId="19">FALSE</definedName>
    <definedName name="QBREPORTCOMPARECOL_TRIPTAXDEDUCTIBLEAMOUNT" localSheetId="20">FALSE</definedName>
    <definedName name="QBREPORTCOMPARECOL_TRIPTAXDEDUCTIBLEAMOUNT" localSheetId="21">FALSE</definedName>
    <definedName name="QBREPORTCOMPARECOL_TRIPTAXDEDUCTIBLEAMOUNT" localSheetId="22">FALSE</definedName>
    <definedName name="QBREPORTCOMPARECOL_TRIPTAXDEDUCTIBLEAMOUNT" localSheetId="23">FALSE</definedName>
    <definedName name="QBREPORTCOMPARECOL_TRIPTAXDEDUCTIBLEAMOUNT" localSheetId="24">FALSE</definedName>
    <definedName name="QBREPORTCOMPARECOL_TRIPTAXDEDUCTIBLEAMOUNT" localSheetId="25">FALSE</definedName>
    <definedName name="QBREPORTCOMPARECOL_TRIPTAXDEDUCTIBLEAMOUNT" localSheetId="26">FALSE</definedName>
    <definedName name="QBREPORTCOMPARECOL_TRIPTAXDEDUCTIBLEAMOUNT" localSheetId="27">FALSE</definedName>
    <definedName name="QBREPORTCOMPARECOL_TRIPTAXDEDUCTIBLEAMOUNT" localSheetId="28">FALSE</definedName>
    <definedName name="QBREPORTCOMPARECOL_TRIPTAXDEDUCTIBLEAMOUNT" localSheetId="30">FALSE</definedName>
    <definedName name="QBREPORTCOMPARECOL_TRIPTAXDEDUCTIBLEAMOUNT" localSheetId="31">FALSE</definedName>
    <definedName name="QBREPORTCOMPARECOL_TRIPUNBILLEDMILES" localSheetId="6">FALSE</definedName>
    <definedName name="QBREPORTCOMPARECOL_TRIPUNBILLEDMILES" localSheetId="7">FALSE</definedName>
    <definedName name="QBREPORTCOMPARECOL_TRIPUNBILLEDMILES" localSheetId="8">FALSE</definedName>
    <definedName name="QBREPORTCOMPARECOL_TRIPUNBILLEDMILES" localSheetId="9">FALSE</definedName>
    <definedName name="QBREPORTCOMPARECOL_TRIPUNBILLEDMILES" localSheetId="10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3">FALSE</definedName>
    <definedName name="QBREPORTCOMPARECOL_TRIPUNBILLEDMILES" localSheetId="14">FALSE</definedName>
    <definedName name="QBREPORTCOMPARECOL_TRIPUNBILLEDMILES" localSheetId="15">FALSE</definedName>
    <definedName name="QBREPORTCOMPARECOL_TRIPUNBILLEDMILES" localSheetId="16">FALSE</definedName>
    <definedName name="QBREPORTCOMPARECOL_TRIPUNBILLEDMILES" localSheetId="17">FALSE</definedName>
    <definedName name="QBREPORTCOMPARECOL_TRIPUNBILLEDMILES" localSheetId="18">FALSE</definedName>
    <definedName name="QBREPORTCOMPARECOL_TRIPUNBILLEDMILES" localSheetId="19">FALSE</definedName>
    <definedName name="QBREPORTCOMPARECOL_TRIPUNBILLEDMILES" localSheetId="20">FALSE</definedName>
    <definedName name="QBREPORTCOMPARECOL_TRIPUNBILLEDMILES" localSheetId="21">FALSE</definedName>
    <definedName name="QBREPORTCOMPARECOL_TRIPUNBILLEDMILES" localSheetId="22">FALSE</definedName>
    <definedName name="QBREPORTCOMPARECOL_TRIPUNBILLEDMILES" localSheetId="23">FALSE</definedName>
    <definedName name="QBREPORTCOMPARECOL_TRIPUNBILLEDMILES" localSheetId="24">FALSE</definedName>
    <definedName name="QBREPORTCOMPARECOL_TRIPUNBILLEDMILES" localSheetId="25">FALSE</definedName>
    <definedName name="QBREPORTCOMPARECOL_TRIPUNBILLEDMILES" localSheetId="26">FALSE</definedName>
    <definedName name="QBREPORTCOMPARECOL_TRIPUNBILLEDMILES" localSheetId="27">FALSE</definedName>
    <definedName name="QBREPORTCOMPARECOL_TRIPUNBILLEDMILES" localSheetId="28">FALSE</definedName>
    <definedName name="QBREPORTCOMPARECOL_TRIPUNBILLEDMILES" localSheetId="30">FALSE</definedName>
    <definedName name="QBREPORTCOMPARECOL_TRIPUNBILLEDMILES" localSheetId="31">FALSE</definedName>
    <definedName name="QBREPORTCOMPARECOL_YTD" localSheetId="6">FALSE</definedName>
    <definedName name="QBREPORTCOMPARECOL_YTD" localSheetId="7">FALSE</definedName>
    <definedName name="QBREPORTCOMPARECOL_YTD" localSheetId="8">FALSE</definedName>
    <definedName name="QBREPORTCOMPARECOL_YTD" localSheetId="9">FALSE</definedName>
    <definedName name="QBREPORTCOMPARECOL_YTD" localSheetId="10">FALSE</definedName>
    <definedName name="QBREPORTCOMPARECOL_YTD" localSheetId="11">FALSE</definedName>
    <definedName name="QBREPORTCOMPARECOL_YTD" localSheetId="12">FALSE</definedName>
    <definedName name="QBREPORTCOMPARECOL_YTD" localSheetId="13">FALSE</definedName>
    <definedName name="QBREPORTCOMPARECOL_YTD" localSheetId="14">FALSE</definedName>
    <definedName name="QBREPORTCOMPARECOL_YTD" localSheetId="15">FALSE</definedName>
    <definedName name="QBREPORTCOMPARECOL_YTD" localSheetId="16">FALSE</definedName>
    <definedName name="QBREPORTCOMPARECOL_YTD" localSheetId="17">FALSE</definedName>
    <definedName name="QBREPORTCOMPARECOL_YTD" localSheetId="18">FALSE</definedName>
    <definedName name="QBREPORTCOMPARECOL_YTD" localSheetId="19">FALSE</definedName>
    <definedName name="QBREPORTCOMPARECOL_YTD" localSheetId="20">FALSE</definedName>
    <definedName name="QBREPORTCOMPARECOL_YTD" localSheetId="21">FALSE</definedName>
    <definedName name="QBREPORTCOMPARECOL_YTD" localSheetId="22">FALSE</definedName>
    <definedName name="QBREPORTCOMPARECOL_YTD" localSheetId="23">FALSE</definedName>
    <definedName name="QBREPORTCOMPARECOL_YTD" localSheetId="24">FALSE</definedName>
    <definedName name="QBREPORTCOMPARECOL_YTD" localSheetId="25">FALSE</definedName>
    <definedName name="QBREPORTCOMPARECOL_YTD" localSheetId="26">FALSE</definedName>
    <definedName name="QBREPORTCOMPARECOL_YTD" localSheetId="27">FALSE</definedName>
    <definedName name="QBREPORTCOMPARECOL_YTD" localSheetId="28">FALSE</definedName>
    <definedName name="QBREPORTCOMPARECOL_YTD" localSheetId="30">FALSE</definedName>
    <definedName name="QBREPORTCOMPARECOL_YTD" localSheetId="31">FALSE</definedName>
    <definedName name="QBREPORTCOMPARECOL_YTDBUDGET" localSheetId="6">FALSE</definedName>
    <definedName name="QBREPORTCOMPARECOL_YTDBUDGET" localSheetId="7">FALSE</definedName>
    <definedName name="QBREPORTCOMPARECOL_YTDBUDGET" localSheetId="8">FALSE</definedName>
    <definedName name="QBREPORTCOMPARECOL_YTDBUDGET" localSheetId="9">FALSE</definedName>
    <definedName name="QBREPORTCOMPARECOL_YTDBUDGET" localSheetId="10">FALSE</definedName>
    <definedName name="QBREPORTCOMPARECOL_YTDBUDGET" localSheetId="11">FALSE</definedName>
    <definedName name="QBREPORTCOMPARECOL_YTDBUDGET" localSheetId="12">FALSE</definedName>
    <definedName name="QBREPORTCOMPARECOL_YTDBUDGET" localSheetId="13">FALSE</definedName>
    <definedName name="QBREPORTCOMPARECOL_YTDBUDGET" localSheetId="14">FALSE</definedName>
    <definedName name="QBREPORTCOMPARECOL_YTDBUDGET" localSheetId="15">FALSE</definedName>
    <definedName name="QBREPORTCOMPARECOL_YTDBUDGET" localSheetId="16">FALSE</definedName>
    <definedName name="QBREPORTCOMPARECOL_YTDBUDGET" localSheetId="17">FALSE</definedName>
    <definedName name="QBREPORTCOMPARECOL_YTDBUDGET" localSheetId="18">FALSE</definedName>
    <definedName name="QBREPORTCOMPARECOL_YTDBUDGET" localSheetId="19">FALSE</definedName>
    <definedName name="QBREPORTCOMPARECOL_YTDBUDGET" localSheetId="20">FALSE</definedName>
    <definedName name="QBREPORTCOMPARECOL_YTDBUDGET" localSheetId="21">FALSE</definedName>
    <definedName name="QBREPORTCOMPARECOL_YTDBUDGET" localSheetId="22">FALSE</definedName>
    <definedName name="QBREPORTCOMPARECOL_YTDBUDGET" localSheetId="23">FALSE</definedName>
    <definedName name="QBREPORTCOMPARECOL_YTDBUDGET" localSheetId="24">FALSE</definedName>
    <definedName name="QBREPORTCOMPARECOL_YTDBUDGET" localSheetId="25">FALSE</definedName>
    <definedName name="QBREPORTCOMPARECOL_YTDBUDGET" localSheetId="26">FALSE</definedName>
    <definedName name="QBREPORTCOMPARECOL_YTDBUDGET" localSheetId="27">FALSE</definedName>
    <definedName name="QBREPORTCOMPARECOL_YTDBUDGET" localSheetId="28">FALSE</definedName>
    <definedName name="QBREPORTCOMPARECOL_YTDBUDGET" localSheetId="30">FALSE</definedName>
    <definedName name="QBREPORTCOMPARECOL_YTDBUDGET" localSheetId="31">FALSE</definedName>
    <definedName name="QBREPORTCOMPARECOL_YTDPCT" localSheetId="6">FALSE</definedName>
    <definedName name="QBREPORTCOMPARECOL_YTDPCT" localSheetId="7">FALSE</definedName>
    <definedName name="QBREPORTCOMPARECOL_YTDPCT" localSheetId="8">FALSE</definedName>
    <definedName name="QBREPORTCOMPARECOL_YTDPCT" localSheetId="9">FALSE</definedName>
    <definedName name="QBREPORTCOMPARECOL_YTDPCT" localSheetId="10">FALSE</definedName>
    <definedName name="QBREPORTCOMPARECOL_YTDPCT" localSheetId="11">FALSE</definedName>
    <definedName name="QBREPORTCOMPARECOL_YTDPCT" localSheetId="12">FALSE</definedName>
    <definedName name="QBREPORTCOMPARECOL_YTDPCT" localSheetId="13">FALSE</definedName>
    <definedName name="QBREPORTCOMPARECOL_YTDPCT" localSheetId="14">FALSE</definedName>
    <definedName name="QBREPORTCOMPARECOL_YTDPCT" localSheetId="15">FALSE</definedName>
    <definedName name="QBREPORTCOMPARECOL_YTDPCT" localSheetId="16">FALSE</definedName>
    <definedName name="QBREPORTCOMPARECOL_YTDPCT" localSheetId="17">FALSE</definedName>
    <definedName name="QBREPORTCOMPARECOL_YTDPCT" localSheetId="18">FALSE</definedName>
    <definedName name="QBREPORTCOMPARECOL_YTDPCT" localSheetId="19">FALSE</definedName>
    <definedName name="QBREPORTCOMPARECOL_YTDPCT" localSheetId="20">FALSE</definedName>
    <definedName name="QBREPORTCOMPARECOL_YTDPCT" localSheetId="21">FALSE</definedName>
    <definedName name="QBREPORTCOMPARECOL_YTDPCT" localSheetId="22">FALSE</definedName>
    <definedName name="QBREPORTCOMPARECOL_YTDPCT" localSheetId="23">FALSE</definedName>
    <definedName name="QBREPORTCOMPARECOL_YTDPCT" localSheetId="24">FALSE</definedName>
    <definedName name="QBREPORTCOMPARECOL_YTDPCT" localSheetId="25">FALSE</definedName>
    <definedName name="QBREPORTCOMPARECOL_YTDPCT" localSheetId="26">FALSE</definedName>
    <definedName name="QBREPORTCOMPARECOL_YTDPCT" localSheetId="27">FALSE</definedName>
    <definedName name="QBREPORTCOMPARECOL_YTDPCT" localSheetId="28">FALSE</definedName>
    <definedName name="QBREPORTCOMPARECOL_YTDPCT" localSheetId="30">FALSE</definedName>
    <definedName name="QBREPORTCOMPARECOL_YTDPCT" localSheetId="31">FALSE</definedName>
    <definedName name="QBREPORTROWAXIS" localSheetId="6">12</definedName>
    <definedName name="QBREPORTROWAXIS" localSheetId="7">12</definedName>
    <definedName name="QBREPORTROWAXIS" localSheetId="8">12</definedName>
    <definedName name="QBREPORTROWAXIS" localSheetId="9">12</definedName>
    <definedName name="QBREPORTROWAXIS" localSheetId="10">12</definedName>
    <definedName name="QBREPORTROWAXIS" localSheetId="11">12</definedName>
    <definedName name="QBREPORTROWAXIS" localSheetId="12">12</definedName>
    <definedName name="QBREPORTROWAXIS" localSheetId="13">12</definedName>
    <definedName name="QBREPORTROWAXIS" localSheetId="14">12</definedName>
    <definedName name="QBREPORTROWAXIS" localSheetId="15">12</definedName>
    <definedName name="QBREPORTROWAXIS" localSheetId="16">12</definedName>
    <definedName name="QBREPORTROWAXIS" localSheetId="17">12</definedName>
    <definedName name="QBREPORTROWAXIS" localSheetId="18">12</definedName>
    <definedName name="QBREPORTROWAXIS" localSheetId="19">12</definedName>
    <definedName name="QBREPORTROWAXIS" localSheetId="20">12</definedName>
    <definedName name="QBREPORTROWAXIS" localSheetId="21">12</definedName>
    <definedName name="QBREPORTROWAXIS" localSheetId="22">12</definedName>
    <definedName name="QBREPORTROWAXIS" localSheetId="23">12</definedName>
    <definedName name="QBREPORTROWAXIS" localSheetId="24">12</definedName>
    <definedName name="QBREPORTROWAXIS" localSheetId="25">12</definedName>
    <definedName name="QBREPORTROWAXIS" localSheetId="26">12</definedName>
    <definedName name="QBREPORTROWAXIS" localSheetId="27">12</definedName>
    <definedName name="QBREPORTROWAXIS" localSheetId="28">12</definedName>
    <definedName name="QBREPORTROWAXIS" localSheetId="30">12</definedName>
    <definedName name="QBREPORTROWAXIS" localSheetId="31">12</definedName>
    <definedName name="QBREPORTSUBCOLAXIS" localSheetId="6">0</definedName>
    <definedName name="QBREPORTSUBCOLAXIS" localSheetId="7">0</definedName>
    <definedName name="QBREPORTSUBCOLAXIS" localSheetId="8">0</definedName>
    <definedName name="QBREPORTSUBCOLAXIS" localSheetId="9">0</definedName>
    <definedName name="QBREPORTSUBCOLAXIS" localSheetId="10">0</definedName>
    <definedName name="QBREPORTSUBCOLAXIS" localSheetId="11">0</definedName>
    <definedName name="QBREPORTSUBCOLAXIS" localSheetId="12">0</definedName>
    <definedName name="QBREPORTSUBCOLAXIS" localSheetId="13">0</definedName>
    <definedName name="QBREPORTSUBCOLAXIS" localSheetId="14">0</definedName>
    <definedName name="QBREPORTSUBCOLAXIS" localSheetId="15">0</definedName>
    <definedName name="QBREPORTSUBCOLAXIS" localSheetId="16">0</definedName>
    <definedName name="QBREPORTSUBCOLAXIS" localSheetId="17">0</definedName>
    <definedName name="QBREPORTSUBCOLAXIS" localSheetId="18">0</definedName>
    <definedName name="QBREPORTSUBCOLAXIS" localSheetId="19">0</definedName>
    <definedName name="QBREPORTSUBCOLAXIS" localSheetId="20">0</definedName>
    <definedName name="QBREPORTSUBCOLAXIS" localSheetId="21">0</definedName>
    <definedName name="QBREPORTSUBCOLAXIS" localSheetId="22">0</definedName>
    <definedName name="QBREPORTSUBCOLAXIS" localSheetId="23">0</definedName>
    <definedName name="QBREPORTSUBCOLAXIS" localSheetId="24">0</definedName>
    <definedName name="QBREPORTSUBCOLAXIS" localSheetId="25">0</definedName>
    <definedName name="QBREPORTSUBCOLAXIS" localSheetId="26">0</definedName>
    <definedName name="QBREPORTSUBCOLAXIS" localSheetId="27">0</definedName>
    <definedName name="QBREPORTSUBCOLAXIS" localSheetId="28">0</definedName>
    <definedName name="QBREPORTSUBCOLAXIS" localSheetId="30">0</definedName>
    <definedName name="QBREPORTSUBCOLAXIS" localSheetId="31">0</definedName>
    <definedName name="QBREPORTTYPE" localSheetId="6">61</definedName>
    <definedName name="QBREPORTTYPE" localSheetId="7">61</definedName>
    <definedName name="QBREPORTTYPE" localSheetId="8">61</definedName>
    <definedName name="QBREPORTTYPE" localSheetId="9">61</definedName>
    <definedName name="QBREPORTTYPE" localSheetId="10">61</definedName>
    <definedName name="QBREPORTTYPE" localSheetId="11">61</definedName>
    <definedName name="QBREPORTTYPE" localSheetId="12">61</definedName>
    <definedName name="QBREPORTTYPE" localSheetId="13">61</definedName>
    <definedName name="QBREPORTTYPE" localSheetId="14">61</definedName>
    <definedName name="QBREPORTTYPE" localSheetId="15">61</definedName>
    <definedName name="QBREPORTTYPE" localSheetId="16">61</definedName>
    <definedName name="QBREPORTTYPE" localSheetId="17">61</definedName>
    <definedName name="QBREPORTTYPE" localSheetId="18">61</definedName>
    <definedName name="QBREPORTTYPE" localSheetId="19">61</definedName>
    <definedName name="QBREPORTTYPE" localSheetId="20">61</definedName>
    <definedName name="QBREPORTTYPE" localSheetId="21">61</definedName>
    <definedName name="QBREPORTTYPE" localSheetId="22">61</definedName>
    <definedName name="QBREPORTTYPE" localSheetId="23">61</definedName>
    <definedName name="QBREPORTTYPE" localSheetId="24">61</definedName>
    <definedName name="QBREPORTTYPE" localSheetId="25">61</definedName>
    <definedName name="QBREPORTTYPE" localSheetId="26">61</definedName>
    <definedName name="QBREPORTTYPE" localSheetId="27">61</definedName>
    <definedName name="QBREPORTTYPE" localSheetId="28">61</definedName>
    <definedName name="QBREPORTTYPE" localSheetId="30">61</definedName>
    <definedName name="QBREPORTTYPE" localSheetId="31">61</definedName>
    <definedName name="QBROWHEADERS" localSheetId="6">3</definedName>
    <definedName name="QBROWHEADERS" localSheetId="7">3</definedName>
    <definedName name="QBROWHEADERS" localSheetId="8">3</definedName>
    <definedName name="QBROWHEADERS" localSheetId="9">3</definedName>
    <definedName name="QBROWHEADERS" localSheetId="10">3</definedName>
    <definedName name="QBROWHEADERS" localSheetId="11">3</definedName>
    <definedName name="QBROWHEADERS" localSheetId="12">3</definedName>
    <definedName name="QBROWHEADERS" localSheetId="13">3</definedName>
    <definedName name="QBROWHEADERS" localSheetId="14">3</definedName>
    <definedName name="QBROWHEADERS" localSheetId="15">3</definedName>
    <definedName name="QBROWHEADERS" localSheetId="16">3</definedName>
    <definedName name="QBROWHEADERS" localSheetId="17">3</definedName>
    <definedName name="QBROWHEADERS" localSheetId="18">3</definedName>
    <definedName name="QBROWHEADERS" localSheetId="19">3</definedName>
    <definedName name="QBROWHEADERS" localSheetId="20">3</definedName>
    <definedName name="QBROWHEADERS" localSheetId="21">3</definedName>
    <definedName name="QBROWHEADERS" localSheetId="22">3</definedName>
    <definedName name="QBROWHEADERS" localSheetId="23">3</definedName>
    <definedName name="QBROWHEADERS" localSheetId="24">3</definedName>
    <definedName name="QBROWHEADERS" localSheetId="25">3</definedName>
    <definedName name="QBROWHEADERS" localSheetId="26">3</definedName>
    <definedName name="QBROWHEADERS" localSheetId="27">3</definedName>
    <definedName name="QBROWHEADERS" localSheetId="28">3</definedName>
    <definedName name="QBROWHEADERS" localSheetId="30">3</definedName>
    <definedName name="QBROWHEADERS" localSheetId="31">3</definedName>
    <definedName name="QBSTARTDATE" localSheetId="6">20200101</definedName>
    <definedName name="QBSTARTDATE" localSheetId="7">20200101</definedName>
    <definedName name="QBSTARTDATE" localSheetId="8">20200101</definedName>
    <definedName name="QBSTARTDATE" localSheetId="9">20200101</definedName>
    <definedName name="QBSTARTDATE" localSheetId="10">20200101</definedName>
    <definedName name="QBSTARTDATE" localSheetId="11">20200101</definedName>
    <definedName name="QBSTARTDATE" localSheetId="12">20200101</definedName>
    <definedName name="QBSTARTDATE" localSheetId="13">20200101</definedName>
    <definedName name="QBSTARTDATE" localSheetId="14">20200101</definedName>
    <definedName name="QBSTARTDATE" localSheetId="15">20200101</definedName>
    <definedName name="QBSTARTDATE" localSheetId="16">20200101</definedName>
    <definedName name="QBSTARTDATE" localSheetId="17">20200101</definedName>
    <definedName name="QBSTARTDATE" localSheetId="18">20200101</definedName>
    <definedName name="QBSTARTDATE" localSheetId="19">20200101</definedName>
    <definedName name="QBSTARTDATE" localSheetId="20">20200101</definedName>
    <definedName name="QBSTARTDATE" localSheetId="21">20200101</definedName>
    <definedName name="QBSTARTDATE" localSheetId="22">20200101</definedName>
    <definedName name="QBSTARTDATE" localSheetId="23">20200101</definedName>
    <definedName name="QBSTARTDATE" localSheetId="24">20200101</definedName>
    <definedName name="QBSTARTDATE" localSheetId="25">20200101</definedName>
    <definedName name="QBSTARTDATE" localSheetId="26">20200101</definedName>
    <definedName name="QBSTARTDATE" localSheetId="27">20200101</definedName>
    <definedName name="QBSTARTDATE" localSheetId="28">20200101</definedName>
    <definedName name="QBSTARTDATE" localSheetId="30">20200101</definedName>
    <definedName name="QBSTARTDATE" localSheetId="31">20200101</definedName>
    <definedName name="Z_1E23C528_1A93_4869_8FED_629E3BA1C1FB_.wvu.Cols" localSheetId="4">'ARB Budget'!$G:$H</definedName>
    <definedName name="Z_1E23C528_1A93_4869_8FED_629E3BA1C1FB_.wvu.Cols" localSheetId="3">'Budget-Services'!$I:$J</definedName>
    <definedName name="Z_1E23C528_1A93_4869_8FED_629E3BA1C1FB_.wvu.PrintArea" localSheetId="4">'ARB Budget'!$A$1:$I$38</definedName>
    <definedName name="Z_1E23C528_1A93_4869_8FED_629E3BA1C1FB_.wvu.PrintArea" localSheetId="3">'Budget-Services'!$A$1:$K$356</definedName>
    <definedName name="Z_1E23C528_1A93_4869_8FED_629E3BA1C1FB_.wvu.PrintTitles" localSheetId="3">'Budget-Services'!$1:$1</definedName>
    <definedName name="Z_240D0F1E_8A4A_44D9_9D18_FC2DB01D505B_.wvu.Cols" localSheetId="4">'ARB Budget'!$G:$H</definedName>
    <definedName name="Z_311A91B1_0912_4AA5_9366_B03CF50601A2_.wvu.PrintTitles" localSheetId="3">'Budget-Services'!$1:$1</definedName>
    <definedName name="Z_34964384_DFBD_46D8_9B9F_2D86A517A166_.wvu.PrintTitles" localSheetId="3">'Budget-Services'!$1:$1</definedName>
    <definedName name="Z_462CB3DC_B2E4_454C_83C1_B844BA7D19AA_.wvu.PrintTitles" localSheetId="3">'Budget-Services'!$1:$1</definedName>
    <definedName name="Z_6D2BABDE_BF95_4644_811C_B4DB4C5FF4DD_.wvu.PrintTitles" localSheetId="3">'Budget-Services'!$1:$1</definedName>
    <definedName name="Z_7B966C76_DF97_4627_BB3C_77955DB39D00_.wvu.PrintTitles" localSheetId="3">'Budget-Services'!$1:$1</definedName>
    <definedName name="Z_867852E4_99EF_4389_8FD0_AFAB4495F746_.wvu.PrintTitles" localSheetId="3">'Budget-Services'!$1:$1</definedName>
    <definedName name="Z_87C375DB_B8D6_4CDB_A372_B6AF8E723C83_.wvu.Cols" localSheetId="4">'ARB Budget'!$G:$H</definedName>
    <definedName name="Z_8AFAE271_A818_42D9_A8EF_972712D95EDE_.wvu.Cols" localSheetId="4">'ARB Budget'!$G:$H</definedName>
    <definedName name="Z_8AFAE271_A818_42D9_A8EF_972712D95EDE_.wvu.Cols" localSheetId="3">'Budget-Services'!$I:$J</definedName>
    <definedName name="Z_8AFAE271_A818_42D9_A8EF_972712D95EDE_.wvu.PrintArea" localSheetId="3">'Budget-Services'!$A$1:$K$356</definedName>
    <definedName name="Z_8AFAE271_A818_42D9_A8EF_972712D95EDE_.wvu.PrintTitles" localSheetId="3">'Budget-Services'!$1:$1</definedName>
    <definedName name="Z_C064177C_B77C_40AF_A193_4D3DF85CE067_.wvu.Cols" localSheetId="4">'ARB Budget'!$G:$H</definedName>
    <definedName name="Z_C064177C_B77C_40AF_A193_4D3DF85CE067_.wvu.Cols" localSheetId="3">'Budget-Services'!$I:$J</definedName>
    <definedName name="Z_C064177C_B77C_40AF_A193_4D3DF85CE067_.wvu.PrintArea" localSheetId="4">'ARB Budget'!$A$1:$I$38</definedName>
    <definedName name="Z_C064177C_B77C_40AF_A193_4D3DF85CE067_.wvu.PrintArea" localSheetId="3">'Budget-Services'!$A$1:$K$356</definedName>
    <definedName name="Z_C064177C_B77C_40AF_A193_4D3DF85CE067_.wvu.PrintTitles" localSheetId="3">'Budget-Services'!$1:$1</definedName>
    <definedName name="Z_C48E47E7_FA0B_4A20_94A3_280718E1E67E_.wvu.PrintTitles" localSheetId="3">'Budget-Services'!$1:$1</definedName>
    <definedName name="Z_C67EED5A_831B_42B7_8FDB_8094D4B26582_.wvu.PrintTitles" localSheetId="3">'Budget-Services'!$1:$1</definedName>
    <definedName name="Z_E4A729BB_04B9_4DDA_A845_D330ECD6C6DE_.wvu.PrintTitles" localSheetId="3">'Budget-Services'!$1:$1</definedName>
    <definedName name="Z_FB8A7251_402B_4E68_AD89_100C31417887_.wvu.Cols" localSheetId="4">'ARB Budget'!$G:$H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28" l="1"/>
  <c r="K9" i="28"/>
  <c r="K8" i="28"/>
  <c r="K15" i="26"/>
  <c r="K14" i="26"/>
  <c r="K13" i="26"/>
  <c r="K139" i="24"/>
  <c r="K138" i="24"/>
  <c r="K137" i="24"/>
  <c r="K26" i="29"/>
  <c r="K25" i="29"/>
  <c r="K24" i="29"/>
  <c r="K18" i="31"/>
  <c r="K17" i="31"/>
  <c r="K16" i="31"/>
  <c r="K127" i="22"/>
  <c r="K126" i="22"/>
  <c r="K125" i="22"/>
  <c r="K72" i="21"/>
  <c r="K73" i="21" s="1"/>
  <c r="K74" i="21" s="1"/>
  <c r="K127" i="20" l="1"/>
  <c r="K126" i="20"/>
  <c r="K67" i="19"/>
  <c r="K66" i="19"/>
  <c r="K65" i="19"/>
  <c r="M157" i="16"/>
  <c r="L157" i="16"/>
  <c r="M113" i="11"/>
  <c r="L113" i="11"/>
  <c r="K29" i="18"/>
  <c r="K28" i="18"/>
  <c r="K27" i="18"/>
  <c r="K30" i="17"/>
  <c r="K29" i="17"/>
  <c r="K28" i="17"/>
  <c r="K157" i="16"/>
  <c r="K158" i="16" s="1"/>
  <c r="K159" i="16" s="1"/>
  <c r="K134" i="15"/>
  <c r="K133" i="15"/>
  <c r="K132" i="15"/>
  <c r="K40" i="14"/>
  <c r="K39" i="14"/>
  <c r="K38" i="14"/>
  <c r="K369" i="13"/>
  <c r="K368" i="13"/>
  <c r="K367" i="13"/>
  <c r="K69" i="12"/>
  <c r="K68" i="12"/>
  <c r="K67" i="12"/>
  <c r="K113" i="11"/>
  <c r="K114" i="11" s="1"/>
  <c r="K115" i="11" s="1"/>
  <c r="K20" i="10"/>
  <c r="K19" i="10"/>
  <c r="K18" i="10"/>
  <c r="K228" i="9"/>
  <c r="K227" i="9"/>
  <c r="K226" i="9"/>
  <c r="K63" i="8"/>
  <c r="K62" i="8"/>
  <c r="K61" i="8"/>
  <c r="K147" i="7" l="1"/>
  <c r="K146" i="7"/>
  <c r="K145" i="7"/>
  <c r="K85" i="30" l="1"/>
  <c r="K84" i="30"/>
  <c r="K83" i="30"/>
  <c r="K17" i="23" l="1"/>
  <c r="K16" i="23"/>
  <c r="K15" i="23"/>
  <c r="I56" i="4"/>
  <c r="B62" i="4" l="1"/>
  <c r="I62" i="4"/>
  <c r="K260" i="4" l="1"/>
  <c r="K13" i="25" l="1"/>
  <c r="K14" i="25" s="1"/>
  <c r="K15" i="25" s="1"/>
  <c r="K46" i="27" l="1"/>
  <c r="K47" i="27" s="1"/>
  <c r="K48" i="27" s="1"/>
  <c r="G29" i="5"/>
  <c r="G21" i="5"/>
  <c r="G13" i="5"/>
  <c r="G25" i="5"/>
  <c r="G17" i="5"/>
  <c r="G18" i="5"/>
  <c r="G20" i="5"/>
  <c r="G6" i="5"/>
  <c r="G4" i="5"/>
  <c r="G19" i="5"/>
  <c r="G7" i="5"/>
  <c r="G30" i="5"/>
  <c r="G3" i="5"/>
  <c r="G12" i="5"/>
  <c r="G34" i="5"/>
  <c r="G5" i="5"/>
  <c r="G23" i="5"/>
  <c r="G24" i="5"/>
  <c r="G8" i="5"/>
  <c r="G22" i="5"/>
  <c r="G35" i="5"/>
  <c r="I37" i="4"/>
  <c r="I234" i="4"/>
  <c r="I208" i="4"/>
  <c r="I25" i="4"/>
  <c r="I28" i="4"/>
  <c r="I152" i="4"/>
  <c r="B104" i="4" l="1"/>
  <c r="I104" i="4"/>
  <c r="B105" i="4" l="1"/>
  <c r="G354" i="4"/>
  <c r="I105" i="4"/>
  <c r="M4" i="34" l="1"/>
  <c r="E39" i="35" l="1"/>
  <c r="E38" i="35"/>
  <c r="E36" i="35"/>
  <c r="E35" i="35"/>
  <c r="E13" i="35"/>
  <c r="E3" i="35"/>
  <c r="H286" i="4" l="1"/>
  <c r="H37" i="4"/>
  <c r="J37" i="4" s="1"/>
  <c r="H62" i="4"/>
  <c r="J62" i="4" s="1"/>
  <c r="H267" i="4"/>
  <c r="F30" i="5"/>
  <c r="F29" i="5"/>
  <c r="H290" i="4" l="1"/>
  <c r="H298" i="4"/>
  <c r="H299" i="4"/>
  <c r="H346" i="4" l="1"/>
  <c r="C24" i="36" l="1"/>
  <c r="C31" i="36"/>
  <c r="D31" i="36" s="1"/>
  <c r="B32" i="36"/>
  <c r="B35" i="36" s="1"/>
  <c r="B38" i="36" s="1"/>
  <c r="E4" i="35" l="1"/>
  <c r="F73" i="35"/>
  <c r="E73" i="35"/>
  <c r="F61" i="35"/>
  <c r="E60" i="35"/>
  <c r="E61" i="35" s="1"/>
  <c r="J6" i="34" s="1"/>
  <c r="F57" i="35"/>
  <c r="F53" i="35"/>
  <c r="F49" i="35"/>
  <c r="F46" i="35"/>
  <c r="F41" i="35"/>
  <c r="E37" i="35"/>
  <c r="F30" i="35"/>
  <c r="F65" i="35" s="1"/>
  <c r="F67" i="35" s="1"/>
  <c r="F75" i="35" s="1"/>
  <c r="E29" i="35"/>
  <c r="E28" i="35"/>
  <c r="E27" i="35"/>
  <c r="E26" i="35"/>
  <c r="E25" i="35"/>
  <c r="F22" i="35"/>
  <c r="E21" i="35"/>
  <c r="E20" i="35"/>
  <c r="E19" i="35"/>
  <c r="F16" i="35"/>
  <c r="E14" i="35"/>
  <c r="E16" i="35" s="1"/>
  <c r="F9" i="35"/>
  <c r="M33" i="34"/>
  <c r="I31" i="34"/>
  <c r="I34" i="34" s="1"/>
  <c r="I37" i="34" s="1"/>
  <c r="F31" i="34"/>
  <c r="F34" i="34" s="1"/>
  <c r="F37" i="34" s="1"/>
  <c r="E31" i="34"/>
  <c r="E34" i="34" s="1"/>
  <c r="D31" i="34"/>
  <c r="D34" i="34" s="1"/>
  <c r="D37" i="34" s="1"/>
  <c r="B31" i="34"/>
  <c r="B34" i="34" s="1"/>
  <c r="B37" i="34" s="1"/>
  <c r="M30" i="34"/>
  <c r="K30" i="34"/>
  <c r="M27" i="34"/>
  <c r="G27" i="34"/>
  <c r="G31" i="34" s="1"/>
  <c r="G34" i="34" s="1"/>
  <c r="C27" i="34"/>
  <c r="C31" i="34" s="1"/>
  <c r="C34" i="34" s="1"/>
  <c r="H25" i="34"/>
  <c r="H31" i="34" s="1"/>
  <c r="H34" i="34" s="1"/>
  <c r="H37" i="34" s="1"/>
  <c r="M16" i="34"/>
  <c r="M10" i="34"/>
  <c r="F32" i="35" l="1"/>
  <c r="F77" i="35" s="1"/>
  <c r="K6" i="34"/>
  <c r="C7" i="36"/>
  <c r="D7" i="36" s="1"/>
  <c r="D61" i="35" s="1"/>
  <c r="E22" i="35"/>
  <c r="M31" i="34"/>
  <c r="M34" i="34" s="1"/>
  <c r="E30" i="35"/>
  <c r="E45" i="35" s="1"/>
  <c r="E9" i="35"/>
  <c r="E40" i="35"/>
  <c r="E41" i="35" s="1"/>
  <c r="J4" i="34" s="1"/>
  <c r="H268" i="4"/>
  <c r="H308" i="4"/>
  <c r="H309" i="4"/>
  <c r="H310" i="4"/>
  <c r="E32" i="35" l="1"/>
  <c r="J3" i="34" s="1"/>
  <c r="K3" i="34" s="1"/>
  <c r="C4" i="36"/>
  <c r="D4" i="36" s="1"/>
  <c r="D32" i="35" s="1"/>
  <c r="E65" i="35"/>
  <c r="E67" i="35" s="1"/>
  <c r="E75" i="35" s="1"/>
  <c r="J7" i="34" s="1"/>
  <c r="K7" i="34" s="1"/>
  <c r="K4" i="34"/>
  <c r="C5" i="36"/>
  <c r="D5" i="36" s="1"/>
  <c r="D41" i="35" s="1"/>
  <c r="J2" i="34"/>
  <c r="E44" i="35"/>
  <c r="E46" i="35" s="1"/>
  <c r="C3" i="36" l="1"/>
  <c r="C8" i="36"/>
  <c r="D8" i="36" s="1"/>
  <c r="D75" i="35" s="1"/>
  <c r="E51" i="35"/>
  <c r="E55" i="35"/>
  <c r="J5" i="34" s="1"/>
  <c r="E48" i="35"/>
  <c r="E49" i="35" s="1"/>
  <c r="E52" i="35"/>
  <c r="K2" i="34"/>
  <c r="D3" i="36" l="1"/>
  <c r="D9" i="35" s="1"/>
  <c r="E53" i="35"/>
  <c r="D53" i="35" s="1"/>
  <c r="E57" i="35"/>
  <c r="E77" i="35" s="1"/>
  <c r="D77" i="35" s="1"/>
  <c r="H274" i="4"/>
  <c r="C6" i="36" l="1"/>
  <c r="F7" i="36" s="1"/>
  <c r="N4" i="34"/>
  <c r="S6" i="34" s="1"/>
  <c r="K5" i="34"/>
  <c r="H249" i="4"/>
  <c r="H252" i="4"/>
  <c r="H246" i="4"/>
  <c r="H244" i="4"/>
  <c r="D6" i="36" l="1"/>
  <c r="D57" i="35" s="1"/>
  <c r="E5" i="6"/>
  <c r="K100" i="4"/>
  <c r="H56" i="4"/>
  <c r="H25" i="4"/>
  <c r="J25" i="4" s="1"/>
  <c r="H112" i="4"/>
  <c r="H117" i="4"/>
  <c r="J56" i="4" l="1"/>
  <c r="H10" i="4"/>
  <c r="H234" i="4"/>
  <c r="H345" i="4"/>
  <c r="K350" i="4"/>
  <c r="K338" i="4"/>
  <c r="H318" i="4"/>
  <c r="K311" i="4"/>
  <c r="H245" i="4"/>
  <c r="H248" i="4"/>
  <c r="H247" i="4"/>
  <c r="H116" i="4"/>
  <c r="H21" i="4"/>
  <c r="H35" i="4"/>
  <c r="H20" i="4"/>
  <c r="H202" i="4"/>
  <c r="H203" i="4"/>
  <c r="G204" i="4"/>
  <c r="H204" i="4" s="1"/>
  <c r="H205" i="4"/>
  <c r="H206" i="4"/>
  <c r="H207" i="4"/>
  <c r="H208" i="4"/>
  <c r="H209" i="4"/>
  <c r="H210" i="4"/>
  <c r="H211" i="4"/>
  <c r="H212" i="4"/>
  <c r="H213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5" i="4"/>
  <c r="G159" i="4"/>
  <c r="H159" i="4" s="1"/>
  <c r="G160" i="4"/>
  <c r="H160" i="4" s="1"/>
  <c r="H158" i="4"/>
  <c r="G151" i="4"/>
  <c r="H151" i="4" s="1"/>
  <c r="H132" i="4"/>
  <c r="H113" i="4"/>
  <c r="G66" i="4"/>
  <c r="H259" i="4"/>
  <c r="B243" i="4"/>
  <c r="B263" i="4"/>
  <c r="H349" i="4"/>
  <c r="H324" i="4"/>
  <c r="H325" i="4"/>
  <c r="H326" i="4"/>
  <c r="H327" i="4"/>
  <c r="H328" i="4"/>
  <c r="H329" i="4"/>
  <c r="H322" i="4"/>
  <c r="H323" i="4"/>
  <c r="H314" i="4"/>
  <c r="H315" i="4"/>
  <c r="H294" i="4"/>
  <c r="H155" i="4"/>
  <c r="H156" i="4"/>
  <c r="H153" i="4"/>
  <c r="H291" i="4"/>
  <c r="H265" i="4"/>
  <c r="H266" i="4"/>
  <c r="H269" i="4"/>
  <c r="H270" i="4"/>
  <c r="H271" i="4"/>
  <c r="H272" i="4"/>
  <c r="H273" i="4"/>
  <c r="H275" i="4"/>
  <c r="H284" i="4"/>
  <c r="H164" i="4"/>
  <c r="G145" i="4"/>
  <c r="H145" i="4" s="1"/>
  <c r="B142" i="4"/>
  <c r="H82" i="4"/>
  <c r="H83" i="4"/>
  <c r="H80" i="4"/>
  <c r="H81" i="4"/>
  <c r="H7" i="4"/>
  <c r="H42" i="4"/>
  <c r="H43" i="4"/>
  <c r="H44" i="4"/>
  <c r="G337" i="4"/>
  <c r="H337" i="4" s="1"/>
  <c r="G336" i="4"/>
  <c r="H336" i="4" s="1"/>
  <c r="G335" i="4"/>
  <c r="H335" i="4" s="1"/>
  <c r="H8" i="4"/>
  <c r="F53" i="4"/>
  <c r="H53" i="4" s="1"/>
  <c r="F52" i="4"/>
  <c r="H28" i="4"/>
  <c r="K236" i="4"/>
  <c r="H115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G130" i="4"/>
  <c r="H130" i="4" s="1"/>
  <c r="H131" i="4"/>
  <c r="H133" i="4"/>
  <c r="H134" i="4"/>
  <c r="H135" i="4"/>
  <c r="H136" i="4"/>
  <c r="H137" i="4"/>
  <c r="H138" i="4"/>
  <c r="B103" i="4"/>
  <c r="B202" i="4"/>
  <c r="I26" i="5"/>
  <c r="K330" i="4"/>
  <c r="K139" i="4"/>
  <c r="B34" i="5"/>
  <c r="B35" i="5" s="1"/>
  <c r="B29" i="5"/>
  <c r="B30" i="5" s="1"/>
  <c r="B17" i="5"/>
  <c r="B18" i="5" s="1"/>
  <c r="B19" i="5" s="1"/>
  <c r="B20" i="5" s="1"/>
  <c r="B21" i="5" s="1"/>
  <c r="B22" i="5" s="1"/>
  <c r="B23" i="5" s="1"/>
  <c r="B24" i="5" s="1"/>
  <c r="B25" i="5" s="1"/>
  <c r="B12" i="5"/>
  <c r="B13" i="5" s="1"/>
  <c r="B3" i="5"/>
  <c r="B4" i="5" s="1"/>
  <c r="B5" i="5" s="1"/>
  <c r="B6" i="5" s="1"/>
  <c r="B7" i="5" s="1"/>
  <c r="B8" i="5" s="1"/>
  <c r="I354" i="4"/>
  <c r="J354" i="4"/>
  <c r="B198" i="4"/>
  <c r="B353" i="4"/>
  <c r="B345" i="4"/>
  <c r="B341" i="4"/>
  <c r="B333" i="4"/>
  <c r="B314" i="4"/>
  <c r="B239" i="4"/>
  <c r="B192" i="4"/>
  <c r="B164" i="4"/>
  <c r="B151" i="4"/>
  <c r="B88" i="4"/>
  <c r="B70" i="4"/>
  <c r="B66" i="4"/>
  <c r="B42" i="4"/>
  <c r="B67" i="4"/>
  <c r="B18" i="4"/>
  <c r="B3" i="4"/>
  <c r="F17" i="5"/>
  <c r="H74" i="4"/>
  <c r="H29" i="4"/>
  <c r="H58" i="4"/>
  <c r="H175" i="4"/>
  <c r="H292" i="4"/>
  <c r="G176" i="4"/>
  <c r="H176" i="4" s="1"/>
  <c r="H103" i="4"/>
  <c r="H73" i="4"/>
  <c r="I36" i="5"/>
  <c r="F35" i="5"/>
  <c r="F34" i="5"/>
  <c r="F31" i="5"/>
  <c r="M8" i="6" s="1"/>
  <c r="F25" i="5"/>
  <c r="F24" i="5"/>
  <c r="F23" i="5"/>
  <c r="F22" i="5"/>
  <c r="F21" i="5"/>
  <c r="F20" i="5"/>
  <c r="F19" i="5"/>
  <c r="F18" i="5"/>
  <c r="I14" i="5"/>
  <c r="F14" i="5"/>
  <c r="M6" i="6" s="1"/>
  <c r="I9" i="5"/>
  <c r="F8" i="5"/>
  <c r="F7" i="5"/>
  <c r="F6" i="5"/>
  <c r="F5" i="5"/>
  <c r="F4" i="5"/>
  <c r="F3" i="5"/>
  <c r="K354" i="4"/>
  <c r="H354" i="4"/>
  <c r="H348" i="4"/>
  <c r="H347" i="4"/>
  <c r="K342" i="4"/>
  <c r="H341" i="4"/>
  <c r="G334" i="4"/>
  <c r="H334" i="4" s="1"/>
  <c r="G333" i="4"/>
  <c r="H333" i="4" s="1"/>
  <c r="H319" i="4"/>
  <c r="H321" i="4"/>
  <c r="H320" i="4"/>
  <c r="H317" i="4"/>
  <c r="H316" i="4"/>
  <c r="H307" i="4"/>
  <c r="H306" i="4"/>
  <c r="H305" i="4"/>
  <c r="H304" i="4"/>
  <c r="H303" i="4"/>
  <c r="H302" i="4"/>
  <c r="H301" i="4"/>
  <c r="H300" i="4"/>
  <c r="H297" i="4"/>
  <c r="H296" i="4"/>
  <c r="H295" i="4"/>
  <c r="H293" i="4"/>
  <c r="H289" i="4"/>
  <c r="H288" i="4"/>
  <c r="H287" i="4"/>
  <c r="H285" i="4"/>
  <c r="H283" i="4"/>
  <c r="H282" i="4"/>
  <c r="H281" i="4"/>
  <c r="H280" i="4"/>
  <c r="H279" i="4"/>
  <c r="H278" i="4"/>
  <c r="H277" i="4"/>
  <c r="H276" i="4"/>
  <c r="H263" i="4"/>
  <c r="H258" i="4"/>
  <c r="H257" i="4"/>
  <c r="H256" i="4"/>
  <c r="H255" i="4"/>
  <c r="H254" i="4"/>
  <c r="H253" i="4"/>
  <c r="H251" i="4"/>
  <c r="H250" i="4"/>
  <c r="H243" i="4"/>
  <c r="K240" i="4"/>
  <c r="H239" i="4"/>
  <c r="K199" i="4"/>
  <c r="H198" i="4"/>
  <c r="K195" i="4"/>
  <c r="H194" i="4"/>
  <c r="H193" i="4"/>
  <c r="H192" i="4"/>
  <c r="K189" i="4"/>
  <c r="H188" i="4"/>
  <c r="H185" i="4"/>
  <c r="H184" i="4"/>
  <c r="H183" i="4"/>
  <c r="H182" i="4"/>
  <c r="H181" i="4"/>
  <c r="H180" i="4"/>
  <c r="H179" i="4"/>
  <c r="H178" i="4"/>
  <c r="H177" i="4"/>
  <c r="H174" i="4"/>
  <c r="H173" i="4"/>
  <c r="H172" i="4"/>
  <c r="H171" i="4"/>
  <c r="H170" i="4"/>
  <c r="H169" i="4"/>
  <c r="H168" i="4"/>
  <c r="H167" i="4"/>
  <c r="H166" i="4"/>
  <c r="H165" i="4"/>
  <c r="K161" i="4"/>
  <c r="H157" i="4"/>
  <c r="H154" i="4"/>
  <c r="K148" i="4"/>
  <c r="H147" i="4"/>
  <c r="H146" i="4"/>
  <c r="H144" i="4"/>
  <c r="H143" i="4"/>
  <c r="H142" i="4"/>
  <c r="H114" i="4"/>
  <c r="H111" i="4"/>
  <c r="H110" i="4"/>
  <c r="H109" i="4"/>
  <c r="H108" i="4"/>
  <c r="H107" i="4"/>
  <c r="H106" i="4"/>
  <c r="H105" i="4"/>
  <c r="H104" i="4"/>
  <c r="H93" i="4"/>
  <c r="H99" i="4"/>
  <c r="H98" i="4"/>
  <c r="H97" i="4"/>
  <c r="H96" i="4"/>
  <c r="H95" i="4"/>
  <c r="H94" i="4"/>
  <c r="H92" i="4"/>
  <c r="H90" i="4"/>
  <c r="H89" i="4"/>
  <c r="K85" i="4"/>
  <c r="H84" i="4"/>
  <c r="H79" i="4"/>
  <c r="H78" i="4"/>
  <c r="H77" i="4"/>
  <c r="H76" i="4"/>
  <c r="H75" i="4"/>
  <c r="H72" i="4"/>
  <c r="H71" i="4"/>
  <c r="H70" i="4"/>
  <c r="K67" i="4"/>
  <c r="H66" i="4"/>
  <c r="K63" i="4"/>
  <c r="H57" i="4"/>
  <c r="H61" i="4"/>
  <c r="H60" i="4"/>
  <c r="H59" i="4"/>
  <c r="H55" i="4"/>
  <c r="H54" i="4"/>
  <c r="H52" i="4"/>
  <c r="H51" i="4"/>
  <c r="H50" i="4"/>
  <c r="H49" i="4"/>
  <c r="H48" i="4"/>
  <c r="H47" i="4"/>
  <c r="H46" i="4"/>
  <c r="H45" i="4"/>
  <c r="K39" i="4"/>
  <c r="H38" i="4"/>
  <c r="H36" i="4"/>
  <c r="H34" i="4"/>
  <c r="H33" i="4"/>
  <c r="H32" i="4"/>
  <c r="H31" i="4"/>
  <c r="H30" i="4"/>
  <c r="H27" i="4"/>
  <c r="H26" i="4"/>
  <c r="H24" i="4"/>
  <c r="H23" i="4"/>
  <c r="H22" i="4"/>
  <c r="H19" i="4"/>
  <c r="H18" i="4"/>
  <c r="K15" i="4"/>
  <c r="H14" i="4"/>
  <c r="H13" i="4"/>
  <c r="H12" i="4"/>
  <c r="H11" i="4"/>
  <c r="H9" i="4"/>
  <c r="H5" i="4"/>
  <c r="H4" i="4"/>
  <c r="H3" i="4"/>
  <c r="I88" i="4"/>
  <c r="I103" i="4"/>
  <c r="I42" i="4"/>
  <c r="I341" i="4"/>
  <c r="I70" i="4"/>
  <c r="I191" i="4"/>
  <c r="I163" i="4"/>
  <c r="I197" i="4"/>
  <c r="I3" i="4"/>
  <c r="I238" i="4"/>
  <c r="I239" i="4"/>
  <c r="I87" i="4"/>
  <c r="I263" i="4"/>
  <c r="I41" i="4"/>
  <c r="I243" i="4"/>
  <c r="I164" i="4"/>
  <c r="I66" i="4"/>
  <c r="I198" i="4"/>
  <c r="I314" i="4"/>
  <c r="I151" i="4"/>
  <c r="I150" i="4"/>
  <c r="I142" i="4"/>
  <c r="I340" i="4"/>
  <c r="I333" i="4"/>
  <c r="I18" i="4"/>
  <c r="I242" i="4"/>
  <c r="I344" i="4"/>
  <c r="I262" i="4"/>
  <c r="I313" i="4"/>
  <c r="I332" i="4"/>
  <c r="I141" i="4"/>
  <c r="I202" i="4"/>
  <c r="I345" i="4"/>
  <c r="I192" i="4"/>
  <c r="I102" i="4"/>
  <c r="I342" i="4" l="1"/>
  <c r="B165" i="4"/>
  <c r="B71" i="4"/>
  <c r="B193" i="4"/>
  <c r="B244" i="4"/>
  <c r="B89" i="4"/>
  <c r="B90" i="4" s="1"/>
  <c r="B153" i="4"/>
  <c r="B264" i="4"/>
  <c r="B265" i="4" s="1"/>
  <c r="B43" i="4"/>
  <c r="B315" i="4"/>
  <c r="B203" i="4"/>
  <c r="B346" i="4"/>
  <c r="B334" i="4"/>
  <c r="B106" i="4"/>
  <c r="B107" i="4" s="1"/>
  <c r="J28" i="4"/>
  <c r="J234" i="4"/>
  <c r="J208" i="4"/>
  <c r="F36" i="5"/>
  <c r="E36" i="5" s="1"/>
  <c r="J29" i="34"/>
  <c r="C30" i="36" s="1"/>
  <c r="H199" i="4"/>
  <c r="H67" i="4"/>
  <c r="H100" i="4"/>
  <c r="H39" i="4"/>
  <c r="H330" i="4"/>
  <c r="K356" i="4"/>
  <c r="H338" i="4"/>
  <c r="H195" i="4"/>
  <c r="H240" i="4"/>
  <c r="H148" i="4"/>
  <c r="H189" i="4"/>
  <c r="B19" i="4"/>
  <c r="H161" i="4"/>
  <c r="B4" i="4"/>
  <c r="H85" i="4"/>
  <c r="B72" i="4"/>
  <c r="H342" i="4"/>
  <c r="F9" i="5"/>
  <c r="E14" i="5"/>
  <c r="B143" i="4"/>
  <c r="M9" i="6"/>
  <c r="H63" i="4"/>
  <c r="H139" i="4"/>
  <c r="H350" i="4"/>
  <c r="H15" i="4"/>
  <c r="E31" i="5"/>
  <c r="H236" i="4"/>
  <c r="H260" i="4"/>
  <c r="F26" i="5"/>
  <c r="H311" i="4"/>
  <c r="I38" i="5"/>
  <c r="J313" i="4"/>
  <c r="J105" i="4"/>
  <c r="J340" i="4"/>
  <c r="I352" i="4"/>
  <c r="J332" i="4"/>
  <c r="J352" i="4" s="1"/>
  <c r="J103" i="4"/>
  <c r="J243" i="4"/>
  <c r="G26" i="5"/>
  <c r="H17" i="5"/>
  <c r="J104" i="4"/>
  <c r="J42" i="4"/>
  <c r="H22" i="5"/>
  <c r="J238" i="4"/>
  <c r="H8" i="5"/>
  <c r="H23" i="5"/>
  <c r="H19" i="5"/>
  <c r="H24" i="5"/>
  <c r="J66" i="4"/>
  <c r="J67" i="4" s="1"/>
  <c r="I67" i="4"/>
  <c r="J202" i="4"/>
  <c r="J341" i="4"/>
  <c r="J342" i="4" s="1"/>
  <c r="H25" i="5"/>
  <c r="J164" i="4"/>
  <c r="H7" i="5"/>
  <c r="H21" i="5"/>
  <c r="H5" i="5"/>
  <c r="J242" i="4"/>
  <c r="J41" i="4"/>
  <c r="H20" i="5"/>
  <c r="J239" i="4"/>
  <c r="J240" i="4" s="1"/>
  <c r="I240" i="4"/>
  <c r="G31" i="5"/>
  <c r="H29" i="5"/>
  <c r="J263" i="4"/>
  <c r="J87" i="4"/>
  <c r="J150" i="4"/>
  <c r="J151" i="4"/>
  <c r="H35" i="5"/>
  <c r="H30" i="5"/>
  <c r="J333" i="4"/>
  <c r="H18" i="5"/>
  <c r="J102" i="4"/>
  <c r="G14" i="5"/>
  <c r="H12" i="5"/>
  <c r="H3" i="5"/>
  <c r="G9" i="5"/>
  <c r="H13" i="5"/>
  <c r="J191" i="4"/>
  <c r="H4" i="5"/>
  <c r="J163" i="4"/>
  <c r="H6" i="5"/>
  <c r="I199" i="4"/>
  <c r="J198" i="4"/>
  <c r="J199" i="4" s="1"/>
  <c r="J197" i="4"/>
  <c r="J344" i="4"/>
  <c r="J141" i="4"/>
  <c r="J262" i="4"/>
  <c r="G36" i="5"/>
  <c r="H34" i="5"/>
  <c r="I106" i="4"/>
  <c r="I43" i="4"/>
  <c r="I107" i="4"/>
  <c r="I334" i="4"/>
  <c r="I203" i="4"/>
  <c r="I346" i="4"/>
  <c r="I89" i="4"/>
  <c r="I4" i="4"/>
  <c r="I71" i="4"/>
  <c r="I244" i="4"/>
  <c r="I90" i="4"/>
  <c r="I72" i="4"/>
  <c r="I153" i="4"/>
  <c r="I264" i="4"/>
  <c r="I315" i="4"/>
  <c r="I165" i="4"/>
  <c r="I19" i="4"/>
  <c r="I193" i="4"/>
  <c r="I143" i="4"/>
  <c r="J244" i="4" l="1"/>
  <c r="J106" i="4"/>
  <c r="J334" i="4"/>
  <c r="J153" i="4"/>
  <c r="J43" i="4"/>
  <c r="B108" i="4"/>
  <c r="B347" i="4"/>
  <c r="B245" i="4"/>
  <c r="B335" i="4"/>
  <c r="B154" i="4"/>
  <c r="B316" i="4"/>
  <c r="B194" i="4"/>
  <c r="B204" i="4"/>
  <c r="B44" i="4"/>
  <c r="B166" i="4"/>
  <c r="J70" i="4"/>
  <c r="J165" i="4"/>
  <c r="J107" i="4"/>
  <c r="J346" i="4"/>
  <c r="J192" i="4"/>
  <c r="J345" i="4"/>
  <c r="J264" i="4"/>
  <c r="J203" i="4"/>
  <c r="J88" i="4"/>
  <c r="J28" i="34"/>
  <c r="N30" i="34" s="1"/>
  <c r="J11" i="34"/>
  <c r="J25" i="34"/>
  <c r="J19" i="34"/>
  <c r="J27" i="34"/>
  <c r="N27" i="34" s="1"/>
  <c r="J21" i="34"/>
  <c r="J26" i="34"/>
  <c r="J20" i="34"/>
  <c r="J14" i="34"/>
  <c r="J9" i="34"/>
  <c r="J8" i="34"/>
  <c r="J16" i="34"/>
  <c r="J13" i="34"/>
  <c r="J24" i="34"/>
  <c r="J10" i="34"/>
  <c r="J22" i="34"/>
  <c r="J15" i="34"/>
  <c r="J12" i="34"/>
  <c r="J17" i="34"/>
  <c r="J18" i="34"/>
  <c r="F38" i="5"/>
  <c r="E38" i="5" s="1"/>
  <c r="H36" i="5"/>
  <c r="J142" i="4"/>
  <c r="J193" i="4"/>
  <c r="J314" i="4"/>
  <c r="J3" i="4"/>
  <c r="J18" i="4"/>
  <c r="J315" i="4"/>
  <c r="J71" i="4"/>
  <c r="J89" i="4"/>
  <c r="H356" i="4"/>
  <c r="G356" i="4" s="1"/>
  <c r="M5" i="6"/>
  <c r="E9" i="5"/>
  <c r="B73" i="4"/>
  <c r="B91" i="4"/>
  <c r="B144" i="4"/>
  <c r="B20" i="4"/>
  <c r="M7" i="6"/>
  <c r="E26" i="5"/>
  <c r="B5" i="4"/>
  <c r="H9" i="5"/>
  <c r="H31" i="5"/>
  <c r="H26" i="5"/>
  <c r="G38" i="5"/>
  <c r="H14" i="5"/>
  <c r="I44" i="4"/>
  <c r="I108" i="4"/>
  <c r="I144" i="4"/>
  <c r="I194" i="4"/>
  <c r="I316" i="4"/>
  <c r="I20" i="4"/>
  <c r="I73" i="4"/>
  <c r="I166" i="4"/>
  <c r="I347" i="4"/>
  <c r="I154" i="4"/>
  <c r="I335" i="4"/>
  <c r="I204" i="4"/>
  <c r="I5" i="4"/>
  <c r="I245" i="4"/>
  <c r="I91" i="4"/>
  <c r="I265" i="4"/>
  <c r="J265" i="4" l="1"/>
  <c r="J44" i="4"/>
  <c r="J108" i="4"/>
  <c r="J347" i="4"/>
  <c r="J204" i="4"/>
  <c r="J194" i="4"/>
  <c r="J195" i="4" s="1"/>
  <c r="I195" i="4"/>
  <c r="J316" i="4"/>
  <c r="J154" i="4"/>
  <c r="J335" i="4"/>
  <c r="J166" i="4"/>
  <c r="J245" i="4"/>
  <c r="B266" i="4"/>
  <c r="B267" i="4" s="1"/>
  <c r="B268" i="4" s="1"/>
  <c r="B269" i="4" s="1"/>
  <c r="B45" i="4"/>
  <c r="B109" i="4"/>
  <c r="B348" i="4"/>
  <c r="B205" i="4"/>
  <c r="B317" i="4"/>
  <c r="B155" i="4"/>
  <c r="B336" i="4"/>
  <c r="B167" i="4"/>
  <c r="B246" i="4"/>
  <c r="N16" i="34"/>
  <c r="S8" i="34" s="1"/>
  <c r="S9" i="34"/>
  <c r="S10" i="34"/>
  <c r="N10" i="34"/>
  <c r="S7" i="34" s="1"/>
  <c r="J33" i="34"/>
  <c r="N33" i="34" s="1"/>
  <c r="S11" i="34" s="1"/>
  <c r="C26" i="36"/>
  <c r="D26" i="36" s="1"/>
  <c r="G330" i="4" s="1"/>
  <c r="K25" i="34"/>
  <c r="K21" i="34"/>
  <c r="C22" i="36"/>
  <c r="D22" i="36" s="1"/>
  <c r="G240" i="4" s="1"/>
  <c r="C12" i="36"/>
  <c r="D12" i="36" s="1"/>
  <c r="G67" i="4" s="1"/>
  <c r="K11" i="34"/>
  <c r="K26" i="34"/>
  <c r="C27" i="36"/>
  <c r="D27" i="36" s="1"/>
  <c r="G338" i="4" s="1"/>
  <c r="C28" i="36"/>
  <c r="K27" i="34"/>
  <c r="K19" i="34"/>
  <c r="C20" i="36"/>
  <c r="D20" i="36" s="1"/>
  <c r="G199" i="4" s="1"/>
  <c r="C29" i="36"/>
  <c r="K28" i="34"/>
  <c r="C13" i="36"/>
  <c r="D13" i="36" s="1"/>
  <c r="G85" i="4" s="1"/>
  <c r="K12" i="34"/>
  <c r="K24" i="34"/>
  <c r="C25" i="36"/>
  <c r="D25" i="36" s="1"/>
  <c r="G311" i="4" s="1"/>
  <c r="K8" i="34"/>
  <c r="C9" i="36"/>
  <c r="J31" i="34"/>
  <c r="K15" i="34"/>
  <c r="C16" i="36"/>
  <c r="D16" i="36" s="1"/>
  <c r="G148" i="4" s="1"/>
  <c r="K13" i="34"/>
  <c r="C14" i="36"/>
  <c r="D14" i="36" s="1"/>
  <c r="G100" i="4" s="1"/>
  <c r="K9" i="34"/>
  <c r="C10" i="36"/>
  <c r="D10" i="36" s="1"/>
  <c r="G39" i="4" s="1"/>
  <c r="K18" i="34"/>
  <c r="C19" i="36"/>
  <c r="D19" i="36" s="1"/>
  <c r="G195" i="4" s="1"/>
  <c r="K22" i="34"/>
  <c r="C23" i="36"/>
  <c r="D23" i="36" s="1"/>
  <c r="G260" i="4" s="1"/>
  <c r="C15" i="36"/>
  <c r="K14" i="34"/>
  <c r="C17" i="36"/>
  <c r="D17" i="36" s="1"/>
  <c r="G161" i="4" s="1"/>
  <c r="K16" i="34"/>
  <c r="K10" i="34"/>
  <c r="C11" i="36"/>
  <c r="D11" i="36" s="1"/>
  <c r="G63" i="4" s="1"/>
  <c r="K20" i="34"/>
  <c r="C21" i="36"/>
  <c r="D21" i="36" s="1"/>
  <c r="G236" i="4" s="1"/>
  <c r="K17" i="34"/>
  <c r="C18" i="36"/>
  <c r="D18" i="36" s="1"/>
  <c r="G189" i="4" s="1"/>
  <c r="J90" i="4"/>
  <c r="J19" i="4"/>
  <c r="J4" i="4"/>
  <c r="J143" i="4"/>
  <c r="J72" i="4"/>
  <c r="H38" i="5"/>
  <c r="B6" i="4"/>
  <c r="B145" i="4"/>
  <c r="B74" i="4"/>
  <c r="B21" i="4"/>
  <c r="B92" i="4"/>
  <c r="M10" i="6"/>
  <c r="N5" i="6" s="1"/>
  <c r="I45" i="4"/>
  <c r="I109" i="4"/>
  <c r="I267" i="4"/>
  <c r="I317" i="4"/>
  <c r="I348" i="4"/>
  <c r="I6" i="4"/>
  <c r="I167" i="4"/>
  <c r="I92" i="4"/>
  <c r="I336" i="4"/>
  <c r="I155" i="4"/>
  <c r="I246" i="4"/>
  <c r="I74" i="4"/>
  <c r="I21" i="4"/>
  <c r="I205" i="4"/>
  <c r="I145" i="4"/>
  <c r="I266" i="4"/>
  <c r="J267" i="4" l="1"/>
  <c r="J246" i="4"/>
  <c r="J45" i="4"/>
  <c r="J167" i="4"/>
  <c r="J266" i="4"/>
  <c r="J336" i="4"/>
  <c r="J155" i="4"/>
  <c r="J317" i="4"/>
  <c r="J205" i="4"/>
  <c r="J348" i="4"/>
  <c r="J109" i="4"/>
  <c r="B247" i="4"/>
  <c r="B46" i="4"/>
  <c r="F18" i="36"/>
  <c r="B168" i="4"/>
  <c r="B337" i="4"/>
  <c r="B156" i="4"/>
  <c r="B318" i="4"/>
  <c r="F12" i="36"/>
  <c r="B206" i="4"/>
  <c r="B349" i="4"/>
  <c r="B110" i="4"/>
  <c r="D28" i="36"/>
  <c r="G342" i="4" s="1"/>
  <c r="E8" i="6"/>
  <c r="D15" i="36"/>
  <c r="G139" i="4" s="1"/>
  <c r="E7" i="6"/>
  <c r="D29" i="36"/>
  <c r="G350" i="4" s="1"/>
  <c r="E9" i="6"/>
  <c r="E6" i="6"/>
  <c r="S12" i="34"/>
  <c r="T6" i="34" s="1"/>
  <c r="N31" i="34"/>
  <c r="C34" i="36"/>
  <c r="D34" i="36" s="1"/>
  <c r="K33" i="34"/>
  <c r="J34" i="34"/>
  <c r="K31" i="34"/>
  <c r="D9" i="36"/>
  <c r="G15" i="4" s="1"/>
  <c r="C32" i="36"/>
  <c r="J20" i="4"/>
  <c r="J144" i="4"/>
  <c r="J91" i="4"/>
  <c r="J73" i="4"/>
  <c r="J5" i="4"/>
  <c r="B7" i="4"/>
  <c r="B75" i="4"/>
  <c r="N10" i="6"/>
  <c r="N6" i="6"/>
  <c r="N8" i="6"/>
  <c r="N9" i="6"/>
  <c r="B146" i="4"/>
  <c r="B22" i="4"/>
  <c r="B93" i="4"/>
  <c r="N7" i="6"/>
  <c r="I46" i="4"/>
  <c r="I110" i="4"/>
  <c r="I146" i="4"/>
  <c r="I93" i="4"/>
  <c r="I337" i="4"/>
  <c r="I349" i="4"/>
  <c r="I168" i="4"/>
  <c r="I22" i="4"/>
  <c r="I247" i="4"/>
  <c r="I75" i="4"/>
  <c r="I156" i="4"/>
  <c r="I269" i="4"/>
  <c r="I7" i="4"/>
  <c r="I206" i="4"/>
  <c r="I318" i="4"/>
  <c r="J349" i="4" l="1"/>
  <c r="J350" i="4" s="1"/>
  <c r="I350" i="4"/>
  <c r="J168" i="4"/>
  <c r="J206" i="4"/>
  <c r="J46" i="4"/>
  <c r="J318" i="4"/>
  <c r="J156" i="4"/>
  <c r="J247" i="4"/>
  <c r="J337" i="4"/>
  <c r="J338" i="4" s="1"/>
  <c r="I338" i="4"/>
  <c r="J110" i="4"/>
  <c r="J269" i="4"/>
  <c r="B169" i="4"/>
  <c r="B207" i="4"/>
  <c r="B47" i="4"/>
  <c r="B319" i="4"/>
  <c r="B157" i="4"/>
  <c r="B248" i="4"/>
  <c r="B111" i="4"/>
  <c r="B270" i="4"/>
  <c r="T8" i="34"/>
  <c r="T9" i="34"/>
  <c r="T10" i="34"/>
  <c r="T7" i="34"/>
  <c r="T11" i="34"/>
  <c r="N34" i="34"/>
  <c r="O37" i="34" s="1"/>
  <c r="C35" i="36"/>
  <c r="D32" i="36"/>
  <c r="K34" i="34"/>
  <c r="J37" i="34"/>
  <c r="K37" i="34" s="1"/>
  <c r="J6" i="4"/>
  <c r="J74" i="4"/>
  <c r="J145" i="4"/>
  <c r="J21" i="4"/>
  <c r="J92" i="4"/>
  <c r="B94" i="4"/>
  <c r="B76" i="4"/>
  <c r="B8" i="4"/>
  <c r="E10" i="6"/>
  <c r="F9" i="6" s="1"/>
  <c r="B147" i="4"/>
  <c r="B23" i="4"/>
  <c r="I47" i="4"/>
  <c r="I111" i="4"/>
  <c r="I23" i="4"/>
  <c r="I248" i="4"/>
  <c r="I319" i="4"/>
  <c r="I270" i="4"/>
  <c r="I8" i="4"/>
  <c r="I207" i="4"/>
  <c r="I147" i="4"/>
  <c r="I169" i="4"/>
  <c r="I76" i="4"/>
  <c r="I157" i="4"/>
  <c r="I94" i="4"/>
  <c r="J47" i="4" l="1"/>
  <c r="J270" i="4"/>
  <c r="J169" i="4"/>
  <c r="J207" i="4"/>
  <c r="J111" i="4"/>
  <c r="J248" i="4"/>
  <c r="J157" i="4"/>
  <c r="J319" i="4"/>
  <c r="B48" i="4"/>
  <c r="B271" i="4"/>
  <c r="B170" i="4"/>
  <c r="B209" i="4"/>
  <c r="B112" i="4"/>
  <c r="B249" i="4"/>
  <c r="B158" i="4"/>
  <c r="B320" i="4"/>
  <c r="T12" i="34"/>
  <c r="O16" i="34"/>
  <c r="O27" i="34"/>
  <c r="O10" i="34"/>
  <c r="O33" i="34"/>
  <c r="O4" i="34"/>
  <c r="O30" i="34"/>
  <c r="D35" i="36"/>
  <c r="C38" i="36"/>
  <c r="D38" i="36" s="1"/>
  <c r="J146" i="4"/>
  <c r="I148" i="4"/>
  <c r="J147" i="4"/>
  <c r="J93" i="4"/>
  <c r="J22" i="4"/>
  <c r="J7" i="4"/>
  <c r="J75" i="4"/>
  <c r="B77" i="4"/>
  <c r="F8" i="6"/>
  <c r="F7" i="6"/>
  <c r="F6" i="6"/>
  <c r="F5" i="6"/>
  <c r="B95" i="4"/>
  <c r="B24" i="4"/>
  <c r="B9" i="4"/>
  <c r="I48" i="4"/>
  <c r="I112" i="4"/>
  <c r="I95" i="4"/>
  <c r="I271" i="4"/>
  <c r="I24" i="4"/>
  <c r="I209" i="4"/>
  <c r="I77" i="4"/>
  <c r="I249" i="4"/>
  <c r="I158" i="4"/>
  <c r="I9" i="4"/>
  <c r="I320" i="4"/>
  <c r="I170" i="4"/>
  <c r="J320" i="4" l="1"/>
  <c r="J158" i="4"/>
  <c r="J209" i="4"/>
  <c r="J249" i="4"/>
  <c r="J112" i="4"/>
  <c r="J271" i="4"/>
  <c r="J170" i="4"/>
  <c r="J48" i="4"/>
  <c r="B321" i="4"/>
  <c r="B159" i="4"/>
  <c r="B210" i="4"/>
  <c r="B250" i="4"/>
  <c r="B113" i="4"/>
  <c r="B272" i="4"/>
  <c r="B171" i="4"/>
  <c r="B49" i="4"/>
  <c r="O34" i="34"/>
  <c r="J148" i="4"/>
  <c r="J8" i="4"/>
  <c r="J23" i="4"/>
  <c r="J76" i="4"/>
  <c r="J94" i="4"/>
  <c r="B26" i="4"/>
  <c r="B78" i="4"/>
  <c r="F10" i="6"/>
  <c r="B10" i="4"/>
  <c r="B96" i="4"/>
  <c r="I113" i="4"/>
  <c r="I49" i="4"/>
  <c r="I171" i="4"/>
  <c r="I159" i="4"/>
  <c r="I210" i="4"/>
  <c r="I321" i="4"/>
  <c r="I272" i="4"/>
  <c r="I26" i="4"/>
  <c r="I96" i="4"/>
  <c r="I78" i="4"/>
  <c r="I250" i="4"/>
  <c r="I10" i="4"/>
  <c r="J210" i="4" l="1"/>
  <c r="J171" i="4"/>
  <c r="J272" i="4"/>
  <c r="J113" i="4"/>
  <c r="J250" i="4"/>
  <c r="J159" i="4"/>
  <c r="J321" i="4"/>
  <c r="J49" i="4"/>
  <c r="B211" i="4"/>
  <c r="B172" i="4"/>
  <c r="B273" i="4"/>
  <c r="B274" i="4" s="1"/>
  <c r="B114" i="4"/>
  <c r="B251" i="4"/>
  <c r="B160" i="4"/>
  <c r="B322" i="4"/>
  <c r="B50" i="4"/>
  <c r="J9" i="4"/>
  <c r="J24" i="4"/>
  <c r="J77" i="4"/>
  <c r="J95" i="4"/>
  <c r="B27" i="4"/>
  <c r="B97" i="4"/>
  <c r="B79" i="4"/>
  <c r="B11" i="4"/>
  <c r="I274" i="4"/>
  <c r="I50" i="4"/>
  <c r="I114" i="4"/>
  <c r="I273" i="4"/>
  <c r="I322" i="4"/>
  <c r="I27" i="4"/>
  <c r="I11" i="4"/>
  <c r="I79" i="4"/>
  <c r="I211" i="4"/>
  <c r="I251" i="4"/>
  <c r="I160" i="4"/>
  <c r="I172" i="4"/>
  <c r="I97" i="4"/>
  <c r="J274" i="4" l="1"/>
  <c r="B275" i="4"/>
  <c r="J114" i="4"/>
  <c r="J322" i="4"/>
  <c r="J160" i="4"/>
  <c r="J161" i="4" s="1"/>
  <c r="I161" i="4"/>
  <c r="J251" i="4"/>
  <c r="J273" i="4"/>
  <c r="J172" i="4"/>
  <c r="J211" i="4"/>
  <c r="J50" i="4"/>
  <c r="B115" i="4"/>
  <c r="B323" i="4"/>
  <c r="B252" i="4"/>
  <c r="B173" i="4"/>
  <c r="B212" i="4"/>
  <c r="B51" i="4"/>
  <c r="J78" i="4"/>
  <c r="J10" i="4"/>
  <c r="J96" i="4"/>
  <c r="J26" i="4"/>
  <c r="B80" i="4"/>
  <c r="B29" i="4"/>
  <c r="B12" i="4"/>
  <c r="B98" i="4"/>
  <c r="I115" i="4"/>
  <c r="I51" i="4"/>
  <c r="I98" i="4"/>
  <c r="I80" i="4"/>
  <c r="I212" i="4"/>
  <c r="I323" i="4"/>
  <c r="I173" i="4"/>
  <c r="I275" i="4"/>
  <c r="I29" i="4"/>
  <c r="I12" i="4"/>
  <c r="I252" i="4"/>
  <c r="J212" i="4" l="1"/>
  <c r="J173" i="4"/>
  <c r="J275" i="4"/>
  <c r="J323" i="4"/>
  <c r="J252" i="4"/>
  <c r="J115" i="4"/>
  <c r="J51" i="4"/>
  <c r="B213" i="4"/>
  <c r="B174" i="4"/>
  <c r="B276" i="4"/>
  <c r="B324" i="4"/>
  <c r="B253" i="4"/>
  <c r="B116" i="4"/>
  <c r="B52" i="4"/>
  <c r="J79" i="4"/>
  <c r="J11" i="4"/>
  <c r="J97" i="4"/>
  <c r="J27" i="4"/>
  <c r="B30" i="4"/>
  <c r="B81" i="4"/>
  <c r="B99" i="4"/>
  <c r="B13" i="4"/>
  <c r="I116" i="4"/>
  <c r="I52" i="4"/>
  <c r="I81" i="4"/>
  <c r="I253" i="4"/>
  <c r="I213" i="4"/>
  <c r="I99" i="4"/>
  <c r="I13" i="4"/>
  <c r="I174" i="4"/>
  <c r="I276" i="4"/>
  <c r="I30" i="4"/>
  <c r="I324" i="4"/>
  <c r="J116" i="4" l="1"/>
  <c r="J213" i="4"/>
  <c r="J52" i="4"/>
  <c r="J253" i="4"/>
  <c r="J324" i="4"/>
  <c r="J276" i="4"/>
  <c r="J174" i="4"/>
  <c r="B117" i="4"/>
  <c r="B214" i="4"/>
  <c r="B53" i="4"/>
  <c r="B254" i="4"/>
  <c r="B325" i="4"/>
  <c r="B277" i="4"/>
  <c r="B175" i="4"/>
  <c r="J29" i="4"/>
  <c r="J98" i="4"/>
  <c r="J12" i="4"/>
  <c r="J99" i="4"/>
  <c r="I100" i="4"/>
  <c r="J80" i="4"/>
  <c r="B82" i="4"/>
  <c r="B31" i="4"/>
  <c r="B14" i="4"/>
  <c r="I53" i="4"/>
  <c r="I117" i="4"/>
  <c r="I31" i="4"/>
  <c r="I82" i="4"/>
  <c r="I325" i="4"/>
  <c r="I14" i="4"/>
  <c r="I175" i="4"/>
  <c r="I277" i="4"/>
  <c r="I254" i="4"/>
  <c r="I214" i="4"/>
  <c r="J254" i="4" l="1"/>
  <c r="J175" i="4"/>
  <c r="J277" i="4"/>
  <c r="J325" i="4"/>
  <c r="J53" i="4"/>
  <c r="J214" i="4"/>
  <c r="J117" i="4"/>
  <c r="B255" i="4"/>
  <c r="B176" i="4"/>
  <c r="B278" i="4"/>
  <c r="B326" i="4"/>
  <c r="B54" i="4"/>
  <c r="B215" i="4"/>
  <c r="B118" i="4"/>
  <c r="J30" i="4"/>
  <c r="J14" i="4"/>
  <c r="I15" i="4"/>
  <c r="J81" i="4"/>
  <c r="J13" i="4"/>
  <c r="B32" i="4"/>
  <c r="B83" i="4"/>
  <c r="J100" i="4"/>
  <c r="I118" i="4"/>
  <c r="I54" i="4"/>
  <c r="I32" i="4"/>
  <c r="I176" i="4"/>
  <c r="I83" i="4"/>
  <c r="I278" i="4"/>
  <c r="I215" i="4"/>
  <c r="I255" i="4"/>
  <c r="I326" i="4"/>
  <c r="J118" i="4" l="1"/>
  <c r="J215" i="4"/>
  <c r="J54" i="4"/>
  <c r="J278" i="4"/>
  <c r="J176" i="4"/>
  <c r="J255" i="4"/>
  <c r="J326" i="4"/>
  <c r="B119" i="4"/>
  <c r="B216" i="4"/>
  <c r="B55" i="4"/>
  <c r="B279" i="4"/>
  <c r="B177" i="4"/>
  <c r="B256" i="4"/>
  <c r="B327" i="4"/>
  <c r="J31" i="4"/>
  <c r="J82" i="4"/>
  <c r="B33" i="4"/>
  <c r="B84" i="4"/>
  <c r="J15" i="4"/>
  <c r="I119" i="4"/>
  <c r="I55" i="4"/>
  <c r="I216" i="4"/>
  <c r="I327" i="4"/>
  <c r="I33" i="4"/>
  <c r="I256" i="4"/>
  <c r="I177" i="4"/>
  <c r="I84" i="4"/>
  <c r="I279" i="4"/>
  <c r="J256" i="4" l="1"/>
  <c r="J327" i="4"/>
  <c r="J177" i="4"/>
  <c r="J55" i="4"/>
  <c r="J216" i="4"/>
  <c r="J279" i="4"/>
  <c r="J119" i="4"/>
  <c r="B257" i="4"/>
  <c r="B328" i="4"/>
  <c r="B178" i="4"/>
  <c r="B58" i="4"/>
  <c r="B217" i="4"/>
  <c r="B280" i="4"/>
  <c r="B120" i="4"/>
  <c r="J83" i="4"/>
  <c r="J32" i="4"/>
  <c r="J84" i="4"/>
  <c r="I85" i="4"/>
  <c r="B34" i="4"/>
  <c r="I120" i="4"/>
  <c r="I58" i="4"/>
  <c r="I280" i="4"/>
  <c r="I178" i="4"/>
  <c r="I34" i="4"/>
  <c r="I257" i="4"/>
  <c r="I328" i="4"/>
  <c r="I217" i="4"/>
  <c r="J217" i="4" l="1"/>
  <c r="J58" i="4"/>
  <c r="J178" i="4"/>
  <c r="J328" i="4"/>
  <c r="J280" i="4"/>
  <c r="J257" i="4"/>
  <c r="J120" i="4"/>
  <c r="B218" i="4"/>
  <c r="B59" i="4"/>
  <c r="B179" i="4"/>
  <c r="B329" i="4"/>
  <c r="B281" i="4"/>
  <c r="B258" i="4"/>
  <c r="B259" i="4" s="1"/>
  <c r="B121" i="4"/>
  <c r="J33" i="4"/>
  <c r="B35" i="4"/>
  <c r="J85" i="4"/>
  <c r="I259" i="4"/>
  <c r="I121" i="4"/>
  <c r="I59" i="4"/>
  <c r="I35" i="4"/>
  <c r="I258" i="4"/>
  <c r="I179" i="4"/>
  <c r="I218" i="4"/>
  <c r="I281" i="4"/>
  <c r="I329" i="4"/>
  <c r="J259" i="4" l="1"/>
  <c r="I260" i="4"/>
  <c r="J258" i="4"/>
  <c r="J260" i="4" s="1"/>
  <c r="J281" i="4"/>
  <c r="J329" i="4"/>
  <c r="J330" i="4" s="1"/>
  <c r="I330" i="4"/>
  <c r="J179" i="4"/>
  <c r="J59" i="4"/>
  <c r="J218" i="4"/>
  <c r="J121" i="4"/>
  <c r="B282" i="4"/>
  <c r="B180" i="4"/>
  <c r="B60" i="4"/>
  <c r="B219" i="4"/>
  <c r="B122" i="4"/>
  <c r="J34" i="4"/>
  <c r="B36" i="4"/>
  <c r="I60" i="4"/>
  <c r="I122" i="4"/>
  <c r="I36" i="4"/>
  <c r="I282" i="4"/>
  <c r="I180" i="4"/>
  <c r="I219" i="4"/>
  <c r="J219" i="4" l="1"/>
  <c r="J122" i="4"/>
  <c r="J60" i="4"/>
  <c r="J180" i="4"/>
  <c r="J282" i="4"/>
  <c r="B220" i="4"/>
  <c r="B123" i="4"/>
  <c r="B61" i="4"/>
  <c r="B181" i="4"/>
  <c r="B283" i="4"/>
  <c r="J35" i="4"/>
  <c r="B38" i="4"/>
  <c r="I61" i="4"/>
  <c r="I123" i="4"/>
  <c r="I181" i="4"/>
  <c r="I283" i="4"/>
  <c r="I38" i="4"/>
  <c r="I220" i="4"/>
  <c r="B284" i="4" l="1"/>
  <c r="B285" i="4" s="1"/>
  <c r="J61" i="4"/>
  <c r="J123" i="4"/>
  <c r="J220" i="4"/>
  <c r="J283" i="4"/>
  <c r="J181" i="4"/>
  <c r="B57" i="4"/>
  <c r="B124" i="4"/>
  <c r="B221" i="4"/>
  <c r="B182" i="4"/>
  <c r="J36" i="4"/>
  <c r="J38" i="4"/>
  <c r="I39" i="4"/>
  <c r="I124" i="4"/>
  <c r="I57" i="4"/>
  <c r="I182" i="4"/>
  <c r="I285" i="4"/>
  <c r="I221" i="4"/>
  <c r="I284" i="4"/>
  <c r="J284" i="4" l="1"/>
  <c r="B286" i="4"/>
  <c r="J124" i="4"/>
  <c r="I63" i="4"/>
  <c r="J57" i="4"/>
  <c r="J63" i="4" s="1"/>
  <c r="J182" i="4"/>
  <c r="J285" i="4"/>
  <c r="J221" i="4"/>
  <c r="B125" i="4"/>
  <c r="B183" i="4"/>
  <c r="B222" i="4"/>
  <c r="J39" i="4"/>
  <c r="I125" i="4"/>
  <c r="I286" i="4"/>
  <c r="I183" i="4"/>
  <c r="I222" i="4"/>
  <c r="J286" i="4" l="1"/>
  <c r="B287" i="4"/>
  <c r="B288" i="4" s="1"/>
  <c r="J125" i="4"/>
  <c r="J183" i="4"/>
  <c r="J222" i="4"/>
  <c r="B126" i="4"/>
  <c r="B184" i="4"/>
  <c r="B223" i="4"/>
  <c r="I126" i="4"/>
  <c r="I223" i="4"/>
  <c r="I287" i="4"/>
  <c r="I288" i="4"/>
  <c r="I184" i="4"/>
  <c r="J287" i="4" l="1"/>
  <c r="J288" i="4"/>
  <c r="J126" i="4"/>
  <c r="J184" i="4"/>
  <c r="J223" i="4"/>
  <c r="B289" i="4"/>
  <c r="B127" i="4"/>
  <c r="B185" i="4"/>
  <c r="B224" i="4"/>
  <c r="I127" i="4"/>
  <c r="I289" i="4"/>
  <c r="I224" i="4"/>
  <c r="I185" i="4"/>
  <c r="J224" i="4" l="1"/>
  <c r="J127" i="4"/>
  <c r="J289" i="4"/>
  <c r="J185" i="4"/>
  <c r="B225" i="4"/>
  <c r="B128" i="4"/>
  <c r="B290" i="4"/>
  <c r="B291" i="4" s="1"/>
  <c r="B186" i="4"/>
  <c r="I128" i="4"/>
  <c r="I186" i="4"/>
  <c r="I290" i="4"/>
  <c r="I225" i="4"/>
  <c r="J225" i="4" l="1"/>
  <c r="J290" i="4"/>
  <c r="J186" i="4"/>
  <c r="J128" i="4"/>
  <c r="B226" i="4"/>
  <c r="B187" i="4"/>
  <c r="B129" i="4"/>
  <c r="I129" i="4"/>
  <c r="I226" i="4"/>
  <c r="I291" i="4"/>
  <c r="I187" i="4"/>
  <c r="J129" i="4" l="1"/>
  <c r="J187" i="4"/>
  <c r="J291" i="4"/>
  <c r="J226" i="4"/>
  <c r="B130" i="4"/>
  <c r="B188" i="4"/>
  <c r="B292" i="4"/>
  <c r="B227" i="4"/>
  <c r="I130" i="4"/>
  <c r="I292" i="4"/>
  <c r="I188" i="4"/>
  <c r="I227" i="4"/>
  <c r="J188" i="4" l="1"/>
  <c r="J189" i="4" s="1"/>
  <c r="J201" i="4" s="1"/>
  <c r="I189" i="4"/>
  <c r="I201" i="4" s="1"/>
  <c r="J130" i="4"/>
  <c r="J292" i="4"/>
  <c r="J227" i="4"/>
  <c r="B131" i="4"/>
  <c r="B293" i="4"/>
  <c r="B228" i="4"/>
  <c r="I131" i="4"/>
  <c r="I293" i="4"/>
  <c r="I228" i="4"/>
  <c r="J131" i="4" l="1"/>
  <c r="J228" i="4"/>
  <c r="J293" i="4"/>
  <c r="B132" i="4"/>
  <c r="B229" i="4"/>
  <c r="B294" i="4"/>
  <c r="I132" i="4"/>
  <c r="I294" i="4"/>
  <c r="I229" i="4"/>
  <c r="J294" i="4" l="1"/>
  <c r="J132" i="4"/>
  <c r="J229" i="4"/>
  <c r="B295" i="4"/>
  <c r="B133" i="4"/>
  <c r="B230" i="4"/>
  <c r="I133" i="4"/>
  <c r="I230" i="4"/>
  <c r="I295" i="4"/>
  <c r="J295" i="4" l="1"/>
  <c r="J133" i="4"/>
  <c r="J230" i="4"/>
  <c r="B296" i="4"/>
  <c r="B134" i="4"/>
  <c r="B231" i="4"/>
  <c r="I134" i="4"/>
  <c r="I231" i="4"/>
  <c r="I296" i="4"/>
  <c r="J134" i="4" l="1"/>
  <c r="J296" i="4"/>
  <c r="J231" i="4"/>
  <c r="B135" i="4"/>
  <c r="B297" i="4"/>
  <c r="B232" i="4"/>
  <c r="I135" i="4"/>
  <c r="I232" i="4"/>
  <c r="I297" i="4"/>
  <c r="J135" i="4" l="1"/>
  <c r="J297" i="4"/>
  <c r="J232" i="4"/>
  <c r="B136" i="4"/>
  <c r="B298" i="4"/>
  <c r="B233" i="4"/>
  <c r="I136" i="4"/>
  <c r="I298" i="4"/>
  <c r="I233" i="4"/>
  <c r="J136" i="4" l="1"/>
  <c r="J298" i="4"/>
  <c r="J233" i="4"/>
  <c r="B137" i="4"/>
  <c r="B299" i="4"/>
  <c r="B235" i="4"/>
  <c r="I137" i="4"/>
  <c r="I235" i="4"/>
  <c r="I299" i="4"/>
  <c r="I236" i="4" l="1"/>
  <c r="J299" i="4"/>
  <c r="J235" i="4"/>
  <c r="J236" i="4" s="1"/>
  <c r="J137" i="4"/>
  <c r="B300" i="4"/>
  <c r="B138" i="4"/>
  <c r="I138" i="4"/>
  <c r="I300" i="4"/>
  <c r="J138" i="4" l="1"/>
  <c r="J139" i="4" s="1"/>
  <c r="I139" i="4"/>
  <c r="J300" i="4"/>
  <c r="B301" i="4"/>
  <c r="I301" i="4"/>
  <c r="J301" i="4" l="1"/>
  <c r="B302" i="4"/>
  <c r="I302" i="4"/>
  <c r="J302" i="4" l="1"/>
  <c r="B303" i="4"/>
  <c r="I303" i="4"/>
  <c r="J303" i="4" l="1"/>
  <c r="B304" i="4"/>
  <c r="I304" i="4"/>
  <c r="J304" i="4" l="1"/>
  <c r="B305" i="4"/>
  <c r="I305" i="4"/>
  <c r="J305" i="4" l="1"/>
  <c r="B306" i="4"/>
  <c r="I306" i="4"/>
  <c r="J306" i="4" l="1"/>
  <c r="B307" i="4"/>
  <c r="B308" i="4" s="1"/>
  <c r="B309" i="4" s="1"/>
  <c r="B310" i="4" s="1"/>
  <c r="I310" i="4"/>
  <c r="I308" i="4"/>
  <c r="I307" i="4"/>
  <c r="J310" i="4" l="1"/>
  <c r="J307" i="4"/>
  <c r="J308" i="4"/>
  <c r="I309" i="4"/>
  <c r="J309" i="4" l="1"/>
  <c r="I268" i="4"/>
  <c r="I311" i="4" l="1"/>
  <c r="I356" i="4" s="1"/>
  <c r="J268" i="4"/>
  <c r="J311" i="4" s="1"/>
  <c r="J35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tc={4D9EFB99-C802-4643-AFD0-0D7518FEA9EE}</author>
    <author>tc={848B4758-2734-43CD-A3CD-0A227FADC0D7}</author>
  </authors>
  <commentList>
    <comment ref="A108" authorId="0" shapeId="0" xr:uid="{00000000-0006-0000-0700-00002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Increase from 2018 (In state)
	-Billy White</t>
      </text>
    </comment>
    <comment ref="H113" authorId="1" shapeId="0" xr:uid="{00000000-0006-0000-0700-00002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Registration fee = $210 / each
Designation fee = $160 / each
Designation pending = $80 / each
Application fee = $50 / each</t>
      </text>
    </comment>
  </commentList>
</comments>
</file>

<file path=xl/sharedStrings.xml><?xml version="1.0" encoding="utf-8"?>
<sst xmlns="http://schemas.openxmlformats.org/spreadsheetml/2006/main" count="11038" uniqueCount="3342">
  <si>
    <t>Account Name</t>
  </si>
  <si>
    <t>2015 Budget</t>
  </si>
  <si>
    <t>2015 Actual</t>
  </si>
  <si>
    <t>2016 Budget</t>
  </si>
  <si>
    <t>2016 Actual</t>
  </si>
  <si>
    <t>2017 Budget</t>
  </si>
  <si>
    <t>2017 Actual</t>
  </si>
  <si>
    <t>2018 Budget</t>
  </si>
  <si>
    <t>2019 Approved Budget</t>
  </si>
  <si>
    <t>% Change</t>
  </si>
  <si>
    <t>Category Totals</t>
  </si>
  <si>
    <t>6010 - Salaries</t>
  </si>
  <si>
    <t>6020 - Allowances</t>
  </si>
  <si>
    <t>Personnel</t>
  </si>
  <si>
    <t>6030 - Group Health</t>
  </si>
  <si>
    <t>6040 - Retirement</t>
  </si>
  <si>
    <t>6060 - Worker's Comp Insurance</t>
  </si>
  <si>
    <t>6070 - Social Security / Disability</t>
  </si>
  <si>
    <t>6110 - Office Supplies</t>
  </si>
  <si>
    <t>6120 - Postage</t>
  </si>
  <si>
    <t>Materials &amp; Services</t>
  </si>
  <si>
    <t>6130 - Forms/Printing</t>
  </si>
  <si>
    <t>6140 - Janitorial Supplies</t>
  </si>
  <si>
    <t>6150 - Minor Equipment/Furniture</t>
  </si>
  <si>
    <t>6160 - Computer Supplies</t>
  </si>
  <si>
    <t>6210 - Schools/Conferences Membership (Prof Dev)</t>
  </si>
  <si>
    <t>6215 - Equipment Lease/Rental</t>
  </si>
  <si>
    <t>Services</t>
  </si>
  <si>
    <t>6220 - Utilities</t>
  </si>
  <si>
    <t>6225 - Building Repair &amp; Maint.</t>
  </si>
  <si>
    <t>6235 - TLO Expenses</t>
  </si>
  <si>
    <t>6236 - BOD Expenses</t>
  </si>
  <si>
    <t>6240 - Publications</t>
  </si>
  <si>
    <t>6250 - Contingency Emergency</t>
  </si>
  <si>
    <t>6260 - Consulting/Professional Services</t>
  </si>
  <si>
    <t>6270 - GIS Services</t>
  </si>
  <si>
    <t>6280 - Maintenance Contracts</t>
  </si>
  <si>
    <t xml:space="preserve">6285 - Computer Services/Licenses </t>
  </si>
  <si>
    <t>6290 - Business Insurance</t>
  </si>
  <si>
    <t>Debt</t>
  </si>
  <si>
    <t>6810 - Debt Service - Building</t>
  </si>
  <si>
    <t>8010 - Capital Outlay</t>
  </si>
  <si>
    <t>8020 - Furniture &amp; Fixtures</t>
  </si>
  <si>
    <t>Capital Outlay</t>
  </si>
  <si>
    <t>8030 - Fund Depreciation</t>
  </si>
  <si>
    <t>TOTALS</t>
  </si>
  <si>
    <t>Appraisal Review Board Budget</t>
  </si>
  <si>
    <t>TOTAL WCAD and ARB BUDGET</t>
  </si>
  <si>
    <t>One Time Reserve Expense</t>
  </si>
  <si>
    <t>Board budget buy down from assigned fund balance</t>
  </si>
  <si>
    <t>TOTAL WCAD ALLOCATION BUDGET</t>
  </si>
  <si>
    <t>Category/Comments</t>
  </si>
  <si>
    <t>Description</t>
  </si>
  <si>
    <t>Actual Cost</t>
  </si>
  <si>
    <t>Difference</t>
  </si>
  <si>
    <t xml:space="preserve">2019 Salaries </t>
  </si>
  <si>
    <t xml:space="preserve">Overtime    </t>
  </si>
  <si>
    <t xml:space="preserve">Longevity </t>
  </si>
  <si>
    <t>Based on actual expenses</t>
  </si>
  <si>
    <t xml:space="preserve">Temp / Part-time </t>
  </si>
  <si>
    <t>Security Officer</t>
  </si>
  <si>
    <t>Percentage is from recap sheet</t>
  </si>
  <si>
    <t>Car Allowance</t>
  </si>
  <si>
    <t>Usage Reduction</t>
  </si>
  <si>
    <t>Chief Appraiser Car Allowance = $600 x 12 months</t>
  </si>
  <si>
    <t xml:space="preserve">Other Personnel Avg Miles/month </t>
  </si>
  <si>
    <t>Sub-Total</t>
  </si>
  <si>
    <t>Cellular Allowances</t>
  </si>
  <si>
    <t>Chief Appraiser - $110</t>
  </si>
  <si>
    <t>Managers/IT = $70 x 11 ee</t>
  </si>
  <si>
    <t>Designation Achievement Pay</t>
  </si>
  <si>
    <t>Assessment Administration Specialist (AAS)</t>
  </si>
  <si>
    <t>Cadastral Mapping Specialist (CMS)</t>
  </si>
  <si>
    <t>Personal Property Specialist (PPS) + RPA</t>
  </si>
  <si>
    <t>Residential Evaluation Specialist (RES) + RPA</t>
  </si>
  <si>
    <t>Certified Assessment Evaluator (CAE) + RPA</t>
  </si>
  <si>
    <t>6030 - Group Insurances</t>
  </si>
  <si>
    <t>renewal rates 9/1/2018</t>
  </si>
  <si>
    <t>Dependent Coverage ($134.30/month x 20 x 12)</t>
  </si>
  <si>
    <t>renewal in Sept 2018 (n/c)</t>
  </si>
  <si>
    <t>renewal in Sept 2018 (+10%)</t>
  </si>
  <si>
    <t>Long Term Disability (.315% x annual payroll)</t>
  </si>
  <si>
    <t>Salaries for eligible employees (Salary + Merit + OT + Longevity)*.97 (usage)</t>
  </si>
  <si>
    <t>Allowance</t>
  </si>
  <si>
    <t>Elected higher rate</t>
  </si>
  <si>
    <t>gave 1% in 2017</t>
  </si>
  <si>
    <t>COLA for Retirees?</t>
  </si>
  <si>
    <t>6060 - Workers' Compensation</t>
  </si>
  <si>
    <t>Annual Contribution</t>
  </si>
  <si>
    <t>6070 - FICA / Medicare</t>
  </si>
  <si>
    <t xml:space="preserve">Medicare </t>
  </si>
  <si>
    <t>Qualifying Salaries: (Includes Car Allowance)</t>
  </si>
  <si>
    <t>X Medicare Rate</t>
  </si>
  <si>
    <t>Sub-total</t>
  </si>
  <si>
    <t>Social Security</t>
  </si>
  <si>
    <t>does not include temp agencies</t>
  </si>
  <si>
    <t>Qualifying Salaries (Temporaries) from 6010</t>
  </si>
  <si>
    <t>X Rate</t>
  </si>
  <si>
    <t>TOTAL</t>
  </si>
  <si>
    <t>Item</t>
  </si>
  <si>
    <t>Appraisal  Est Qty</t>
  </si>
  <si>
    <t>Operations Est Qty</t>
  </si>
  <si>
    <t>Admin Est Qty.</t>
  </si>
  <si>
    <t>Estimated cost/unit</t>
  </si>
  <si>
    <t>2019 Approved Budgeted</t>
  </si>
  <si>
    <t>6110-Office Supplies</t>
  </si>
  <si>
    <r>
      <rPr>
        <sz val="11"/>
        <color rgb="FF000000"/>
        <rFont val="Calibri"/>
        <family val="2"/>
      </rPr>
      <t>1099's</t>
    </r>
    <r>
      <rPr>
        <sz val="11"/>
        <color rgb="FF000000"/>
        <rFont val="Calibri"/>
        <family val="2"/>
      </rPr>
      <t xml:space="preserve"> </t>
    </r>
  </si>
  <si>
    <t>Reorder in 2022</t>
  </si>
  <si>
    <r>
      <t>AED batteries</t>
    </r>
    <r>
      <rPr>
        <sz val="8"/>
        <rFont val="Calibri"/>
        <family val="2"/>
      </rPr>
      <t xml:space="preserve"> (every 4 years)</t>
    </r>
  </si>
  <si>
    <t>Reorder in 2021</t>
  </si>
  <si>
    <r>
      <t xml:space="preserve">AED pads </t>
    </r>
    <r>
      <rPr>
        <sz val="8"/>
        <rFont val="Calibri"/>
        <family val="2"/>
      </rPr>
      <t>(every 2 years)</t>
    </r>
  </si>
  <si>
    <t>*included in misc office supplies</t>
  </si>
  <si>
    <t xml:space="preserve">Clasp Envelopes </t>
  </si>
  <si>
    <t>Company Shirts</t>
  </si>
  <si>
    <r>
      <t xml:space="preserve">Copier paper </t>
    </r>
    <r>
      <rPr>
        <strike/>
        <sz val="11"/>
        <rFont val="Calibri"/>
        <family val="2"/>
      </rPr>
      <t/>
    </r>
  </si>
  <si>
    <t>Flags (US &amp; Texas) ~ w/ bulk discount only need every 3 year</t>
  </si>
  <si>
    <t>Measuring Tapes Metal</t>
  </si>
  <si>
    <t xml:space="preserve">Misc Office Supplies </t>
  </si>
  <si>
    <t>Postage Meter Ink Cartridges</t>
  </si>
  <si>
    <t>Postage Meter Tapes</t>
  </si>
  <si>
    <t>Reorder in 2020</t>
  </si>
  <si>
    <t>Security Badges (every 3 years)</t>
  </si>
  <si>
    <t>6120-Postage</t>
  </si>
  <si>
    <t xml:space="preserve">Appraisal Notices </t>
  </si>
  <si>
    <t>Arbitration Correspondence</t>
  </si>
  <si>
    <r>
      <t>Business Reply Usage</t>
    </r>
    <r>
      <rPr>
        <sz val="9"/>
        <rFont val="Calibri"/>
        <family val="2"/>
      </rPr>
      <t xml:space="preserve"> </t>
    </r>
    <r>
      <rPr>
        <sz val="8"/>
        <rFont val="Calibri"/>
        <family val="2"/>
      </rPr>
      <t>(surveys, questionnaires, etc.)</t>
    </r>
  </si>
  <si>
    <t>Certified Letters</t>
  </si>
  <si>
    <r>
      <t xml:space="preserve">Certified Letters </t>
    </r>
    <r>
      <rPr>
        <sz val="8"/>
        <rFont val="Calibri"/>
        <family val="2"/>
      </rPr>
      <t>(Return Receipt Requested - RRR)</t>
    </r>
  </si>
  <si>
    <r>
      <t xml:space="preserve">Exemption applications  </t>
    </r>
    <r>
      <rPr>
        <sz val="8"/>
        <rFont val="Calibri"/>
        <family val="2"/>
      </rPr>
      <t>(all exemption applications)</t>
    </r>
  </si>
  <si>
    <r>
      <t xml:space="preserve">HS Mass Mailouts </t>
    </r>
    <r>
      <rPr>
        <sz val="8"/>
        <rFont val="Calibri"/>
        <family val="2"/>
      </rPr>
      <t>(Postcards)</t>
    </r>
  </si>
  <si>
    <t>Misc Correspondence Letters</t>
  </si>
  <si>
    <t xml:space="preserve">Misc. Flats </t>
  </si>
  <si>
    <t>New</t>
  </si>
  <si>
    <t>6120-19</t>
  </si>
  <si>
    <t>Neopost</t>
  </si>
  <si>
    <t>Online Protest Postcards</t>
  </si>
  <si>
    <t>Parcel Shipping - Fed EX / UPS</t>
  </si>
  <si>
    <t>Permit Fees - Annual &amp; Business Reply</t>
  </si>
  <si>
    <t>Postage due Acct - Forwarding Orders</t>
  </si>
  <si>
    <t xml:space="preserve">Renditions </t>
  </si>
  <si>
    <t>Renditions Postcard Reminder of Online Rendition</t>
  </si>
  <si>
    <t>Sales Questionnaires </t>
  </si>
  <si>
    <t xml:space="preserve">Survey Forms </t>
  </si>
  <si>
    <t xml:space="preserve">Vendor Payments </t>
  </si>
  <si>
    <t>Income Survey forms (new for 2020)</t>
  </si>
  <si>
    <t>6130-Forms &amp; Printing</t>
  </si>
  <si>
    <t>NAV &amp; Protest Form</t>
  </si>
  <si>
    <t>HS 3630 Requirement</t>
  </si>
  <si>
    <r>
      <t>25.19 Notice 'Packet'</t>
    </r>
    <r>
      <rPr>
        <sz val="8"/>
        <color rgb="FF000000"/>
        <rFont val="Calibri"/>
        <family val="2"/>
      </rPr>
      <t xml:space="preserve"> (Same as above - With HS Insert)</t>
    </r>
  </si>
  <si>
    <r>
      <t>25.19 Notice 'Packet'</t>
    </r>
    <r>
      <rPr>
        <sz val="8"/>
        <color rgb="FF000000"/>
        <rFont val="Calibri"/>
        <family val="2"/>
      </rPr>
      <t xml:space="preserve"> (QC Sample freight)</t>
    </r>
  </si>
  <si>
    <t xml:space="preserve">25.19 No 10 window envelopes </t>
  </si>
  <si>
    <t>Include in every NAV</t>
  </si>
  <si>
    <t xml:space="preserve">25.19 Notice R&amp;R's insert </t>
  </si>
  <si>
    <t>HS Advertisement Insert</t>
  </si>
  <si>
    <t>25.19 Notice HB3630 insert</t>
  </si>
  <si>
    <t xml:space="preserve">25.19 Folding &amp; Inserting </t>
  </si>
  <si>
    <t>25.19 CASS &amp; PAVE Certification</t>
  </si>
  <si>
    <t>25.19 Notice - Printing Svc/Misc Flats</t>
  </si>
  <si>
    <t>25.19 USB drives/hard drives</t>
  </si>
  <si>
    <t xml:space="preserve">Envelopes - pre-paid </t>
  </si>
  <si>
    <t xml:space="preserve">Envelopes - regular, window </t>
  </si>
  <si>
    <t>*add back in 2020 ~ rcvd large qty for discount</t>
  </si>
  <si>
    <r>
      <t xml:space="preserve">Envelopes - special </t>
    </r>
    <r>
      <rPr>
        <sz val="8"/>
        <rFont val="Calibri"/>
        <family val="2"/>
      </rPr>
      <t>(security env)</t>
    </r>
  </si>
  <si>
    <r>
      <t>HS Application Mailout -</t>
    </r>
    <r>
      <rPr>
        <sz val="8"/>
        <rFont val="Calibri"/>
        <family val="2"/>
      </rPr>
      <t xml:space="preserve"> mailing out postcards </t>
    </r>
  </si>
  <si>
    <t>Renditions - Printing Service</t>
  </si>
  <si>
    <t>Rendition Postcard reminder</t>
  </si>
  <si>
    <t>Protest, BPP, PS Bus Cards</t>
  </si>
  <si>
    <r>
      <t>Survey Cards</t>
    </r>
    <r>
      <rPr>
        <sz val="8"/>
        <color rgb="FF000000"/>
        <rFont val="Calibri"/>
        <family val="2"/>
      </rPr>
      <t xml:space="preserve"> (PS/Appraisal) </t>
    </r>
  </si>
  <si>
    <t>Misc</t>
  </si>
  <si>
    <t>6140-Janitorial Supplies</t>
  </si>
  <si>
    <t>Increase in supplies</t>
  </si>
  <si>
    <t>Cleaning Supplies, Paper Products &amp; Miscellaneous Supplies</t>
  </si>
  <si>
    <t>6150-Minor Equipment &amp; Furniture (under $5,000)</t>
  </si>
  <si>
    <t>23" Height Adjustable Monitors</t>
  </si>
  <si>
    <t>Large format (24"+) HD/high-res monitors</t>
  </si>
  <si>
    <r>
      <t xml:space="preserve">Desktop Scanner </t>
    </r>
    <r>
      <rPr>
        <sz val="8"/>
        <rFont val="Calibri"/>
        <family val="2"/>
      </rPr>
      <t>(replacement)</t>
    </r>
  </si>
  <si>
    <r>
      <t xml:space="preserve">Electronic devices for field use </t>
    </r>
    <r>
      <rPr>
        <sz val="8"/>
        <color rgb="FF000000"/>
        <rFont val="Calibri"/>
        <family val="2"/>
      </rPr>
      <t>(tablets or other field devices)</t>
    </r>
  </si>
  <si>
    <t>Start replacement schedule 1/3yr</t>
  </si>
  <si>
    <t>Field device replacements (21 devices total)</t>
  </si>
  <si>
    <t>Replace Desktop PCs with these</t>
  </si>
  <si>
    <t>Laptop computers &amp; accessories</t>
  </si>
  <si>
    <t>Misc Equipment &amp; Furniture</t>
  </si>
  <si>
    <t>Network Hardware</t>
  </si>
  <si>
    <t>Lowered from 21 in 2018</t>
  </si>
  <si>
    <t>Personal Computers</t>
  </si>
  <si>
    <t>Replace old mgmt desks</t>
  </si>
  <si>
    <t>Replace mgmt old office furniture</t>
  </si>
  <si>
    <t>Signature pads</t>
  </si>
  <si>
    <t>Standing Desks</t>
  </si>
  <si>
    <t>Touch Screens 22" or Larger</t>
  </si>
  <si>
    <t>lobby replacement</t>
  </si>
  <si>
    <r>
      <t xml:space="preserve">TV displays for Projector Replacement </t>
    </r>
    <r>
      <rPr>
        <sz val="8"/>
        <rFont val="Calibri"/>
        <family val="2"/>
      </rPr>
      <t>(ARB/Mgr)</t>
    </r>
  </si>
  <si>
    <t>Workstation Chairs</t>
  </si>
  <si>
    <t>6160-Computer Supplies</t>
  </si>
  <si>
    <r>
      <t>Bulb for ARB projectors</t>
    </r>
    <r>
      <rPr>
        <sz val="8"/>
        <rFont val="Calibri"/>
        <family val="2"/>
      </rPr>
      <t xml:space="preserve"> (replacement) </t>
    </r>
  </si>
  <si>
    <t>Color Plotter (HPT1100)  M&amp;R Ink Cartridges (Bl. 5; Cl. 5)</t>
  </si>
  <si>
    <r>
      <t xml:space="preserve">Color Print Heads </t>
    </r>
    <r>
      <rPr>
        <sz val="8"/>
        <color rgb="FF000000"/>
        <rFont val="Calibri"/>
        <family val="2"/>
      </rPr>
      <t>(HPT1100)</t>
    </r>
    <r>
      <rPr>
        <sz val="11"/>
        <color rgb="FF000000"/>
        <rFont val="Calibri"/>
        <family val="2"/>
      </rPr>
      <t xml:space="preserve"> </t>
    </r>
  </si>
  <si>
    <t>Desktop Scanner Maintenance Kit</t>
  </si>
  <si>
    <t>Field Device Accessories</t>
  </si>
  <si>
    <t>Internal Hard Drives (storage)</t>
  </si>
  <si>
    <r>
      <t xml:space="preserve">iPad cables </t>
    </r>
    <r>
      <rPr>
        <sz val="8"/>
        <color rgb="FF000000"/>
        <rFont val="Calibri"/>
        <family val="2"/>
      </rPr>
      <t>(replacements)</t>
    </r>
  </si>
  <si>
    <t>Large format scanner maintenance kit</t>
  </si>
  <si>
    <t>Misc supplies</t>
  </si>
  <si>
    <t xml:space="preserve">Screen protectors </t>
  </si>
  <si>
    <t>Thumb drives</t>
  </si>
  <si>
    <r>
      <t>Toner cartridges</t>
    </r>
    <r>
      <rPr>
        <sz val="8"/>
        <rFont val="Calibri"/>
        <family val="2"/>
      </rPr>
      <t xml:space="preserve"> (Includes all types for all departments)</t>
    </r>
  </si>
  <si>
    <t>6210-Schools &amp; Conferences Memberships (Prof Dev)</t>
  </si>
  <si>
    <t>Staff member certifications</t>
  </si>
  <si>
    <t>Cisco Training/certifications</t>
  </si>
  <si>
    <r>
      <t xml:space="preserve">Community Outreach </t>
    </r>
    <r>
      <rPr>
        <sz val="8"/>
        <rFont val="Calibri"/>
        <family val="2"/>
      </rPr>
      <t>(GIS Day)</t>
    </r>
  </si>
  <si>
    <t>Customer &amp; Employee Survey Subscription</t>
  </si>
  <si>
    <t>Employee &amp; Board Recognition</t>
  </si>
  <si>
    <t>Increase cost/person</t>
  </si>
  <si>
    <r>
      <t xml:space="preserve">ESRI User Conf </t>
    </r>
    <r>
      <rPr>
        <sz val="8"/>
        <color rgb="FF000000"/>
        <rFont val="Calibri"/>
        <family val="2"/>
      </rPr>
      <t>- San Diego, CA</t>
    </r>
  </si>
  <si>
    <r>
      <t>GIS &amp; CAMA Conference</t>
    </r>
    <r>
      <rPr>
        <sz val="8"/>
        <rFont val="Calibri"/>
        <family val="2"/>
      </rPr>
      <t xml:space="preserve"> </t>
    </r>
  </si>
  <si>
    <t>HR Classes / Training</t>
  </si>
  <si>
    <r>
      <t>HR Seminars</t>
    </r>
    <r>
      <rPr>
        <sz val="8"/>
        <color rgb="FF000000"/>
        <rFont val="Calibri"/>
        <family val="2"/>
      </rPr>
      <t xml:space="preserve"> (Harassment &amp; Staff Motivational)</t>
    </r>
  </si>
  <si>
    <t>IAAO Conference</t>
  </si>
  <si>
    <t xml:space="preserve">IAAO Legal Seminar </t>
  </si>
  <si>
    <t>membership increase ($190 to $210)</t>
  </si>
  <si>
    <t>IAAO Membership - CAE (7), CMS (2), AAS (2) Designation</t>
  </si>
  <si>
    <t xml:space="preserve">IAAO Seminars/Course + lodging, meals, misc. </t>
  </si>
  <si>
    <t>This will be needed for the 2020 / 2021 years</t>
  </si>
  <si>
    <t>IAAO-CAE / AAS Demonstration Appraisal Report / Case Study /Grading Fees</t>
  </si>
  <si>
    <t xml:space="preserve">InHouse Software Training </t>
  </si>
  <si>
    <t xml:space="preserve">IREM Seminar  </t>
  </si>
  <si>
    <t>IT Courses/Certifications</t>
  </si>
  <si>
    <t>Misc Membership Fees</t>
  </si>
  <si>
    <t>Misc CA Business Expenses</t>
  </si>
  <si>
    <t>Misc Seminars &amp; Conference</t>
  </si>
  <si>
    <t xml:space="preserve">Notary Fees </t>
  </si>
  <si>
    <t>Property Tax Institute</t>
  </si>
  <si>
    <r>
      <t>TAAD Conference </t>
    </r>
    <r>
      <rPr>
        <sz val="8"/>
        <rFont val="Calibri"/>
        <family val="2"/>
      </rPr>
      <t>- Dallas, TX (2/23-26)</t>
    </r>
  </si>
  <si>
    <t>no legislation this year</t>
  </si>
  <si>
    <t xml:space="preserve">TAAD Legislative Seminar </t>
  </si>
  <si>
    <t>TAAD Membership</t>
  </si>
  <si>
    <t>TAAD Seminar 6th BPP</t>
  </si>
  <si>
    <t xml:space="preserve">TAAD Specialty Courses </t>
  </si>
  <si>
    <r>
      <t xml:space="preserve">TAAD - TDLR/Comptroller - courses/seminars </t>
    </r>
    <r>
      <rPr>
        <sz val="8"/>
        <color rgb="FF000000"/>
        <rFont val="Calibri"/>
        <family val="2"/>
      </rPr>
      <t>(travel, lodging, meals, misc.)</t>
    </r>
  </si>
  <si>
    <r>
      <t xml:space="preserve">TAAO Conference </t>
    </r>
    <r>
      <rPr>
        <sz val="8"/>
        <rFont val="Calibri"/>
        <family val="2"/>
      </rPr>
      <t>- Grapevine, TX (8/30-9/2)</t>
    </r>
  </si>
  <si>
    <t xml:space="preserve">TAAO Membership/Chapter fees </t>
  </si>
  <si>
    <t xml:space="preserve">TAMU Legal Seminar - San Antonio </t>
  </si>
  <si>
    <t>TCDRS Admin Seminar &amp; Perspectives Conference</t>
  </si>
  <si>
    <t>TDLR Membership - registered with the TDLR </t>
  </si>
  <si>
    <r>
      <t xml:space="preserve">TDLR Certification Review/Exams </t>
    </r>
    <r>
      <rPr>
        <sz val="8"/>
        <rFont val="Calibri"/>
        <family val="2"/>
      </rPr>
      <t xml:space="preserve"> ($350(review)   $100(exam))</t>
    </r>
  </si>
  <si>
    <r>
      <t xml:space="preserve">Tyler Connect </t>
    </r>
    <r>
      <rPr>
        <sz val="8"/>
        <rFont val="Calibri"/>
        <family val="2"/>
      </rPr>
      <t>- Orlando, FL (4/26-29)</t>
    </r>
  </si>
  <si>
    <t>Williamson County Growth Summit</t>
  </si>
  <si>
    <t xml:space="preserve">                                 Sub-Total</t>
  </si>
  <si>
    <t>6215-Equipment Lease/Rental</t>
  </si>
  <si>
    <t>new 5 yr agmt signed 2018</t>
  </si>
  <si>
    <t>Click chrgs estimated overages</t>
  </si>
  <si>
    <t xml:space="preserve">Neopost: Folder/Inserter </t>
  </si>
  <si>
    <t xml:space="preserve">Postage Machine; Meter Lease </t>
  </si>
  <si>
    <t>Printers &amp; Copiers Lease</t>
  </si>
  <si>
    <t>Property Tax on Copiers/Printers/Mail Machine</t>
  </si>
  <si>
    <t xml:space="preserve">Scanner - fi-4340C color duplex </t>
  </si>
  <si>
    <t>6220-Utilities</t>
  </si>
  <si>
    <t>Added cell phones for appr</t>
  </si>
  <si>
    <r>
      <t xml:space="preserve">AT&amp;T - Field Device Data Plans </t>
    </r>
    <r>
      <rPr>
        <sz val="8"/>
        <rFont val="Calibri"/>
        <family val="2"/>
      </rPr>
      <t>(9 months)</t>
    </r>
  </si>
  <si>
    <t>Data Foundry</t>
  </si>
  <si>
    <t>Long Distance Calls</t>
  </si>
  <si>
    <t>Spectrum</t>
  </si>
  <si>
    <t>Suddenlink</t>
  </si>
  <si>
    <t>Telephone Services</t>
  </si>
  <si>
    <r>
      <t xml:space="preserve">Text Blast </t>
    </r>
    <r>
      <rPr>
        <sz val="8"/>
        <color rgb="FF000000"/>
        <rFont val="Calibri"/>
        <family val="2"/>
      </rPr>
      <t>(text billing - Mobo)</t>
    </r>
  </si>
  <si>
    <r>
      <t xml:space="preserve">Verizon Wireless -Device Data Plans </t>
    </r>
    <r>
      <rPr>
        <sz val="6"/>
        <color rgb="FF000000"/>
        <rFont val="Calibri"/>
        <family val="2"/>
      </rPr>
      <t>(Mobile Hotspots)</t>
    </r>
  </si>
  <si>
    <t>Water, Electric, Garbage, Sewer</t>
  </si>
  <si>
    <t>6225-Building Repairs/Maintenance</t>
  </si>
  <si>
    <t>A/C Preventive Maintenance</t>
  </si>
  <si>
    <t>A/C Repair</t>
  </si>
  <si>
    <t xml:space="preserve">Back flow preventive -  annual check </t>
  </si>
  <si>
    <t xml:space="preserve">Bulbs </t>
  </si>
  <si>
    <t>Carpet cleaning (upstairs &amp; downstairs) - once a year</t>
  </si>
  <si>
    <t xml:space="preserve">Cleaning Service </t>
  </si>
  <si>
    <t xml:space="preserve">Electrical work  </t>
  </si>
  <si>
    <t xml:space="preserve">Elevator Maintenance Contract </t>
  </si>
  <si>
    <t xml:space="preserve">Elevator Inspection Annual </t>
  </si>
  <si>
    <r>
      <t>Elevator Certificate of Compliance</t>
    </r>
    <r>
      <rPr>
        <sz val="8"/>
        <color rgb="FF000000"/>
        <rFont val="Calibri"/>
        <family val="2"/>
      </rPr>
      <t xml:space="preserve"> (TDLR) </t>
    </r>
    <r>
      <rPr>
        <sz val="11"/>
        <color rgb="FF000000"/>
        <rFont val="Calibri"/>
        <family val="2"/>
      </rPr>
      <t xml:space="preserve">Annual </t>
    </r>
  </si>
  <si>
    <t>Fire Alarm/Sprinkler/Extinguisher Inspection</t>
  </si>
  <si>
    <t>Needs recharge in 2024</t>
  </si>
  <si>
    <r>
      <t xml:space="preserve">Fire Extinguisher </t>
    </r>
    <r>
      <rPr>
        <sz val="8"/>
        <color rgb="FF000000"/>
        <rFont val="Calibri"/>
        <family val="2"/>
      </rPr>
      <t>(Recharge every 6 yrs 2024)</t>
    </r>
  </si>
  <si>
    <t xml:space="preserve">Grounds Maintenance </t>
  </si>
  <si>
    <t>Irrigation repair</t>
  </si>
  <si>
    <t>Knight Security - Secured Plan</t>
  </si>
  <si>
    <r>
      <t>Misc. Maintenance</t>
    </r>
    <r>
      <rPr>
        <sz val="8"/>
        <color rgb="FF000000"/>
        <rFont val="Calibri"/>
        <family val="2"/>
      </rPr>
      <t xml:space="preserve"> (plumbing, carpentry, painting)</t>
    </r>
  </si>
  <si>
    <t>Misc. Supplies</t>
  </si>
  <si>
    <t>Mulch</t>
  </si>
  <si>
    <t>Pest Control</t>
  </si>
  <si>
    <t>Power Wash Building and entryways</t>
  </si>
  <si>
    <t xml:space="preserve">Pump House Repairs </t>
  </si>
  <si>
    <t xml:space="preserve">Security &amp; Fire Monitoring Service </t>
  </si>
  <si>
    <t>Strip/Wax/Seal VCT Flooring &amp; Tile cleaning</t>
  </si>
  <si>
    <t xml:space="preserve">Wet Pond Maintenance </t>
  </si>
  <si>
    <t>Window cleaning</t>
  </si>
  <si>
    <t>6235-TLO Expense</t>
  </si>
  <si>
    <t>Board adjusted salary 3/7/19 mtg</t>
  </si>
  <si>
    <t xml:space="preserve">TLO Expenses </t>
  </si>
  <si>
    <t>TLO Auto Allowance</t>
  </si>
  <si>
    <t>BOD disc. (TAAD Conf in Dallas 2020)</t>
  </si>
  <si>
    <t>TLO Training</t>
  </si>
  <si>
    <t>6236-BOD Expense</t>
  </si>
  <si>
    <r>
      <t xml:space="preserve">Board of Directors Expenses </t>
    </r>
    <r>
      <rPr>
        <sz val="8"/>
        <rFont val="Calibri"/>
        <family val="2"/>
      </rPr>
      <t xml:space="preserve"> (Includes conferences, training, mileage, meals, supplies, etc)</t>
    </r>
  </si>
  <si>
    <t>6240-Publications</t>
  </si>
  <si>
    <t>Aircraft Bluebook</t>
  </si>
  <si>
    <t>Airpac Plane</t>
  </si>
  <si>
    <r>
      <t xml:space="preserve">Austin American Statesman </t>
    </r>
    <r>
      <rPr>
        <sz val="8"/>
        <color rgb="FF000000"/>
        <rFont val="Calibri"/>
        <family val="2"/>
      </rPr>
      <t xml:space="preserve">(on-line) </t>
    </r>
    <r>
      <rPr>
        <sz val="11"/>
        <color rgb="FF000000"/>
        <rFont val="Calibri"/>
        <family val="2"/>
      </rPr>
      <t>Subscription</t>
    </r>
  </si>
  <si>
    <t>Renews 2022</t>
  </si>
  <si>
    <t>Austin Business Journal - 3 year subscription</t>
  </si>
  <si>
    <r>
      <t>Austin Investor Interests</t>
    </r>
    <r>
      <rPr>
        <sz val="8"/>
        <color rgb="FF000000"/>
        <rFont val="Calibri"/>
        <family val="2"/>
      </rPr>
      <t xml:space="preserve"> (Sales Info &amp; Website)</t>
    </r>
  </si>
  <si>
    <t>Automotive News (digital &amp; data center access)</t>
  </si>
  <si>
    <t>New for 2020</t>
  </si>
  <si>
    <t>Axiometrics Apartment Data</t>
  </si>
  <si>
    <t>BOMA - Experience Exchange Report</t>
  </si>
  <si>
    <t>Capitol Market Research</t>
  </si>
  <si>
    <t>CoStar Market Reports / Sales Listing Services</t>
  </si>
  <si>
    <t>prices have increased</t>
  </si>
  <si>
    <r>
      <t>Display Ads–</t>
    </r>
    <r>
      <rPr>
        <sz val="8"/>
        <rFont val="Calibri"/>
        <family val="2"/>
      </rPr>
      <t>Protest Procedures, Public Hearing ads &amp; Property Tax Benefits</t>
    </r>
  </si>
  <si>
    <t>Have a contract until 2019-2021</t>
  </si>
  <si>
    <t>Infonation - Vehicle Registration List</t>
  </si>
  <si>
    <t>IT training books from Amazon</t>
  </si>
  <si>
    <t>Job Posting Ads</t>
  </si>
  <si>
    <t>Renew Every Odd Year</t>
  </si>
  <si>
    <r>
      <t xml:space="preserve">Kelley Blue Book. Used Car Guide Older Cars </t>
    </r>
    <r>
      <rPr>
        <sz val="8"/>
        <rFont val="Calibri"/>
        <family val="2"/>
      </rPr>
      <t>(value vehicles ’91 forward)</t>
    </r>
  </si>
  <si>
    <t>Legal Ads - request for proposals</t>
  </si>
  <si>
    <r>
      <t xml:space="preserve">Loopnet Sales </t>
    </r>
    <r>
      <rPr>
        <sz val="8"/>
        <color rgb="FF000000"/>
        <rFont val="Calibri"/>
        <family val="2"/>
      </rPr>
      <t>(Sales/Lease Information)</t>
    </r>
  </si>
  <si>
    <t>Lynda.com - online software tutorials</t>
  </si>
  <si>
    <r>
      <t xml:space="preserve">Marshall &amp; Swift Network, Book, CD </t>
    </r>
    <r>
      <rPr>
        <sz val="8"/>
        <color rgb="FF000000"/>
        <rFont val="Calibri"/>
        <family val="2"/>
      </rPr>
      <t>(3 Commercial licenses and 1 Residential License)</t>
    </r>
  </si>
  <si>
    <t>Misc Publications</t>
  </si>
  <si>
    <r>
      <t xml:space="preserve">NADA Manufactured Housing Guide </t>
    </r>
    <r>
      <rPr>
        <sz val="8"/>
        <rFont val="Calibri"/>
        <family val="2"/>
      </rPr>
      <t>(22 Licenses)</t>
    </r>
    <r>
      <rPr>
        <sz val="11"/>
        <rFont val="Calibri"/>
        <family val="2"/>
      </rPr>
      <t xml:space="preserve"> Jan-April</t>
    </r>
  </si>
  <si>
    <r>
      <t xml:space="preserve">NADA – Used Car Guides </t>
    </r>
    <r>
      <rPr>
        <sz val="8"/>
        <rFont val="Calibri"/>
        <family val="2"/>
      </rPr>
      <t>(value used cars ’92 forward)</t>
    </r>
  </si>
  <si>
    <t>PKF Trends for Lodging</t>
  </si>
  <si>
    <t>Price Digest - Commercial Trailer Bluebook</t>
  </si>
  <si>
    <t>Price Digest - Truck Blue Book</t>
  </si>
  <si>
    <t>Pricewaterhouse Corp - Real Estate Investor Survey</t>
  </si>
  <si>
    <t>Real Estate Research Corp. (RERC)</t>
  </si>
  <si>
    <t>Realty Rates Investor and Market Survey</t>
  </si>
  <si>
    <t>Self Storage Almanac</t>
  </si>
  <si>
    <t>Senior Acquisition Report</t>
  </si>
  <si>
    <t>Source Strategies - Texas Hotel Performance</t>
  </si>
  <si>
    <t>Source Strategies - Texas Hotel Brand Report</t>
  </si>
  <si>
    <t>New for 2019-bod approved</t>
  </si>
  <si>
    <t>Trepp</t>
  </si>
  <si>
    <t>Subscription to The Sun (for reseach)</t>
  </si>
  <si>
    <t xml:space="preserve">6250-Contingency Emergency </t>
  </si>
  <si>
    <t>Emergency Reserve Funds</t>
  </si>
  <si>
    <t>6260-Consulting/Professional Services</t>
  </si>
  <si>
    <t>Auditor - 2019 Financials</t>
  </si>
  <si>
    <t>could lower to $6,831 according to our contract…what do you think?</t>
  </si>
  <si>
    <r>
      <t>Arbitrations</t>
    </r>
    <r>
      <rPr>
        <sz val="8"/>
        <color rgb="FF000000"/>
        <rFont val="Calibri"/>
        <family val="2"/>
      </rPr>
      <t xml:space="preserve"> (binding)</t>
    </r>
  </si>
  <si>
    <t>New Contract</t>
  </si>
  <si>
    <t>BIS Consulting</t>
  </si>
  <si>
    <t>Change Analysis Department wide license</t>
  </si>
  <si>
    <r>
      <t xml:space="preserve">Change Finder Services </t>
    </r>
    <r>
      <rPr>
        <sz val="8"/>
        <color rgb="FF000000"/>
        <rFont val="Calibri"/>
        <family val="2"/>
      </rPr>
      <t>(Pictometry)</t>
    </r>
    <r>
      <rPr>
        <sz val="11"/>
        <color rgb="FF000000"/>
        <rFont val="Calibri"/>
        <family val="2"/>
      </rPr>
      <t xml:space="preserve"> .35/parcel</t>
    </r>
  </si>
  <si>
    <t>Development Projects</t>
  </si>
  <si>
    <r>
      <t xml:space="preserve">Eagle View Image Service </t>
    </r>
    <r>
      <rPr>
        <strike/>
        <sz val="8"/>
        <rFont val="Calibri"/>
        <family val="2"/>
      </rPr>
      <t>(aerials for web)</t>
    </r>
  </si>
  <si>
    <t>Employment Screening</t>
  </si>
  <si>
    <t>Legal Fees</t>
  </si>
  <si>
    <t>Contract for 2019 - 2020</t>
  </si>
  <si>
    <t>Outside Appraisal Services</t>
  </si>
  <si>
    <t>New agreement signed 1/12/2018</t>
  </si>
  <si>
    <t xml:space="preserve">Pictometry Aerials </t>
  </si>
  <si>
    <t>every 3 years (2021/2024/2027...)</t>
  </si>
  <si>
    <t>Pool Findr = .08/parcel</t>
  </si>
  <si>
    <t>added monies for additional purge of records…</t>
  </si>
  <si>
    <t>cs survey card entry</t>
  </si>
  <si>
    <t>STATCO</t>
  </si>
  <si>
    <t>Subvenion - System Network Maintenance</t>
  </si>
  <si>
    <t>Subvenion - Additional Project Hours</t>
  </si>
  <si>
    <t>6280-Maintenance Contracts</t>
  </si>
  <si>
    <t>Apex Software - Sketching Software Maintenance</t>
  </si>
  <si>
    <t>Barracuda Proxy and Web Filter Energize Update</t>
  </si>
  <si>
    <t>Barracuda Proxy and Web Filter Instant Replacement</t>
  </si>
  <si>
    <t xml:space="preserve">BIS Online Forms </t>
  </si>
  <si>
    <t>Cisco/firewall maintenance contracts</t>
  </si>
  <si>
    <t>Constant Contact</t>
  </si>
  <si>
    <t>Dell Warranty Renewal</t>
  </si>
  <si>
    <t>Digium Phone Server Support</t>
  </si>
  <si>
    <t>Digium Licenses - 105 subscription licenses</t>
  </si>
  <si>
    <t>Equalogic Warranty Renewal</t>
  </si>
  <si>
    <r>
      <t>ESRI - ArcGIS Desktop (advanced)</t>
    </r>
    <r>
      <rPr>
        <sz val="8"/>
        <color rgb="FF000000"/>
        <rFont val="Calibri"/>
        <family val="2"/>
      </rPr>
      <t xml:space="preserve"> Concurrent use Primary Maintenance</t>
    </r>
  </si>
  <si>
    <r>
      <t xml:space="preserve">ESRI - ArcGIS Desktop (advanced) </t>
    </r>
    <r>
      <rPr>
        <sz val="7"/>
        <rFont val="Calibri"/>
        <family val="2"/>
      </rPr>
      <t>Concurrent use Secondary Maintenance</t>
    </r>
  </si>
  <si>
    <r>
      <t xml:space="preserve">ESRI - ArcGIS Desktop (standard) </t>
    </r>
    <r>
      <rPr>
        <sz val="8"/>
        <color rgb="FF000000"/>
        <rFont val="Calibri"/>
        <family val="2"/>
      </rPr>
      <t>Concurrent use Primary Maintenance</t>
    </r>
  </si>
  <si>
    <r>
      <t xml:space="preserve">ESRI - ArcGIS Desktop (standard) </t>
    </r>
    <r>
      <rPr>
        <sz val="7"/>
        <color rgb="FF000000"/>
        <rFont val="Calibri"/>
        <family val="2"/>
      </rPr>
      <t>Concurrent use Secondary Maintenance</t>
    </r>
  </si>
  <si>
    <r>
      <t xml:space="preserve">ESRI - ArcGIS Desktop (basic) </t>
    </r>
    <r>
      <rPr>
        <sz val="8"/>
        <color rgb="FF000000"/>
        <rFont val="Calibri"/>
        <family val="2"/>
      </rPr>
      <t>Single use Primary Maintenance</t>
    </r>
  </si>
  <si>
    <r>
      <t xml:space="preserve">ESRI - ArcGIS Desktop (basic) </t>
    </r>
    <r>
      <rPr>
        <sz val="7"/>
        <rFont val="Calibri"/>
        <family val="2"/>
      </rPr>
      <t>Single use Secondary Maintenance</t>
    </r>
  </si>
  <si>
    <t>ESRI - ArcGIS SDE Server Enterprise up to 4 cores maint (2)</t>
  </si>
  <si>
    <r>
      <t xml:space="preserve">ESRI - ArcGIS Spatial Analyst </t>
    </r>
    <r>
      <rPr>
        <sz val="8"/>
        <rFont val="Calibri"/>
        <family val="2"/>
      </rPr>
      <t>Concurrent Use Primary Maintenance</t>
    </r>
  </si>
  <si>
    <r>
      <t xml:space="preserve">ESRI - ArcGIS 3D Analyst </t>
    </r>
    <r>
      <rPr>
        <sz val="8"/>
        <rFont val="Calibri"/>
        <family val="2"/>
      </rPr>
      <t>Concurrent Use Primary Maintenance</t>
    </r>
  </si>
  <si>
    <t>new for 2020</t>
  </si>
  <si>
    <t>ESRI - ArcGIS Geostatistical Analyst Concurrent Use Primary Maintenance</t>
  </si>
  <si>
    <t>ESRI - ArcGIS Online Subscription</t>
  </si>
  <si>
    <t>Future Hardware Maintenance Contracts</t>
  </si>
  <si>
    <t>Intuit - QuickBooks Licenses / Update / Support</t>
  </si>
  <si>
    <t>Nemo Q</t>
  </si>
  <si>
    <t xml:space="preserve">Network Solutions - domain reg (wcad.org &amp; wcadonline.org) </t>
  </si>
  <si>
    <t>Pictometry Cached Image Services</t>
  </si>
  <si>
    <t>Plotter Maintenance</t>
  </si>
  <si>
    <t>Samanage</t>
  </si>
  <si>
    <t>Sidwell - Parcel Building Software Support</t>
  </si>
  <si>
    <t>Sidwell - Premium Software</t>
  </si>
  <si>
    <t>Sidwell - Portico Maintenance</t>
  </si>
  <si>
    <t>Teleform(verify) maintenance</t>
  </si>
  <si>
    <t>TLC Desktop Printer Management</t>
  </si>
  <si>
    <t xml:space="preserve">Tyler - Orion Software Maintenance </t>
  </si>
  <si>
    <t>Tyler - Pictometry Orion Interface</t>
  </si>
  <si>
    <t>Tyler - Orion Public Access for Appraisal</t>
  </si>
  <si>
    <t>Tyler - Orion GIS Advanced</t>
  </si>
  <si>
    <t>Tyler - Apex Interface</t>
  </si>
  <si>
    <t>Tyler - Sketch Validation for New Improvements</t>
  </si>
  <si>
    <t>Tyler - Appraisal Review Software</t>
  </si>
  <si>
    <t>(Field Mobile)</t>
  </si>
  <si>
    <t xml:space="preserve">Tyler Field Device Software Maintenance </t>
  </si>
  <si>
    <t>VMWare maintenance</t>
  </si>
  <si>
    <t>Warranty Colo Hardware</t>
  </si>
  <si>
    <t>6285-Computer Services/Licenses</t>
  </si>
  <si>
    <t>Adobe Acrobat</t>
  </si>
  <si>
    <t>Automax- automatic desktop patching software</t>
  </si>
  <si>
    <t>GoDaddy 1 year SSL Certification</t>
  </si>
  <si>
    <t>HR / Payroll Software</t>
  </si>
  <si>
    <t>Just Appraised (deed viewer)</t>
  </si>
  <si>
    <t>Kiosk software maintenance</t>
  </si>
  <si>
    <t xml:space="preserve">Misc Field Apps/or software </t>
  </si>
  <si>
    <t>Misc Software</t>
  </si>
  <si>
    <t>Office 365</t>
  </si>
  <si>
    <t>Room Alert maintenance</t>
  </si>
  <si>
    <t>Site24x7 monitoring</t>
  </si>
  <si>
    <t>Software purchases upgrades NitroPro PDF</t>
  </si>
  <si>
    <t>Veeam backup solution</t>
  </si>
  <si>
    <t>ZenDesk/zoho</t>
  </si>
  <si>
    <t>ZenDesk/zoho (tech support/temps)</t>
  </si>
  <si>
    <t>6290-Business Insurance</t>
  </si>
  <si>
    <t>2018 actual + increase by 5%</t>
  </si>
  <si>
    <t>Commercial Auto Policy - Non Owned</t>
  </si>
  <si>
    <t xml:space="preserve">Crime </t>
  </si>
  <si>
    <t>Errors &amp; Omission</t>
  </si>
  <si>
    <t xml:space="preserve">General Liability </t>
  </si>
  <si>
    <t xml:space="preserve">Real &amp; Personal Property </t>
  </si>
  <si>
    <t>6810-Debt Services</t>
  </si>
  <si>
    <t>Building payment</t>
  </si>
  <si>
    <t>8010-Computer Capital (Over $5,000)</t>
  </si>
  <si>
    <t>Sql Server License</t>
  </si>
  <si>
    <t>EqualLogic Storage</t>
  </si>
  <si>
    <t>Server Hardware</t>
  </si>
  <si>
    <t>Server Operating System</t>
  </si>
  <si>
    <t>VMWare</t>
  </si>
  <si>
    <t>8020-Furniture and Fixtures (Over $5,000)</t>
  </si>
  <si>
    <t>Total</t>
  </si>
  <si>
    <t>Category</t>
  </si>
  <si>
    <t>6310-ARB - Contract Labor</t>
  </si>
  <si>
    <t>Attending 5 training days</t>
  </si>
  <si>
    <t>ARB Chairperson $30.00 a day--1 member</t>
  </si>
  <si>
    <t>6320-ARB - Supplies</t>
  </si>
  <si>
    <t>Misc Supplies--Pens, Pencils, Writing Tablets, Name plates, kleenex</t>
  </si>
  <si>
    <t>Paper towels (a case)</t>
  </si>
  <si>
    <t>6330-ARB - Services</t>
  </si>
  <si>
    <t>ARB Domain for Office 365 Accounts (unique email addresses)</t>
  </si>
  <si>
    <t>ARB Notice of Hearing Letters Postage</t>
  </si>
  <si>
    <t xml:space="preserve">Envelopes - special (6x9.5) for NoH ltrs (1,000/bx) </t>
  </si>
  <si>
    <t>ARB Ad</t>
  </si>
  <si>
    <t>Comptroller Taxpayer Rights &amp; Remedies &amp; Insert for Notice of Hearing ltrs</t>
  </si>
  <si>
    <r>
      <t xml:space="preserve">2019 Texas Property Tax Code Books </t>
    </r>
    <r>
      <rPr>
        <sz val="8"/>
        <rFont val="Calibri"/>
        <family val="2"/>
      </rPr>
      <t>(2019 Legislative year)</t>
    </r>
  </si>
  <si>
    <t>6340-ARB - Training/Seminars</t>
  </si>
  <si>
    <t>6350-ARB - Litigation</t>
  </si>
  <si>
    <t xml:space="preserve">Litigation </t>
  </si>
  <si>
    <t>moved from 6340</t>
  </si>
  <si>
    <t>ARB Attorney Workshop</t>
  </si>
  <si>
    <t>Budget Amount</t>
  </si>
  <si>
    <t>Percent</t>
  </si>
  <si>
    <t>Supplies</t>
  </si>
  <si>
    <t>Contract Labor</t>
  </si>
  <si>
    <t>Forms &amp; Printing</t>
  </si>
  <si>
    <t>Training/Seminars</t>
  </si>
  <si>
    <t>Litigation</t>
  </si>
  <si>
    <t>Type</t>
  </si>
  <si>
    <t>Date</t>
  </si>
  <si>
    <t>Num</t>
  </si>
  <si>
    <t>Name</t>
  </si>
  <si>
    <t>Memo</t>
  </si>
  <si>
    <t>Amount</t>
  </si>
  <si>
    <t>6220 · Utilities</t>
  </si>
  <si>
    <t>6225 · Building Repair &amp; Maintenance</t>
  </si>
  <si>
    <t>6235 · TLO Expenses</t>
  </si>
  <si>
    <t>6240 · Publications</t>
  </si>
  <si>
    <t>6280 · Maintenance</t>
  </si>
  <si>
    <t>6290 · Business Insurance</t>
  </si>
  <si>
    <t>6310 · ARB Contract Labor</t>
  </si>
  <si>
    <t>6320 · ARB Supplies</t>
  </si>
  <si>
    <t>6330 · ARB Forms &amp; Printing</t>
  </si>
  <si>
    <t>6340 · ARB Training / Seminars</t>
  </si>
  <si>
    <t>6350 · ARB Litigation</t>
  </si>
  <si>
    <t>8010 · Computer Capital</t>
  </si>
  <si>
    <t>BIS MRA Project (Remaining Market Areas Project)</t>
  </si>
  <si>
    <t>In Austin for 2019 (lower cost)</t>
  </si>
  <si>
    <t>Income Survey Mailout</t>
  </si>
  <si>
    <t>6130-20</t>
  </si>
  <si>
    <r>
      <t>25.19 Notice 'Packet'</t>
    </r>
    <r>
      <rPr>
        <sz val="8"/>
        <color rgb="FF000000"/>
        <rFont val="Calibri"/>
        <family val="2"/>
      </rPr>
      <t xml:space="preserve"> (Front and Back of NAV &amp; Protest Form)(Per Page)</t>
    </r>
  </si>
  <si>
    <t>1st year - 70 meetings</t>
  </si>
  <si>
    <t>2nd year -  70 meetings</t>
  </si>
  <si>
    <t>3rd &amp; 4th year - 70 meetings</t>
  </si>
  <si>
    <t>5th &amp; 6th year - 70 meetings</t>
  </si>
  <si>
    <t>IAAO Seminars/Course + lodging, meals, misc. (Out of State)</t>
  </si>
  <si>
    <t>One Time Purchase (Reserves?)</t>
  </si>
  <si>
    <t xml:space="preserve">Partial Year Use </t>
  </si>
  <si>
    <t>ARB wants security here on off season days</t>
  </si>
  <si>
    <t>2019 - rate 0.16%</t>
  </si>
  <si>
    <t>Group Term Life Rate (0.12%)</t>
  </si>
  <si>
    <t>2019 - rate 16.19%</t>
  </si>
  <si>
    <t>2019 - rate 0.18%</t>
  </si>
  <si>
    <t>Required Plan Rate (17.89%)</t>
  </si>
  <si>
    <t>Elected higher rate (19.00% + .12% = 19.12%)</t>
  </si>
  <si>
    <t>Dot Gov Domain Site</t>
  </si>
  <si>
    <t>Increase for 2020</t>
  </si>
  <si>
    <t>Deputy Chief/AA/Directors = $90 x 5 ee</t>
  </si>
  <si>
    <t>Moved to 6280</t>
  </si>
  <si>
    <t>Warranty Renewal Emergent OrionDB</t>
  </si>
  <si>
    <t>Internet Services T1 Global Capacity</t>
  </si>
  <si>
    <t>2019 Budget</t>
  </si>
  <si>
    <t>4% Changed</t>
  </si>
  <si>
    <t xml:space="preserve"> 2020 Budget Summary Recap</t>
  </si>
  <si>
    <t>Price increase</t>
  </si>
  <si>
    <t>Price increase for 2019</t>
  </si>
  <si>
    <t>Car Allowance = $600 x 12 months x 34 employees x .95(usage)</t>
  </si>
  <si>
    <t xml:space="preserve">Short Term Disability ((3.94 x 73 emp x 12 mo)+$2,370) </t>
  </si>
  <si>
    <t>New ARB Panel for 2020</t>
  </si>
  <si>
    <t>4 Alternate members would need to attend training mtgs approx 5</t>
  </si>
  <si>
    <t>Comptroller ARB Comprehensive Seminar (16 members +4 alt)</t>
  </si>
  <si>
    <t>Comptroller ARB Advanced Seminar (16 members + 4 alt)</t>
  </si>
  <si>
    <t>BIS WCAD.org Web Hosting</t>
  </si>
  <si>
    <t>BIS TNT Website Hosting</t>
  </si>
  <si>
    <t>TNT Postcard Notification in August</t>
  </si>
  <si>
    <t>Per SB2</t>
  </si>
  <si>
    <t>ESRI - ArcGIS Insights</t>
  </si>
  <si>
    <t>Dental - ($32.26/month x 73 employees x 8)+((33.87*5%)*73*4)</t>
  </si>
  <si>
    <t>Medical - (($616.18/month - $10.00)*73 employees*8)+(((708.61-10)*15%)*73*4)</t>
  </si>
  <si>
    <t>Vision Insurance Plan B ($6.17/month*73*8)+((6.48*5%)*73*4)</t>
  </si>
  <si>
    <t>ARB</t>
  </si>
  <si>
    <t>Shredding Services</t>
  </si>
  <si>
    <t>2020 Approved Budget 4%</t>
  </si>
  <si>
    <t>2020 Approved Budget</t>
  </si>
  <si>
    <t>2020 Approved Amount</t>
  </si>
  <si>
    <t>2020 Approved Total</t>
  </si>
  <si>
    <t>Merit 4%</t>
  </si>
  <si>
    <t>Williamson Central Appraisal District</t>
  </si>
  <si>
    <t>Williamson County Appraisal Review Board</t>
  </si>
  <si>
    <t>Bill</t>
  </si>
  <si>
    <t>Credit Card Charge</t>
  </si>
  <si>
    <t>420347515001</t>
  </si>
  <si>
    <t>0041852</t>
  </si>
  <si>
    <t>7601863</t>
  </si>
  <si>
    <t>1097004</t>
  </si>
  <si>
    <t>9356260</t>
  </si>
  <si>
    <t>2437856</t>
  </si>
  <si>
    <t>429335715001</t>
  </si>
  <si>
    <t>429335714001</t>
  </si>
  <si>
    <t>429294697001</t>
  </si>
  <si>
    <t>81719</t>
  </si>
  <si>
    <t>81773</t>
  </si>
  <si>
    <t>6237862</t>
  </si>
  <si>
    <t>4619447</t>
  </si>
  <si>
    <t>81794</t>
  </si>
  <si>
    <t>6065845</t>
  </si>
  <si>
    <t>2378539471</t>
  </si>
  <si>
    <t>81811</t>
  </si>
  <si>
    <t>8637839</t>
  </si>
  <si>
    <t>435619734001</t>
  </si>
  <si>
    <t>81952</t>
  </si>
  <si>
    <t>81978</t>
  </si>
  <si>
    <t>43711610001</t>
  </si>
  <si>
    <t>4655405</t>
  </si>
  <si>
    <t>438572700001</t>
  </si>
  <si>
    <t>0182246</t>
  </si>
  <si>
    <t>5827404</t>
  </si>
  <si>
    <t>2381006</t>
  </si>
  <si>
    <t>7022598</t>
  </si>
  <si>
    <t>817565</t>
  </si>
  <si>
    <t>82368</t>
  </si>
  <si>
    <t>82384</t>
  </si>
  <si>
    <t>82417</t>
  </si>
  <si>
    <t>82416</t>
  </si>
  <si>
    <t>Office Depot, Inc.</t>
  </si>
  <si>
    <t>Amazon.com</t>
  </si>
  <si>
    <t>Minuteman Press</t>
  </si>
  <si>
    <t>Home Depot</t>
  </si>
  <si>
    <t>Knight Security Systems</t>
  </si>
  <si>
    <t>6110-9 - Office supplies</t>
  </si>
  <si>
    <t>6110-9 - Office Supplies</t>
  </si>
  <si>
    <t>6110-1 - 1099's</t>
  </si>
  <si>
    <t>6110-9 - Business cards - CLindquist</t>
  </si>
  <si>
    <t>6110-9 - busines cards - SCrone</t>
  </si>
  <si>
    <t>6110-9 - busines cards - JMiller</t>
  </si>
  <si>
    <t>6110-9 - Business Reply Envelopes (2,500)</t>
  </si>
  <si>
    <t>6110-9 - busines cards - JRobins</t>
  </si>
  <si>
    <t>6110-9 name plate - EWolff</t>
  </si>
  <si>
    <t>6110-9 name plate - JRobins</t>
  </si>
  <si>
    <t>6110-9 - stamps - Derek S, Steve C</t>
  </si>
  <si>
    <t>6110-6 - copier paper - 10 cases</t>
  </si>
  <si>
    <t xml:space="preserve">6110-9 HDX 7 Gal. Tough Storage Tote in Black Model #206152  </t>
  </si>
  <si>
    <t>6110-9 "HDX 17 Gal. Tough Storage Tote in Black Model #SH17GTOUGHTLDBY"</t>
  </si>
  <si>
    <t>6110-9 Clear Plug Protectors</t>
  </si>
  <si>
    <t>6110-9 Midway Blank wall plate</t>
  </si>
  <si>
    <t xml:space="preserve">6110-9 FireBlock  3m	</t>
  </si>
  <si>
    <t>6110-9 GreatStuff FireBlock 16oz</t>
  </si>
  <si>
    <t>6110-9 EZ Twist N Lock 75lb 50 count</t>
  </si>
  <si>
    <t>6110-12 iCLASS Contactless Smart Card, 2k bit with 2 application areas (pre-configured), plain w...</t>
  </si>
  <si>
    <t>6110-9 - business cards - CPark</t>
  </si>
  <si>
    <t>6110-9 - business cards - DSmith</t>
  </si>
  <si>
    <t>6110-9 - business cards - HHayden</t>
  </si>
  <si>
    <t>6110-9 - business cards - LSimmons</t>
  </si>
  <si>
    <t>6110-9 - name plate JHutchinson</t>
  </si>
  <si>
    <t>6110-9 - name plate LSimmons</t>
  </si>
  <si>
    <t>6110-9 - name plate HMarin</t>
  </si>
  <si>
    <t>6110-9 - name stamp LSimmons</t>
  </si>
  <si>
    <t>6110-9 - name stamp HMarin</t>
  </si>
  <si>
    <t>01022020</t>
  </si>
  <si>
    <t>6-898-63459</t>
  </si>
  <si>
    <t>0011575</t>
  </si>
  <si>
    <t>27142</t>
  </si>
  <si>
    <t>27141</t>
  </si>
  <si>
    <t>27140</t>
  </si>
  <si>
    <t>27144</t>
  </si>
  <si>
    <t>27143</t>
  </si>
  <si>
    <t>27132</t>
  </si>
  <si>
    <t>27145</t>
  </si>
  <si>
    <t>67146</t>
  </si>
  <si>
    <t>201116423</t>
  </si>
  <si>
    <t>0011627</t>
  </si>
  <si>
    <t>27735</t>
  </si>
  <si>
    <t>0011683</t>
  </si>
  <si>
    <t>Postmaster</t>
  </si>
  <si>
    <t>FedEx</t>
  </si>
  <si>
    <t>IMS - Postage</t>
  </si>
  <si>
    <t>Variverge</t>
  </si>
  <si>
    <t>Seagate.com</t>
  </si>
  <si>
    <t>6120-13 - Replinish Postage Due Acct PD 95017-000</t>
  </si>
  <si>
    <t>6120-3 - Replinish Business Reply Acct 74-001</t>
  </si>
  <si>
    <t>6120-11 - postage</t>
  </si>
  <si>
    <t>6120-7 - Postage for HS postcard mailout</t>
  </si>
  <si>
    <t>6120-14 - postage - 36</t>
  </si>
  <si>
    <t>6120-14 - postage - 83</t>
  </si>
  <si>
    <t>6120-14 - postage - 541</t>
  </si>
  <si>
    <t>6120-14 - postage - 20</t>
  </si>
  <si>
    <t>6120-14 - postage - 6</t>
  </si>
  <si>
    <t>6120-14 - postage - 268</t>
  </si>
  <si>
    <t>6120-14 - postage - 6,333</t>
  </si>
  <si>
    <t>6120-14 - postage - 6,598</t>
  </si>
  <si>
    <t>6120-9 postage for return</t>
  </si>
  <si>
    <t>6120-1 - BPP pre-pay postage NAV</t>
  </si>
  <si>
    <t>6120-1 - postage for NAV mailout - Deposit</t>
  </si>
  <si>
    <t>26186</t>
  </si>
  <si>
    <t>40952</t>
  </si>
  <si>
    <t>26244</t>
  </si>
  <si>
    <t>Information Management Solutions</t>
  </si>
  <si>
    <t>Roberts Printing Co</t>
  </si>
  <si>
    <t>6130-14 - HS postcard mailout</t>
  </si>
  <si>
    <t>6130-8 - NCOA processing</t>
  </si>
  <si>
    <t>6130-12 - #10 window 5K</t>
  </si>
  <si>
    <t>6130-16 - laser printing - 108</t>
  </si>
  <si>
    <t>6130-16 - rendering - 36</t>
  </si>
  <si>
    <t>6130-16 - paper for laser printing - 72</t>
  </si>
  <si>
    <t>6130-16 - envelopes - 36</t>
  </si>
  <si>
    <t>6130-16 - pre-sort - 36</t>
  </si>
  <si>
    <t>6130-16 - laser printing - 249</t>
  </si>
  <si>
    <t>6130-16 - rendering - 83</t>
  </si>
  <si>
    <t>6130-16 - paper for laser printing - 166</t>
  </si>
  <si>
    <t>6130-16 - envelopes - 83</t>
  </si>
  <si>
    <t>6130-16 - pre-sort - 83</t>
  </si>
  <si>
    <t>6130-16 - laser printing - 1,776</t>
  </si>
  <si>
    <t>6130-16 - rendering - 561</t>
  </si>
  <si>
    <t>6130-16 - paper for laser printing - 1,184</t>
  </si>
  <si>
    <t>6130-16 - flats - 2</t>
  </si>
  <si>
    <t>6130-16 - envelopes - 561</t>
  </si>
  <si>
    <t>6130-16 - laser printing - 60</t>
  </si>
  <si>
    <t>6130-16 - rendering - 20</t>
  </si>
  <si>
    <t>6130-16 - paper for laser printing - 40</t>
  </si>
  <si>
    <t>6130-16 - envelopes - 20</t>
  </si>
  <si>
    <t>6130-16 - pre-sort - 20</t>
  </si>
  <si>
    <t>6130-16 - laser printing - 18</t>
  </si>
  <si>
    <t>6130-16 - rendering - 6</t>
  </si>
  <si>
    <t>6130-16 - paper for laser printing - 12</t>
  </si>
  <si>
    <t>6130-16 - envelopes - 6</t>
  </si>
  <si>
    <t>6130-16 - pre-sort - 6</t>
  </si>
  <si>
    <t>6130-16 - laser printing - 915</t>
  </si>
  <si>
    <t>6130-16 - rendering - 274</t>
  </si>
  <si>
    <t>6130-16 - paper for laser printing - 610</t>
  </si>
  <si>
    <t>6130-16 - envelopes - 274</t>
  </si>
  <si>
    <t>6130-16 - pre-sort - 268</t>
  </si>
  <si>
    <t>6130-16 - laser printing - 22,656</t>
  </si>
  <si>
    <t>6130-16 - rendering - 6,408</t>
  </si>
  <si>
    <t>6130-16 - paper for laser printing - 15,104</t>
  </si>
  <si>
    <t>6130-16 - flats - 54</t>
  </si>
  <si>
    <t>6130-16 - envelopes - 6,408</t>
  </si>
  <si>
    <t>6130-16 - laser printing - 21,453</t>
  </si>
  <si>
    <t>6130-16 - rendering - 6,636</t>
  </si>
  <si>
    <t>6130-16 - paper for laser printing - 14,302</t>
  </si>
  <si>
    <t>6130-16 - flats - 26</t>
  </si>
  <si>
    <t>6130-16 - envelopes - 6,636</t>
  </si>
  <si>
    <t>32584</t>
  </si>
  <si>
    <t>32623</t>
  </si>
  <si>
    <t>Stratus Building Solutions of Austin</t>
  </si>
  <si>
    <t>6140-1 Janitorial Supplies</t>
  </si>
  <si>
    <t>16324662</t>
  </si>
  <si>
    <t>8063469</t>
  </si>
  <si>
    <t>6333000</t>
  </si>
  <si>
    <t>00436G</t>
  </si>
  <si>
    <t>4394610</t>
  </si>
  <si>
    <t>9033856</t>
  </si>
  <si>
    <t>3555784</t>
  </si>
  <si>
    <t>19TV-3QGN-GWYM</t>
  </si>
  <si>
    <t>Denise Brandan 1</t>
  </si>
  <si>
    <t>HEB</t>
  </si>
  <si>
    <t>Best Buy</t>
  </si>
  <si>
    <t>Server Supply</t>
  </si>
  <si>
    <t>Amazon Business</t>
  </si>
  <si>
    <t>6150-8 10gb SFP+ 2meter cables</t>
  </si>
  <si>
    <t>6150-6 Surface Pens</t>
  </si>
  <si>
    <t>6150-8 shipping</t>
  </si>
  <si>
    <t>6150-15 - reimbursement office chair</t>
  </si>
  <si>
    <t>6150-7 Visionect Joan 6 Grey	ASIN: B07VNTD2PZ</t>
  </si>
  <si>
    <t xml:space="preserve">6150-14 TV Wall Mount Bracket - Tilt, Swivel Extension Model: PSLFK1-24   ASIN: B07S425S3P	</t>
  </si>
  <si>
    <t>6150-7 Mini DisplayPort to HDMI Cable 6' Model: AZDPHD06   ASIN: B0134V3KIA</t>
  </si>
  <si>
    <t>6150-7 Mini DispayPort to DisplayPort 5pk 6' Model: MDP2DP-C-6-B-5   ASIN: B07B2QQRCB</t>
  </si>
  <si>
    <t>6150-7 DisplayPort to HDMI Male to Female Adapter 5pk Model: 000095black-5p   ASIN: B07P7G7PQJ</t>
  </si>
  <si>
    <t>6150-8 SFP 10GB Cable 2M Part: CAB-10GSFP-P2M   ASIN: B06XKCX8HY</t>
  </si>
  <si>
    <t>6150-4 Supershieldz Anti Glare 3pk  ASIN: B016AUCD6W</t>
  </si>
  <si>
    <t>6150-7 - Minor equipment &amp; furniture</t>
  </si>
  <si>
    <t>6150-14 LG 60" LED UM6900PUA Smart 4K TV Model: 60UM6900PUA   SKU: 6362419 Item: BB21295421</t>
  </si>
  <si>
    <t>6150-7 Visionect Joan 6 Grey Part #: JOAN 6 GREY   ASIN: B07VNTD2PZ</t>
  </si>
  <si>
    <t>6150-8 Cisco N55-D160L3-V2 2 Port Expansion Module Part: N55-D160L3-V2</t>
  </si>
  <si>
    <t>6150-14 TB Wall Mount Tilt up to 20° Model: MD2165-LK   ASIN: B00NHS96PW</t>
  </si>
  <si>
    <t>6150-8 discount</t>
  </si>
  <si>
    <t>Split</t>
  </si>
  <si>
    <t>6100 · Materials/Supplies</t>
  </si>
  <si>
    <t>Total 6100 · Materials/Supplies</t>
  </si>
  <si>
    <t>2010 · Accounts Payable</t>
  </si>
  <si>
    <t>6200 · General - Services</t>
  </si>
  <si>
    <t>6210 · Schools/Conf Mbrshp Prof Dev</t>
  </si>
  <si>
    <t>Total 6210 · Schools/Conf Mbrshp Prof Dev</t>
  </si>
  <si>
    <t>Total 6200 · General - Services</t>
  </si>
  <si>
    <t>Credit Card Credit</t>
  </si>
  <si>
    <t>Credit</t>
  </si>
  <si>
    <t>03.2020</t>
  </si>
  <si>
    <t>20-00005648</t>
  </si>
  <si>
    <t>02032020</t>
  </si>
  <si>
    <t>Renewal.2020</t>
  </si>
  <si>
    <t>571605</t>
  </si>
  <si>
    <t>renewal.20.DEA</t>
  </si>
  <si>
    <t>renewal.20.SHD</t>
  </si>
  <si>
    <t>renewal.20.SHD.tac</t>
  </si>
  <si>
    <t>renewal.20.HAH</t>
  </si>
  <si>
    <t>renewal.20.BE</t>
  </si>
  <si>
    <t>renewal.20.LAP</t>
  </si>
  <si>
    <t>renewal.20.CRB</t>
  </si>
  <si>
    <t>renewal.20.RM</t>
  </si>
  <si>
    <t>renewal.20.KCM</t>
  </si>
  <si>
    <t>00642C</t>
  </si>
  <si>
    <t>renewal.20.CLP</t>
  </si>
  <si>
    <t>renewal.20.CAV</t>
  </si>
  <si>
    <t>renewal.20.JTM</t>
  </si>
  <si>
    <t>renewal.20.JWG</t>
  </si>
  <si>
    <t>01.2020</t>
  </si>
  <si>
    <t>56034539</t>
  </si>
  <si>
    <t>045-287671</t>
  </si>
  <si>
    <t>172760</t>
  </si>
  <si>
    <t>172758</t>
  </si>
  <si>
    <t>20-27444896</t>
  </si>
  <si>
    <t>01445G</t>
  </si>
  <si>
    <t>872309</t>
  </si>
  <si>
    <t>ARB.training.2020</t>
  </si>
  <si>
    <t>10195283</t>
  </si>
  <si>
    <t>02052020</t>
  </si>
  <si>
    <t>368688</t>
  </si>
  <si>
    <t>003418</t>
  </si>
  <si>
    <t>200014885</t>
  </si>
  <si>
    <t>Conference.2020</t>
  </si>
  <si>
    <t>renewal.20.JBB</t>
  </si>
  <si>
    <t>OWNAFD</t>
  </si>
  <si>
    <t>OWNAFD.1</t>
  </si>
  <si>
    <t>OWNAFD.2</t>
  </si>
  <si>
    <t>200014952</t>
  </si>
  <si>
    <t>01292020</t>
  </si>
  <si>
    <t>Conference.2020.1</t>
  </si>
  <si>
    <t>renewal.2020</t>
  </si>
  <si>
    <t>S0329826</t>
  </si>
  <si>
    <t>renewal.20.JWH</t>
  </si>
  <si>
    <t>notary.LL.2020</t>
  </si>
  <si>
    <t>notary.AG.2020</t>
  </si>
  <si>
    <t>643769</t>
  </si>
  <si>
    <t>renewal.20.PGM</t>
  </si>
  <si>
    <t>renewal.20.RAQ</t>
  </si>
  <si>
    <t>310112</t>
  </si>
  <si>
    <t>270043</t>
  </si>
  <si>
    <t>02082020</t>
  </si>
  <si>
    <t>8000</t>
  </si>
  <si>
    <t>02092020</t>
  </si>
  <si>
    <t>097338222</t>
  </si>
  <si>
    <t>09680</t>
  </si>
  <si>
    <t>02062020</t>
  </si>
  <si>
    <t>02122020</t>
  </si>
  <si>
    <t>03092020</t>
  </si>
  <si>
    <t>10192803</t>
  </si>
  <si>
    <t>141V-DC3K-TVQR</t>
  </si>
  <si>
    <t>TZ82GS</t>
  </si>
  <si>
    <t>TZ82GS-RQ</t>
  </si>
  <si>
    <t>Deposit2020</t>
  </si>
  <si>
    <t>renewal.20.ALB</t>
  </si>
  <si>
    <t>2020</t>
  </si>
  <si>
    <t>02.2020</t>
  </si>
  <si>
    <t>Ldrship Summit 2020</t>
  </si>
  <si>
    <t>3.2020</t>
  </si>
  <si>
    <t>GIS / Valuation Technologies Conference</t>
  </si>
  <si>
    <t>IAAO - Membership</t>
  </si>
  <si>
    <t>TAAD</t>
  </si>
  <si>
    <t>Texas Association of School Boards</t>
  </si>
  <si>
    <t>Texas Dept. of Licensing &amp; Regulation</t>
  </si>
  <si>
    <t>Torchy's Tacos</t>
  </si>
  <si>
    <t>IAAO</t>
  </si>
  <si>
    <t>Hampton Inn</t>
  </si>
  <si>
    <t>Tyler Technologies</t>
  </si>
  <si>
    <t>SRI Monogramming</t>
  </si>
  <si>
    <t>Fred Pryor Seminar</t>
  </si>
  <si>
    <t>Beijing Massage</t>
  </si>
  <si>
    <t>James Avery</t>
  </si>
  <si>
    <t>Texas Comptroller of Public Accounts</t>
  </si>
  <si>
    <t>Jersey MIke's Subs</t>
  </si>
  <si>
    <t>TAAO</t>
  </si>
  <si>
    <t>Southwest Airlines</t>
  </si>
  <si>
    <t>Texas CO-OP Annual Membership</t>
  </si>
  <si>
    <t>SHRM</t>
  </si>
  <si>
    <t>Notary Public Underwriting</t>
  </si>
  <si>
    <t>Jack Stack Barbecue</t>
  </si>
  <si>
    <t>Uber - taxi services</t>
  </si>
  <si>
    <t>Beer Kitchen</t>
  </si>
  <si>
    <t>ABIA Parking</t>
  </si>
  <si>
    <t>EGGtc</t>
  </si>
  <si>
    <t>Lyle Wright</t>
  </si>
  <si>
    <t>Lone Star Riverboat</t>
  </si>
  <si>
    <t>Kimberly R Gamboa</t>
  </si>
  <si>
    <t>IAAO Bank Lockbox</t>
  </si>
  <si>
    <t>James Griner</t>
  </si>
  <si>
    <t>Amy Urbanek</t>
  </si>
  <si>
    <t>Christopher Connelly</t>
  </si>
  <si>
    <t>6210-17 - Certificate of Excellence yearly fee 2020</t>
  </si>
  <si>
    <t>6210-27 - Course 3 - Jessica Miller</t>
  </si>
  <si>
    <t>6210-24 - membership renewal</t>
  </si>
  <si>
    <t>6210-17 - annual membership fee 2020</t>
  </si>
  <si>
    <t>6210-32 - License renewal - DEArrieta</t>
  </si>
  <si>
    <t>6210-32 - License renewal - SMHeatley-Dugger</t>
  </si>
  <si>
    <t>6210-32 - License renewal - SMHeatley-Dugger - TAC</t>
  </si>
  <si>
    <t>6210-32 - License renewal - HAHayden</t>
  </si>
  <si>
    <t>6210-32 - License renewal - BEdsell</t>
  </si>
  <si>
    <t>6210-32 - License renewal - LAPerez</t>
  </si>
  <si>
    <t>6210-32 - License renewal - CRBounds</t>
  </si>
  <si>
    <t>6210-32 - License renewal - RMata</t>
  </si>
  <si>
    <t>6210-32 - License renewal - KCMcDade</t>
  </si>
  <si>
    <t>6210-20 - Kalahari Field Visit late lunch - ARL, CBC, SAM</t>
  </si>
  <si>
    <t>6210-32 - License renewal - CLPark</t>
  </si>
  <si>
    <t>6210-32 - License renewal - CAVasquez</t>
  </si>
  <si>
    <t>6210-32 - License renewal - JTMiller</t>
  </si>
  <si>
    <t>6210-32 - License renewal - JWGriner</t>
  </si>
  <si>
    <t>6210-10 - Application Fee - VLongstreth for RES Candidacy</t>
  </si>
  <si>
    <t>6210-11 - refund cancellation fee</t>
  </si>
  <si>
    <t>6210-34 - CConnelly</t>
  </si>
  <si>
    <t>6210-34 - ARLankford</t>
  </si>
  <si>
    <t>6210-34 - SAMoore</t>
  </si>
  <si>
    <t>6210-3 - EE recognition</t>
  </si>
  <si>
    <t>6210-27 - Course 3 - KCMcDade</t>
  </si>
  <si>
    <t>6210-6 - FMLA Compliance - KGamboa</t>
  </si>
  <si>
    <t>6210-3 - Retirement gift - KGeorge</t>
  </si>
  <si>
    <t>6210-19 - ARB Training - ALugo, JMiller, LWright, AMetcalfe, RWilhite</t>
  </si>
  <si>
    <t>6210-11 - IAAO webinar - Mass Appraisal Modeling &amp; Spatial Analysis</t>
  </si>
  <si>
    <t>6210-27 - Course 31 - PMetcalfe</t>
  </si>
  <si>
    <t>6210-19 - dir/mgr mtg working lunch</t>
  </si>
  <si>
    <t>6210-19 - Dir/mgr working lunch</t>
  </si>
  <si>
    <t>6210-27 - State laws &amp; rules update - PMetcalfe</t>
  </si>
  <si>
    <t>6210-22 - Chris Connelly</t>
  </si>
  <si>
    <t>6210-22 - Jessica Miller</t>
  </si>
  <si>
    <t>6210-22 - Rae Wilhite</t>
  </si>
  <si>
    <t>6210-22 - Colleen McElroy</t>
  </si>
  <si>
    <t>6210-22 - Kimberly Gamboa</t>
  </si>
  <si>
    <t>6210-22 - Aaron Moore</t>
  </si>
  <si>
    <t>6210-22 - KC McDade</t>
  </si>
  <si>
    <t>6210-22 - Steve Crone</t>
  </si>
  <si>
    <t>6210-22 - David Blaylock</t>
  </si>
  <si>
    <t>6210-32 - License renewal - JBBrown</t>
  </si>
  <si>
    <t>6210-34 - Airlines flight - Orlando - Tyler Connect</t>
  </si>
  <si>
    <t>6210-27 - Online 86th legislature state laws &amp; rules update</t>
  </si>
  <si>
    <t>6210-19 - ARB Training - Ryan M, An O</t>
  </si>
  <si>
    <t>6210-11 - Into to Mass Appraisal Modeling &amp; Spatial Analysis webinar</t>
  </si>
  <si>
    <t>6210-22 - Richard Quinlan</t>
  </si>
  <si>
    <t>6210-22 - Victor Longstreth</t>
  </si>
  <si>
    <t>6210-22 - Michael Page</t>
  </si>
  <si>
    <t>6210-22 - Amy Urbanek</t>
  </si>
  <si>
    <t>6210-22 - Pam Metcalfe</t>
  </si>
  <si>
    <t>6210-22 - James Griner</t>
  </si>
  <si>
    <t>6210-17 - annual membership renewal</t>
  </si>
  <si>
    <t>6210-17 - Membership renewal - KGamboa</t>
  </si>
  <si>
    <t>6210-32 - License renewal - JWHuntsberger</t>
  </si>
  <si>
    <t>6210-20 - Notary licenses &amp; supplies - LLippe</t>
  </si>
  <si>
    <t>6210-20 - Notary licenses &amp; supplies - AGillespie</t>
  </si>
  <si>
    <t>6210-27 - Chief Appraiser Ethics - GGarcia</t>
  </si>
  <si>
    <t>6210-32 - License renewal - PMetcalfe</t>
  </si>
  <si>
    <t>6210-32 - License renewal -RQuinlan</t>
  </si>
  <si>
    <t>6210-18 - Dinner - IAAO Leadership - ARL</t>
  </si>
  <si>
    <t>6210-18 - uber - leadership IAAO</t>
  </si>
  <si>
    <t>6210-18 - IAAO leadership dinner</t>
  </si>
  <si>
    <t>6210-19 - Uber - leadership IAAO</t>
  </si>
  <si>
    <t>6210-18 - parking - iaao leadership - arl</t>
  </si>
  <si>
    <t>6210-18 - Breakfast - IAAO Leadership - ARL</t>
  </si>
  <si>
    <t>6210-18 - IAAO leadership</t>
  </si>
  <si>
    <t>6210-19 - reimbursement - ARB Training - meal</t>
  </si>
  <si>
    <t>6210-33 - Level IV Review - LSimmons</t>
  </si>
  <si>
    <t>6210-11 - webinar - How to use and interpret graphs in assessment</t>
  </si>
  <si>
    <t>6210-17 Amazon Prime 1 year membership</t>
  </si>
  <si>
    <t>6210-7 - Airline flight to Chicago - JWGriner - Leadership Summit</t>
  </si>
  <si>
    <t>6210-7 - Airline flight to Chicago - RQuinlan - Leadership Summit</t>
  </si>
  <si>
    <t>6210-3 Deposit for Employee Recognition Event</t>
  </si>
  <si>
    <t>6210-32 - License renewal - ALBayler</t>
  </si>
  <si>
    <t>6210-33 - education certificate</t>
  </si>
  <si>
    <t>6210-19 - FMLA Seminar - travel reimbursement</t>
  </si>
  <si>
    <t>6210-10 - Application Fee - AUrbanek for CMS Candidacy</t>
  </si>
  <si>
    <t>6210-12 - JGriner</t>
  </si>
  <si>
    <t>6210-12 - RQuinlan</t>
  </si>
  <si>
    <t>6210-22 - TAAD Conference - travel reimbursement</t>
  </si>
  <si>
    <t>2007 · Credit Card - USB - 0880</t>
  </si>
  <si>
    <t>2005 · Credit Card - USB - 0113</t>
  </si>
  <si>
    <t>6110 · Office Supplies</t>
  </si>
  <si>
    <t>Total 6110 · Office Supplies</t>
  </si>
  <si>
    <t>2006 · Credit Card - The Home Depot</t>
  </si>
  <si>
    <t>6120 · Postage</t>
  </si>
  <si>
    <t>Total 6120 · Postage</t>
  </si>
  <si>
    <t>6130 · Forms, Printing &amp; Reproduction</t>
  </si>
  <si>
    <t>Total 6130 · Forms, Printing &amp; Reproduction</t>
  </si>
  <si>
    <t>6140 · Janitorial Supplies</t>
  </si>
  <si>
    <t>Total 6140 · Janitorial Supplies</t>
  </si>
  <si>
    <t>6150 · Minor Equipment / Furniture</t>
  </si>
  <si>
    <t>Total 6150 · Minor Equipment / Furniture</t>
  </si>
  <si>
    <t>6215 · Equipment Lease/Rental</t>
  </si>
  <si>
    <t>Total 6215 · Equipment Lease/Rental</t>
  </si>
  <si>
    <t>28AR197098</t>
  </si>
  <si>
    <t>26279899</t>
  </si>
  <si>
    <t>N8130113</t>
  </si>
  <si>
    <t>28AR201976</t>
  </si>
  <si>
    <t>26474354</t>
  </si>
  <si>
    <t>TLC Office Systems (Ohio)</t>
  </si>
  <si>
    <t>TLC Office Systems (Dallas)</t>
  </si>
  <si>
    <t>MailFinance</t>
  </si>
  <si>
    <t>6215-4 - copier monthly maintenance</t>
  </si>
  <si>
    <t>6215-4 - lease printer/copiers</t>
  </si>
  <si>
    <t>6215-5 - property tax</t>
  </si>
  <si>
    <t>6215-2 Lease folder/inserter machine</t>
  </si>
  <si>
    <t>Total 6220 · Utilities</t>
  </si>
  <si>
    <t>I2020010101370</t>
  </si>
  <si>
    <t>01102020</t>
  </si>
  <si>
    <t>01042020</t>
  </si>
  <si>
    <t>0104757010720</t>
  </si>
  <si>
    <t>0365937011020</t>
  </si>
  <si>
    <t>9846033421</t>
  </si>
  <si>
    <t>111920</t>
  </si>
  <si>
    <t>2787230258338x012720</t>
  </si>
  <si>
    <t>I2020020101366</t>
  </si>
  <si>
    <t>1282020</t>
  </si>
  <si>
    <t>012020</t>
  </si>
  <si>
    <t>011920</t>
  </si>
  <si>
    <t>7990076692001</t>
  </si>
  <si>
    <t>02042020</t>
  </si>
  <si>
    <t>02102020</t>
  </si>
  <si>
    <t>0104757020720</t>
  </si>
  <si>
    <t>0365937021020</t>
  </si>
  <si>
    <t>9848103555</t>
  </si>
  <si>
    <t>2787230258338x022720</t>
  </si>
  <si>
    <t>021920</t>
  </si>
  <si>
    <t>I2020030101360</t>
  </si>
  <si>
    <t>2282020</t>
  </si>
  <si>
    <t>Suddenlink Business</t>
  </si>
  <si>
    <t>Frontier Communications</t>
  </si>
  <si>
    <t>Spectrum Business</t>
  </si>
  <si>
    <t>Verizon Wireless</t>
  </si>
  <si>
    <t>AT&amp;T</t>
  </si>
  <si>
    <t>City of Georgetown</t>
  </si>
  <si>
    <t>Verizon Business</t>
  </si>
  <si>
    <t>6220-2 - utilities</t>
  </si>
  <si>
    <t>6220-5 - internet services</t>
  </si>
  <si>
    <t>6220-6 - Telephone services</t>
  </si>
  <si>
    <t>6220-4 - internet services</t>
  </si>
  <si>
    <t>6220-8 - data plans</t>
  </si>
  <si>
    <t>6220-6 - telephone services</t>
  </si>
  <si>
    <t>6220-1 - data plans</t>
  </si>
  <si>
    <t>6220-2 - Internet services</t>
  </si>
  <si>
    <t>6220-9 - Water, electric, sewer, garbage</t>
  </si>
  <si>
    <t>6220-9 - storm drainage</t>
  </si>
  <si>
    <t>00526G</t>
  </si>
  <si>
    <t>6210-3 - Spring fling - 03/26/2020 @3:00 pm</t>
  </si>
  <si>
    <t>Total 6225 · Building Repair &amp; Maintenance</t>
  </si>
  <si>
    <t>SCPAY00123833</t>
  </si>
  <si>
    <t>23927</t>
  </si>
  <si>
    <t>32014</t>
  </si>
  <si>
    <t>17512258</t>
  </si>
  <si>
    <t>6871566</t>
  </si>
  <si>
    <t>32339</t>
  </si>
  <si>
    <t>46283</t>
  </si>
  <si>
    <t>SCPAY00124534</t>
  </si>
  <si>
    <t>24080</t>
  </si>
  <si>
    <t>27791</t>
  </si>
  <si>
    <t>46496</t>
  </si>
  <si>
    <t>32791</t>
  </si>
  <si>
    <t>SCPAY00125241</t>
  </si>
  <si>
    <t>27851</t>
  </si>
  <si>
    <t>Entech Sales and Services</t>
  </si>
  <si>
    <t>Stillwater Landscapes</t>
  </si>
  <si>
    <t>Northstar Alarm &amp; Suppression System, LLC</t>
  </si>
  <si>
    <t>King's Pest Control</t>
  </si>
  <si>
    <t>Lochow Ranch Pond &amp; Lake</t>
  </si>
  <si>
    <t>Mainstream Services Inc</t>
  </si>
  <si>
    <t>6225-1 - HVAC PM</t>
  </si>
  <si>
    <t>6225-13 - grounds maintenance - January 2020</t>
  </si>
  <si>
    <t>6225-6 - Janitorial services - February 2020</t>
  </si>
  <si>
    <t>6225-22 - Quarterly Fire Alarm Monitoring</t>
  </si>
  <si>
    <t>6225-17 Command Strips 6 Pack Part Number: 17204-4PK13   ASIN: B00HDFDJS0</t>
  </si>
  <si>
    <t>6225-17 Precision Screwdriver Set Model: KS-170920    ASIN: B01KLLD8WY</t>
  </si>
  <si>
    <t>6225-19 - pest services</t>
  </si>
  <si>
    <t>6225-24 - monthly fee</t>
  </si>
  <si>
    <t>6225-13 - grounds maintenance - February 2020</t>
  </si>
  <si>
    <t>6225-16 - plumbing services</t>
  </si>
  <si>
    <t>6225-17 Cable Management Raceway Kit	 Model: SC-CC-Main   ASIN: B077Z5ZC1S</t>
  </si>
  <si>
    <t>6225-24 - vitastim pellets</t>
  </si>
  <si>
    <t>6225-6 - Janitorial services - March 2020</t>
  </si>
  <si>
    <t>Total 6235 · TLO Expenses</t>
  </si>
  <si>
    <t>Charles Rouse</t>
  </si>
  <si>
    <t>6235-1 - TLO Expense</t>
  </si>
  <si>
    <t>6235-2 - Auto Allowance</t>
  </si>
  <si>
    <t>6236 · Board of Directors Expenses</t>
  </si>
  <si>
    <t>Total 6236 · Board of Directors Expenses</t>
  </si>
  <si>
    <t>3145740</t>
  </si>
  <si>
    <t>81686</t>
  </si>
  <si>
    <t>02771C</t>
  </si>
  <si>
    <t>012450</t>
  </si>
  <si>
    <t>Jack Allen's Kitchen</t>
  </si>
  <si>
    <t>Lupe Tortilla</t>
  </si>
  <si>
    <t>Fish City Grill</t>
  </si>
  <si>
    <t>6236-1 Board luncheon - CChadwell, JLux &amp; ARL</t>
  </si>
  <si>
    <t>6236-1 - name plate - Jon Lux</t>
  </si>
  <si>
    <t>6236-1 - Harry Gibbs</t>
  </si>
  <si>
    <t>6236-1 - Don Hisle</t>
  </si>
  <si>
    <t>6236-1 - Jon Lux</t>
  </si>
  <si>
    <t>6236-1 - Board luncheon - ARL, RHoneycutt, DHisle</t>
  </si>
  <si>
    <t>6236-1 - Board luncheon - HGibbs, LGaddes &amp; ARL</t>
  </si>
  <si>
    <t>Total 6240 · Publications</t>
  </si>
  <si>
    <t>110527358-1</t>
  </si>
  <si>
    <t>20010002</t>
  </si>
  <si>
    <t>2019.code books</t>
  </si>
  <si>
    <t>110666440-1</t>
  </si>
  <si>
    <t>20-16</t>
  </si>
  <si>
    <t>2863</t>
  </si>
  <si>
    <t>57820</t>
  </si>
  <si>
    <t>C192682A</t>
  </si>
  <si>
    <t>V0317715X</t>
  </si>
  <si>
    <t>ALN2432</t>
  </si>
  <si>
    <t>30185202</t>
  </si>
  <si>
    <t>57860</t>
  </si>
  <si>
    <t>57859</t>
  </si>
  <si>
    <t>SCAR2020</t>
  </si>
  <si>
    <t>304262388</t>
  </si>
  <si>
    <t>16603</t>
  </si>
  <si>
    <t>C3321053</t>
  </si>
  <si>
    <t>110820114-1</t>
  </si>
  <si>
    <t>Marshall &amp; Swift/Boeckh</t>
  </si>
  <si>
    <t>CoStar Realty Information, Inc.</t>
  </si>
  <si>
    <t>Trepp, LLC</t>
  </si>
  <si>
    <t>Comptroller of Public Accounts</t>
  </si>
  <si>
    <t>Williamson County Sun</t>
  </si>
  <si>
    <t>Austin Business Journal</t>
  </si>
  <si>
    <t>Capitol Market Research, Inc.</t>
  </si>
  <si>
    <t>Source Strategies</t>
  </si>
  <si>
    <t>Mini-Storage Messenger</t>
  </si>
  <si>
    <t>Realty Rates</t>
  </si>
  <si>
    <t>ALN Apartment Data, Inc</t>
  </si>
  <si>
    <t>LoopNet</t>
  </si>
  <si>
    <t>Irving Levin Associates Inc</t>
  </si>
  <si>
    <t>Pricewaterhouse Coopers LLP</t>
  </si>
  <si>
    <t>Infonation Inc.</t>
  </si>
  <si>
    <t>NADA Connect</t>
  </si>
  <si>
    <t>6240-18 Commercial Estimator 7</t>
  </si>
  <si>
    <t>6240-18 Marshall Valuation Service COMBO</t>
  </si>
  <si>
    <t>6240-18 shipping cost</t>
  </si>
  <si>
    <t>6240-9 - publication</t>
  </si>
  <si>
    <t>6240-32 - publication</t>
  </si>
  <si>
    <t>6240-19 - Code books - 55</t>
  </si>
  <si>
    <t>6240-10 Benefits Ad</t>
  </si>
  <si>
    <t>6240-4 - publication</t>
  </si>
  <si>
    <t>6240-8 - Austin area apartment survey - December 2019</t>
  </si>
  <si>
    <t>6240-30 - Texas Hotel Performance Factbook</t>
  </si>
  <si>
    <t>6240-31 - Hotel Brand Report</t>
  </si>
  <si>
    <t>6240-28 - Self storage almanac</t>
  </si>
  <si>
    <t>6240-27 - publication</t>
  </si>
  <si>
    <t>6240-27 - publication refund</t>
  </si>
  <si>
    <t>6240-19 - publication</t>
  </si>
  <si>
    <t>6240-16 - publication</t>
  </si>
  <si>
    <t xml:space="preserve">6240-19 RV &amp; Boat Storage Development Handbook			</t>
  </si>
  <si>
    <t>6240-28 - Self storage expense guidebook</t>
  </si>
  <si>
    <t xml:space="preserve">6240-29 Senior Acquisition Report		</t>
  </si>
  <si>
    <t>6240-25 - publication</t>
  </si>
  <si>
    <t>6240-11 - publication</t>
  </si>
  <si>
    <t>6260 · Consulting/Professional Srvs</t>
  </si>
  <si>
    <t>Total 6260 · Consulting/Professional Srvs</t>
  </si>
  <si>
    <t>1147</t>
  </si>
  <si>
    <t>2233</t>
  </si>
  <si>
    <t>678550340</t>
  </si>
  <si>
    <t>678550678</t>
  </si>
  <si>
    <t>01132020</t>
  </si>
  <si>
    <t>01212020</t>
  </si>
  <si>
    <t>286830</t>
  </si>
  <si>
    <t>1154</t>
  </si>
  <si>
    <t>6594</t>
  </si>
  <si>
    <t>286837</t>
  </si>
  <si>
    <t>01312020</t>
  </si>
  <si>
    <t>0387</t>
  </si>
  <si>
    <t>TX02-20-0166-000</t>
  </si>
  <si>
    <t>Medicare.2020</t>
  </si>
  <si>
    <t>54134021920</t>
  </si>
  <si>
    <t>02202020</t>
  </si>
  <si>
    <t>TX02-20-0200-000</t>
  </si>
  <si>
    <t>1159</t>
  </si>
  <si>
    <t>R018692-2020</t>
  </si>
  <si>
    <t>Subvenion</t>
  </si>
  <si>
    <t>GoodHire</t>
  </si>
  <si>
    <t>EmployTest</t>
  </si>
  <si>
    <t>Law Office of Lisa Richardson, PC</t>
  </si>
  <si>
    <t>On Site Services</t>
  </si>
  <si>
    <t>Perdue, Brandon, Fielder, Collins &amp; Mott</t>
  </si>
  <si>
    <t>Lynn Law, PLLC</t>
  </si>
  <si>
    <t>Valbridge Property Advisors</t>
  </si>
  <si>
    <t>ERS-Texas Social Security</t>
  </si>
  <si>
    <t>Central Texas Shredding Inc.</t>
  </si>
  <si>
    <t>Law Office of Gregory Hitt</t>
  </si>
  <si>
    <t>Leonard Schwartz</t>
  </si>
  <si>
    <t>6260-15 - computer consultant</t>
  </si>
  <si>
    <t>6260-3 - computer consultants</t>
  </si>
  <si>
    <t>6260-9 - Employment background check - LHernandez</t>
  </si>
  <si>
    <t>6260-9 - background check - LHernandez</t>
  </si>
  <si>
    <t>6260-9 Bundle of 5 test credits</t>
  </si>
  <si>
    <t>6260-10 - Mediation - Lowe's Home Center</t>
  </si>
  <si>
    <t>6260-10 - Mediation - 4 cases</t>
  </si>
  <si>
    <t>6260-9 - Employment screening - LHernandez</t>
  </si>
  <si>
    <t>6260-10 - professional services - December Expenses</t>
  </si>
  <si>
    <t>6260-9 - Employment screening - AJones</t>
  </si>
  <si>
    <t>6260-9 - Employment screening - AChaviano</t>
  </si>
  <si>
    <t>6260-10 - Mediation - 6 cases</t>
  </si>
  <si>
    <t>6260-10 - HR attorney</t>
  </si>
  <si>
    <t>6260-10 - Expert - Consulting - First RR Capital Funding - 18-1025-C26 (R514490)</t>
  </si>
  <si>
    <t>6260-7 - Application for Medicare Coverage</t>
  </si>
  <si>
    <t>6260-14 - Shredding services</t>
  </si>
  <si>
    <t>6260-10 - Mediation - Baltgem/Hayden</t>
  </si>
  <si>
    <t>6260-10 - Expert - Consulting - Near Holdings LP 18-1077-C368 (R361712)</t>
  </si>
  <si>
    <t>6260-2 - Binding Arbitration - 246-19-A19013 - Drive-in Realty R018692</t>
  </si>
  <si>
    <t>Total 6280 · Maintenance</t>
  </si>
  <si>
    <t>2234</t>
  </si>
  <si>
    <t>307414</t>
  </si>
  <si>
    <t>070-3965</t>
  </si>
  <si>
    <t>070-3964</t>
  </si>
  <si>
    <t>9001570892</t>
  </si>
  <si>
    <t>28AR200011</t>
  </si>
  <si>
    <t>9812</t>
  </si>
  <si>
    <t>27463961</t>
  </si>
  <si>
    <t>28AR203594</t>
  </si>
  <si>
    <t>2841</t>
  </si>
  <si>
    <t>Apex Software</t>
  </si>
  <si>
    <t>Open Text Inc</t>
  </si>
  <si>
    <t>Nemo-Q, L.P.</t>
  </si>
  <si>
    <t>Network Solutions</t>
  </si>
  <si>
    <t>Port 53</t>
  </si>
  <si>
    <t>6280-4 - Yearly online forms</t>
  </si>
  <si>
    <t>6280-1 maintenance renewal</t>
  </si>
  <si>
    <t>6280-7 Umbrella Insights</t>
  </si>
  <si>
    <t>6285 · Computer Licenses/Services</t>
  </si>
  <si>
    <t>Total 6285 · Computer Licenses/Services</t>
  </si>
  <si>
    <t>Check</t>
  </si>
  <si>
    <t>008-014</t>
  </si>
  <si>
    <t>10367096435</t>
  </si>
  <si>
    <t>207998</t>
  </si>
  <si>
    <t>65614191</t>
  </si>
  <si>
    <t>1141145936</t>
  </si>
  <si>
    <t>1626273536</t>
  </si>
  <si>
    <t>1626761556</t>
  </si>
  <si>
    <t>1627654230</t>
  </si>
  <si>
    <t>1628348152</t>
  </si>
  <si>
    <t>3797</t>
  </si>
  <si>
    <t>65675383</t>
  </si>
  <si>
    <t>6239</t>
  </si>
  <si>
    <t>1632857583</t>
  </si>
  <si>
    <t>Payroll Fee</t>
  </si>
  <si>
    <t>Just Appraised Inc</t>
  </si>
  <si>
    <t>Dell</t>
  </si>
  <si>
    <t>PaperCut.com</t>
  </si>
  <si>
    <t>ZOHO Corp</t>
  </si>
  <si>
    <t>Adobe</t>
  </si>
  <si>
    <t>GoDaddy.com</t>
  </si>
  <si>
    <t>Trusted Tech Team</t>
  </si>
  <si>
    <t>6285-5 - Deed Viewer subscription - January 2020</t>
  </si>
  <si>
    <t>6285-8 Live Volume Software License</t>
  </si>
  <si>
    <t xml:space="preserve">6285-8 Maintenance &amp; Support (12 months)			</t>
  </si>
  <si>
    <t>6285-10 - Computer Services</t>
  </si>
  <si>
    <t>6285-15 - Computer licenses</t>
  </si>
  <si>
    <t>6285-1 - computer licenses</t>
  </si>
  <si>
    <t>6285-3 - Standard UCC SSL up to 10 renewal</t>
  </si>
  <si>
    <t>6285-3 - standard UCC SSL up to 5 renewals</t>
  </si>
  <si>
    <t>6285-3 - Standard SSL Renewal - 2years</t>
  </si>
  <si>
    <t>6285-3 - Standard SSL Renewal - 2 years</t>
  </si>
  <si>
    <t>6285-10 - Office 365</t>
  </si>
  <si>
    <t>6285-16 - computer licenses</t>
  </si>
  <si>
    <t>6285-9 Move Nemo Queue Engine to new PC</t>
  </si>
  <si>
    <t>6285-1 - refund tax paid</t>
  </si>
  <si>
    <t>6285-3 - computer licenses</t>
  </si>
  <si>
    <t>1010 · USB - Payroll Account</t>
  </si>
  <si>
    <t>6300 · ARB - Services</t>
  </si>
  <si>
    <t>Total 6310 · ARB Contract Labor</t>
  </si>
  <si>
    <t>Total 6300 · ARB - Services</t>
  </si>
  <si>
    <t>Allan Davis</t>
  </si>
  <si>
    <t>Allen W Barr, II</t>
  </si>
  <si>
    <t>Carol Frey</t>
  </si>
  <si>
    <t>Chrystle Swain</t>
  </si>
  <si>
    <t>David Hubbell</t>
  </si>
  <si>
    <t>David Paul</t>
  </si>
  <si>
    <t>David Werner</t>
  </si>
  <si>
    <t>Diane Ham</t>
  </si>
  <si>
    <t>Irv Barenblat</t>
  </si>
  <si>
    <t>James J. Greene</t>
  </si>
  <si>
    <t>James L. Dunham</t>
  </si>
  <si>
    <t>Jane Schwartz</t>
  </si>
  <si>
    <t>Joan M Straach</t>
  </si>
  <si>
    <t>Joe Pondrom</t>
  </si>
  <si>
    <t>Jose Orta</t>
  </si>
  <si>
    <t>Robert Muller</t>
  </si>
  <si>
    <t>Roysanne Drummer-Baker</t>
  </si>
  <si>
    <t>Sandra George</t>
  </si>
  <si>
    <t>Sylvia Burgin</t>
  </si>
  <si>
    <t>Thomas A. Glab</t>
  </si>
  <si>
    <t>6310-4 ARB Training</t>
  </si>
  <si>
    <t>6310-2 ARB Training</t>
  </si>
  <si>
    <t>6310-4 - ARB Training</t>
  </si>
  <si>
    <t>6310-6 - Chair pay</t>
  </si>
  <si>
    <t>6310-5 ARB Training</t>
  </si>
  <si>
    <t>6310-3 ARB Training</t>
  </si>
  <si>
    <t>6310-1 ARB Training</t>
  </si>
  <si>
    <t>6310-1  ARB Training</t>
  </si>
  <si>
    <t>6310-4  ARB Training</t>
  </si>
  <si>
    <t>Total 6320 · ARB Supplies</t>
  </si>
  <si>
    <t>2322662</t>
  </si>
  <si>
    <t>82383</t>
  </si>
  <si>
    <t>6320-1 - ARB Supplies</t>
  </si>
  <si>
    <t>6320-1 - Office Supplies</t>
  </si>
  <si>
    <t>6320-1 ARB Nameplates - Barr, Baker, Muller, Straach</t>
  </si>
  <si>
    <t>Total 6330 · ARB Forms &amp; Printing</t>
  </si>
  <si>
    <t>6330-9 - Code books - 20</t>
  </si>
  <si>
    <t>Total 6340 · ARB Training / Seminars</t>
  </si>
  <si>
    <t>02.2020_travel</t>
  </si>
  <si>
    <t>02.2020_Travel</t>
  </si>
  <si>
    <t>02.2020_Travle</t>
  </si>
  <si>
    <t>6340-1 - ARB Training</t>
  </si>
  <si>
    <t>6340-2 - ARB Training</t>
  </si>
  <si>
    <t>6340-1 -  ARB Comptroller Training - February 2020 - travel reimbursement</t>
  </si>
  <si>
    <t>6340-2 -  ARB Comptroller Training - February 2020 - trvael reimbursement</t>
  </si>
  <si>
    <t>6340-1  ARB Comptroller Training - February 2020 - travel reimbursement</t>
  </si>
  <si>
    <t>6340-2  ARB Comptroller Training - February 2020 - travel reimbursement</t>
  </si>
  <si>
    <t>6340-1 ARB Comptroller Training - February 2020 - travel reimbursement</t>
  </si>
  <si>
    <t>Total 6350 · ARB Litigation</t>
  </si>
  <si>
    <t>Armstrong &amp; Armstrong</t>
  </si>
  <si>
    <t>6350-1 - Retainer services for ARB legal services</t>
  </si>
  <si>
    <t>6800 · General - Debt Service</t>
  </si>
  <si>
    <t>6810 · Building Payment</t>
  </si>
  <si>
    <t>Total 6810 · Building Payment</t>
  </si>
  <si>
    <t>Total 6800 · General - Debt Service</t>
  </si>
  <si>
    <t>R99537</t>
  </si>
  <si>
    <t>R14245</t>
  </si>
  <si>
    <t>R29093</t>
  </si>
  <si>
    <t>Banc of America Leasing</t>
  </si>
  <si>
    <t>6810-1 - bldg pymt</t>
  </si>
  <si>
    <t>V21414258</t>
  </si>
  <si>
    <t>6285-4 Payroll Fee</t>
  </si>
  <si>
    <t>6280-6 - Yearly web hosting</t>
  </si>
  <si>
    <t>6280-44 - Appraisal Review - 5 seats</t>
  </si>
  <si>
    <t>6280-38 - Appraisal</t>
  </si>
  <si>
    <t>6280-40 - Public Access for Appraisal</t>
  </si>
  <si>
    <t>6280-39 - Pictometry Interface</t>
  </si>
  <si>
    <t>6280-41 - ESRI GIS Interface</t>
  </si>
  <si>
    <t>6280-36 - teleform maintenance</t>
  </si>
  <si>
    <t>6280-37 - monthly printer management</t>
  </si>
  <si>
    <t>6280-29 - domain renewal</t>
  </si>
  <si>
    <t>3773034</t>
  </si>
  <si>
    <t>6827431</t>
  </si>
  <si>
    <t>449708751001</t>
  </si>
  <si>
    <t>449698409001</t>
  </si>
  <si>
    <t>3217016</t>
  </si>
  <si>
    <t>455832742001</t>
  </si>
  <si>
    <t>456104527001</t>
  </si>
  <si>
    <t>6110-1 - 1099R</t>
  </si>
  <si>
    <t>27893</t>
  </si>
  <si>
    <t>6120-14 - postage - 629</t>
  </si>
  <si>
    <t>27882</t>
  </si>
  <si>
    <t>26391</t>
  </si>
  <si>
    <t>6130-19 - six key terms pamphlet</t>
  </si>
  <si>
    <t>6130-16 - laser printing - 1,962</t>
  </si>
  <si>
    <t>6130-16 - rendering - 629</t>
  </si>
  <si>
    <t>6130-16 - paper for laser printing - 629</t>
  </si>
  <si>
    <t>6130-16 - envelopes - 629</t>
  </si>
  <si>
    <t>6130-1 - Go green insert NAV</t>
  </si>
  <si>
    <t>33035</t>
  </si>
  <si>
    <t>33127</t>
  </si>
  <si>
    <t>33133</t>
  </si>
  <si>
    <t>10378401397</t>
  </si>
  <si>
    <t>1CYMJF44W69G</t>
  </si>
  <si>
    <t>1NQK-1LDY-1CY6</t>
  </si>
  <si>
    <t>6150-2 Dell 24 Monitor - P2419H Monitors for ARB</t>
  </si>
  <si>
    <t>6150-7 Polycom SoundStation IP 5000 PoE Phone Model: 2200-30900-025   ASIN: B003QXGWM8</t>
  </si>
  <si>
    <t>6150-7 Six Piece Hand Metal File Set ASIN: B07WDCBJ1G</t>
  </si>
  <si>
    <t>Deposit</t>
  </si>
  <si>
    <t>1006</t>
  </si>
  <si>
    <t>AP02600C</t>
  </si>
  <si>
    <t>918</t>
  </si>
  <si>
    <t>1209</t>
  </si>
  <si>
    <t>1410</t>
  </si>
  <si>
    <t>714</t>
  </si>
  <si>
    <t>1820</t>
  </si>
  <si>
    <t>014694</t>
  </si>
  <si>
    <t>0804097</t>
  </si>
  <si>
    <t>02252020</t>
  </si>
  <si>
    <t>L54027028</t>
  </si>
  <si>
    <t>59890</t>
  </si>
  <si>
    <t>56816904</t>
  </si>
  <si>
    <t>56818360</t>
  </si>
  <si>
    <t>56818755</t>
  </si>
  <si>
    <t>56817992</t>
  </si>
  <si>
    <t>11162020</t>
  </si>
  <si>
    <t>09142020</t>
  </si>
  <si>
    <t>08242020</t>
  </si>
  <si>
    <t>656032</t>
  </si>
  <si>
    <t>656027</t>
  </si>
  <si>
    <t>16484</t>
  </si>
  <si>
    <t>08.2020</t>
  </si>
  <si>
    <t>CM-146668</t>
  </si>
  <si>
    <t>renewal.20.AJS</t>
  </si>
  <si>
    <t>Sonny Bryans Smokehouse</t>
  </si>
  <si>
    <t>El Fenix Waxahachie</t>
  </si>
  <si>
    <t>Renaissance Dallas Hotel</t>
  </si>
  <si>
    <t>McKissock</t>
  </si>
  <si>
    <t>PSI Exams</t>
  </si>
  <si>
    <t>Hyatt Hotels</t>
  </si>
  <si>
    <t>Metro Council of Appraisal Districts</t>
  </si>
  <si>
    <t>6210-22 - TAAD Conference - Lunch - ARL, JWG, SAM</t>
  </si>
  <si>
    <t>6210-22 - TAAD Conf - Lunch - AU, RW, CM, KG, JG, KCM, ARL</t>
  </si>
  <si>
    <t>6210-22 - TAAD Conference - Lodging - JMiller, RWilhite</t>
  </si>
  <si>
    <t>6210-22 - TAAD Conference - Lodging - SCrone &amp; DBlaylock</t>
  </si>
  <si>
    <t>6210-22 - TAAD Conference - Lodging - CMcElroy &amp; KGamboa</t>
  </si>
  <si>
    <t>6210-22 -TAAD Conference - Lodging - JGriner</t>
  </si>
  <si>
    <t>6210-22 - TAAD Conference - Lodging - AUrbanek</t>
  </si>
  <si>
    <t>6210-22 - TAAD Conference</t>
  </si>
  <si>
    <t>6210-27 - USPAP - AStenulson</t>
  </si>
  <si>
    <t>6210-22 - TAAD Conf - ARL</t>
  </si>
  <si>
    <t>6210-33 - Class IV Exam - LSimmons</t>
  </si>
  <si>
    <t>6210-11 - IAAO Course 101 - AUrbanek</t>
  </si>
  <si>
    <t>6210-8 - IAAO conf - one night hold - ARL</t>
  </si>
  <si>
    <t>6210-8 - IAAO conf - one night hold - CBC</t>
  </si>
  <si>
    <t>6210-8 - IAAO conf - one night hold - JM</t>
  </si>
  <si>
    <t>6210-8 - IAAO conf - one night hold - BE</t>
  </si>
  <si>
    <t>6210-27 - course 203 - Derek Smith</t>
  </si>
  <si>
    <t>6210-27 - Course 30 - Derek Smith</t>
  </si>
  <si>
    <t>6210-27 - Course 30 - Steve Crone</t>
  </si>
  <si>
    <t>6210-27 - course 7 - Lyle Wright</t>
  </si>
  <si>
    <t>6210-27 - Course 3 - Heather Hayden</t>
  </si>
  <si>
    <t>6210-27 - Course 32 - Heather Hayden</t>
  </si>
  <si>
    <t>6210-17 - Annual dues</t>
  </si>
  <si>
    <t>6210-27 - Ethics online - BHarris</t>
  </si>
  <si>
    <t>6210-27 - Ethis on line - CManas</t>
  </si>
  <si>
    <t>6210-19 - town hall meeting dinner for ee attending/presenting</t>
  </si>
  <si>
    <t>6210-8 - Alvin Lankford</t>
  </si>
  <si>
    <t>6210-8 - Chris Connelly</t>
  </si>
  <si>
    <t>6210-8 - Jessica Miller</t>
  </si>
  <si>
    <t>6210-8 - Bart Edsell</t>
  </si>
  <si>
    <t>6210-3 - Refund of park rental - COVID-19</t>
  </si>
  <si>
    <t>6210-32 - License renewal - AJStenulson</t>
  </si>
  <si>
    <t>1005 · USB - Operating Account</t>
  </si>
  <si>
    <t>6210-22 - Refund conference 2020</t>
  </si>
  <si>
    <t>6210-22 - TAAD Conference - Lodging - RQuinlan &amp; VLongstreth</t>
  </si>
  <si>
    <t>173695</t>
  </si>
  <si>
    <t>6110-5 - company shirsts</t>
  </si>
  <si>
    <t>28AR206613</t>
  </si>
  <si>
    <t>N8209294</t>
  </si>
  <si>
    <t>26664367</t>
  </si>
  <si>
    <t>28AR217763</t>
  </si>
  <si>
    <t>Quadient Leasing USA, Inc.</t>
  </si>
  <si>
    <t>6215-3 - Lease meter machine</t>
  </si>
  <si>
    <t>7990076692002</t>
  </si>
  <si>
    <t>022020</t>
  </si>
  <si>
    <t>03042020</t>
  </si>
  <si>
    <t>0104757030720</t>
  </si>
  <si>
    <t>0365937031020</t>
  </si>
  <si>
    <t>03192020</t>
  </si>
  <si>
    <t>2787230258338x032720</t>
  </si>
  <si>
    <t>I2020040101354</t>
  </si>
  <si>
    <t>9850191020</t>
  </si>
  <si>
    <t>03282020</t>
  </si>
  <si>
    <t>7990076692003</t>
  </si>
  <si>
    <t>04.2020</t>
  </si>
  <si>
    <t>24224</t>
  </si>
  <si>
    <t>17560798</t>
  </si>
  <si>
    <t>29408</t>
  </si>
  <si>
    <t>2030170</t>
  </si>
  <si>
    <t>6873770</t>
  </si>
  <si>
    <t>27918</t>
  </si>
  <si>
    <t>24398</t>
  </si>
  <si>
    <t>46751</t>
  </si>
  <si>
    <t>0258949</t>
  </si>
  <si>
    <t>33305</t>
  </si>
  <si>
    <t>SCPAY00125877</t>
  </si>
  <si>
    <t>24456</t>
  </si>
  <si>
    <t>04032020</t>
  </si>
  <si>
    <t>Meeks Family Chem-Dry LLC</t>
  </si>
  <si>
    <t>Hull Supply</t>
  </si>
  <si>
    <t>Turner Electric Inc</t>
  </si>
  <si>
    <t>6225-5 - Bldg repair</t>
  </si>
  <si>
    <t>6225-17 Radar 2110 2' x 2' Ceiling Tiles 16 Pack SKU: 563139   Internet: 203628467</t>
  </si>
  <si>
    <t>6225-14 - Irrigation repair</t>
  </si>
  <si>
    <t>6225-24 - water soluble dye</t>
  </si>
  <si>
    <t>6225-16 SEL SL57 FS HD Gear HE CLR7' SL57CLHD83</t>
  </si>
  <si>
    <t>6225-16 NGP 101V Drip/Sweep 36" AL x TEKS 101v-036</t>
  </si>
  <si>
    <t>6225-16 HMA EPT10 TAB (10-24x3 Thread) EPT101024TAB</t>
  </si>
  <si>
    <t>6225-16 HMA EPT10 Filler Plate EPT1</t>
  </si>
  <si>
    <t xml:space="preserve">6225-16 Labor - Remodel			</t>
  </si>
  <si>
    <t>6225-6 - Janitorial services - April 2020</t>
  </si>
  <si>
    <t>Assigned Funds - Building shor-live items replacement interior lighting</t>
  </si>
  <si>
    <t>2208</t>
  </si>
  <si>
    <t>3009</t>
  </si>
  <si>
    <t>01275G</t>
  </si>
  <si>
    <t>603834</t>
  </si>
  <si>
    <t>600 Degrees</t>
  </si>
  <si>
    <t>6236-1 - TAAD Conference - Lodging - DHisle</t>
  </si>
  <si>
    <t>6236-1 - TAAD Conference - Lodging - HGibbs</t>
  </si>
  <si>
    <t>6236-1 - board luncheon</t>
  </si>
  <si>
    <t>395400</t>
  </si>
  <si>
    <t>5075</t>
  </si>
  <si>
    <t>111005913-1</t>
  </si>
  <si>
    <t>396523</t>
  </si>
  <si>
    <t>Real Estate Center</t>
  </si>
  <si>
    <t>6240-26 - publication</t>
  </si>
  <si>
    <t>6240-19 - Law books - 3</t>
  </si>
  <si>
    <t>6240-20 Manufactured Housing Guide</t>
  </si>
  <si>
    <t>6250 · Contingency</t>
  </si>
  <si>
    <t>Total 6250 · Contingency</t>
  </si>
  <si>
    <t>889011</t>
  </si>
  <si>
    <t>5702</t>
  </si>
  <si>
    <t>01622G</t>
  </si>
  <si>
    <t>872274</t>
  </si>
  <si>
    <t>40998</t>
  </si>
  <si>
    <t>01962G</t>
  </si>
  <si>
    <t>26392</t>
  </si>
  <si>
    <t>119KVDGC1WM1</t>
  </si>
  <si>
    <t>5733</t>
  </si>
  <si>
    <t>13649189</t>
  </si>
  <si>
    <t>Randalls</t>
  </si>
  <si>
    <t>Discount Electronics</t>
  </si>
  <si>
    <t>McCoy's</t>
  </si>
  <si>
    <t>Tractor Supply</t>
  </si>
  <si>
    <t>altex.com</t>
  </si>
  <si>
    <t>ZOOM</t>
  </si>
  <si>
    <t>6250-1 - COVID - janitorial supplies</t>
  </si>
  <si>
    <t>6250-1 Dell Latitude E6430 i5 SSD 14" laptop, Windows 10 Pro, 16GB RAM, 240gb ssd, dvdrom</t>
  </si>
  <si>
    <t>6250-1 Empty Spray Bottle 30oz Item: 19400380</t>
  </si>
  <si>
    <t>6250-1 Door Stop Wedge Brown 2 Pack Item: 28900080</t>
  </si>
  <si>
    <t xml:space="preserve">6250-1 Door Stop Wedge Brown 2 Pack			</t>
  </si>
  <si>
    <t>6250-1 DMR 36oz Chemical Resistant Spray Bottle Item: 1355486</t>
  </si>
  <si>
    <t>6250-1 tax</t>
  </si>
  <si>
    <t>6250-1 USB Type-C to 4 Port USB 3.0 Type-A Hub Part: 72-147</t>
  </si>
  <si>
    <t>6250-1 USB Type-C to 4 Port USB 3.0 Type-A Hub Part: 162746</t>
  </si>
  <si>
    <t>6250-1 4 Port USB 3.0 Non Powered Hub</t>
  </si>
  <si>
    <t>6250-1 - COVID-19 - health flyer in NAV</t>
  </si>
  <si>
    <t>6250-1 USB C to DisplayPort Cable 6' Item: WARRKY-CD11   ASIN: B07RY75V7Q</t>
  </si>
  <si>
    <t>6250-1 - laptops - COVID-19</t>
  </si>
  <si>
    <t>6250-1 - remote meeting app</t>
  </si>
  <si>
    <t>US422402</t>
  </si>
  <si>
    <t>26795</t>
  </si>
  <si>
    <t>1008</t>
  </si>
  <si>
    <t>238529-001</t>
  </si>
  <si>
    <t>20-13067</t>
  </si>
  <si>
    <t>03132020</t>
  </si>
  <si>
    <t>6675</t>
  </si>
  <si>
    <t>6746</t>
  </si>
  <si>
    <t>1166</t>
  </si>
  <si>
    <t>2631</t>
  </si>
  <si>
    <t>13347</t>
  </si>
  <si>
    <t>R511435.2019</t>
  </si>
  <si>
    <t>R442401</t>
  </si>
  <si>
    <t>R427369</t>
  </si>
  <si>
    <t>Pictometry International Corp</t>
  </si>
  <si>
    <t>Nichols, Jackson, Dillard, Hager &amp; Smith</t>
  </si>
  <si>
    <t>FoxyAI, Inc</t>
  </si>
  <si>
    <t>Newmark Knight Frank Valuation &amp; Advisory</t>
  </si>
  <si>
    <t>Paul Hornsby &amp; Company</t>
  </si>
  <si>
    <t>Capitol Appraisal Group, LLC</t>
  </si>
  <si>
    <t>Christina Hendry</t>
  </si>
  <si>
    <t>Rob D Holcomb</t>
  </si>
  <si>
    <t>6260-12 Image Library</t>
  </si>
  <si>
    <t>6260-10 - professional services - February 2020</t>
  </si>
  <si>
    <t>6260-7 - development software</t>
  </si>
  <si>
    <t>6260-10 - 2018 Mkt Rpt - TST Round Rock IRF - R487465</t>
  </si>
  <si>
    <t>6260-10 - TST Round Rock IRF, LLC</t>
  </si>
  <si>
    <t>6260-10 - 2018 Mkt Rpts - LaFronteria shopping center - 18-1124-C425</t>
  </si>
  <si>
    <t>6260-10 - IVT Parke Cedar Park LLC</t>
  </si>
  <si>
    <t>6260-10 - professional services - January Expenses</t>
  </si>
  <si>
    <t>6260-10 - professional services - February Expenses</t>
  </si>
  <si>
    <t>6260-11 - Appraisal services</t>
  </si>
  <si>
    <t>6260-2 -Binding Arbitration - 246-19-A19015 - MGCC Texas Enterprises - R511435</t>
  </si>
  <si>
    <t>6260-2 - Binding Arbitration - 246-19-A19019 - RVE Partners - R442401</t>
  </si>
  <si>
    <t>6260-2 - Binding Arbitration - 246-19-A19016 - Drive-in Realty Partners - R427369</t>
  </si>
  <si>
    <t>03052020</t>
  </si>
  <si>
    <t>501605</t>
  </si>
  <si>
    <t>28AR210576</t>
  </si>
  <si>
    <t>2018-560-1C</t>
  </si>
  <si>
    <t>MN00000692</t>
  </si>
  <si>
    <t>The Sidwell Company</t>
  </si>
  <si>
    <t>6280-8 - maintenance</t>
  </si>
  <si>
    <t>6280-8 - subscription</t>
  </si>
  <si>
    <t>6280-37 - overage</t>
  </si>
  <si>
    <t>6280-32 - software maintenance</t>
  </si>
  <si>
    <t>6280-35 - portico maintenance - web hosting</t>
  </si>
  <si>
    <t>03032020</t>
  </si>
  <si>
    <t>008-015</t>
  </si>
  <si>
    <t>008-016</t>
  </si>
  <si>
    <t>65809272</t>
  </si>
  <si>
    <t>65832104</t>
  </si>
  <si>
    <t>65832455</t>
  </si>
  <si>
    <t>13793</t>
  </si>
  <si>
    <t>13314</t>
  </si>
  <si>
    <t>008-017</t>
  </si>
  <si>
    <t>65870646</t>
  </si>
  <si>
    <t>AutoMox</t>
  </si>
  <si>
    <t>6285-3 2 years 5 Site UCC/SAN SSL</t>
  </si>
  <si>
    <t>6285-5 - Deed Viewer subscription - February 2020</t>
  </si>
  <si>
    <t>6285-5 - Deed Viewer subscription - March 2020</t>
  </si>
  <si>
    <t>6285-2 - Maintenance - manage plan</t>
  </si>
  <si>
    <t>6285-2 - Maintenance - patch plan - growth - yearly</t>
  </si>
  <si>
    <t>6285-5 - Deed Viewer subscription - April 2020</t>
  </si>
  <si>
    <t>6285-10 - additional licenses</t>
  </si>
  <si>
    <t>6285-10 - Additional licenses</t>
  </si>
  <si>
    <t>6285-10 - Computer licenses</t>
  </si>
  <si>
    <t>6310-1 ARB Meeting</t>
  </si>
  <si>
    <t>6310-3 ARB Meeting</t>
  </si>
  <si>
    <t>6310-4 - ARB Meeting</t>
  </si>
  <si>
    <t>6310-2 - ARB Meeting</t>
  </si>
  <si>
    <t>6310-5 - ARB Meeting</t>
  </si>
  <si>
    <t>6310-4  - ARB Meeting</t>
  </si>
  <si>
    <t>4781</t>
  </si>
  <si>
    <t>6350-2 - ARB Training</t>
  </si>
  <si>
    <t>7396</t>
  </si>
  <si>
    <t>489348164001</t>
  </si>
  <si>
    <t>492584608001</t>
  </si>
  <si>
    <t>492585506001</t>
  </si>
  <si>
    <t>492585507001</t>
  </si>
  <si>
    <t>83278</t>
  </si>
  <si>
    <t>83279</t>
  </si>
  <si>
    <t>On Site Signs</t>
  </si>
  <si>
    <t>6110-12 Ready to apply computer cut vinyl lettering or graphics: Remove existing lettering from ...</t>
  </si>
  <si>
    <t>6110-9 Office Supplies</t>
  </si>
  <si>
    <t>6110-9 - business cards - RWilhite</t>
  </si>
  <si>
    <t>6110-9 - business cards - CConnelly</t>
  </si>
  <si>
    <t>0011851</t>
  </si>
  <si>
    <t>0011945</t>
  </si>
  <si>
    <t>Quadient Finance USA, Inc</t>
  </si>
  <si>
    <t>6120-1 - postage for NAV mailout</t>
  </si>
  <si>
    <t>26472</t>
  </si>
  <si>
    <t>28809</t>
  </si>
  <si>
    <t>28810</t>
  </si>
  <si>
    <t>26564</t>
  </si>
  <si>
    <t>6130-8 CASS &amp; PAV</t>
  </si>
  <si>
    <t>6130-1 Laser Printing - NAV, Protest Form &amp; Variable HS Forms</t>
  </si>
  <si>
    <t>6130-5 Rights &amp; Remedies</t>
  </si>
  <si>
    <t>6130-6 3630 Green 1/3 Inserts</t>
  </si>
  <si>
    <t>6130-7 Mailing Sercices - Preparation</t>
  </si>
  <si>
    <t>6130-4 #10 Envelopes</t>
  </si>
  <si>
    <t>6130-9 Flats</t>
  </si>
  <si>
    <t>6130-1 Minimum Charge</t>
  </si>
  <si>
    <t>6130-3 Shipping &amp; Freight</t>
  </si>
  <si>
    <t>6130-1 - color printing inserts</t>
  </si>
  <si>
    <t>6130-1 - Discount</t>
  </si>
  <si>
    <t>6130-1 - laser printing - 24,038</t>
  </si>
  <si>
    <t>6130-1 - rendering - 3,386</t>
  </si>
  <si>
    <t>6130-1 - paper for laser printing - 15,872</t>
  </si>
  <si>
    <t>6130-4 - envelopes - 3,542</t>
  </si>
  <si>
    <t>6130-1 - 1st insert - 3,542</t>
  </si>
  <si>
    <t>6130-1 - 2nd insert - 3,542</t>
  </si>
  <si>
    <t>6130-1 - 3rd insert - 3,542</t>
  </si>
  <si>
    <t>6130-9 - flats - 20</t>
  </si>
  <si>
    <t>6130-9 - 6x9s - 139</t>
  </si>
  <si>
    <t>6130-5 - Laser printing R&amp;R - 3,542</t>
  </si>
  <si>
    <t>6130-1 - Laser printing Go Green Insert - 3,542</t>
  </si>
  <si>
    <t>6130-1 - rendering - 132</t>
  </si>
  <si>
    <t>6130-9 - 6x9s - 36</t>
  </si>
  <si>
    <t>6130-4 - envelopes - 132</t>
  </si>
  <si>
    <t>6130-1 - pre-sort 132</t>
  </si>
  <si>
    <t>33922</t>
  </si>
  <si>
    <t>2578661</t>
  </si>
  <si>
    <t>439938598457</t>
  </si>
  <si>
    <t>1PF6-D4TG-QTT1</t>
  </si>
  <si>
    <t>6150-7 - usb c to display port 6ft cable</t>
  </si>
  <si>
    <t>6150-7 - usb c hub with PD power</t>
  </si>
  <si>
    <t>6150-7 - 44w surface ac charger</t>
  </si>
  <si>
    <t>6150-7 Universal Adjustable Cubicle Hangers, Set of Two Model: UNV08173 ASIN: 009A58DR8</t>
  </si>
  <si>
    <t>B&amp;H</t>
  </si>
  <si>
    <t>Minor Equipment</t>
  </si>
  <si>
    <t>4228238</t>
  </si>
  <si>
    <t>36051633</t>
  </si>
  <si>
    <t>108177</t>
  </si>
  <si>
    <t>1678</t>
  </si>
  <si>
    <t>2020PFI</t>
  </si>
  <si>
    <t>052120</t>
  </si>
  <si>
    <t>Omni Hotels</t>
  </si>
  <si>
    <t>Survey Monkey.com</t>
  </si>
  <si>
    <t>6210-7 - Refund loding - GIS/Valuation Conference</t>
  </si>
  <si>
    <t>6210-3 - Survey Monkey</t>
  </si>
  <si>
    <t>6210-27  PFI Training KGamboa</t>
  </si>
  <si>
    <t>6210-27 - Course 203 JMiller</t>
  </si>
  <si>
    <t>6210-27 - Course 203 KMcDade</t>
  </si>
  <si>
    <t>6210-27 - Course 4 JMiller</t>
  </si>
  <si>
    <t>6210-27 - Course 4 KMcDade</t>
  </si>
  <si>
    <t>6210-5 - Conference 2020 - ALankford</t>
  </si>
  <si>
    <t>6210-5 - Conference 2020 - CConnelly</t>
  </si>
  <si>
    <t>6210-5 - Conference 2020 - CVasquez</t>
  </si>
  <si>
    <t>6210-34 Tyler Connect - registration reimbursement</t>
  </si>
  <si>
    <t>6210-5 GIS/CAMA Conference - registration reimbursement</t>
  </si>
  <si>
    <t>26854794</t>
  </si>
  <si>
    <t>N284477</t>
  </si>
  <si>
    <t>28AR225774</t>
  </si>
  <si>
    <t>27042962</t>
  </si>
  <si>
    <t>04042020</t>
  </si>
  <si>
    <t>0104757040720</t>
  </si>
  <si>
    <t>9852279711</t>
  </si>
  <si>
    <t>0365937041020</t>
  </si>
  <si>
    <t>04192020</t>
  </si>
  <si>
    <t>2787230258338x042720</t>
  </si>
  <si>
    <t>I2020050101351</t>
  </si>
  <si>
    <t>05.2020</t>
  </si>
  <si>
    <t>04282020</t>
  </si>
  <si>
    <t>041920</t>
  </si>
  <si>
    <t>7990076692004</t>
  </si>
  <si>
    <t>05042020</t>
  </si>
  <si>
    <t>9854336961</t>
  </si>
  <si>
    <t>0365937051020</t>
  </si>
  <si>
    <t>I2020060101342</t>
  </si>
  <si>
    <t>0104757050720</t>
  </si>
  <si>
    <t>R0040083</t>
  </si>
  <si>
    <t>04172020</t>
  </si>
  <si>
    <t>04172020.01</t>
  </si>
  <si>
    <t>818754</t>
  </si>
  <si>
    <t>R0084112</t>
  </si>
  <si>
    <t>47100</t>
  </si>
  <si>
    <t>SRVCE00283791</t>
  </si>
  <si>
    <t>33798</t>
  </si>
  <si>
    <t>SCPAY00126587</t>
  </si>
  <si>
    <t>24668</t>
  </si>
  <si>
    <t>04172020.02</t>
  </si>
  <si>
    <t>6876215</t>
  </si>
  <si>
    <t>28090</t>
  </si>
  <si>
    <t>28087</t>
  </si>
  <si>
    <t>28089</t>
  </si>
  <si>
    <t>200347</t>
  </si>
  <si>
    <t>Russell Glass &amp; Mirror</t>
  </si>
  <si>
    <t>Georgetown Fire and Safety</t>
  </si>
  <si>
    <t>Assigned Funds - Building short-live items replacement interior lighting</t>
  </si>
  <si>
    <t>6225-7 - replacement interior lighting</t>
  </si>
  <si>
    <t>6225-16 - Building repair &amp; maintenance</t>
  </si>
  <si>
    <t>6225-24 - clarifier</t>
  </si>
  <si>
    <t>6225-2 - HVAC repair and maintance</t>
  </si>
  <si>
    <t>6225-6 - Janitorial services - May 2020</t>
  </si>
  <si>
    <t>6225-7 -  replacement interior lighting</t>
  </si>
  <si>
    <t>6225-11 Annual Fire Extinguisher Inspections</t>
  </si>
  <si>
    <t>6225-16 - building repair &amp; maintenance</t>
  </si>
  <si>
    <t>2020.01</t>
  </si>
  <si>
    <t>WB12040955</t>
  </si>
  <si>
    <t>Leticia De La Garza</t>
  </si>
  <si>
    <t>nationsphotolab.com</t>
  </si>
  <si>
    <t>6236-1 - board pictures</t>
  </si>
  <si>
    <t xml:space="preserve">6236-1 8x10 Headshots			</t>
  </si>
  <si>
    <t xml:space="preserve">6236-1 16x24 Group Photo			</t>
  </si>
  <si>
    <t>6236-1 shipping</t>
  </si>
  <si>
    <t>6236-1 discount</t>
  </si>
  <si>
    <t>111277607-1</t>
  </si>
  <si>
    <t>397641</t>
  </si>
  <si>
    <t>568314</t>
  </si>
  <si>
    <t>Austin American Statesman</t>
  </si>
  <si>
    <t>6240-10 Appeals Procedures Ad - RRLeader 2020</t>
  </si>
  <si>
    <t>1CT6-FDNW-KKRT</t>
  </si>
  <si>
    <t>1PJ7-Q1VR-6FML</t>
  </si>
  <si>
    <t>9260207</t>
  </si>
  <si>
    <t>56361</t>
  </si>
  <si>
    <t>18191821</t>
  </si>
  <si>
    <t>30518</t>
  </si>
  <si>
    <t>7989023</t>
  </si>
  <si>
    <t>58628</t>
  </si>
  <si>
    <t>00725E</t>
  </si>
  <si>
    <t>1V6G-NNQV-4XHH</t>
  </si>
  <si>
    <t>30582</t>
  </si>
  <si>
    <t>28594</t>
  </si>
  <si>
    <t>34033</t>
  </si>
  <si>
    <t>356234F</t>
  </si>
  <si>
    <t>5.2020</t>
  </si>
  <si>
    <t>171660089</t>
  </si>
  <si>
    <t>1G7K-HVVN-LTRF</t>
  </si>
  <si>
    <t>HHY6-44QF</t>
  </si>
  <si>
    <t>1JW1-HJQG-4JRJ</t>
  </si>
  <si>
    <t>169M-R7P4-6HK1</t>
  </si>
  <si>
    <t>2.2020</t>
  </si>
  <si>
    <t>OptiMA (Whiteboards Etc)</t>
  </si>
  <si>
    <t>Austin Plastics &amp; Supply, Inc</t>
  </si>
  <si>
    <t>PayPal</t>
  </si>
  <si>
    <t>Ace Hardware</t>
  </si>
  <si>
    <t>KC McDade</t>
  </si>
  <si>
    <t>Chappell Office Products</t>
  </si>
  <si>
    <t>6250-1 - Face Shields</t>
  </si>
  <si>
    <t>6250-1 - Face Mask</t>
  </si>
  <si>
    <t>6250-1 - Medium size gloves</t>
  </si>
  <si>
    <t>6250-1 - Large size gloves</t>
  </si>
  <si>
    <t>6250-1 - Thermometers</t>
  </si>
  <si>
    <t>6250-1 COVID-19 Supplies - Face Masks</t>
  </si>
  <si>
    <t>6250-1 COVID-19 Supplies - Floor Signs</t>
  </si>
  <si>
    <t>6250-1 COVID-19 Supplies Discount</t>
  </si>
  <si>
    <t>6250-1 - 6 - 23 1/2" x 58" pass through slot</t>
  </si>
  <si>
    <t>6250-1 - 6 - 23 1/2" x 80 pass through slot</t>
  </si>
  <si>
    <t>6250-1 - 16 - 23 1/2" x 36 including 10" bend on right</t>
  </si>
  <si>
    <t>6250-1 - 16 - 23 1/2" x 36 including 10" bend on left</t>
  </si>
  <si>
    <t>6250-1 COVID-19 Supplies - Dual Lock Fastener</t>
  </si>
  <si>
    <t>6250-1 COVID-19 Supplies - Room Divider</t>
  </si>
  <si>
    <t>6250-1 COVID-19 Supplies</t>
  </si>
  <si>
    <t>6250-1 COVID-19 Supplies - Partition divider keys</t>
  </si>
  <si>
    <t>6250-1 - Forehead Thermometer</t>
  </si>
  <si>
    <t>6250-1 - Shipping</t>
  </si>
  <si>
    <t>6250-1 - 1 - 23 1/2" x 48" pass through slot</t>
  </si>
  <si>
    <t>6250-1 - Envelopes - #10  w/ Red Message</t>
  </si>
  <si>
    <t>6250-1 Rocketfish 2 output hdmi splitter Model RF-G1603 SKU 5986903</t>
  </si>
  <si>
    <t>6250-1 COVID-19 Supplies Reimbursement</t>
  </si>
  <si>
    <t>6250-1 Camera Document Scanner 1100	 Item: GBCDCV10001</t>
  </si>
  <si>
    <t>6250-1 Axis Wireless Indoor Camera M1045-LW B&amp;H: AX0812004   MFR: 0812-004</t>
  </si>
  <si>
    <t>6250-1 Shipping</t>
  </si>
  <si>
    <t>6250-1 - Laser Printing Health Safety Insert - 3,542</t>
  </si>
  <si>
    <t xml:space="preserve">6250-1 Document Camera, HD Portable scanner ASIN: B07X57F8DT	</t>
  </si>
  <si>
    <t>6250-1 COVID-19 - Supplies reimbursement</t>
  </si>
  <si>
    <t>20-13017</t>
  </si>
  <si>
    <t>20-13086</t>
  </si>
  <si>
    <t>6826</t>
  </si>
  <si>
    <t>04222020</t>
  </si>
  <si>
    <t>1171</t>
  </si>
  <si>
    <t>27495</t>
  </si>
  <si>
    <t>13405</t>
  </si>
  <si>
    <t>0462</t>
  </si>
  <si>
    <t>EI00986912</t>
  </si>
  <si>
    <t>6891</t>
  </si>
  <si>
    <t>54134052620</t>
  </si>
  <si>
    <t>Eide Bailly LLP</t>
  </si>
  <si>
    <t>6260-10 - EPC Cedar Park LLC - 2017  Rpt - 17-1183-C26</t>
  </si>
  <si>
    <t>6260-10 - Baltgem 2019 Rpt - 19-1110-C26</t>
  </si>
  <si>
    <t>6260-10 - professional services - March Expenses</t>
  </si>
  <si>
    <t>6260-10 - Near Holdings (18-1077-368)</t>
  </si>
  <si>
    <t>6260-10 - professional services</t>
  </si>
  <si>
    <t>6260-10 - HR attorney - EEOC Charge</t>
  </si>
  <si>
    <t>6260-1 audit 2019</t>
  </si>
  <si>
    <t>6260-10 - professional services - April Expenses</t>
  </si>
  <si>
    <t>28304120</t>
  </si>
  <si>
    <t>28AR221243</t>
  </si>
  <si>
    <t>043020</t>
  </si>
  <si>
    <t>P1-57321472</t>
  </si>
  <si>
    <t>28AR228303</t>
  </si>
  <si>
    <t>62700</t>
  </si>
  <si>
    <t>Intuit</t>
  </si>
  <si>
    <t>Presidio Network Solutions</t>
  </si>
  <si>
    <t>6280-29 - miantenance</t>
  </si>
  <si>
    <t>6280-27 - annual subscription</t>
  </si>
  <si>
    <t>6280-46 VMware: Production Support Coverage VMware vSphere Essentials Plus Kit for 3 hosts (Max ...</t>
  </si>
  <si>
    <t>6280-7 Annual Maintenance with Cisco on all Equipment</t>
  </si>
  <si>
    <t>03182020</t>
  </si>
  <si>
    <t>14110187</t>
  </si>
  <si>
    <t>65896639</t>
  </si>
  <si>
    <t>7FH69751FF6</t>
  </si>
  <si>
    <t>13846</t>
  </si>
  <si>
    <t>008-018</t>
  </si>
  <si>
    <t>Furios Tech</t>
  </si>
  <si>
    <t>6285-3 - computer license</t>
  </si>
  <si>
    <t>6285-8 - zoom mtg</t>
  </si>
  <si>
    <t>6285-15 - computer licenses</t>
  </si>
  <si>
    <t>6285-8 - ReNamer v7.2 License</t>
  </si>
  <si>
    <t>6285-5 - Deed Viewer subscription - May 2020</t>
  </si>
  <si>
    <t>639845</t>
  </si>
  <si>
    <t>Print Management Partners</t>
  </si>
  <si>
    <t xml:space="preserve">6330-3  LWE-695-WCAD - 6x9.5 Envelopes (1000)			</t>
  </si>
  <si>
    <t>6330-3 Freight</t>
  </si>
  <si>
    <t>R43950</t>
  </si>
  <si>
    <t>R58733</t>
  </si>
  <si>
    <t>12056439</t>
  </si>
  <si>
    <t>6110-9 - ARL headshot</t>
  </si>
  <si>
    <t>28904</t>
  </si>
  <si>
    <t>7-017-13924</t>
  </si>
  <si>
    <t>6120-1 - postage - 71</t>
  </si>
  <si>
    <t>6120-1 - prepaid postage</t>
  </si>
  <si>
    <t>6130-1 - laser printing - 71</t>
  </si>
  <si>
    <t>6130-1 - rendering - 71</t>
  </si>
  <si>
    <t>6130-4 - envelopes - 71</t>
  </si>
  <si>
    <t>5778619</t>
  </si>
  <si>
    <t>65894836476</t>
  </si>
  <si>
    <t>hayneedle.com</t>
  </si>
  <si>
    <t>6150-7 - shredder</t>
  </si>
  <si>
    <t xml:space="preserve">6150-7 Belham Living 9-ft. Sunbrella Deluxe Tilt Aluminum Patio Umbrella - Forest Green			  </t>
  </si>
  <si>
    <t>200015715</t>
  </si>
  <si>
    <t>VL3UKY</t>
  </si>
  <si>
    <t>02829G</t>
  </si>
  <si>
    <t>L035894Y</t>
  </si>
  <si>
    <t>R7AAAA-BE</t>
  </si>
  <si>
    <t>renewal.20.CJK</t>
  </si>
  <si>
    <t>11162020-SC</t>
  </si>
  <si>
    <t>Chuck Kurth</t>
  </si>
  <si>
    <t>Sam's Club Wholesale</t>
  </si>
  <si>
    <t>6210-28 - TAAO Conference registration - JWG</t>
  </si>
  <si>
    <t>6210-28 - TAAO Conference registration - RAQ</t>
  </si>
  <si>
    <t>6210-8 - Airfare to Denver - IAAO Conference - ARL</t>
  </si>
  <si>
    <t>6210-3 - DWD retirement party</t>
  </si>
  <si>
    <t>6210-3 - DWD retirement gift - Lady Eagle Basketball Booster Club</t>
  </si>
  <si>
    <t>6210-27 - reimbursed on-line laws/rules</t>
  </si>
  <si>
    <t>6210-8 - Airline flight to Denver - IAAO Conf - BEdsell</t>
  </si>
  <si>
    <t>6210-32 - License renewal - CJKurth</t>
  </si>
  <si>
    <t>6210-27 - Course 32 - SCrone</t>
  </si>
  <si>
    <t>6210-27 - Course 3 - SCrone</t>
  </si>
  <si>
    <t>6210-17 membership renewal</t>
  </si>
  <si>
    <t>28AR234611</t>
  </si>
  <si>
    <t>2787230258338x052720</t>
  </si>
  <si>
    <t>05282020</t>
  </si>
  <si>
    <t>05192020</t>
  </si>
  <si>
    <t>05192020.01</t>
  </si>
  <si>
    <t>7990076692005</t>
  </si>
  <si>
    <t>06.2020</t>
  </si>
  <si>
    <t>06042020</t>
  </si>
  <si>
    <t>819411</t>
  </si>
  <si>
    <t>28115</t>
  </si>
  <si>
    <t>263625A-IN</t>
  </si>
  <si>
    <t>47547</t>
  </si>
  <si>
    <t>SRVCE00285218</t>
  </si>
  <si>
    <t>34207</t>
  </si>
  <si>
    <t>3005298869</t>
  </si>
  <si>
    <t>SCPAY00127213</t>
  </si>
  <si>
    <t>17625161</t>
  </si>
  <si>
    <t>Thyssenkrupp Elevator Corporation</t>
  </si>
  <si>
    <t>Northstar Fire Protection of Texas, Inc</t>
  </si>
  <si>
    <t>6225-16 - front door not latching</t>
  </si>
  <si>
    <t>6225-6 - Janitorial services - June 2020</t>
  </si>
  <si>
    <t>6225-8 elevator annual maintenance</t>
  </si>
  <si>
    <t>6225-8 3% discount for paying in full</t>
  </si>
  <si>
    <t>6225-22 - Qtrly alarm monitoring</t>
  </si>
  <si>
    <t>111483070-1</t>
  </si>
  <si>
    <t>398760</t>
  </si>
  <si>
    <t>6240-10 - Appeals Procedures Ad</t>
  </si>
  <si>
    <t>6240-18 Residential Estimator 7</t>
  </si>
  <si>
    <t>1589</t>
  </si>
  <si>
    <t>59480</t>
  </si>
  <si>
    <t>01568E</t>
  </si>
  <si>
    <t>30686</t>
  </si>
  <si>
    <t>00155G</t>
  </si>
  <si>
    <t>00179G</t>
  </si>
  <si>
    <t>05312020</t>
  </si>
  <si>
    <t>1546</t>
  </si>
  <si>
    <t>C &amp; C Detail Supply</t>
  </si>
  <si>
    <t>Room Dividers Now</t>
  </si>
  <si>
    <t>Michaels</t>
  </si>
  <si>
    <t>6250-1 - masks</t>
  </si>
  <si>
    <t>6250-1 - COVID-19 - room dividers for ARB panels training room</t>
  </si>
  <si>
    <t>6250-1 - COVID-19 - Extra sound proofing for ARB panels (training room)</t>
  </si>
  <si>
    <t>6250-1 - 2 - 23 1/2" x 58" pass through slot</t>
  </si>
  <si>
    <t>6250-1 - 1 - 23 1/2" x 96" pass through slot</t>
  </si>
  <si>
    <t>6250-1 - COVID-19 - signs for front of bldg...call when you arrive for services</t>
  </si>
  <si>
    <t>6250-1 - COVID-19 - signs for parkng lot</t>
  </si>
  <si>
    <t>6250-1 COVID-19 Supplies Reimbursement - sign frames</t>
  </si>
  <si>
    <t>1179</t>
  </si>
  <si>
    <t>28185</t>
  </si>
  <si>
    <t>0488</t>
  </si>
  <si>
    <t>3051</t>
  </si>
  <si>
    <t>6260-10 - HR attorney - COVID-19</t>
  </si>
  <si>
    <t>28AR232081</t>
  </si>
  <si>
    <t>070-4570</t>
  </si>
  <si>
    <t>6280-8 - bulk emails generated</t>
  </si>
  <si>
    <t>6280-45 - Field Mobile Maintenance &amp; Support</t>
  </si>
  <si>
    <t>23477440</t>
  </si>
  <si>
    <t>14024</t>
  </si>
  <si>
    <t>6285-8 - zoom meetings</t>
  </si>
  <si>
    <t>R73820</t>
  </si>
  <si>
    <t>6310-5  ARB Meeting</t>
  </si>
  <si>
    <t>6310-3 - ARB Meeting</t>
  </si>
  <si>
    <t>6310-4 ARB Meeting</t>
  </si>
  <si>
    <t>496965034001</t>
  </si>
  <si>
    <t>496980035001</t>
  </si>
  <si>
    <t>496980038001</t>
  </si>
  <si>
    <t>496965034002</t>
  </si>
  <si>
    <t>6320-1 - ARB Office supplies</t>
  </si>
  <si>
    <t>5905007</t>
  </si>
  <si>
    <t>9101836</t>
  </si>
  <si>
    <t>508679090001</t>
  </si>
  <si>
    <t>509871719001</t>
  </si>
  <si>
    <t>6891449</t>
  </si>
  <si>
    <t>5995451</t>
  </si>
  <si>
    <t>83674</t>
  </si>
  <si>
    <t>513037765001</t>
  </si>
  <si>
    <t>1942</t>
  </si>
  <si>
    <t>511704915001</t>
  </si>
  <si>
    <t>8575444</t>
  </si>
  <si>
    <t>83727</t>
  </si>
  <si>
    <t>101672572001</t>
  </si>
  <si>
    <t>83750</t>
  </si>
  <si>
    <t>83778</t>
  </si>
  <si>
    <t>83799</t>
  </si>
  <si>
    <t>83841</t>
  </si>
  <si>
    <t>83925</t>
  </si>
  <si>
    <t>Cliff Park</t>
  </si>
  <si>
    <t>Patriot Supply Company</t>
  </si>
  <si>
    <t>6110-6 - Office supplies - copier paper</t>
  </si>
  <si>
    <t>6110-9 - Name Plates - LLippe, AJones</t>
  </si>
  <si>
    <t>6110-9 - Reimbursement office supplies</t>
  </si>
  <si>
    <t>6110-6 - copier paper - 8.5x11</t>
  </si>
  <si>
    <t>6110-7 5x8 Texas Flag PolyTex w/ VS &amp; RC</t>
  </si>
  <si>
    <t>6110-7 shipping</t>
  </si>
  <si>
    <t>6110-9 refund - returned office supply</t>
  </si>
  <si>
    <t>6110-9 - Stamps - LisaL, AmberJ</t>
  </si>
  <si>
    <t>6110-9 - Name Plates - AChaviano</t>
  </si>
  <si>
    <t>6110-9 - Business cards - TVan</t>
  </si>
  <si>
    <t>6110-9 - Business cards - CS</t>
  </si>
  <si>
    <t>6110-9 - Name Plates - TVan</t>
  </si>
  <si>
    <t>6110-9 - Name Stamp - TVan</t>
  </si>
  <si>
    <t>29246</t>
  </si>
  <si>
    <t>29261</t>
  </si>
  <si>
    <t>0012085</t>
  </si>
  <si>
    <t>07.2020</t>
  </si>
  <si>
    <t>6120-1 - postage</t>
  </si>
  <si>
    <t>6120-1 - postage previously paid</t>
  </si>
  <si>
    <t>6120-7 - postage for HS postcard mailout</t>
  </si>
  <si>
    <t>6120-4 - postage</t>
  </si>
  <si>
    <t>6120-6 - postage</t>
  </si>
  <si>
    <t>26683</t>
  </si>
  <si>
    <t>83864</t>
  </si>
  <si>
    <t>6130-1 - laser printing - 746</t>
  </si>
  <si>
    <t>6130-1 - rendering - 56</t>
  </si>
  <si>
    <t>6130-1 - paper for laser printing - 308</t>
  </si>
  <si>
    <t>6130-4 - envelopes - 56 - 2 sided w/msg</t>
  </si>
  <si>
    <t>6130-1 - 1st insert - 65</t>
  </si>
  <si>
    <t>6130-1 - 2nd insert - 65</t>
  </si>
  <si>
    <t>6130-1 - 3rd insert - 65</t>
  </si>
  <si>
    <t>6130-9 - flats - 1</t>
  </si>
  <si>
    <t>6130-9 - 6x9s - 8</t>
  </si>
  <si>
    <t>6130-5 - Laser printing R&amp;R - 65</t>
  </si>
  <si>
    <t>6130-1 - Laser printing Go Green Insert - 65</t>
  </si>
  <si>
    <t>6130-1 - laser printing - 37,626</t>
  </si>
  <si>
    <t>6130-1 - rendering - 7,263</t>
  </si>
  <si>
    <t>6130-1 - paper for laser printing - 31,256</t>
  </si>
  <si>
    <t>6130-4 - envelopes - 7,263 - 2 sided w/msg</t>
  </si>
  <si>
    <t>6130-1 - 1st insert - 7,426</t>
  </si>
  <si>
    <t>6130-1 - 2nd insert - 7,426</t>
  </si>
  <si>
    <t>6130-1 - 3rd insert - 7,426</t>
  </si>
  <si>
    <t>6130-9 - flats - 11</t>
  </si>
  <si>
    <t>6130-9 - 6x9s - 155</t>
  </si>
  <si>
    <t>6130-5 - Laser printing R&amp;R - 7,426</t>
  </si>
  <si>
    <t>6130-1 - Laser printing Go Green Insert - 7,426</t>
  </si>
  <si>
    <t>6130-14 - HS mailout postcards</t>
  </si>
  <si>
    <t>6130-18 - Survey cards - 2,500</t>
  </si>
  <si>
    <t>34755</t>
  </si>
  <si>
    <t>CD_000121292</t>
  </si>
  <si>
    <t>1008255</t>
  </si>
  <si>
    <t>10403063769</t>
  </si>
  <si>
    <t>6465832</t>
  </si>
  <si>
    <t>CD_000146706</t>
  </si>
  <si>
    <t>RingCentral Inc.</t>
  </si>
  <si>
    <t>6150-7 - New IP Phones</t>
  </si>
  <si>
    <t>6150-7 - credit</t>
  </si>
  <si>
    <t xml:space="preserve">6150-7 AmazonBasics DisplayPort - HDMI 10' Cable 5 Pack Model: 3P1O_5   ASIN: B07QHJ52X9	</t>
  </si>
  <si>
    <t xml:space="preserve">6150-7 Logitech MK270 Wireless Keyboard/Mouse Combo Model: 920-008813   ASIN: B079JLY5M5	</t>
  </si>
  <si>
    <t>6150-7 Kaysuda USB Speakerphone/Microphone/Speaker Model: SP200U   ASIN: B078MRMMQG</t>
  </si>
  <si>
    <t>6150-7 USB 2.0 A-Male to Micro B 10' Cable - 5 pack   ASIN: B072FHJVT2</t>
  </si>
  <si>
    <t>6150-2 Dell 24" Monitors - P2419H - 		  monitors for boardroom inquiry</t>
  </si>
  <si>
    <t xml:space="preserve">6150-3 Brother Desktop Scanner ADS-2200 ASIN B0757WLDSL	</t>
  </si>
  <si>
    <t>6150-3 Brother Desktop Scanner</t>
  </si>
  <si>
    <t>R7AAAA-JM</t>
  </si>
  <si>
    <t>00979E</t>
  </si>
  <si>
    <t>686107</t>
  </si>
  <si>
    <t>2020.06</t>
  </si>
  <si>
    <t>63282</t>
  </si>
  <si>
    <t>renewal.20.ADO</t>
  </si>
  <si>
    <t>X3KTNVS</t>
  </si>
  <si>
    <t>X3KGHVS</t>
  </si>
  <si>
    <t>X3QPFVS</t>
  </si>
  <si>
    <t>X3KPJVS</t>
  </si>
  <si>
    <t>06192020</t>
  </si>
  <si>
    <t>2020735564</t>
  </si>
  <si>
    <t>200015941</t>
  </si>
  <si>
    <t>5704273</t>
  </si>
  <si>
    <t>338129</t>
  </si>
  <si>
    <t>renewal.20.GG</t>
  </si>
  <si>
    <t>750</t>
  </si>
  <si>
    <t>renewal.20.ARL</t>
  </si>
  <si>
    <t>renewal.20.CRM</t>
  </si>
  <si>
    <t>renewal.20.DAS</t>
  </si>
  <si>
    <t>renewal.20.SVC</t>
  </si>
  <si>
    <t>2020 Market</t>
  </si>
  <si>
    <t>Appraisal Institute</t>
  </si>
  <si>
    <t>ERC</t>
  </si>
  <si>
    <t>City of Georgetown Parks and Recreation</t>
  </si>
  <si>
    <t>6210-8 - Airline flight to Denver - IAAO Conf - JMiller</t>
  </si>
  <si>
    <t>6210-2 - PS Celebration for 4.2 stars in Google Review</t>
  </si>
  <si>
    <t>6210-27 - state course - Ethics - AOng</t>
  </si>
  <si>
    <t>6210-10 - membership dues - AOng</t>
  </si>
  <si>
    <t>6210-11 - Online Course 102 - AOng</t>
  </si>
  <si>
    <t>6210-32 - License renewal - AOng</t>
  </si>
  <si>
    <t>6210-8 - IAAO conf - one night hold refund - ARL</t>
  </si>
  <si>
    <t>6210-8 - IAAO conf - one night hold refund - CBC</t>
  </si>
  <si>
    <t>6210-8 - IAAO conf - one night hold refund - JM</t>
  </si>
  <si>
    <t>6210-8 - IAAO conf - one night hold refund - BE</t>
  </si>
  <si>
    <t>6210-2 - survey renewal</t>
  </si>
  <si>
    <t>6210-32 - license renewal - JRobins</t>
  </si>
  <si>
    <t>6210-27 USPAP Refresher Online - GGarcia</t>
  </si>
  <si>
    <t>6210-27 - USPAP - ALankford</t>
  </si>
  <si>
    <t>6210-27 National USPAP - ALankford</t>
  </si>
  <si>
    <t>6210-32 - License renewal - GGarcia</t>
  </si>
  <si>
    <t>6210-3 reimburse district - retiree gift - PMetcalfe</t>
  </si>
  <si>
    <t>6210-8 - Airfare to Denver - ARL/Lorie</t>
  </si>
  <si>
    <t>6210-18 Planning Session Venue - City of Georgetown Community Center</t>
  </si>
  <si>
    <t>6210-32 - License renewal - ALankford</t>
  </si>
  <si>
    <t>6210-32 - License renewal - RMeyer</t>
  </si>
  <si>
    <t>6210-32 - License renewal - DSmith</t>
  </si>
  <si>
    <t>6210-32 - License renewal - SCrone</t>
  </si>
  <si>
    <t>N8342918</t>
  </si>
  <si>
    <t>27230423</t>
  </si>
  <si>
    <t>28AR243382</t>
  </si>
  <si>
    <t>27413457</t>
  </si>
  <si>
    <t>6215-3 Lease meter</t>
  </si>
  <si>
    <t>0104757060720</t>
  </si>
  <si>
    <t>0365937061020</t>
  </si>
  <si>
    <t>9856380574</t>
  </si>
  <si>
    <t>2787230258338x062720</t>
  </si>
  <si>
    <t>06192020.01</t>
  </si>
  <si>
    <t>I2020070101343</t>
  </si>
  <si>
    <t>INV1506274</t>
  </si>
  <si>
    <t>07112020</t>
  </si>
  <si>
    <t>CD_000133443</t>
  </si>
  <si>
    <t>7990076692006</t>
  </si>
  <si>
    <t>0365937071020</t>
  </si>
  <si>
    <t>9858425960</t>
  </si>
  <si>
    <t>I2020080101341</t>
  </si>
  <si>
    <t>0104757070720</t>
  </si>
  <si>
    <t>6220-6 - ringcentral implementation</t>
  </si>
  <si>
    <t>24893</t>
  </si>
  <si>
    <t>5123694</t>
  </si>
  <si>
    <t>SRVCE00285699</t>
  </si>
  <si>
    <t>28193</t>
  </si>
  <si>
    <t>28224</t>
  </si>
  <si>
    <t>48113</t>
  </si>
  <si>
    <t>34583</t>
  </si>
  <si>
    <t>25133</t>
  </si>
  <si>
    <t>SCPAY00127886</t>
  </si>
  <si>
    <t>SRVCE00287204</t>
  </si>
  <si>
    <t>6878809</t>
  </si>
  <si>
    <t>ServPro</t>
  </si>
  <si>
    <t>Painting with Purpose</t>
  </si>
  <si>
    <t>6225-15 S2-SUSP-EXP Renewal of S2 Contract</t>
  </si>
  <si>
    <t>6225-22 - Building repair &amp; maintenance</t>
  </si>
  <si>
    <t>6225-16 - water restoration</t>
  </si>
  <si>
    <t>6225-16 - handyman services</t>
  </si>
  <si>
    <t>6225-16 - Plumbing repair &amp; maintenance</t>
  </si>
  <si>
    <t>6225-6 - Janitorial services - July 2020</t>
  </si>
  <si>
    <t>6225-13 - grounds maintenance</t>
  </si>
  <si>
    <t>6120-20</t>
  </si>
  <si>
    <t>6120-21</t>
  </si>
  <si>
    <t>111634229-1</t>
  </si>
  <si>
    <t>399906</t>
  </si>
  <si>
    <t>77834</t>
  </si>
  <si>
    <t>The Appraisal Foundation</t>
  </si>
  <si>
    <t>6240-3 - publication</t>
  </si>
  <si>
    <t>6240-19 USPAP Manual</t>
  </si>
  <si>
    <t>002280-001</t>
  </si>
  <si>
    <t>8745832</t>
  </si>
  <si>
    <t>1751</t>
  </si>
  <si>
    <t>34691</t>
  </si>
  <si>
    <t>NP-17401</t>
  </si>
  <si>
    <t>93953</t>
  </si>
  <si>
    <t>34482646</t>
  </si>
  <si>
    <t>4075430</t>
  </si>
  <si>
    <t>NonprofitWebAdvisor.com</t>
  </si>
  <si>
    <t>6250-1 10 Pack CAT6 25' Network Patch Cables Model: 25CAT6E-BLACK-10PACK   ASIN: B003F1SA9O</t>
  </si>
  <si>
    <t>6250-1 Street SignPro A-Frame ASIN: B07D19J773</t>
  </si>
  <si>
    <t xml:space="preserve">6250-1 2-slot non polarized powercord for TV Model: 27398   ASIN: B0002J26K6	</t>
  </si>
  <si>
    <t>6250-1 TaoTronics Projector 100" Screen 16:9 Includes bag and stand Model: TT-HP021   ASIN: B078...</t>
  </si>
  <si>
    <t>6250-1 Kaysuda USB Omnidirectional Microphone Portable Conference Speakerphone Model: SP200U   A...</t>
  </si>
  <si>
    <t>6250-1 - Laser Printing Health Safety Insert - 65</t>
  </si>
  <si>
    <t>6250-1 - Laser Printing Health Safety Insert - 7,426</t>
  </si>
  <si>
    <t>6250-1 - COVID-19 - masks</t>
  </si>
  <si>
    <t>6250-1 COVID-19 - filters for masks</t>
  </si>
  <si>
    <t>6250-1 - day porter - on-site daily cleaning</t>
  </si>
  <si>
    <t>6250-1 COVID-19 Webinar</t>
  </si>
  <si>
    <t>6250-1 Nest Indoor Camera</t>
  </si>
  <si>
    <t>6250-1 Rocketfish 2 Output HDMI Splitter	 Model: RF-G163   SKU: 5986903</t>
  </si>
  <si>
    <t>6250-1 Laptop Combination Lock Security Cable Model: SNT-NBLC-BK   ASIN: B008A4F8UA</t>
  </si>
  <si>
    <t>6250-1 USB 2.0 to0 Micro USB Extension Cable 5' with Click Button Power On Off Model: HSUSB2CABS...</t>
  </si>
  <si>
    <t>678922160</t>
  </si>
  <si>
    <t>678920998</t>
  </si>
  <si>
    <t>US423120</t>
  </si>
  <si>
    <t>8815</t>
  </si>
  <si>
    <t>1186</t>
  </si>
  <si>
    <t>6991</t>
  </si>
  <si>
    <t>28636</t>
  </si>
  <si>
    <t>TX02-20-0201-000</t>
  </si>
  <si>
    <t>TX02-20-0201-001</t>
  </si>
  <si>
    <t>0520</t>
  </si>
  <si>
    <t>1009</t>
  </si>
  <si>
    <t>287615</t>
  </si>
  <si>
    <t>Cordry Appraisal Services, Inc.</t>
  </si>
  <si>
    <t>QLESS Inc</t>
  </si>
  <si>
    <t>6260-11 - Appraisal Report - Georgetown Data Center property</t>
  </si>
  <si>
    <t>6260-9 - background check - TVan</t>
  </si>
  <si>
    <t>6260-9 - Background check - TVan</t>
  </si>
  <si>
    <t>6260-6 - Change finder</t>
  </si>
  <si>
    <t>6260-6 - change finder project fee</t>
  </si>
  <si>
    <t>6260-7 - Initial kick off - training</t>
  </si>
  <si>
    <t>6260-7 - interactive queuing (12*600)</t>
  </si>
  <si>
    <t>6260-7 - real time analytics tool (12*50)</t>
  </si>
  <si>
    <t>6260-7 - send short survey via text (12*50)</t>
  </si>
  <si>
    <t>6260-10 - professional services - May Expenses</t>
  </si>
  <si>
    <t>6260-10 - Expert - 2018 &amp; 2019 Equity Rpts - Kenney Fort Holdings LLC (18-0924-C26)</t>
  </si>
  <si>
    <t>6260-9 - Employment screening - TVan</t>
  </si>
  <si>
    <t>IITSM103338</t>
  </si>
  <si>
    <t>28AR237195</t>
  </si>
  <si>
    <t>06302020</t>
  </si>
  <si>
    <t>93857851</t>
  </si>
  <si>
    <t>28AR246966</t>
  </si>
  <si>
    <t>MN00000393</t>
  </si>
  <si>
    <t>Solarwinds ITSM US Inc</t>
  </si>
  <si>
    <t>ESRI, Inc.</t>
  </si>
  <si>
    <t>6280-14 - ArcGIS Desktop advanced Concurrent Use Primary Maintenance</t>
  </si>
  <si>
    <t>6280-15 - ArcGIS Desktop Advanced Concurrent Use Secondary Maintenance</t>
  </si>
  <si>
    <t>6280-16 - ArcGIS Desktop Standard Concurrent Use Primary Maintenance</t>
  </si>
  <si>
    <t>6280-17 - ArcGIS Desktop Standard Concurrent Use Secondary Maintenance</t>
  </si>
  <si>
    <t>6280-21 - ArcGIS Spatial Analyst for Desktop Concurrent Use Primary Maintenance</t>
  </si>
  <si>
    <t>6280-22 - ArcGIS 3D Analyst for Desktop Concurrent Use Primary Maintenance</t>
  </si>
  <si>
    <t>6280-23 - ArcGIS Geostatistical Analyst for Desktop Concurrent Use Primary Maintenance</t>
  </si>
  <si>
    <t>6280-18 - ArcGIS Desktop Basic Single Use Primary Maintenance</t>
  </si>
  <si>
    <t>6280-19 - ArcGIS Desktop Basic Single Use Secondary Maintenance</t>
  </si>
  <si>
    <t>6280-26 - ArcGIS Online Creator - Term License (pre 4.4 pricing)</t>
  </si>
  <si>
    <t>6280-24 - Insights for ArcGIS in ArcGIS Online Term License</t>
  </si>
  <si>
    <t>6280-20 - ArcGIS Enterprise Standard Up to Four Cores Maintenance</t>
  </si>
  <si>
    <t>6280-34 - Premium Software Support Program - 01/13/2020 - 01/12/2021</t>
  </si>
  <si>
    <t>E0200B38XJ</t>
  </si>
  <si>
    <t>1707739435</t>
  </si>
  <si>
    <t>JMK8U9XG</t>
  </si>
  <si>
    <t>008-019</t>
  </si>
  <si>
    <t>14247</t>
  </si>
  <si>
    <t>GKZJ1K</t>
  </si>
  <si>
    <t>74323</t>
  </si>
  <si>
    <t>microsoft.com</t>
  </si>
  <si>
    <t>ClickBank*COM</t>
  </si>
  <si>
    <t>RSI Resource Software International Ltd</t>
  </si>
  <si>
    <t>6285-10 Domain Subscription</t>
  </si>
  <si>
    <t>6285-3 - renewal - standard SSL</t>
  </si>
  <si>
    <t>6285-8 Speechelo - Text to Speech</t>
  </si>
  <si>
    <t>6285-5 - Deed Viewer subscription - June 2020</t>
  </si>
  <si>
    <t>6285-8  - ArcGIS Data Reviewer for Desktop Concurrent Use Primary Maintenance</t>
  </si>
  <si>
    <t>6285-8 - ArcGIS Community Analyst Web App Online Term License</t>
  </si>
  <si>
    <t>6285-8 Phone stats software</t>
  </si>
  <si>
    <t>6320-1 - office supplies</t>
  </si>
  <si>
    <t>6330-2 - NOH postage</t>
  </si>
  <si>
    <t>223797</t>
  </si>
  <si>
    <t>Taylor Press</t>
  </si>
  <si>
    <t>6240-10 - display ad - protest &amp; appeal procedures</t>
  </si>
  <si>
    <t>R88713</t>
  </si>
  <si>
    <t>106846142001</t>
  </si>
  <si>
    <t>194170</t>
  </si>
  <si>
    <t>Tiger Supplies</t>
  </si>
  <si>
    <t xml:space="preserve">6110-8 Sokkia 845174 Fiberglass 100' Appraiser's Tapes with Hook ft/in			</t>
  </si>
  <si>
    <t>6110-8 Sokkia 845184 100' Refill with Hook ft/in/8ths</t>
  </si>
  <si>
    <t>6110-8 shipping</t>
  </si>
  <si>
    <t>29530</t>
  </si>
  <si>
    <t>29531</t>
  </si>
  <si>
    <t>29553</t>
  </si>
  <si>
    <t>0012151</t>
  </si>
  <si>
    <t>0012167</t>
  </si>
  <si>
    <t>6120-21 Shipping TNT Postcard Samples</t>
  </si>
  <si>
    <t>6120-21 - postage for TNT mailout</t>
  </si>
  <si>
    <t>26774</t>
  </si>
  <si>
    <t>6130-1 - laser printing - 78</t>
  </si>
  <si>
    <t>6130-1 - rendering - 15</t>
  </si>
  <si>
    <t>6130-1 - paper for laser printing - 76</t>
  </si>
  <si>
    <t>6130-4 - envelopes - 15 - 2 sided w/msg</t>
  </si>
  <si>
    <t>6130-1 - 1st insert - 15</t>
  </si>
  <si>
    <t>6130-1 - 2nd insert - 15</t>
  </si>
  <si>
    <t>6130-1 - 3rd insert 15</t>
  </si>
  <si>
    <t>6130-9 - flats</t>
  </si>
  <si>
    <t>6130-9 - 6x9s</t>
  </si>
  <si>
    <t>6130-5 - Laser printing R&amp;R - 15</t>
  </si>
  <si>
    <t>6130-1 - Laser printing Go Green Insert - 15</t>
  </si>
  <si>
    <t>6130-1 - Pre-Sort</t>
  </si>
  <si>
    <t>6130-1 - laser printing - 11,914</t>
  </si>
  <si>
    <t>6130-1 - rendering - 650</t>
  </si>
  <si>
    <t>6130-1 - paper for laser printing - 4,896</t>
  </si>
  <si>
    <t>6130-4 - envelopes - 650 - 2 sided w/msg</t>
  </si>
  <si>
    <t>6130-1 - 1st insert - 862</t>
  </si>
  <si>
    <t>6130-1 - 2nd insert - 862</t>
  </si>
  <si>
    <t>6130-1 - 3rd insert - 862</t>
  </si>
  <si>
    <t>6130-9 - flats - 15</t>
  </si>
  <si>
    <t>6130-9 - 6x9s - 197</t>
  </si>
  <si>
    <t>6130-5 - Laser printing R&amp;R - 862</t>
  </si>
  <si>
    <t>6130-1 - Laser printing Go Green Insert - 862</t>
  </si>
  <si>
    <t>6130-9 Manual Insertion 9x12</t>
  </si>
  <si>
    <t>34854</t>
  </si>
  <si>
    <t>34857</t>
  </si>
  <si>
    <t>35146</t>
  </si>
  <si>
    <t>35150</t>
  </si>
  <si>
    <t>35151</t>
  </si>
  <si>
    <t>4626360</t>
  </si>
  <si>
    <t xml:space="preserve">6150-6 Microsoft Surface Laptop 3 15" 			</t>
  </si>
  <si>
    <t xml:space="preserve">6150-6 Microsoft Surface Dock 2	</t>
  </si>
  <si>
    <t xml:space="preserve">6150-6 Accidental Damage for 3 years	</t>
  </si>
  <si>
    <t>6150-6 shipping</t>
  </si>
  <si>
    <t>42116338108</t>
  </si>
  <si>
    <t>42117208339</t>
  </si>
  <si>
    <t>42119730029</t>
  </si>
  <si>
    <t>07172020</t>
  </si>
  <si>
    <t>CNDU6W4UWN</t>
  </si>
  <si>
    <t>95899768</t>
  </si>
  <si>
    <t>160279</t>
  </si>
  <si>
    <t>iSolved</t>
  </si>
  <si>
    <t>Alzheimer's Foundation of America (AFA)</t>
  </si>
  <si>
    <t>Jason's Deli</t>
  </si>
  <si>
    <t>6210-19 iSolved Virtual Conference 2020 - KGamboa</t>
  </si>
  <si>
    <t>6210-3 Retirement Gift - PMetcalfe</t>
  </si>
  <si>
    <t>6210-19 iSolved Virtual Conference 2020 - ASauls</t>
  </si>
  <si>
    <t>6210-11 AssessR Seminar - CAV</t>
  </si>
  <si>
    <t>6210-3 Employee Recognition Gift Cards</t>
  </si>
  <si>
    <t>6210-18 Working Lunch w/ HR Attorney - ARL, KRG, BLynn</t>
  </si>
  <si>
    <t>N8416209</t>
  </si>
  <si>
    <t>2787230258338x072720</t>
  </si>
  <si>
    <t>08102020</t>
  </si>
  <si>
    <t>25154</t>
  </si>
  <si>
    <t>48576</t>
  </si>
  <si>
    <t>34987</t>
  </si>
  <si>
    <t>SCPAY00128525</t>
  </si>
  <si>
    <t>25356</t>
  </si>
  <si>
    <t>13514</t>
  </si>
  <si>
    <t>7063</t>
  </si>
  <si>
    <t>1191</t>
  </si>
  <si>
    <t>54134072720</t>
  </si>
  <si>
    <t>12314</t>
  </si>
  <si>
    <t>CPI Data Services</t>
  </si>
  <si>
    <t>6260-10 - professional services - June Expenses</t>
  </si>
  <si>
    <t>6260-17 Survey Data Capture</t>
  </si>
  <si>
    <t>07312020</t>
  </si>
  <si>
    <t>1717504913</t>
  </si>
  <si>
    <t>1719552263</t>
  </si>
  <si>
    <t>144418</t>
  </si>
  <si>
    <t>008-020</t>
  </si>
  <si>
    <t>6310-4 - ARB Meetings</t>
  </si>
  <si>
    <t>6310-2 ARB Meetings</t>
  </si>
  <si>
    <t>6310-5 ARB Meetings</t>
  </si>
  <si>
    <t>6310-3 ARB Meetings</t>
  </si>
  <si>
    <t>6310-4 ARB Meetings</t>
  </si>
  <si>
    <t>R03527</t>
  </si>
  <si>
    <t>5497801</t>
  </si>
  <si>
    <t>1989056</t>
  </si>
  <si>
    <t>0299423</t>
  </si>
  <si>
    <t>1317855</t>
  </si>
  <si>
    <t>1317855.1</t>
  </si>
  <si>
    <t>113048699001</t>
  </si>
  <si>
    <t>113138306001</t>
  </si>
  <si>
    <t>84329</t>
  </si>
  <si>
    <t>7438</t>
  </si>
  <si>
    <t>1D1Q-1D99-H93Y</t>
  </si>
  <si>
    <t>84476</t>
  </si>
  <si>
    <t>120240258001</t>
  </si>
  <si>
    <t>120235448001</t>
  </si>
  <si>
    <t>09.2020</t>
  </si>
  <si>
    <t>6110-9 - office supplies</t>
  </si>
  <si>
    <t>6110-9 - office supplies returned</t>
  </si>
  <si>
    <t>6110-9 - Name Plate - JRadke</t>
  </si>
  <si>
    <t>6110-9 10 (individual signs) 21X10” white magnetic signs w/ black, red and blue vinyl film lette...</t>
  </si>
  <si>
    <t>6110-9 Push Cart Dolly Part: WM30380   ASIN: B076ZZ2LGX</t>
  </si>
  <si>
    <t>6110-9 - Business cards - JRadke</t>
  </si>
  <si>
    <t>6110-10 - Meter Ink</t>
  </si>
  <si>
    <t>110612777</t>
  </si>
  <si>
    <t>29740</t>
  </si>
  <si>
    <t>29741</t>
  </si>
  <si>
    <t>0012222</t>
  </si>
  <si>
    <t>7-099-31576</t>
  </si>
  <si>
    <t>30048</t>
  </si>
  <si>
    <t>30049</t>
  </si>
  <si>
    <t>6120-11 - shipping cost</t>
  </si>
  <si>
    <t>6120-1 - postage 104</t>
  </si>
  <si>
    <t>6130-1 - presort - 69</t>
  </si>
  <si>
    <t>6120-1 - postage 94</t>
  </si>
  <si>
    <t>6130-1 - presort - 94</t>
  </si>
  <si>
    <t>6120-1 - postage - 2</t>
  </si>
  <si>
    <t>6120-1 - postage - 22</t>
  </si>
  <si>
    <t>26835</t>
  </si>
  <si>
    <t>7410</t>
  </si>
  <si>
    <t>42607</t>
  </si>
  <si>
    <t>6130-1 - laser printing - 1,734</t>
  </si>
  <si>
    <t>6130-1 - rendering - 69</t>
  </si>
  <si>
    <t>6130-1 - paper for laser printing - 676</t>
  </si>
  <si>
    <t>6130-4 - envelopes - 106 - 2 sided w/msg</t>
  </si>
  <si>
    <t>6130-1 - 1st insert - 106</t>
  </si>
  <si>
    <t>6130-1 - 2nd insert - 106</t>
  </si>
  <si>
    <t>6130-1 - 3rd insert - 106</t>
  </si>
  <si>
    <t>6130-9 - flats - 2</t>
  </si>
  <si>
    <t>6130-9 - 6x9s - 35</t>
  </si>
  <si>
    <t>6130-5 - Laser printing R&amp;R - 106</t>
  </si>
  <si>
    <t>6130-1 - Laser printing Go Green Insert - 106</t>
  </si>
  <si>
    <t>6130-1 - laser printing - 378</t>
  </si>
  <si>
    <t>6130-1 - rendering - 94</t>
  </si>
  <si>
    <t>6130-1 - paper for laser printing - 376</t>
  </si>
  <si>
    <t>6130-4 - envelopes - 94 - 2 sided w/msg</t>
  </si>
  <si>
    <t>6130-1 - 1st insert - 94</t>
  </si>
  <si>
    <t>6130-1 - 2nd insert - 94</t>
  </si>
  <si>
    <t>6130-1 - 3rd insert - 94</t>
  </si>
  <si>
    <t>6130-5 - Laser printing R&amp;R - 94</t>
  </si>
  <si>
    <t>6130-1 - Laser printing Go Green Insert - 94</t>
  </si>
  <si>
    <t>6130-1 - laser printing - 10</t>
  </si>
  <si>
    <t>6130-1 - rendering - 2</t>
  </si>
  <si>
    <t>6130-1 - paper for laser printing - 8</t>
  </si>
  <si>
    <t>6130-4 - envelopes - 2 - 2 sided w/msg</t>
  </si>
  <si>
    <t>6130-1 - 1st insert - 2</t>
  </si>
  <si>
    <t>6130-1 - 2nd insert - 2</t>
  </si>
  <si>
    <t>6130-1 - 3rd insert - 2</t>
  </si>
  <si>
    <t>6130-5 - Laser printing R&amp;R - 2</t>
  </si>
  <si>
    <t>6130-1 - Laser printing Go Green Insert - 2</t>
  </si>
  <si>
    <t>6130-1 - Laser Printing Health Safety Insert - 2</t>
  </si>
  <si>
    <t>6130-1 - Presort - 2</t>
  </si>
  <si>
    <t>6130-1 - laser printing - 438</t>
  </si>
  <si>
    <t>6130-1 - rendering - 14</t>
  </si>
  <si>
    <t>6130-1 - paper for laser printing - 68</t>
  </si>
  <si>
    <t>6130-4 - envelopes - 23 - 2 sided w/msg</t>
  </si>
  <si>
    <t>6130-1 - 1st insert - 23</t>
  </si>
  <si>
    <t>6130-1 - 2nd insert - 23</t>
  </si>
  <si>
    <t>6130-1 - 3rd insert - 23</t>
  </si>
  <si>
    <t>6130-5 - Laser printing R&amp;R - 23</t>
  </si>
  <si>
    <t>6130-1 - Laser printing Go Green Insert - 23</t>
  </si>
  <si>
    <t>6130-1 - Laser Printing Health Safety Insert - 23</t>
  </si>
  <si>
    <t>6130-1 - Presort - 14</t>
  </si>
  <si>
    <t>6130-9 - 6x9's - 8</t>
  </si>
  <si>
    <t>6130-19 - signs for entrance doors - COVID symptoms</t>
  </si>
  <si>
    <t>30891</t>
  </si>
  <si>
    <t>6165856</t>
  </si>
  <si>
    <t>7365848</t>
  </si>
  <si>
    <t>17JK-V6PM-VRDM</t>
  </si>
  <si>
    <t>17276T5</t>
  </si>
  <si>
    <t>TOPS</t>
  </si>
  <si>
    <t>6150-7 - 23 1/2" x 58" pass through slot</t>
  </si>
  <si>
    <t>6150-7 Partition Hanger Set Model: 21460   ASIN: B002OU8420</t>
  </si>
  <si>
    <t>6150-7 ModTek Cubicle Wall Hook - 8 Pack Part: M1284-FBA   ASIN: B01N9RP57S</t>
  </si>
  <si>
    <t>6150-8 Polycom VVX250 IP phone</t>
  </si>
  <si>
    <t>6150-8 Ubiquity UniFi UAP-AC-PRO Model: UAP-AC-PRO   ASIN: B016XYQ3WK</t>
  </si>
  <si>
    <t>6150-7 USB Headset with Mic and 3.5 jack ASIN B07W6PZP3N</t>
  </si>
  <si>
    <t>6150-7 Logitech K400 B014EUQ0GK</t>
  </si>
  <si>
    <t>6150-6 Vava USB C Hub 9 in 1 Part: VA-UC006   ASIN: B079GSMZ7G</t>
  </si>
  <si>
    <t>6150-10 Office Furniture</t>
  </si>
  <si>
    <t>7237824</t>
  </si>
  <si>
    <t>6062614</t>
  </si>
  <si>
    <t>9461031</t>
  </si>
  <si>
    <t>08062020A</t>
  </si>
  <si>
    <t>64919</t>
  </si>
  <si>
    <t>11</t>
  </si>
  <si>
    <t>renewal.20.CBC</t>
  </si>
  <si>
    <t>renewal.20.RWH</t>
  </si>
  <si>
    <t>renewal.20.DLL</t>
  </si>
  <si>
    <t>renewal.20.CAL</t>
  </si>
  <si>
    <t>09082020</t>
  </si>
  <si>
    <t>349</t>
  </si>
  <si>
    <t>renewal.20.LAW</t>
  </si>
  <si>
    <t>263335</t>
  </si>
  <si>
    <t>09142020-CAL</t>
  </si>
  <si>
    <t>replacement.20.LES</t>
  </si>
  <si>
    <t>09092020</t>
  </si>
  <si>
    <t>renewal.20.ARM</t>
  </si>
  <si>
    <t>10241</t>
  </si>
  <si>
    <t>Conclaro</t>
  </si>
  <si>
    <t>Recuerdos Tex Mex</t>
  </si>
  <si>
    <t>Amanda 1 Rompala</t>
  </si>
  <si>
    <t>Alvin Lankford</t>
  </si>
  <si>
    <t>TAAD-IAAO Chapter</t>
  </si>
  <si>
    <t>6210-3 - DStimson retirement gift</t>
  </si>
  <si>
    <t>minor equipment</t>
  </si>
  <si>
    <t>Minor equipment</t>
  </si>
  <si>
    <t>6210-7 - team building - mgmt team</t>
  </si>
  <si>
    <t>6210-11 - webinar - class - AStenulson</t>
  </si>
  <si>
    <t>6210-18 - Leadership lunch - ARL, CBC, CVasquez &amp; JMiller</t>
  </si>
  <si>
    <t>6210-32 - License renewal - CConnelly</t>
  </si>
  <si>
    <t>6210-32 - License renewal - BHarris</t>
  </si>
  <si>
    <t>6210-32 - License renewal - DLabenski</t>
  </si>
  <si>
    <t>6210-19 - ARB Training - DArrieta, CBounds, HHayden, LHernandez, CLindquist</t>
  </si>
  <si>
    <t>6210-32 - License renewal - CLindquist</t>
  </si>
  <si>
    <t>6210-19 - reimbursement - continuing education</t>
  </si>
  <si>
    <t>6210-33 - Level III &amp; IV review - DLabenski</t>
  </si>
  <si>
    <t>6210-27 - Course 3 - BHarris</t>
  </si>
  <si>
    <t>6210-27 - State Course - reimbursement meals</t>
  </si>
  <si>
    <t>6210-27 - Course 30 - Hiran Marin</t>
  </si>
  <si>
    <t>6210-32 - License renewal - LWright</t>
  </si>
  <si>
    <t>6210-27 - Course 3 - CLindquist</t>
  </si>
  <si>
    <t>6210-32 - License replacement - LSimmons</t>
  </si>
  <si>
    <t>6210-17 Chris Connelly</t>
  </si>
  <si>
    <t>6210-17 James Griner</t>
  </si>
  <si>
    <t>6210-17 Stephanie Heatley-Duggger</t>
  </si>
  <si>
    <t>6210-17 Alvin Lankford</t>
  </si>
  <si>
    <t>6210-17 KC McDade</t>
  </si>
  <si>
    <t>6210-17 Jessica Miller</t>
  </si>
  <si>
    <t>6210-17 Aaron Moore</t>
  </si>
  <si>
    <t>6210-17 Richard Quinlan</t>
  </si>
  <si>
    <t>6210-17 Aaron Stenulson</t>
  </si>
  <si>
    <t>6210-17 Amy Urbanek</t>
  </si>
  <si>
    <t>6210-17 Victor Longstreth</t>
  </si>
  <si>
    <t>6210-17 Amanda Bayler</t>
  </si>
  <si>
    <t>6210-17 John Robins</t>
  </si>
  <si>
    <t>6210-17 Charles Vasquez</t>
  </si>
  <si>
    <t>6210-17 An Ong</t>
  </si>
  <si>
    <t>6210-27 Course 101 JRadki</t>
  </si>
  <si>
    <t>6210-27 Course 101 HMarin</t>
  </si>
  <si>
    <t>6210-27 Course 102 JRadki</t>
  </si>
  <si>
    <t>6210-27 Course 102 HMarin</t>
  </si>
  <si>
    <t>6210-26 Wildlife BBrown</t>
  </si>
  <si>
    <t>6210-26 Valuation of Metal Bldgs BBrowm</t>
  </si>
  <si>
    <t>6210-26 Valuation of Metal Bldgs CPark</t>
  </si>
  <si>
    <t>6210-26 Mass Appraisal Analysis CPark</t>
  </si>
  <si>
    <t>6210-26 Mass Appraisal Analysis BMorrison</t>
  </si>
  <si>
    <t>6210-27 USPAP Refresher CPark</t>
  </si>
  <si>
    <t>6210-26 Development of Cap Rates BMorrison</t>
  </si>
  <si>
    <t>6210-33 - Level III &amp; IV review - LSimmons</t>
  </si>
  <si>
    <t>6210-27 Course 4 CLindquist</t>
  </si>
  <si>
    <t>6210-32 - License renewal - AMetcalfe</t>
  </si>
  <si>
    <t>6210-8 - conference reimbursement - COVID-19</t>
  </si>
  <si>
    <t>6210-18 Refund deposit from planning session</t>
  </si>
  <si>
    <t>6210-18 Reimburse for airflights</t>
  </si>
  <si>
    <t>28AR252486</t>
  </si>
  <si>
    <t>27608320</t>
  </si>
  <si>
    <t>28AR261206</t>
  </si>
  <si>
    <t>6215-1 - overage</t>
  </si>
  <si>
    <t>07192020</t>
  </si>
  <si>
    <t>07192020.01</t>
  </si>
  <si>
    <t>7990076692007</t>
  </si>
  <si>
    <t>0104757080720</t>
  </si>
  <si>
    <t>0365937081020</t>
  </si>
  <si>
    <t>CD_000156501</t>
  </si>
  <si>
    <t>08192020</t>
  </si>
  <si>
    <t>2787230258338x082720</t>
  </si>
  <si>
    <t>I2020090101335</t>
  </si>
  <si>
    <t>09102020</t>
  </si>
  <si>
    <t>08192020.01</t>
  </si>
  <si>
    <t>7990076692008</t>
  </si>
  <si>
    <t>0104757090720</t>
  </si>
  <si>
    <t>210091</t>
  </si>
  <si>
    <t>The MoboMix</t>
  </si>
  <si>
    <t>6220-3 - LDC - January 2020</t>
  </si>
  <si>
    <t>6220-3 - LDC - February 2020</t>
  </si>
  <si>
    <t>6220-3 - LDC - March 2020</t>
  </si>
  <si>
    <t>6220-3 - LDC - April 2020</t>
  </si>
  <si>
    <t>6220-3 - LDC - May 2020</t>
  </si>
  <si>
    <t>6220-3 - LDC - June 2020</t>
  </si>
  <si>
    <t>6220-3 - LDC - July 2020</t>
  </si>
  <si>
    <t>6220-3 - LDC - August 2020</t>
  </si>
  <si>
    <t>6220-7 - Text blast</t>
  </si>
  <si>
    <t>17659342</t>
  </si>
  <si>
    <t>SRVCE00290369</t>
  </si>
  <si>
    <t>1873944</t>
  </si>
  <si>
    <t>48920</t>
  </si>
  <si>
    <t>28433</t>
  </si>
  <si>
    <t>35374</t>
  </si>
  <si>
    <t>192406</t>
  </si>
  <si>
    <t>6881195</t>
  </si>
  <si>
    <t>SRVCE00290857</t>
  </si>
  <si>
    <t>6881586</t>
  </si>
  <si>
    <t>Kings III Emergency Communications</t>
  </si>
  <si>
    <t>All Dandy Vending Repair</t>
  </si>
  <si>
    <t>6225-9 Elevator inspection - 1/2 pymt</t>
  </si>
  <si>
    <t>6225-22 - installed cell dialer</t>
  </si>
  <si>
    <t>6225-17 Elevator Phone</t>
  </si>
  <si>
    <t>6225-24 - dye packets</t>
  </si>
  <si>
    <t>6225-6 - Janitorial services</t>
  </si>
  <si>
    <t>6225-16 Vending Machine Repair</t>
  </si>
  <si>
    <t>111996815-1</t>
  </si>
  <si>
    <t>401064</t>
  </si>
  <si>
    <t>112401625-1</t>
  </si>
  <si>
    <t>402241</t>
  </si>
  <si>
    <t>6240-10 - Budget Hearing Ad</t>
  </si>
  <si>
    <t>35159</t>
  </si>
  <si>
    <t>065760</t>
  </si>
  <si>
    <t>6210-19 - reimbursement planning session</t>
  </si>
  <si>
    <t>679040801</t>
  </si>
  <si>
    <t>679040607</t>
  </si>
  <si>
    <t>679065021</t>
  </si>
  <si>
    <t>0538</t>
  </si>
  <si>
    <t>15828</t>
  </si>
  <si>
    <t>01021G</t>
  </si>
  <si>
    <t>287734</t>
  </si>
  <si>
    <t>7148</t>
  </si>
  <si>
    <t>1196</t>
  </si>
  <si>
    <t>12386</t>
  </si>
  <si>
    <t>29347</t>
  </si>
  <si>
    <t>3444</t>
  </si>
  <si>
    <t>McCreary, Veselka, Bragg &amp; Allen, PC</t>
  </si>
  <si>
    <t>K E Davidson PC</t>
  </si>
  <si>
    <t>6260-9 - Background check - JRadke</t>
  </si>
  <si>
    <t>6260-10 - legal fees</t>
  </si>
  <si>
    <t>6260-10 - Mediation - Speedy Stop Food Services</t>
  </si>
  <si>
    <t>6260-9 - Employment screening - JRadke</t>
  </si>
  <si>
    <t>6260-10 - professional services - July Expenses</t>
  </si>
  <si>
    <t>6260-10 - Inland Western Georgetown (19-1457-C425)</t>
  </si>
  <si>
    <t>28AR254722</t>
  </si>
  <si>
    <t>MN00001120</t>
  </si>
  <si>
    <t>6280-33 - Map Editor - Parcel building software - 2 @ 389.55</t>
  </si>
  <si>
    <t>6280-33 - Map Editor - Parcel building software - 3 @ 649.95</t>
  </si>
  <si>
    <t>INV33803075</t>
  </si>
  <si>
    <t>234510489</t>
  </si>
  <si>
    <t>68650</t>
  </si>
  <si>
    <t>008-021</t>
  </si>
  <si>
    <t>14671</t>
  </si>
  <si>
    <t>ashampoo</t>
  </si>
  <si>
    <t>6285-5 - Deed Viewer subscription - July 2020</t>
  </si>
  <si>
    <t xml:space="preserve">6285-8 Franzis CutOut 7			</t>
  </si>
  <si>
    <t>Computer licenses</t>
  </si>
  <si>
    <t>6285-8 Windows 10 Pro license for Dan Fasteen virtual pc</t>
  </si>
  <si>
    <t>6285-5 - Deed Viewer subscription - Aug 2020</t>
  </si>
  <si>
    <t>8.2020</t>
  </si>
  <si>
    <t>6310-6 Chair Pay</t>
  </si>
  <si>
    <t>145361</t>
  </si>
  <si>
    <t>JG Media / Community Impact Newspaper</t>
  </si>
  <si>
    <t>6330-7 ARB Job Ad</t>
  </si>
  <si>
    <t>6330-4 Postage - ARB Certified Letters</t>
  </si>
  <si>
    <t>4825</t>
  </si>
  <si>
    <t>6350-1 - ARB legal services</t>
  </si>
  <si>
    <t>R18444</t>
  </si>
  <si>
    <t>6130-21 - shipping &amp; freight chrgs</t>
  </si>
  <si>
    <t>6130-21 - color postcards - 196,138</t>
  </si>
  <si>
    <t>019479</t>
  </si>
  <si>
    <t>122204724001</t>
  </si>
  <si>
    <t>5961067</t>
  </si>
  <si>
    <t>84854</t>
  </si>
  <si>
    <t>5131457</t>
  </si>
  <si>
    <t>84937</t>
  </si>
  <si>
    <t>9639463</t>
  </si>
  <si>
    <t>1GD7-9TLD-DY7G</t>
  </si>
  <si>
    <t>85066</t>
  </si>
  <si>
    <t>85065</t>
  </si>
  <si>
    <t>85160</t>
  </si>
  <si>
    <t>85178</t>
  </si>
  <si>
    <t>Hobby Lobby</t>
  </si>
  <si>
    <t>6110-6 - copier paper</t>
  </si>
  <si>
    <t>6110-9 - Business cards - ABayler</t>
  </si>
  <si>
    <t>6110-9 - Business cards - HMarin</t>
  </si>
  <si>
    <t>Minor equipment &amp; office supplies</t>
  </si>
  <si>
    <t xml:space="preserve">6110-9 3M Command Picture Hanging Strips 14 Pairs Model: PH206-14NA   ASIN: B073XR4X72			  </t>
  </si>
  <si>
    <t>6110-9 - Business cards - BBrown</t>
  </si>
  <si>
    <t>6110-9 - Business cards - DArrieta</t>
  </si>
  <si>
    <t>6110-9 - Business cards - LPerez</t>
  </si>
  <si>
    <t>6110-9 - Business cards - JRobins</t>
  </si>
  <si>
    <t>201238038</t>
  </si>
  <si>
    <t>201238069</t>
  </si>
  <si>
    <t>280055335</t>
  </si>
  <si>
    <t>0012358</t>
  </si>
  <si>
    <t>10072020</t>
  </si>
  <si>
    <t>United States Postal Service</t>
  </si>
  <si>
    <t>6120-11 - shipping chrgs</t>
  </si>
  <si>
    <t>6120-11 - shipping</t>
  </si>
  <si>
    <t>6120-12 - Refund of cancelled Permit 9</t>
  </si>
  <si>
    <t>26965</t>
  </si>
  <si>
    <t>6130-1 - Laser Printing Health Safety Insert - 15</t>
  </si>
  <si>
    <t>6130-1 - Laser Printing Health Safety Insert - 862</t>
  </si>
  <si>
    <t>6130-1 - Laser Printing Health Safety Insert - 106</t>
  </si>
  <si>
    <t>6130-1 - Laser Printing Health Safety Insert - 94</t>
  </si>
  <si>
    <t>WG14727924</t>
  </si>
  <si>
    <t>WG16703964</t>
  </si>
  <si>
    <t>4713671</t>
  </si>
  <si>
    <t>1GKX_WWP1-KDQV</t>
  </si>
  <si>
    <t>16KW-X3TF-HNJQ</t>
  </si>
  <si>
    <t>10426338540</t>
  </si>
  <si>
    <t>2020-16</t>
  </si>
  <si>
    <t>1WL4-G9G3-DDM4</t>
  </si>
  <si>
    <t>Gamco Designs</t>
  </si>
  <si>
    <t xml:space="preserve">6150-4 Ceiling Height Measuring Tool		</t>
  </si>
  <si>
    <t xml:space="preserve">6150-4 Ceiling Height Measuring Tool			</t>
  </si>
  <si>
    <t>6150-5 Surface X 128gb ssd 8gb memory BB21404613</t>
  </si>
  <si>
    <t xml:space="preserve">6150-5 Surface X pen/keyboard combo			</t>
  </si>
  <si>
    <t xml:space="preserve">6150-5 Surface X case  BB21463649		</t>
  </si>
  <si>
    <t>6150-5 shipping</t>
  </si>
  <si>
    <t>6150-4 Surface Pro Car Charger Model: CC36W  ASIN: B06Y57HD7Z</t>
  </si>
  <si>
    <t xml:space="preserve">6150-3 Brother ADS-2200 Desktop Scanner			  Model: ADS2200   ASIN: B0757WLDSL			</t>
  </si>
  <si>
    <t>6150-6 Dell Precession 3351 with Dell Dock 3 year pro support  and 3 year accidental coverage</t>
  </si>
  <si>
    <t>6150-6 Laptop Stand Model: N190819   ASIN: B07WRC9B86</t>
  </si>
  <si>
    <t xml:space="preserve">6150-6 Surface Pro Charger Model: DHM1800   ASIN: B07NV7H7KK			  </t>
  </si>
  <si>
    <t>6150-7 - rolling cart</t>
  </si>
  <si>
    <t>6150-6 - shipping &amp; handling</t>
  </si>
  <si>
    <t>6150-6 Battery for Precision 5510 Model # PK03XL ASIN B081DXFT6S</t>
  </si>
  <si>
    <t>6150-6 Touchpad for Precision 5510 ASIN B07PPQHPSW</t>
  </si>
  <si>
    <t>6150-6 Dell WD19TB docking station ASIN B07V867LW4 Model WD19TB</t>
  </si>
  <si>
    <t>1933888343</t>
  </si>
  <si>
    <t>01923G</t>
  </si>
  <si>
    <t>082020</t>
  </si>
  <si>
    <t>19981232566</t>
  </si>
  <si>
    <t>710862</t>
  </si>
  <si>
    <t>710860</t>
  </si>
  <si>
    <t>710848</t>
  </si>
  <si>
    <t>02592G</t>
  </si>
  <si>
    <t>200016291</t>
  </si>
  <si>
    <t>02654E</t>
  </si>
  <si>
    <t>02720E</t>
  </si>
  <si>
    <t>D24971862</t>
  </si>
  <si>
    <t>1752132</t>
  </si>
  <si>
    <t>2256308</t>
  </si>
  <si>
    <t>10282020</t>
  </si>
  <si>
    <t>719870</t>
  </si>
  <si>
    <t>719877</t>
  </si>
  <si>
    <t>200016519</t>
  </si>
  <si>
    <t>092020</t>
  </si>
  <si>
    <t>02355G</t>
  </si>
  <si>
    <t>renewal.20.HJM</t>
  </si>
  <si>
    <t>renewal.20.SAM</t>
  </si>
  <si>
    <t>11162020-CSM</t>
  </si>
  <si>
    <t>10262020</t>
  </si>
  <si>
    <t>10.2020</t>
  </si>
  <si>
    <t>12072020-DS</t>
  </si>
  <si>
    <t>renewal.20.BAM</t>
  </si>
  <si>
    <t>renewal.20.VNL</t>
  </si>
  <si>
    <t>renewal.20.CSM</t>
  </si>
  <si>
    <t>Blue Corn Harvest</t>
  </si>
  <si>
    <t>Pinthouse Pizza</t>
  </si>
  <si>
    <t>PSI</t>
  </si>
  <si>
    <t>Udemy Online Courses</t>
  </si>
  <si>
    <t>Heather Hayden</t>
  </si>
  <si>
    <t>Robert Harris</t>
  </si>
  <si>
    <t>NHAAO</t>
  </si>
  <si>
    <t>6210-19 - planning session</t>
  </si>
  <si>
    <t>6210-28 - refund conference cancelled</t>
  </si>
  <si>
    <t>6210-27 - Laws &amp; Rules update - BBrown</t>
  </si>
  <si>
    <t>6210-27 - Ethics Seminar - BBrown</t>
  </si>
  <si>
    <t>6210-27 - Ethics seminar - CPark</t>
  </si>
  <si>
    <t>6210-27 - Online USPAP refresher - BBrown</t>
  </si>
  <si>
    <t>6210-19 - planning session luncheon</t>
  </si>
  <si>
    <t>6210-18 - TAAD CAI presentation planning - HGibbs &amp; ARL</t>
  </si>
  <si>
    <t>6210-33 - Level III exam - DLabenski</t>
  </si>
  <si>
    <t>6210-19 - Microsoft Excel Advanced online course - CMcElroy</t>
  </si>
  <si>
    <t>6210-35 - growth summit - RQuinlan</t>
  </si>
  <si>
    <t>6210-27 Agricultural Use Appraisal/Ag schedule bldg - JRobins</t>
  </si>
  <si>
    <t>6210-27 Agricultural Use Appraisal/Ag schedule bldg - AMetcalfe</t>
  </si>
  <si>
    <t>6210-27 Wildlife Appraisal - WHuntsberger</t>
  </si>
  <si>
    <t>6210-27 Appraising High End &amp; Difficult Homes - WHuntsberger</t>
  </si>
  <si>
    <t>6210-26 Valuation of Low End &amp; Difficult Residential - WHuntsberger</t>
  </si>
  <si>
    <t>6210-27 - Laws &amp; rules update - WHuntsberger</t>
  </si>
  <si>
    <t>6210-27 - Ethics - WHuntsberger</t>
  </si>
  <si>
    <t>6210-27 - Online USPAP Refresher - WHuntsberger</t>
  </si>
  <si>
    <t>6210-27 - Reimbursement - meals state course</t>
  </si>
  <si>
    <t>6210-27 - reimbursement meals state courses</t>
  </si>
  <si>
    <t>6210-18 - Reimbursement - breakfast dir/mgr mtg</t>
  </si>
  <si>
    <t>6210-19 - Dir/mgr luncheon - working / mtg</t>
  </si>
  <si>
    <t>6210-32 - License renewal - HJMarin</t>
  </si>
  <si>
    <t>6210-32 - License renewal - SAMoore</t>
  </si>
  <si>
    <t>6210-27 - Valuation of metal bldgs - CSManas</t>
  </si>
  <si>
    <t>6210-27 - Course 101 - AChaviano</t>
  </si>
  <si>
    <t>6210-27 - Course102 - AChaviano</t>
  </si>
  <si>
    <t>6210-27 - Agricultural use appraisal/schedule bldg - CSManas</t>
  </si>
  <si>
    <t>6210-11 - IAAO Course 101 - RWilhite</t>
  </si>
  <si>
    <t>6210-27 - Course 3 - DSmith</t>
  </si>
  <si>
    <t>6210-32 - License renewal - BAMorrison</t>
  </si>
  <si>
    <t>6210-32 - License renewal - VNLongstreth</t>
  </si>
  <si>
    <t>6210-32 - License renewal - CSManas</t>
  </si>
  <si>
    <t>N8479060</t>
  </si>
  <si>
    <t>27802823</t>
  </si>
  <si>
    <t>28AR270279</t>
  </si>
  <si>
    <t>0365937091020</t>
  </si>
  <si>
    <t>CD_000165709</t>
  </si>
  <si>
    <t>09262020</t>
  </si>
  <si>
    <t>I2020100101327</t>
  </si>
  <si>
    <t>2787230258338x092720</t>
  </si>
  <si>
    <t>09202020</t>
  </si>
  <si>
    <t>09192020</t>
  </si>
  <si>
    <t>07990076692009</t>
  </si>
  <si>
    <t>6220-3 - LDC - September 2020</t>
  </si>
  <si>
    <t>25484</t>
  </si>
  <si>
    <t>25602</t>
  </si>
  <si>
    <t>00119G</t>
  </si>
  <si>
    <t>28492</t>
  </si>
  <si>
    <t>28493</t>
  </si>
  <si>
    <t>SCPAY00129319</t>
  </si>
  <si>
    <t>267918A-IN</t>
  </si>
  <si>
    <t>49267</t>
  </si>
  <si>
    <t>1889423</t>
  </si>
  <si>
    <t>35728</t>
  </si>
  <si>
    <t>SCPAY00129929</t>
  </si>
  <si>
    <t>25839</t>
  </si>
  <si>
    <t>25845</t>
  </si>
  <si>
    <t>35952</t>
  </si>
  <si>
    <t>28554</t>
  </si>
  <si>
    <t>28553</t>
  </si>
  <si>
    <t>6225-19 - fire ant treatment</t>
  </si>
  <si>
    <t>6225-19 - wasp/hornet killer spray</t>
  </si>
  <si>
    <t>6225-16 - Building repair maintenance</t>
  </si>
  <si>
    <t>6225-24 - Vitastim pellets</t>
  </si>
  <si>
    <t>6225-16 - plumbing leak</t>
  </si>
  <si>
    <t>6225-6 - day porter - on-site daily cleaning</t>
  </si>
  <si>
    <t>112510755-1</t>
  </si>
  <si>
    <t>403397</t>
  </si>
  <si>
    <t>6240-18 Residential Cost Handbook COMBO</t>
  </si>
  <si>
    <t xml:space="preserve">6240-12 CCNA 200-301 Study Guide Book			  </t>
  </si>
  <si>
    <t xml:space="preserve">6240-12 SQL QuickStart Guide			  </t>
  </si>
  <si>
    <t xml:space="preserve">6240-12 Mastering Vmware vSphere 6.7			  </t>
  </si>
  <si>
    <t>35892</t>
  </si>
  <si>
    <t>483702</t>
  </si>
  <si>
    <t>Williamson County</t>
  </si>
  <si>
    <t>6250-1 - CARES Act - reimbursement of COVID-19 expenses</t>
  </si>
  <si>
    <t>7222</t>
  </si>
  <si>
    <t>R302819-2020</t>
  </si>
  <si>
    <t>TX02-20-0847-000</t>
  </si>
  <si>
    <t>TX02-20-0847-001</t>
  </si>
  <si>
    <t>TX02-20-0847-002</t>
  </si>
  <si>
    <t>TX02-20-0847-003</t>
  </si>
  <si>
    <t>TX02-20-0847-004</t>
  </si>
  <si>
    <t>TX02-20-0847-005</t>
  </si>
  <si>
    <t>54134092820</t>
  </si>
  <si>
    <t>0563</t>
  </si>
  <si>
    <t>1203</t>
  </si>
  <si>
    <t>12459</t>
  </si>
  <si>
    <t>30061</t>
  </si>
  <si>
    <t>13645</t>
  </si>
  <si>
    <t>Michael J Schless</t>
  </si>
  <si>
    <t>6260-10 - professional services - August Expenses</t>
  </si>
  <si>
    <t>6260-10 - Mediation - R302819-TY 2016-2018 - Synergy Center LTD, Austin Skyview &amp; RC Center Ltd</t>
  </si>
  <si>
    <t>6260-10 - Expert - 2016-2018 Mkt &amp; Equity Rpts - Rock Creek Plaza R302819 (16-0948-C395)</t>
  </si>
  <si>
    <t>08312020</t>
  </si>
  <si>
    <t>09302020</t>
  </si>
  <si>
    <t>6280-8 - Maintenance</t>
  </si>
  <si>
    <t>INV38894135</t>
  </si>
  <si>
    <t>19767611</t>
  </si>
  <si>
    <t>09252020</t>
  </si>
  <si>
    <t>008-022</t>
  </si>
  <si>
    <t>14898</t>
  </si>
  <si>
    <t>Lou Ann Perez</t>
  </si>
  <si>
    <t>6285-3 - licenses</t>
  </si>
  <si>
    <t>6285-4 - direct deposit returned</t>
  </si>
  <si>
    <t>6285-5 - Deed Viewer subscription - Sep 2020</t>
  </si>
  <si>
    <t>Total 6290 · Business Insurance</t>
  </si>
  <si>
    <t>renwal.2020</t>
  </si>
  <si>
    <t>TML Intergovernmental Risk Pool</t>
  </si>
  <si>
    <t>6290-1 - Automobile Liability</t>
  </si>
  <si>
    <t>6290-3 - Errors &amp; Omission</t>
  </si>
  <si>
    <t>6290-4 - General Liability</t>
  </si>
  <si>
    <t>6290-2 - Crime Pub Emp Dis</t>
  </si>
  <si>
    <t>6290-5 - Real &amp; Pers Prop</t>
  </si>
  <si>
    <t>6290-4 - Return of Equity - Liability</t>
  </si>
  <si>
    <t>6290-2 - Pre-pymt discount - crime</t>
  </si>
  <si>
    <t>6290-3 - Pre-pymt discount - errors &amp; omissions liability</t>
  </si>
  <si>
    <t>6290-1 - Pre-pymt discount - automobile</t>
  </si>
  <si>
    <t>6290-5 - Pre-pymt discount - real &amp; personal property</t>
  </si>
  <si>
    <t>6290-4 - Pre-pymt discount - general liability</t>
  </si>
  <si>
    <t>R33233</t>
  </si>
  <si>
    <t>9.2020</t>
  </si>
  <si>
    <t>6330-4 Postage</t>
  </si>
  <si>
    <t>12915.0</t>
  </si>
  <si>
    <t>3631</t>
  </si>
  <si>
    <t>10192020</t>
  </si>
  <si>
    <t>7343</t>
  </si>
  <si>
    <t>1206</t>
  </si>
  <si>
    <t>30848</t>
  </si>
  <si>
    <t>Family Medical Center of Georgetown</t>
  </si>
  <si>
    <t>6260-9 - Employment screening - TVan 12915.0</t>
  </si>
  <si>
    <t>6260-4 - MRA Services - August</t>
  </si>
  <si>
    <t>6260-10 - Mediation - 3 cases (19-1424-C368; 19-1448-C395; 19-1436-C425</t>
  </si>
  <si>
    <t>6260-10 - professional services - September Expenses</t>
  </si>
  <si>
    <t>944868699386</t>
  </si>
  <si>
    <t>5065026</t>
  </si>
  <si>
    <t>7755436</t>
  </si>
  <si>
    <t>85451</t>
  </si>
  <si>
    <t>130333052001</t>
  </si>
  <si>
    <t>269149</t>
  </si>
  <si>
    <t>85544</t>
  </si>
  <si>
    <t>2230617</t>
  </si>
  <si>
    <t>GHS - Georgettes</t>
  </si>
  <si>
    <t>6110-9 - Business cards - DSmith</t>
  </si>
  <si>
    <t>6110-12 - Christmas Decorations - Poinsettias</t>
  </si>
  <si>
    <t>110625830</t>
  </si>
  <si>
    <t>0012394</t>
  </si>
  <si>
    <t>27003</t>
  </si>
  <si>
    <t>7458</t>
  </si>
  <si>
    <t>Building repair maintenance</t>
  </si>
  <si>
    <t>36039</t>
  </si>
  <si>
    <t>14022047989</t>
  </si>
  <si>
    <t>WG18916996</t>
  </si>
  <si>
    <t>WM19981985</t>
  </si>
  <si>
    <t>1YR4-RR1W-PYX3</t>
  </si>
  <si>
    <t>10431040526</t>
  </si>
  <si>
    <t>1YP1-LKC9-44Y6</t>
  </si>
  <si>
    <t>9038621</t>
  </si>
  <si>
    <t>URBAN ARMOR GEAR, LLC.</t>
  </si>
  <si>
    <t>6150-3 	Brother ADS-2200 Desktop Scanner Model: ADS2200   ASIN: B0757WLDSL</t>
  </si>
  <si>
    <t>6150-5 Plasma Series MS Surface Pro X Case with Handstrap &amp; Shoulder Strap</t>
  </si>
  <si>
    <t>6150-5 WK15-BM2E2D 15% Discount</t>
  </si>
  <si>
    <t>ASSIGNED FUNDS -  GE Profile 2.2' cu. Countertop White Microwave Internet: 302944125 Model: PES7...</t>
  </si>
  <si>
    <t>6150-6 Active Stylus Digital Pen</t>
  </si>
  <si>
    <t>6150-6 Meko Stylus</t>
  </si>
  <si>
    <t>6150-6 USB Computer Speaker</t>
  </si>
  <si>
    <t>6150-9 Precision 3630 Tower, Intel Core i7 (8 Core, 12 MB Cache, 3.0 Ghz) Windows 10 Pro 64 Prec...</t>
  </si>
  <si>
    <t>6150-6 USB-C Laptop Charger 65W for Dell Model: HA65NM170   ASIN: B0869JW8L3</t>
  </si>
  <si>
    <t>6150-2 Dell S2721HS 27" Monitor Model: S2721HS   ASIN: B08HPML3R3</t>
  </si>
  <si>
    <t>6150-4 ZenRich Surface Pro X case black</t>
  </si>
  <si>
    <t>6150-4 ZenRich Surface Pro X case Red</t>
  </si>
  <si>
    <t>6150-4 ZenRich Surface Pro X case Orange</t>
  </si>
  <si>
    <t>6150-12 VIVO Black Corner Height Adjustable 43 inch Cubicle Standing Desk Converter, Quick Sit t...</t>
  </si>
  <si>
    <t>10210117</t>
  </si>
  <si>
    <t>300015637</t>
  </si>
  <si>
    <t>300016258</t>
  </si>
  <si>
    <t>300016112</t>
  </si>
  <si>
    <t>300015871</t>
  </si>
  <si>
    <t>300015728</t>
  </si>
  <si>
    <t>300015639</t>
  </si>
  <si>
    <t>300015638</t>
  </si>
  <si>
    <t>300016503</t>
  </si>
  <si>
    <t>00004</t>
  </si>
  <si>
    <t>1211-7559</t>
  </si>
  <si>
    <t>725337</t>
  </si>
  <si>
    <t>725331</t>
  </si>
  <si>
    <t>725328</t>
  </si>
  <si>
    <t>00936E</t>
  </si>
  <si>
    <t>01248E</t>
  </si>
  <si>
    <t>01524E</t>
  </si>
  <si>
    <t>01532E</t>
  </si>
  <si>
    <t>01625E</t>
  </si>
  <si>
    <t>00129871</t>
  </si>
  <si>
    <t>1550</t>
  </si>
  <si>
    <t>039205</t>
  </si>
  <si>
    <t>C36352F-BH</t>
  </si>
  <si>
    <t>B366944.HH</t>
  </si>
  <si>
    <t>730118</t>
  </si>
  <si>
    <t>730091</t>
  </si>
  <si>
    <t>11182020</t>
  </si>
  <si>
    <t>200016695</t>
  </si>
  <si>
    <t>11.2020</t>
  </si>
  <si>
    <t>membership.2020.JR</t>
  </si>
  <si>
    <t>66676</t>
  </si>
  <si>
    <t>42389</t>
  </si>
  <si>
    <t>license.JSR.2020</t>
  </si>
  <si>
    <t>Derek Smith</t>
  </si>
  <si>
    <t>El Charito Mexican Restaurant</t>
  </si>
  <si>
    <t>Wildfire</t>
  </si>
  <si>
    <t>Schlotzsky's</t>
  </si>
  <si>
    <t>Paradies Lagardere</t>
  </si>
  <si>
    <t>Guy's Dive &amp; Taco Joint</t>
  </si>
  <si>
    <t>Q39</t>
  </si>
  <si>
    <t>Burger Kitchen &amp; Bar</t>
  </si>
  <si>
    <t>Starbucks</t>
  </si>
  <si>
    <t>Stephan Crone</t>
  </si>
  <si>
    <t>Pok-E-Jo's</t>
  </si>
  <si>
    <t>Jamie Radke</t>
  </si>
  <si>
    <t>Amanda Chaviano</t>
  </si>
  <si>
    <t>6210-10 - membership - RWilhite</t>
  </si>
  <si>
    <t>6210-27 - Reimbursement state course meals</t>
  </si>
  <si>
    <t>6210-29 - Membership renewal - ALankford</t>
  </si>
  <si>
    <t>6210-29 - Membership renewal - JMiller</t>
  </si>
  <si>
    <t>6210-29 - Membership renewal - ABayler</t>
  </si>
  <si>
    <t>6210-29 - Membership renewal - RQuinlan</t>
  </si>
  <si>
    <t>6210-29 - Membership renewal - AStenulson</t>
  </si>
  <si>
    <t>6210-29 - Membership renewal - JGriner</t>
  </si>
  <si>
    <t>6210-29 - Membership renewal - CConnelly</t>
  </si>
  <si>
    <t>6210-29 - Membership renewal - RWilhite</t>
  </si>
  <si>
    <t>6210-3 - Breakfast tacos for WCAD staff</t>
  </si>
  <si>
    <t>6210-27 - seminar - Customer Service during COVID - CBounds</t>
  </si>
  <si>
    <t>6210-27 - Laws &amp; Rules Update - CManas</t>
  </si>
  <si>
    <t>6210-27 - Ethics Seminar - CBounds</t>
  </si>
  <si>
    <t>6210-27 - Laws &amp; Rules Update - CBounds</t>
  </si>
  <si>
    <t>6210-18 - TAAD CAI prep lunch - ARL &amp; HGibbs</t>
  </si>
  <si>
    <t>6210-27 - TAAD class lunch - ARL</t>
  </si>
  <si>
    <t>6210-12 - IAAO Leadership Lunch - ARL</t>
  </si>
  <si>
    <t>6210-12 - IAAO Leadership Dinner - ARL</t>
  </si>
  <si>
    <t>6210-12 - IAAO Leadership Breakfast - ARL</t>
  </si>
  <si>
    <t>6210-12 - IAAO Leadership - parking - ARL</t>
  </si>
  <si>
    <t>6210-19 - online excel class - BHarris</t>
  </si>
  <si>
    <t>6210-19 - Online Excel Class - HHayden</t>
  </si>
  <si>
    <t>6210-27 - Laws &amp; Rules Update - BEdsell</t>
  </si>
  <si>
    <t>6210-27 - Ethics - BEdsell</t>
  </si>
  <si>
    <t>6210-27 - State Course - meal reimbursement</t>
  </si>
  <si>
    <t>6210-27 - Development of Capitalization Rates - AOng</t>
  </si>
  <si>
    <t>6210-27 - Development of Capitalization Rates - RMeyer</t>
  </si>
  <si>
    <t>6210-27 - Development of Capitalization Rates - RMata</t>
  </si>
  <si>
    <t>6210-27 - USPAP Refresher - LPerez</t>
  </si>
  <si>
    <t>6210-3 - thanksgivning luncheon</t>
  </si>
  <si>
    <t>6210-10 - IAAO Membership - JRadke</t>
  </si>
  <si>
    <t>6210-11 - USPAP online - ABayler</t>
  </si>
  <si>
    <t>6210-27 - Wildlife Appraisal - JRobins</t>
  </si>
  <si>
    <t>6210-27 - state course - reimbursement meals</t>
  </si>
  <si>
    <t>6210-27 - reimbrusement meals</t>
  </si>
  <si>
    <t>6210-32 - License application - JRadke</t>
  </si>
  <si>
    <t>27988246</t>
  </si>
  <si>
    <t>N8563577</t>
  </si>
  <si>
    <t>28AR279470</t>
  </si>
  <si>
    <t>6215-2 Lease folder/inserter</t>
  </si>
  <si>
    <t>0104757100720</t>
  </si>
  <si>
    <t>0365937101020</t>
  </si>
  <si>
    <t>CD_000175487</t>
  </si>
  <si>
    <t>2787230258338x102720</t>
  </si>
  <si>
    <t>I2020110101324</t>
  </si>
  <si>
    <t>11252020</t>
  </si>
  <si>
    <t>7990076692010</t>
  </si>
  <si>
    <t>6220-3 - LDC - October 2020</t>
  </si>
  <si>
    <t>SRVCE00292937</t>
  </si>
  <si>
    <t>25987</t>
  </si>
  <si>
    <t>SRVCE00294088</t>
  </si>
  <si>
    <t>49666</t>
  </si>
  <si>
    <t>36155</t>
  </si>
  <si>
    <t>SCPAY00130587</t>
  </si>
  <si>
    <t>26048</t>
  </si>
  <si>
    <t>822605</t>
  </si>
  <si>
    <t>6225-16 - painting, drywall repair, bldg maint.</t>
  </si>
  <si>
    <t>6225-13 - tree trims</t>
  </si>
  <si>
    <t xml:space="preserve">6225-17 Custom Engraved ADA Room ID Signs			</t>
  </si>
  <si>
    <t>6225-17 shipping</t>
  </si>
  <si>
    <t>6225-15 - Building repair &amp; maintenance</t>
  </si>
  <si>
    <t>6225-10 - elevator inspection filing fee</t>
  </si>
  <si>
    <t>02348C</t>
  </si>
  <si>
    <t>6992246</t>
  </si>
  <si>
    <t>2067</t>
  </si>
  <si>
    <t>6236-1 - lunch - ARL &amp; DHIsle</t>
  </si>
  <si>
    <t>6236-1 - board expense - Honeycutt farewell gift</t>
  </si>
  <si>
    <t>6236-1 - Texas flag for outgoing board member (RHoneycutt)</t>
  </si>
  <si>
    <t>INV-Q374235</t>
  </si>
  <si>
    <t>112697643-1</t>
  </si>
  <si>
    <t>404588</t>
  </si>
  <si>
    <t>Construction Data</t>
  </si>
  <si>
    <t>484117</t>
  </si>
  <si>
    <t>6250-1 - CARES act reimbursement</t>
  </si>
  <si>
    <t>28AR264032</t>
  </si>
  <si>
    <t>P1-59926682</t>
  </si>
  <si>
    <t>28AR273857</t>
  </si>
  <si>
    <t>28AR276618</t>
  </si>
  <si>
    <t>6280-27 - QB Annual Protection</t>
  </si>
  <si>
    <t>6280-37 - monthly printer management - finance charge</t>
  </si>
  <si>
    <t>INV092020</t>
  </si>
  <si>
    <t>1756955461</t>
  </si>
  <si>
    <t>63355</t>
  </si>
  <si>
    <t>63356</t>
  </si>
  <si>
    <t>63328</t>
  </si>
  <si>
    <t>1542595</t>
  </si>
  <si>
    <t>1762345593</t>
  </si>
  <si>
    <t>72333</t>
  </si>
  <si>
    <t>72334</t>
  </si>
  <si>
    <t>15243</t>
  </si>
  <si>
    <t>15145</t>
  </si>
  <si>
    <t>73496</t>
  </si>
  <si>
    <t>008-023</t>
  </si>
  <si>
    <t>008-024</t>
  </si>
  <si>
    <t>6285-3 - renewal Standard SSL</t>
  </si>
  <si>
    <t>6285-8 - computer licenses</t>
  </si>
  <si>
    <t>6285-8 - credit</t>
  </si>
  <si>
    <t>Minor Equiment</t>
  </si>
  <si>
    <t>Cmputer licenses</t>
  </si>
  <si>
    <t>6285-14 Veeam Availability Suite License Renewal Contract # 02030218</t>
  </si>
  <si>
    <t>6285-5 - Deed Viewer subscription - Oct 2020</t>
  </si>
  <si>
    <t>6285-5 - Deed Viewer subscription - Nov 2020</t>
  </si>
  <si>
    <t>8000 · Capital Outlay</t>
  </si>
  <si>
    <t>Total 8010 · Computer Capital</t>
  </si>
  <si>
    <t>Total 8000 · Capital Outlay</t>
  </si>
  <si>
    <t>8010-1 Sql Server 2019 Standard + Software Assurance</t>
  </si>
  <si>
    <t>8010-1 Sql Server 2019 User CALS + Software Assurance</t>
  </si>
  <si>
    <t>8010-1 Site Recovery Manager 8 Standard</t>
  </si>
  <si>
    <t>8010-1 Production Site Recovery Manager 25 vm 1 year</t>
  </si>
  <si>
    <t>R47989</t>
  </si>
  <si>
    <t>6160 · Computer Supplies Expense</t>
  </si>
  <si>
    <t>Total 6160 · Computer Supplies Expense</t>
  </si>
  <si>
    <t>144G-WF96-T1VG</t>
  </si>
  <si>
    <t>3787405</t>
  </si>
  <si>
    <t>28AR213003</t>
  </si>
  <si>
    <t>2908253</t>
  </si>
  <si>
    <t>172121680</t>
  </si>
  <si>
    <t>28AR208735</t>
  </si>
  <si>
    <t>28AR239264</t>
  </si>
  <si>
    <t>28AR239988</t>
  </si>
  <si>
    <t>28AR240167</t>
  </si>
  <si>
    <t>28AR240736</t>
  </si>
  <si>
    <t>28AR207869</t>
  </si>
  <si>
    <t>28AR243969</t>
  </si>
  <si>
    <t>28AR244963</t>
  </si>
  <si>
    <t>28AR249188</t>
  </si>
  <si>
    <t>28AR249797</t>
  </si>
  <si>
    <t>28AR251883</t>
  </si>
  <si>
    <t>28AR258403</t>
  </si>
  <si>
    <t>28AR263931</t>
  </si>
  <si>
    <t>28AR263930</t>
  </si>
  <si>
    <t>1FWQ-X14F-4JJC</t>
  </si>
  <si>
    <t>14LN-TLJJ-R49M</t>
  </si>
  <si>
    <t>28AR270192</t>
  </si>
  <si>
    <t>28AR270790</t>
  </si>
  <si>
    <t>1D96-3VG3-7YCP</t>
  </si>
  <si>
    <t>6160-9 Microsoft wireless display adapters v2 Model # P3Q-00003</t>
  </si>
  <si>
    <t>6160-9 Lekvey WirelessBluetooth Number Pad</t>
  </si>
  <si>
    <t>6160-9 Dotz Cable ID System Part: DCI151M   ASIN: B00D5ESJF6</t>
  </si>
  <si>
    <t>6160-9 Microsoft Wireless Display Adapter v2 HDMI/USB Model: P3Q-00003   ASIN: B01C9YTI9S</t>
  </si>
  <si>
    <t>6160-12 - freight for toner cartridges</t>
  </si>
  <si>
    <t>6160-9 - computer supplies</t>
  </si>
  <si>
    <t>6160-1 Epson ELPLP95 Replacement Lamp Assembly B&amp;H: EPV13H010L95   MFR: V13H010L95</t>
  </si>
  <si>
    <t>6160-12 - Freight for toner</t>
  </si>
  <si>
    <t>6160-5 JETech Case - Samsung Galaxy S9 Model: 3466   ASIN: B0799FNX5F</t>
  </si>
  <si>
    <t xml:space="preserve">6160-5 USB Left Angle Male to Female Extension 2 Pack			  ASIN: 43211617			  </t>
  </si>
  <si>
    <t xml:space="preserve">6160-9 10' Mini DisplayPort to DisplayPort Cable			  Model: MDP2DP-C-10-B   ASIN: B07BS92N8Y			  </t>
  </si>
  <si>
    <t>6160-5 - creidt - never received item</t>
  </si>
  <si>
    <t>6160-12 - toner supplies</t>
  </si>
  <si>
    <t>6160-9 Mini DisplayPort to DisplayPort Cable 10' Model: R-1105C   ASIN: B01J8GWX4W</t>
  </si>
  <si>
    <t>6160-9 15' Display port cables ASIN B07TPMD6QP</t>
  </si>
  <si>
    <t>6160-9 15' mini DP port to DP port ASIN B0749RN81S</t>
  </si>
  <si>
    <t>176710</t>
  </si>
  <si>
    <t>134790448001</t>
  </si>
  <si>
    <t>1992</t>
  </si>
  <si>
    <t>85797</t>
  </si>
  <si>
    <t>85798</t>
  </si>
  <si>
    <t>176797</t>
  </si>
  <si>
    <t>143474748001</t>
  </si>
  <si>
    <t>143357000001</t>
  </si>
  <si>
    <t>11151</t>
  </si>
  <si>
    <t>86413</t>
  </si>
  <si>
    <t>956595687884</t>
  </si>
  <si>
    <t>993857384836</t>
  </si>
  <si>
    <t>02170G</t>
  </si>
  <si>
    <t>Benchmark Tool &amp; Supply Inc.</t>
  </si>
  <si>
    <t>surveyingsupplies.com</t>
  </si>
  <si>
    <t xml:space="preserve">6110-8 Sokkia 845184 100' Refill with Hook ft/in/8ths		</t>
  </si>
  <si>
    <t>6110-9 - Business cards - AMetcalfe</t>
  </si>
  <si>
    <t>6110-9 - Business cards - LWright</t>
  </si>
  <si>
    <t>6110-5 - company masks</t>
  </si>
  <si>
    <t>6110-9 - Business cards - CBounds</t>
  </si>
  <si>
    <t>6110-9 Command velcro hooks</t>
  </si>
  <si>
    <t>6110-9 Command velcro hanging strips</t>
  </si>
  <si>
    <t>6110-9 promotional discount</t>
  </si>
  <si>
    <t>6110-9 8x14 Frame</t>
  </si>
  <si>
    <t>6110-9 - misc office supplies</t>
  </si>
  <si>
    <t>0012490</t>
  </si>
  <si>
    <t>30906</t>
  </si>
  <si>
    <t>7-187-21539</t>
  </si>
  <si>
    <t>7482</t>
  </si>
  <si>
    <t>6120-1 - postage - 183</t>
  </si>
  <si>
    <t>6120-11 shipping</t>
  </si>
  <si>
    <t>27099</t>
  </si>
  <si>
    <t>86010</t>
  </si>
  <si>
    <t>86409</t>
  </si>
  <si>
    <t>43398</t>
  </si>
  <si>
    <t>6130-1 - laser printing - 2,594</t>
  </si>
  <si>
    <t>6130-1 - rendering - 131</t>
  </si>
  <si>
    <t>6130-1 - paper for laser printing - 1,212</t>
  </si>
  <si>
    <t>6130-4 - envelopes - 131 - 2 sided w/msg</t>
  </si>
  <si>
    <t>6130-1 - 1st insert - 185</t>
  </si>
  <si>
    <t>6130-1 - 2nd insert - 185</t>
  </si>
  <si>
    <t>6130-1 - 3rd insert - 185</t>
  </si>
  <si>
    <t>6130-5 - Laser printing R&amp;R - 185</t>
  </si>
  <si>
    <t>6130-1 - Laser printing Go Green Insert - 185</t>
  </si>
  <si>
    <t>6130-1 - Laser Printing Health Safety Insert - 185</t>
  </si>
  <si>
    <t>6130-1 - Presort - 131</t>
  </si>
  <si>
    <t>6130-9 - 6x9's - 52</t>
  </si>
  <si>
    <t>6130-18 - BPP survey cards (500)</t>
  </si>
  <si>
    <t>Building repair &amp; maintenance</t>
  </si>
  <si>
    <t>6130-11 - business reply envelopes</t>
  </si>
  <si>
    <t>36806</t>
  </si>
  <si>
    <t>80635919295</t>
  </si>
  <si>
    <t>13VC-9CDW-P9KC</t>
  </si>
  <si>
    <t>WM26511166</t>
  </si>
  <si>
    <t>1JYJ-KVPJ-9LJL</t>
  </si>
  <si>
    <t>1VD1-F3FRTQFJ</t>
  </si>
  <si>
    <t>144961659001</t>
  </si>
  <si>
    <t>1TYX-QND9-TQ33</t>
  </si>
  <si>
    <t>1LN1-CDKF-R7M4</t>
  </si>
  <si>
    <t>10452356439</t>
  </si>
  <si>
    <t>10452359045</t>
  </si>
  <si>
    <t>10455394424</t>
  </si>
  <si>
    <t>6150-14 Toshiba 50" smart tv</t>
  </si>
  <si>
    <t xml:space="preserve">6150-7 Dynex Mini Dipslay to hdmi	</t>
  </si>
  <si>
    <t>6150-7 Dynex 25' 4k Ultra HDMI cable</t>
  </si>
  <si>
    <t>6150-7 - promo discount</t>
  </si>
  <si>
    <t>6150-7 Face Recognition Body Temp Measurement	 Infrared Scanner ASIN: B087NQXND2</t>
  </si>
  <si>
    <t>6150-7 HDX 7 Gal. Storage Bin Model #206152</t>
  </si>
  <si>
    <t>6150-7 DYMO LabelWriter 450	 Model: 1752264   ASIN: B0027JBLV4</t>
  </si>
  <si>
    <t>Computer supplies</t>
  </si>
  <si>
    <t>6150-15 - import surcharge</t>
  </si>
  <si>
    <t>6150-15 Lorell Guest Chair, Black</t>
  </si>
  <si>
    <t>6150-7 - product returned</t>
  </si>
  <si>
    <t>6150-7 Power Strips 2 Pack Model: PE66DP   ASIN: B079N661TD</t>
  </si>
  <si>
    <t>6150-7 Single Sided USB Headset Model: TYMPBH323AB-USAA1   ASIN: B07W6PZP3N</t>
  </si>
  <si>
    <t>6150-7 USB C Hub HDMI Adapter Model: M7VC01   ASIN: B07QXMNF1X</t>
  </si>
  <si>
    <t>6150-7 Logitech Wireless Keyboard Mouse Combo 4 Pack Model: 920-010063   ASIN: B08H6Y88K4</t>
  </si>
  <si>
    <t>6150-7 Burxoe Webcam with Microphone UNSPSC Code: 45121520   ASIN: B08ML867Y4</t>
  </si>
  <si>
    <t>6150-7 VAVA USB C HUB Adapter Model: VA-UC006   ASIN: B079GSMZ7G</t>
  </si>
  <si>
    <t>6150-7 Mini DisplayPort to DisplayPort 10' Cable Model: R-1105C   ASIN: B01J8GWX4W</t>
  </si>
  <si>
    <t>6150-6 Dell XPS 15 9500 Quote # 300075593294.1</t>
  </si>
  <si>
    <t>6150-6 Dell Pro Slim Briefcase</t>
  </si>
  <si>
    <t>6150-6 Dell Latitude 9510 w/Dell Dock Quote # 3000075039397.1</t>
  </si>
  <si>
    <t>6150-6 Dell Latitude 9510 2-in-1 Quote # 3000076283920.1</t>
  </si>
  <si>
    <t>28AR294914</t>
  </si>
  <si>
    <t>181858543</t>
  </si>
  <si>
    <t>1C3LC3N</t>
  </si>
  <si>
    <t>857939668649</t>
  </si>
  <si>
    <t>457887395863</t>
  </si>
  <si>
    <t>997997776755</t>
  </si>
  <si>
    <t>439489584979</t>
  </si>
  <si>
    <t>745946335987</t>
  </si>
  <si>
    <t>182523891</t>
  </si>
  <si>
    <t>183138468</t>
  </si>
  <si>
    <t>10451225104</t>
  </si>
  <si>
    <t>CDW Government, Inc.</t>
  </si>
  <si>
    <t>6160-6 Synology RS2818RP+ 16 Bay NAS Server B&amp;H: SYRS2818RPP   MFR: RS2818RP+</t>
  </si>
  <si>
    <t>6160-6 Synology Rail Kit RKS1317 B&amp;H: SYRKS1317   MFR: RKS1317</t>
  </si>
  <si>
    <t>6160-6 Synology 4GB DDR4 2666 MHz UDIMM Memory B&amp;H: SYD4NE26664G   MFR: D4NE-2666-4G</t>
  </si>
  <si>
    <t>6160-6 Synology Dual Port 10 GB SFP+ PCIe Adapter B&amp;H: SYE10G17F2   MFR: E10G17-F2</t>
  </si>
  <si>
    <t>6160-6 Seagate IronWolf 10 TB NAS HDD Model: ST10000VNZ008   ASIN: B085ZB51HW</t>
  </si>
  <si>
    <t>6160-6 Seagate IronWolf Pro HDD Mfg: ST14000NE0008   CDW: 5269224</t>
  </si>
  <si>
    <t>6160-9 True mark UV sanitizer wand</t>
  </si>
  <si>
    <t>6160-9 MicroKing Wireless mic - for our party speaker</t>
  </si>
  <si>
    <t>6160-9 AmazonBasics USB extension cables, 10 pack</t>
  </si>
  <si>
    <t>6160-9 Kaysuda USB speaker/Microphone</t>
  </si>
  <si>
    <t>6160-9 Microsoft Wireless display adapter</t>
  </si>
  <si>
    <t>6160-9 promotional discount</t>
  </si>
  <si>
    <t>GWSHZT</t>
  </si>
  <si>
    <t>706</t>
  </si>
  <si>
    <t>46088</t>
  </si>
  <si>
    <t>66674</t>
  </si>
  <si>
    <t>W53928807</t>
  </si>
  <si>
    <t>736452</t>
  </si>
  <si>
    <t>736454</t>
  </si>
  <si>
    <t>200016767</t>
  </si>
  <si>
    <t>177259</t>
  </si>
  <si>
    <t>12012020</t>
  </si>
  <si>
    <t>JG-2020</t>
  </si>
  <si>
    <t>D52099897</t>
  </si>
  <si>
    <t>R52099896</t>
  </si>
  <si>
    <t>42571</t>
  </si>
  <si>
    <t>12072020</t>
  </si>
  <si>
    <t>12072020-1</t>
  </si>
  <si>
    <t>11232020</t>
  </si>
  <si>
    <t>12.2020</t>
  </si>
  <si>
    <t>747838</t>
  </si>
  <si>
    <t>56960</t>
  </si>
  <si>
    <t>1797</t>
  </si>
  <si>
    <t>125</t>
  </si>
  <si>
    <t>12162020</t>
  </si>
  <si>
    <t>751412</t>
  </si>
  <si>
    <t>751408</t>
  </si>
  <si>
    <t>21-LAP</t>
  </si>
  <si>
    <t>753434</t>
  </si>
  <si>
    <t>177077</t>
  </si>
  <si>
    <t>Scott G Winter Training &amp; Consulting</t>
  </si>
  <si>
    <t>ExitCertified</t>
  </si>
  <si>
    <t>RTIC.com</t>
  </si>
  <si>
    <t>Brad Brown</t>
  </si>
  <si>
    <t>Jessica Miller</t>
  </si>
  <si>
    <t>Access Development</t>
  </si>
  <si>
    <t>LBJ School of Public Affairs</t>
  </si>
  <si>
    <t>Carrie Lindquist</t>
  </si>
  <si>
    <t>Rae Wilhite</t>
  </si>
  <si>
    <t>Public Services Dept</t>
  </si>
  <si>
    <t>Gilberto Garcia 1</t>
  </si>
  <si>
    <t>Amanda L. Sauls</t>
  </si>
  <si>
    <t>Hiran Marin</t>
  </si>
  <si>
    <t>Christopher Ryan Meyer</t>
  </si>
  <si>
    <t>6210-12 - uber trip - Kansas</t>
  </si>
  <si>
    <t>6210-11 - IAAO Course 300 - CVasquez</t>
  </si>
  <si>
    <t>6210-16 - VMware vSphere - hands on training - MPage</t>
  </si>
  <si>
    <t>6210-11 - IAAO Course USPAP online - VLongstreth</t>
  </si>
  <si>
    <t>years of service awards</t>
  </si>
  <si>
    <t>6210-3 20oz Tumbler, Black, Matte</t>
  </si>
  <si>
    <t>6210-3 30oz Tumbler, Black, Matte</t>
  </si>
  <si>
    <t>6210-27 - Ethics - TVan</t>
  </si>
  <si>
    <t>6210-27 - Laws &amp; Rules Update - TVan</t>
  </si>
  <si>
    <t>6210-27 - USPAP refresher - TVan</t>
  </si>
  <si>
    <t>6210-33 - Level III review - DArrieta</t>
  </si>
  <si>
    <t>6210-33 - Level III review - RMata</t>
  </si>
  <si>
    <t>6210-27 Reimbursement meals</t>
  </si>
  <si>
    <t>6210-27 - State seminar - reimbursement meal</t>
  </si>
  <si>
    <t>6210-10 - CAE Candidacy fee - JGriner</t>
  </si>
  <si>
    <t>6210-33 - Level III exam - DArrieta</t>
  </si>
  <si>
    <t>6210-33 - Level III exam - RMata</t>
  </si>
  <si>
    <t>6210-11 - IAAO Course 112 -  AStenulson</t>
  </si>
  <si>
    <t>6210-27 - Course 7 - TX Property Tax Law - DLabenski</t>
  </si>
  <si>
    <t>6210-27 - State course - reimbursement meals</t>
  </si>
  <si>
    <t>6210-27 - Course 4 - Personal Property Appraisal - GGarcia</t>
  </si>
  <si>
    <t>6210-17 - access perks</t>
  </si>
  <si>
    <t>6210-21 - ALankford</t>
  </si>
  <si>
    <t>6210-21 0 CConnelly</t>
  </si>
  <si>
    <t>6210-21 - JRadke</t>
  </si>
  <si>
    <t>6210-21 - KMcDade</t>
  </si>
  <si>
    <t>6210-21 - JMiller</t>
  </si>
  <si>
    <t>6210-21 - RQuinlan</t>
  </si>
  <si>
    <t>6210-21 - SHDugger</t>
  </si>
  <si>
    <t>6210-21 - AStenulson</t>
  </si>
  <si>
    <t>6210-21 - JGriner</t>
  </si>
  <si>
    <t>6210-3 Employee Recognition Event</t>
  </si>
  <si>
    <t>6210-27 - Laws &amp; Rules Update - GGarcia</t>
  </si>
  <si>
    <t>6210-19 - Orion User Group Meeting Luncheon</t>
  </si>
  <si>
    <t>6210-3 - guest fees</t>
  </si>
  <si>
    <t>6210-20 -Dir/Mgr snacks</t>
  </si>
  <si>
    <t>6210-27 - Laws &amp; Rules Update - LWright</t>
  </si>
  <si>
    <t>6210-27 - Ethics - LWright</t>
  </si>
  <si>
    <t>6210-27 - state course - meal reimbursement</t>
  </si>
  <si>
    <t>6210-27 Reimbursement ~ meal</t>
  </si>
  <si>
    <t>6210-32 - License renewal - LPerez</t>
  </si>
  <si>
    <t>6210-27 - Laws &amp; Rules Update - AMetcalfe</t>
  </si>
  <si>
    <t>28178668</t>
  </si>
  <si>
    <t>28AR292919</t>
  </si>
  <si>
    <t>N8623452</t>
  </si>
  <si>
    <t>28368960</t>
  </si>
  <si>
    <t>0104757110720</t>
  </si>
  <si>
    <t>0365937111020</t>
  </si>
  <si>
    <t>CD_000185428</t>
  </si>
  <si>
    <t>2787230258338x112720</t>
  </si>
  <si>
    <t>I2020120101319</t>
  </si>
  <si>
    <t>12112020</t>
  </si>
  <si>
    <t>0104757120720</t>
  </si>
  <si>
    <t>0365937121020</t>
  </si>
  <si>
    <t>CD_000195634</t>
  </si>
  <si>
    <t>2787230258338x122720</t>
  </si>
  <si>
    <t>12192020</t>
  </si>
  <si>
    <t>122020</t>
  </si>
  <si>
    <t>SRVCE00294386</t>
  </si>
  <si>
    <t>SRVCE00294385</t>
  </si>
  <si>
    <t>SRVCE00294596</t>
  </si>
  <si>
    <t>6884258</t>
  </si>
  <si>
    <t>6000480323</t>
  </si>
  <si>
    <t>26114</t>
  </si>
  <si>
    <t>6884562</t>
  </si>
  <si>
    <t>50017</t>
  </si>
  <si>
    <t>36554</t>
  </si>
  <si>
    <t>SCPAY00131265</t>
  </si>
  <si>
    <t>17766035</t>
  </si>
  <si>
    <t>26253</t>
  </si>
  <si>
    <t>6885005</t>
  </si>
  <si>
    <t>50328745</t>
  </si>
  <si>
    <t>6885106</t>
  </si>
  <si>
    <t>29190</t>
  </si>
  <si>
    <t>SRVCE00296404</t>
  </si>
  <si>
    <t>SRVCE00296405</t>
  </si>
  <si>
    <t>SRVCE00296724</t>
  </si>
  <si>
    <t>SRVCE00296813</t>
  </si>
  <si>
    <t>50347</t>
  </si>
  <si>
    <t>4502</t>
  </si>
  <si>
    <t>Marx Pump Services Inc</t>
  </si>
  <si>
    <t>6225-14 - irrigation repair (replace 1 head &amp; 3 nozzles)</t>
  </si>
  <si>
    <t>6225-19 - pest services - ants in stairwell</t>
  </si>
  <si>
    <t>6225-7 -  electrical work</t>
  </si>
  <si>
    <t>6225-17 9 x 14" Black Dibond (Aluminum over Poly Core) sign panel w/white &amp; red vinyl lettering....</t>
  </si>
  <si>
    <t>6225-17 24 x 18.5" White corrugated sign panel with printed/vinyl graphics. Grommets at each corner</t>
  </si>
  <si>
    <t>6225-17 - ant spray</t>
  </si>
  <si>
    <t>Assigned Funds - Building short lived - board approved 6/11/2020</t>
  </si>
  <si>
    <t>6225-17 Replacement Patio Umbrella Pole 33.5" UNSPSC Code: 56101600   ASIN: B07PPDBGVC</t>
  </si>
  <si>
    <t>6225-16 - Building Repair and Maintenance - pump</t>
  </si>
  <si>
    <t>00503C</t>
  </si>
  <si>
    <t>01406C</t>
  </si>
  <si>
    <t>Community Care</t>
  </si>
  <si>
    <t>6236-1 - Board lunch - ARL, RHoneycutt, Lara Weber</t>
  </si>
  <si>
    <t>6236-1 - BOD Luncheon - New member orienation - ARL, CChadwell &amp; Lora</t>
  </si>
  <si>
    <t>6236-1 - BOD snacks</t>
  </si>
  <si>
    <t>6236-1 - TAAD Conference - HGibbs mileage reimbursement donated to CCC</t>
  </si>
  <si>
    <t>renewal.2021</t>
  </si>
  <si>
    <t>F00003980</t>
  </si>
  <si>
    <t>112863755-1</t>
  </si>
  <si>
    <t>405764</t>
  </si>
  <si>
    <t>6240-19 - subscription renewal - print &amp; digital</t>
  </si>
  <si>
    <t>4035</t>
  </si>
  <si>
    <t>4034</t>
  </si>
  <si>
    <t>XT0000000240</t>
  </si>
  <si>
    <t>2020-126</t>
  </si>
  <si>
    <t>2020-130</t>
  </si>
  <si>
    <t>563</t>
  </si>
  <si>
    <t>7420</t>
  </si>
  <si>
    <t>1212</t>
  </si>
  <si>
    <t>54134112420</t>
  </si>
  <si>
    <t>31590</t>
  </si>
  <si>
    <t>74982</t>
  </si>
  <si>
    <t>4000</t>
  </si>
  <si>
    <t>4041</t>
  </si>
  <si>
    <t>7494</t>
  </si>
  <si>
    <t>32131</t>
  </si>
  <si>
    <t>Aumentum Technologies</t>
  </si>
  <si>
    <t>Hotel &amp; Leisure Advisors, LLC</t>
  </si>
  <si>
    <t>TEAM Consulting</t>
  </si>
  <si>
    <t>Resource Software International Ltd</t>
  </si>
  <si>
    <t>6260-4 - MRA Services - September</t>
  </si>
  <si>
    <t>6260-4 - MRA Services - October</t>
  </si>
  <si>
    <t>6260-4 - MRA Project - 12 hours</t>
  </si>
  <si>
    <t>6260-10 - Retainer Appraisal of Kalahari</t>
  </si>
  <si>
    <t>6260-10 - Retainer Hotel Market Analysis</t>
  </si>
  <si>
    <t>6260-10 - professional services - October Expenses</t>
  </si>
  <si>
    <t>6260-7 - Monthly reporting - November 2020</t>
  </si>
  <si>
    <t>6260-4 - MRA Services - November</t>
  </si>
  <si>
    <t>6260-4 - MRA Services - December</t>
  </si>
  <si>
    <t>6260-10 - professional services - November Expenses</t>
  </si>
  <si>
    <t>6260-10 - Hotel consultation</t>
  </si>
  <si>
    <t>10312020</t>
  </si>
  <si>
    <t>P1-60498601</t>
  </si>
  <si>
    <t>28AR282988</t>
  </si>
  <si>
    <t>70392011</t>
  </si>
  <si>
    <t>070-5302</t>
  </si>
  <si>
    <t>11302020</t>
  </si>
  <si>
    <t>37412266</t>
  </si>
  <si>
    <t>28AR296077</t>
  </si>
  <si>
    <t>37772479</t>
  </si>
  <si>
    <t>12312020</t>
  </si>
  <si>
    <t>070-5395</t>
  </si>
  <si>
    <t>070-5379</t>
  </si>
  <si>
    <t>Cisco Systems Capital Corporation</t>
  </si>
  <si>
    <t>6280-27 - maintenance</t>
  </si>
  <si>
    <t>6280-7 - Cisco Amp for Endpoints 200 devices 3 year contract</t>
  </si>
  <si>
    <t>Assigned Funds - Open Assessment &amp; Assessment Connect 9/29/2020 - 09/30/2021</t>
  </si>
  <si>
    <t>6280-29 - Maintenance - domain name renewal</t>
  </si>
  <si>
    <t>6280-24 - maintenance</t>
  </si>
  <si>
    <t>Assigned Funds - Open Assessment  11/3/2020 - 12/30/2020</t>
  </si>
  <si>
    <t>Assigned Funds - Assessment Connect 11/30/20-12/8/20</t>
  </si>
  <si>
    <t>1820Z</t>
  </si>
  <si>
    <t>202086842</t>
  </si>
  <si>
    <t>DRN3RB</t>
  </si>
  <si>
    <t>1782591785</t>
  </si>
  <si>
    <t>008-025</t>
  </si>
  <si>
    <t>15403</t>
  </si>
  <si>
    <t>QNY38</t>
  </si>
  <si>
    <t>75524</t>
  </si>
  <si>
    <t>88620</t>
  </si>
  <si>
    <t>12302020</t>
  </si>
  <si>
    <t>Visionect Joan</t>
  </si>
  <si>
    <t>Sperry Software, Inc</t>
  </si>
  <si>
    <t>AVTech Software</t>
  </si>
  <si>
    <t>6285-4 - payroll fee</t>
  </si>
  <si>
    <t>6285-8 Sperry Save As PDF Outlook Desktop Add-In SKU: A78482</t>
  </si>
  <si>
    <t>6285-3 - SSL certificate renewal</t>
  </si>
  <si>
    <t>6285-5 - Deed Viewer subscription - Dec 2020</t>
  </si>
  <si>
    <t>Server software</t>
  </si>
  <si>
    <t>6285-9 - maintenance</t>
  </si>
  <si>
    <t>R62882</t>
  </si>
  <si>
    <t>10449463514</t>
  </si>
  <si>
    <t>859495793499</t>
  </si>
  <si>
    <t>8010-4 Server 2019 Data Center 48 core license</t>
  </si>
  <si>
    <t>8010-3 Dell R640 5 year NBD warranty Quote # 3000075037231.1</t>
  </si>
  <si>
    <t>8010-3 Synology RS3618x</t>
  </si>
  <si>
    <t>8010-3 wester digital 14tb ultrastar</t>
  </si>
  <si>
    <t>8010-3 Synology 10gb card e10G17-F2</t>
  </si>
  <si>
    <t>8010-3 Synology Rails</t>
  </si>
  <si>
    <t>8010-3 Synology 16gb memory</t>
  </si>
  <si>
    <t>8010-3 SFP 10gb 2m cable</t>
  </si>
  <si>
    <t>8010-3 Synology Return</t>
  </si>
  <si>
    <t>6310-4 - Reviewed ARB applicants</t>
  </si>
  <si>
    <t>6310-4 - Reviewed ARB Applicants</t>
  </si>
  <si>
    <t>11.2020.1</t>
  </si>
  <si>
    <t>6330-3 Postage</t>
  </si>
  <si>
    <t>6330-3 Postage - late fees</t>
  </si>
  <si>
    <t>4920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</si>
</sst>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00000"/>
    <numFmt numFmtId="168" formatCode="&quot;$&quot;#,##0"/>
    <numFmt numFmtId="169" formatCode="&quot;$&quot;#,##0.000_);[Red]\(&quot;$&quot;#,##0.000\)"/>
    <numFmt numFmtId="170" formatCode="mm/dd/yyyy"/>
    <numFmt numFmtId="171" formatCode="#,##0.00;\-#,##0.00"/>
  </numFmts>
  <fonts count="7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5"/>
      <name val="Calibri"/>
      <family val="2"/>
    </font>
    <font>
      <sz val="11"/>
      <color rgb="FF00B050"/>
      <name val="Calibri"/>
      <family val="2"/>
    </font>
    <font>
      <b/>
      <i/>
      <sz val="8"/>
      <color rgb="FF000000"/>
      <name val="Calibri"/>
      <family val="2"/>
    </font>
    <font>
      <sz val="11"/>
      <color rgb="FF009900"/>
      <name val="Calibri"/>
      <family val="2"/>
    </font>
    <font>
      <sz val="10"/>
      <color rgb="FF000000"/>
      <name val="Arial"/>
      <family val="2"/>
    </font>
    <font>
      <b/>
      <i/>
      <sz val="7"/>
      <color rgb="FF00000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sz val="9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i/>
      <sz val="8"/>
      <color rgb="FF000000"/>
      <name val="Calibri"/>
      <family val="2"/>
    </font>
    <font>
      <b/>
      <i/>
      <sz val="8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trike/>
      <sz val="11"/>
      <color rgb="FF000000"/>
      <name val="Calibri"/>
      <family val="2"/>
    </font>
    <font>
      <b/>
      <sz val="15"/>
      <color rgb="FFFFFFFF"/>
      <name val="Calibri"/>
      <family val="2"/>
    </font>
    <font>
      <sz val="8"/>
      <name val="Calibri"/>
      <family val="2"/>
    </font>
    <font>
      <strike/>
      <sz val="11"/>
      <color rgb="FFFF0000"/>
      <name val="Calibri"/>
      <family val="2"/>
    </font>
    <font>
      <strike/>
      <sz val="11"/>
      <name val="Calibri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sz val="10"/>
      <name val="Calibri"/>
      <family val="2"/>
    </font>
    <font>
      <b/>
      <u/>
      <sz val="8"/>
      <name val="Calibri"/>
      <family val="2"/>
    </font>
    <font>
      <sz val="10"/>
      <color rgb="FF009900"/>
      <name val="Arial"/>
      <family val="2"/>
    </font>
    <font>
      <b/>
      <i/>
      <sz val="8"/>
      <color rgb="FFFF0000"/>
      <name val="Calibri"/>
      <family val="2"/>
    </font>
    <font>
      <b/>
      <sz val="8"/>
      <color rgb="FFFF0000"/>
      <name val="Calibri"/>
      <family val="2"/>
    </font>
    <font>
      <i/>
      <sz val="8"/>
      <name val="Calibri"/>
      <family val="2"/>
    </font>
    <font>
      <b/>
      <strike/>
      <sz val="11"/>
      <name val="Calibri"/>
      <family val="2"/>
    </font>
    <font>
      <b/>
      <strike/>
      <sz val="8"/>
      <name val="Calibri"/>
      <family val="2"/>
    </font>
    <font>
      <sz val="15"/>
      <name val="Calibri"/>
      <family val="2"/>
    </font>
    <font>
      <b/>
      <sz val="7"/>
      <name val="Calibri"/>
      <family val="2"/>
    </font>
    <font>
      <b/>
      <i/>
      <sz val="11"/>
      <color rgb="FFFF0000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sz val="11"/>
      <color rgb="FF0099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8"/>
      <color theme="1"/>
      <name val="Calibri"/>
      <family val="2"/>
    </font>
    <font>
      <sz val="11"/>
      <color theme="0" tint="-0.499984740745262"/>
      <name val="Calibri"/>
      <family val="2"/>
    </font>
    <font>
      <sz val="10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7"/>
      <color rgb="FF000000"/>
      <name val="Calibri"/>
      <family val="2"/>
    </font>
    <font>
      <sz val="7"/>
      <name val="Calibri"/>
      <family val="2"/>
    </font>
    <font>
      <sz val="11"/>
      <color rgb="FF000000"/>
      <name val="Calibri"/>
      <family val="2"/>
    </font>
    <font>
      <b/>
      <strike/>
      <sz val="8"/>
      <color rgb="FF000000"/>
      <name val="Calibri"/>
      <family val="2"/>
    </font>
    <font>
      <strike/>
      <sz val="8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trike/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444444"/>
      <name val="Calibri"/>
      <family val="2"/>
    </font>
    <font>
      <b/>
      <sz val="20"/>
      <color rgb="FF000000"/>
      <name val="Calibri"/>
      <family val="2"/>
    </font>
    <font>
      <b/>
      <sz val="11"/>
      <color theme="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rgb="FF5B9BD5"/>
      </patternFill>
    </fill>
    <fill>
      <patternFill patternType="solid">
        <fgColor theme="2" tint="-0.249977111117893"/>
        <bgColor rgb="FF9CC2E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rgb="FF741B47"/>
      </patternFill>
    </fill>
  </fills>
  <borders count="32">
    <border>
      <left/>
      <right/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DBE5F1"/>
      </left>
      <right style="thin">
        <color rgb="FFDBE5F1"/>
      </right>
      <top style="thin">
        <color rgb="FFDBE5F1"/>
      </top>
      <bottom style="thin">
        <color rgb="FFDBE5F1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75" fillId="0" borderId="7"/>
    <xf numFmtId="0" fontId="76" fillId="0" borderId="7"/>
    <xf numFmtId="0" fontId="77" fillId="0" borderId="7"/>
  </cellStyleXfs>
  <cellXfs count="782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6" fontId="9" fillId="0" borderId="0" xfId="0" applyNumberFormat="1" applyFont="1"/>
    <xf numFmtId="6" fontId="3" fillId="0" borderId="0" xfId="0" applyNumberFormat="1" applyFont="1"/>
    <xf numFmtId="0" fontId="10" fillId="0" borderId="0" xfId="0" applyFont="1"/>
    <xf numFmtId="167" fontId="3" fillId="0" borderId="0" xfId="0" applyNumberFormat="1" applyFont="1" applyAlignment="1">
      <alignment horizontal="left"/>
    </xf>
    <xf numFmtId="6" fontId="0" fillId="0" borderId="0" xfId="0" applyNumberFormat="1" applyAlignment="1">
      <alignment horizontal="right"/>
    </xf>
    <xf numFmtId="167" fontId="12" fillId="0" borderId="0" xfId="0" applyNumberFormat="1" applyFont="1" applyAlignment="1">
      <alignment horizontal="center" vertical="top"/>
    </xf>
    <xf numFmtId="167" fontId="13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center"/>
    </xf>
    <xf numFmtId="10" fontId="9" fillId="0" borderId="0" xfId="0" applyNumberFormat="1" applyFont="1"/>
    <xf numFmtId="0" fontId="14" fillId="0" borderId="0" xfId="0" applyFont="1"/>
    <xf numFmtId="165" fontId="14" fillId="0" borderId="0" xfId="0" applyNumberFormat="1" applyFont="1"/>
    <xf numFmtId="165" fontId="16" fillId="0" borderId="0" xfId="0" applyNumberFormat="1" applyFont="1"/>
    <xf numFmtId="167" fontId="12" fillId="0" borderId="0" xfId="0" applyNumberFormat="1" applyFont="1"/>
    <xf numFmtId="167" fontId="12" fillId="0" borderId="0" xfId="0" applyNumberFormat="1" applyFont="1" applyAlignment="1">
      <alignment horizontal="center"/>
    </xf>
    <xf numFmtId="0" fontId="12" fillId="0" borderId="0" xfId="0" applyFont="1"/>
    <xf numFmtId="6" fontId="12" fillId="0" borderId="0" xfId="0" applyNumberFormat="1" applyFont="1"/>
    <xf numFmtId="0" fontId="17" fillId="0" borderId="0" xfId="0" applyFont="1"/>
    <xf numFmtId="0" fontId="14" fillId="0" borderId="5" xfId="0" applyFont="1" applyBorder="1"/>
    <xf numFmtId="165" fontId="3" fillId="0" borderId="6" xfId="0" applyNumberFormat="1" applyFont="1" applyBorder="1"/>
    <xf numFmtId="165" fontId="14" fillId="0" borderId="6" xfId="0" applyNumberFormat="1" applyFont="1" applyBorder="1"/>
    <xf numFmtId="0" fontId="12" fillId="0" borderId="0" xfId="0" applyFont="1" applyAlignment="1">
      <alignment horizontal="right"/>
    </xf>
    <xf numFmtId="44" fontId="12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8" fontId="3" fillId="0" borderId="0" xfId="0" applyNumberFormat="1" applyFont="1"/>
    <xf numFmtId="167" fontId="14" fillId="0" borderId="0" xfId="0" applyNumberFormat="1" applyFont="1" applyAlignment="1">
      <alignment horizontal="right"/>
    </xf>
    <xf numFmtId="8" fontId="12" fillId="0" borderId="0" xfId="0" applyNumberFormat="1" applyFont="1"/>
    <xf numFmtId="167" fontId="14" fillId="0" borderId="0" xfId="0" applyNumberFormat="1" applyFont="1" applyAlignment="1">
      <alignment horizontal="center"/>
    </xf>
    <xf numFmtId="8" fontId="13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right"/>
    </xf>
    <xf numFmtId="8" fontId="0" fillId="0" borderId="0" xfId="0" applyNumberFormat="1" applyAlignment="1">
      <alignment horizontal="right"/>
    </xf>
    <xf numFmtId="6" fontId="14" fillId="0" borderId="0" xfId="0" applyNumberFormat="1" applyFont="1"/>
    <xf numFmtId="8" fontId="7" fillId="0" borderId="0" xfId="0" applyNumberFormat="1" applyFont="1" applyAlignment="1">
      <alignment horizontal="right"/>
    </xf>
    <xf numFmtId="8" fontId="22" fillId="0" borderId="0" xfId="0" applyNumberFormat="1" applyFont="1"/>
    <xf numFmtId="0" fontId="24" fillId="0" borderId="0" xfId="0" applyFont="1"/>
    <xf numFmtId="167" fontId="14" fillId="0" borderId="0" xfId="0" applyNumberFormat="1" applyFont="1" applyAlignment="1">
      <alignment horizontal="left"/>
    </xf>
    <xf numFmtId="1" fontId="14" fillId="0" borderId="0" xfId="0" applyNumberFormat="1" applyFont="1" applyAlignment="1">
      <alignment horizontal="center"/>
    </xf>
    <xf numFmtId="8" fontId="25" fillId="0" borderId="0" xfId="0" applyNumberFormat="1" applyFont="1"/>
    <xf numFmtId="167" fontId="26" fillId="0" borderId="0" xfId="0" applyNumberFormat="1" applyFont="1"/>
    <xf numFmtId="1" fontId="3" fillId="0" borderId="0" xfId="0" applyNumberFormat="1" applyFont="1" applyAlignment="1">
      <alignment horizontal="center"/>
    </xf>
    <xf numFmtId="8" fontId="12" fillId="0" borderId="0" xfId="0" applyNumberFormat="1" applyFont="1" applyAlignment="1">
      <alignment wrapText="1"/>
    </xf>
    <xf numFmtId="8" fontId="1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8" fontId="0" fillId="0" borderId="0" xfId="0" applyNumberFormat="1"/>
    <xf numFmtId="8" fontId="27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8" fontId="12" fillId="0" borderId="0" xfId="0" applyNumberFormat="1" applyFont="1" applyAlignment="1">
      <alignment horizontal="right"/>
    </xf>
    <xf numFmtId="8" fontId="27" fillId="0" borderId="0" xfId="0" applyNumberFormat="1" applyFont="1"/>
    <xf numFmtId="166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8" fontId="30" fillId="0" borderId="0" xfId="0" applyNumberFormat="1" applyFont="1"/>
    <xf numFmtId="8" fontId="3" fillId="0" borderId="0" xfId="0" applyNumberFormat="1" applyFont="1" applyAlignment="1">
      <alignment vertical="top"/>
    </xf>
    <xf numFmtId="6" fontId="0" fillId="0" borderId="0" xfId="0" applyNumberFormat="1"/>
    <xf numFmtId="166" fontId="0" fillId="0" borderId="0" xfId="0" applyNumberFormat="1" applyAlignment="1">
      <alignment horizontal="center"/>
    </xf>
    <xf numFmtId="1" fontId="35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8" fontId="10" fillId="0" borderId="0" xfId="0" applyNumberFormat="1" applyFont="1"/>
    <xf numFmtId="8" fontId="15" fillId="0" borderId="10" xfId="0" applyNumberFormat="1" applyFont="1" applyBorder="1" applyAlignment="1">
      <alignment horizontal="right"/>
    </xf>
    <xf numFmtId="8" fontId="14" fillId="0" borderId="10" xfId="0" applyNumberFormat="1" applyFont="1" applyBorder="1"/>
    <xf numFmtId="166" fontId="3" fillId="0" borderId="0" xfId="0" applyNumberFormat="1" applyFont="1" applyAlignment="1">
      <alignment horizontal="right"/>
    </xf>
    <xf numFmtId="8" fontId="13" fillId="0" borderId="0" xfId="0" applyNumberFormat="1" applyFont="1" applyAlignment="1">
      <alignment wrapText="1"/>
    </xf>
    <xf numFmtId="8" fontId="27" fillId="0" borderId="0" xfId="0" applyNumberFormat="1" applyFont="1" applyAlignment="1">
      <alignment wrapText="1"/>
    </xf>
    <xf numFmtId="8" fontId="14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8" fontId="10" fillId="0" borderId="0" xfId="0" applyNumberFormat="1" applyFont="1" applyAlignment="1">
      <alignment horizontal="center"/>
    </xf>
    <xf numFmtId="8" fontId="27" fillId="0" borderId="0" xfId="0" applyNumberFormat="1" applyFont="1" applyAlignment="1">
      <alignment horizontal="right" wrapText="1"/>
    </xf>
    <xf numFmtId="1" fontId="27" fillId="0" borderId="0" xfId="0" applyNumberFormat="1" applyFont="1" applyAlignment="1">
      <alignment horizontal="right"/>
    </xf>
    <xf numFmtId="8" fontId="27" fillId="0" borderId="0" xfId="0" applyNumberFormat="1" applyFont="1" applyAlignment="1">
      <alignment vertical="top"/>
    </xf>
    <xf numFmtId="6" fontId="37" fillId="0" borderId="0" xfId="0" applyNumberFormat="1" applyFont="1"/>
    <xf numFmtId="0" fontId="38" fillId="0" borderId="0" xfId="0" applyFont="1"/>
    <xf numFmtId="0" fontId="3" fillId="0" borderId="0" xfId="0" applyFont="1" applyAlignment="1">
      <alignment wrapText="1"/>
    </xf>
    <xf numFmtId="166" fontId="3" fillId="0" borderId="0" xfId="0" applyNumberFormat="1" applyFont="1"/>
    <xf numFmtId="8" fontId="26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6" fontId="14" fillId="0" borderId="10" xfId="0" applyNumberFormat="1" applyFont="1" applyBorder="1"/>
    <xf numFmtId="10" fontId="10" fillId="0" borderId="0" xfId="0" applyNumberFormat="1" applyFont="1"/>
    <xf numFmtId="8" fontId="14" fillId="0" borderId="0" xfId="0" applyNumberFormat="1" applyFont="1"/>
    <xf numFmtId="8" fontId="2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49" fontId="0" fillId="0" borderId="0" xfId="0" applyNumberFormat="1"/>
    <xf numFmtId="170" fontId="0" fillId="0" borderId="0" xfId="0" applyNumberFormat="1"/>
    <xf numFmtId="8" fontId="3" fillId="0" borderId="0" xfId="0" applyNumberFormat="1" applyFont="1" applyAlignment="1">
      <alignment wrapText="1"/>
    </xf>
    <xf numFmtId="171" fontId="0" fillId="0" borderId="0" xfId="0" applyNumberFormat="1"/>
    <xf numFmtId="1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8" fontId="13" fillId="0" borderId="0" xfId="0" applyNumberFormat="1" applyFont="1"/>
    <xf numFmtId="0" fontId="33" fillId="0" borderId="0" xfId="0" applyFont="1"/>
    <xf numFmtId="1" fontId="3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8" fontId="16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left"/>
    </xf>
    <xf numFmtId="8" fontId="3" fillId="0" borderId="0" xfId="0" applyNumberFormat="1" applyFont="1" applyAlignment="1">
      <alignment horizontal="left" wrapText="1"/>
    </xf>
    <xf numFmtId="3" fontId="3" fillId="0" borderId="0" xfId="0" applyNumberFormat="1" applyFont="1"/>
    <xf numFmtId="0" fontId="3" fillId="0" borderId="0" xfId="0" applyFont="1" applyAlignment="1">
      <alignment horizontal="left" wrapText="1"/>
    </xf>
    <xf numFmtId="8" fontId="30" fillId="0" borderId="0" xfId="0" applyNumberFormat="1" applyFont="1" applyAlignment="1">
      <alignment wrapText="1"/>
    </xf>
    <xf numFmtId="37" fontId="3" fillId="0" borderId="0" xfId="0" applyNumberFormat="1" applyFont="1"/>
    <xf numFmtId="8" fontId="29" fillId="0" borderId="0" xfId="0" applyNumberFormat="1" applyFont="1" applyAlignment="1">
      <alignment wrapText="1"/>
    </xf>
    <xf numFmtId="8" fontId="13" fillId="2" borderId="0" xfId="0" applyNumberFormat="1" applyFont="1" applyFill="1"/>
    <xf numFmtId="1" fontId="0" fillId="2" borderId="0" xfId="0" applyNumberFormat="1" applyFill="1"/>
    <xf numFmtId="1" fontId="0" fillId="2" borderId="0" xfId="0" applyNumberFormat="1" applyFill="1" applyAlignment="1">
      <alignment horizontal="right"/>
    </xf>
    <xf numFmtId="8" fontId="0" fillId="2" borderId="0" xfId="0" applyNumberFormat="1" applyFill="1" applyAlignment="1">
      <alignment horizontal="right"/>
    </xf>
    <xf numFmtId="8" fontId="9" fillId="0" borderId="0" xfId="0" applyNumberFormat="1" applyFont="1" applyAlignment="1">
      <alignment horizontal="right"/>
    </xf>
    <xf numFmtId="8" fontId="43" fillId="0" borderId="0" xfId="0" applyNumberFormat="1" applyFont="1" applyAlignment="1">
      <alignment horizontal="left"/>
    </xf>
    <xf numFmtId="8" fontId="43" fillId="0" borderId="0" xfId="0" applyNumberFormat="1" applyFont="1" applyAlignment="1">
      <alignment horizontal="right"/>
    </xf>
    <xf numFmtId="8" fontId="44" fillId="0" borderId="0" xfId="0" applyNumberFormat="1" applyFont="1" applyAlignment="1">
      <alignment horizontal="left" wrapText="1"/>
    </xf>
    <xf numFmtId="38" fontId="3" fillId="0" borderId="0" xfId="0" applyNumberFormat="1" applyFont="1" applyAlignment="1">
      <alignment horizontal="right" wrapText="1"/>
    </xf>
    <xf numFmtId="8" fontId="3" fillId="0" borderId="0" xfId="0" applyNumberFormat="1" applyFont="1" applyAlignment="1">
      <alignment horizontal="right" wrapText="1"/>
    </xf>
    <xf numFmtId="1" fontId="12" fillId="0" borderId="0" xfId="0" applyNumberFormat="1" applyFont="1"/>
    <xf numFmtId="8" fontId="44" fillId="0" borderId="0" xfId="0" applyNumberFormat="1" applyFont="1"/>
    <xf numFmtId="8" fontId="13" fillId="0" borderId="0" xfId="0" applyNumberFormat="1" applyFont="1" applyAlignment="1">
      <alignment vertical="center"/>
    </xf>
    <xf numFmtId="0" fontId="28" fillId="0" borderId="0" xfId="0" applyFont="1"/>
    <xf numFmtId="8" fontId="29" fillId="0" borderId="0" xfId="0" applyNumberFormat="1" applyFont="1" applyAlignment="1">
      <alignment horizontal="left" wrapText="1"/>
    </xf>
    <xf numFmtId="44" fontId="3" fillId="0" borderId="0" xfId="0" applyNumberFormat="1" applyFont="1"/>
    <xf numFmtId="8" fontId="40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8" fontId="0" fillId="2" borderId="0" xfId="0" applyNumberFormat="1" applyFill="1"/>
    <xf numFmtId="8" fontId="30" fillId="0" borderId="0" xfId="0" applyNumberFormat="1" applyFont="1" applyAlignment="1">
      <alignment horizontal="left" wrapText="1"/>
    </xf>
    <xf numFmtId="8" fontId="23" fillId="0" borderId="0" xfId="0" applyNumberFormat="1" applyFont="1" applyAlignment="1">
      <alignment wrapText="1"/>
    </xf>
    <xf numFmtId="6" fontId="9" fillId="5" borderId="0" xfId="0" applyNumberFormat="1" applyFont="1" applyFill="1"/>
    <xf numFmtId="6" fontId="48" fillId="0" borderId="15" xfId="0" applyNumberFormat="1" applyFont="1" applyBorder="1"/>
    <xf numFmtId="6" fontId="9" fillId="2" borderId="12" xfId="0" applyNumberFormat="1" applyFont="1" applyFill="1" applyBorder="1"/>
    <xf numFmtId="10" fontId="48" fillId="0" borderId="0" xfId="0" applyNumberFormat="1" applyFont="1"/>
    <xf numFmtId="10" fontId="48" fillId="5" borderId="0" xfId="0" applyNumberFormat="1" applyFont="1" applyFill="1"/>
    <xf numFmtId="10" fontId="3" fillId="2" borderId="12" xfId="0" applyNumberFormat="1" applyFont="1" applyFill="1" applyBorder="1"/>
    <xf numFmtId="6" fontId="48" fillId="0" borderId="10" xfId="0" applyNumberFormat="1" applyFont="1" applyBorder="1"/>
    <xf numFmtId="6" fontId="48" fillId="2" borderId="15" xfId="0" applyNumberFormat="1" applyFont="1" applyFill="1" applyBorder="1"/>
    <xf numFmtId="6" fontId="14" fillId="0" borderId="9" xfId="0" applyNumberFormat="1" applyFont="1" applyBorder="1" applyAlignment="1">
      <alignment horizontal="right"/>
    </xf>
    <xf numFmtId="6" fontId="12" fillId="0" borderId="9" xfId="0" applyNumberFormat="1" applyFont="1" applyBorder="1"/>
    <xf numFmtId="6" fontId="14" fillId="2" borderId="11" xfId="0" applyNumberFormat="1" applyFont="1" applyFill="1" applyBorder="1"/>
    <xf numFmtId="8" fontId="13" fillId="5" borderId="0" xfId="0" applyNumberFormat="1" applyFont="1" applyFill="1" applyAlignment="1">
      <alignment wrapText="1"/>
    </xf>
    <xf numFmtId="0" fontId="3" fillId="5" borderId="0" xfId="0" applyFont="1" applyFill="1" applyAlignment="1">
      <alignment horizontal="left" wrapText="1"/>
    </xf>
    <xf numFmtId="166" fontId="3" fillId="5" borderId="0" xfId="0" applyNumberFormat="1" applyFont="1" applyFill="1" applyAlignment="1">
      <alignment horizontal="left"/>
    </xf>
    <xf numFmtId="166" fontId="0" fillId="5" borderId="0" xfId="0" applyNumberFormat="1" applyFill="1"/>
    <xf numFmtId="8" fontId="3" fillId="5" borderId="0" xfId="0" applyNumberFormat="1" applyFont="1" applyFill="1" applyAlignment="1">
      <alignment horizontal="right"/>
    </xf>
    <xf numFmtId="8" fontId="7" fillId="5" borderId="0" xfId="0" applyNumberFormat="1" applyFont="1" applyFill="1"/>
    <xf numFmtId="8" fontId="3" fillId="5" borderId="0" xfId="0" applyNumberFormat="1" applyFont="1" applyFill="1"/>
    <xf numFmtId="0" fontId="0" fillId="5" borderId="0" xfId="0" applyFill="1" applyAlignment="1">
      <alignment horizontal="left" wrapText="1"/>
    </xf>
    <xf numFmtId="166" fontId="0" fillId="5" borderId="0" xfId="0" applyNumberFormat="1" applyFill="1" applyAlignment="1">
      <alignment horizontal="left"/>
    </xf>
    <xf numFmtId="166" fontId="0" fillId="5" borderId="0" xfId="0" applyNumberFormat="1" applyFill="1" applyAlignment="1">
      <alignment horizontal="right"/>
    </xf>
    <xf numFmtId="8" fontId="0" fillId="5" borderId="0" xfId="0" applyNumberFormat="1" applyFill="1" applyAlignment="1">
      <alignment horizontal="right"/>
    </xf>
    <xf numFmtId="166" fontId="3" fillId="5" borderId="0" xfId="0" applyNumberFormat="1" applyFont="1" applyFill="1" applyAlignment="1">
      <alignment horizontal="right"/>
    </xf>
    <xf numFmtId="8" fontId="13" fillId="5" borderId="0" xfId="0" applyNumberFormat="1" applyFont="1" applyFill="1"/>
    <xf numFmtId="1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right"/>
    </xf>
    <xf numFmtId="8" fontId="0" fillId="5" borderId="0" xfId="0" applyNumberFormat="1" applyFill="1"/>
    <xf numFmtId="8" fontId="51" fillId="0" borderId="0" xfId="0" applyNumberFormat="1" applyFont="1" applyAlignment="1">
      <alignment wrapText="1"/>
    </xf>
    <xf numFmtId="1" fontId="3" fillId="5" borderId="0" xfId="0" applyNumberFormat="1" applyFont="1" applyFill="1" applyAlignment="1">
      <alignment horizontal="right"/>
    </xf>
    <xf numFmtId="1" fontId="3" fillId="5" borderId="0" xfId="0" applyNumberFormat="1" applyFont="1" applyFill="1"/>
    <xf numFmtId="0" fontId="49" fillId="0" borderId="0" xfId="0" applyFont="1"/>
    <xf numFmtId="0" fontId="50" fillId="0" borderId="0" xfId="0" applyFont="1" applyAlignment="1">
      <alignment horizontal="left" wrapText="1"/>
    </xf>
    <xf numFmtId="8" fontId="13" fillId="5" borderId="0" xfId="0" applyNumberFormat="1" applyFont="1" applyFill="1" applyAlignment="1">
      <alignment vertical="center"/>
    </xf>
    <xf numFmtId="0" fontId="50" fillId="5" borderId="0" xfId="0" applyFont="1" applyFill="1" applyAlignment="1">
      <alignment wrapText="1"/>
    </xf>
    <xf numFmtId="1" fontId="0" fillId="5" borderId="0" xfId="0" applyNumberFormat="1" applyFill="1"/>
    <xf numFmtId="0" fontId="0" fillId="5" borderId="0" xfId="0" applyFill="1" applyAlignment="1">
      <alignment wrapText="1"/>
    </xf>
    <xf numFmtId="1" fontId="3" fillId="5" borderId="0" xfId="0" applyNumberFormat="1" applyFont="1" applyFill="1" applyAlignment="1">
      <alignment horizontal="left"/>
    </xf>
    <xf numFmtId="1" fontId="14" fillId="5" borderId="0" xfId="0" applyNumberFormat="1" applyFont="1" applyFill="1" applyAlignment="1">
      <alignment horizontal="right"/>
    </xf>
    <xf numFmtId="167" fontId="13" fillId="5" borderId="0" xfId="0" applyNumberFormat="1" applyFont="1" applyFill="1" applyAlignment="1">
      <alignment horizontal="right"/>
    </xf>
    <xf numFmtId="1" fontId="32" fillId="5" borderId="0" xfId="0" applyNumberFormat="1" applyFont="1" applyFill="1" applyAlignment="1">
      <alignment horizontal="center"/>
    </xf>
    <xf numFmtId="165" fontId="0" fillId="0" borderId="15" xfId="0" applyNumberFormat="1" applyBorder="1"/>
    <xf numFmtId="165" fontId="0" fillId="0" borderId="0" xfId="2" applyNumberFormat="1" applyFont="1"/>
    <xf numFmtId="43" fontId="0" fillId="0" borderId="0" xfId="1" applyFont="1"/>
    <xf numFmtId="8" fontId="50" fillId="0" borderId="0" xfId="0" applyNumberFormat="1" applyFont="1"/>
    <xf numFmtId="8" fontId="55" fillId="0" borderId="0" xfId="0" applyNumberFormat="1" applyFont="1"/>
    <xf numFmtId="0" fontId="56" fillId="0" borderId="0" xfId="0" applyFont="1"/>
    <xf numFmtId="0" fontId="58" fillId="0" borderId="0" xfId="0" applyFont="1"/>
    <xf numFmtId="0" fontId="59" fillId="0" borderId="0" xfId="0" applyFont="1"/>
    <xf numFmtId="0" fontId="50" fillId="0" borderId="0" xfId="0" applyFont="1" applyAlignment="1">
      <alignment wrapText="1"/>
    </xf>
    <xf numFmtId="8" fontId="0" fillId="5" borderId="0" xfId="0" applyNumberFormat="1" applyFill="1" applyAlignment="1">
      <alignment wrapText="1"/>
    </xf>
    <xf numFmtId="0" fontId="45" fillId="0" borderId="0" xfId="0" applyFont="1"/>
    <xf numFmtId="8" fontId="3" fillId="5" borderId="0" xfId="0" applyNumberFormat="1" applyFont="1" applyFill="1" applyAlignment="1">
      <alignment wrapText="1"/>
    </xf>
    <xf numFmtId="8" fontId="7" fillId="5" borderId="0" xfId="0" applyNumberFormat="1" applyFont="1" applyFill="1" applyAlignment="1">
      <alignment horizontal="right"/>
    </xf>
    <xf numFmtId="8" fontId="13" fillId="5" borderId="7" xfId="0" applyNumberFormat="1" applyFont="1" applyFill="1" applyBorder="1" applyAlignment="1">
      <alignment wrapText="1"/>
    </xf>
    <xf numFmtId="0" fontId="3" fillId="5" borderId="7" xfId="0" applyFont="1" applyFill="1" applyBorder="1" applyAlignment="1">
      <alignment horizontal="left" wrapText="1"/>
    </xf>
    <xf numFmtId="8" fontId="0" fillId="0" borderId="0" xfId="0" applyNumberFormat="1" applyAlignment="1">
      <alignment wrapText="1"/>
    </xf>
    <xf numFmtId="8" fontId="34" fillId="5" borderId="0" xfId="0" applyNumberFormat="1" applyFont="1" applyFill="1"/>
    <xf numFmtId="0" fontId="25" fillId="0" borderId="0" xfId="0" applyFont="1"/>
    <xf numFmtId="1" fontId="31" fillId="5" borderId="0" xfId="0" applyNumberFormat="1" applyFont="1" applyFill="1" applyAlignment="1">
      <alignment horizontal="right"/>
    </xf>
    <xf numFmtId="1" fontId="32" fillId="5" borderId="0" xfId="0" applyNumberFormat="1" applyFont="1" applyFill="1" applyAlignment="1">
      <alignment horizontal="right"/>
    </xf>
    <xf numFmtId="0" fontId="14" fillId="5" borderId="0" xfId="0" applyFont="1" applyFill="1" applyAlignment="1">
      <alignment horizontal="left" wrapText="1"/>
    </xf>
    <xf numFmtId="8" fontId="12" fillId="0" borderId="8" xfId="0" applyNumberFormat="1" applyFont="1" applyBorder="1"/>
    <xf numFmtId="0" fontId="3" fillId="5" borderId="0" xfId="0" applyFont="1" applyFill="1"/>
    <xf numFmtId="8" fontId="2" fillId="5" borderId="0" xfId="0" applyNumberFormat="1" applyFont="1" applyFill="1" applyAlignment="1">
      <alignment vertical="top"/>
    </xf>
    <xf numFmtId="0" fontId="0" fillId="5" borderId="0" xfId="0" applyFill="1"/>
    <xf numFmtId="165" fontId="16" fillId="0" borderId="15" xfId="0" applyNumberFormat="1" applyFont="1" applyBorder="1"/>
    <xf numFmtId="9" fontId="0" fillId="0" borderId="0" xfId="0" applyNumberFormat="1"/>
    <xf numFmtId="164" fontId="0" fillId="0" borderId="0" xfId="3" applyNumberFormat="1" applyFont="1"/>
    <xf numFmtId="164" fontId="0" fillId="0" borderId="0" xfId="0" applyNumberFormat="1"/>
    <xf numFmtId="1" fontId="3" fillId="0" borderId="7" xfId="0" applyNumberFormat="1" applyFont="1" applyBorder="1" applyAlignment="1">
      <alignment horizontal="right"/>
    </xf>
    <xf numFmtId="8" fontId="0" fillId="0" borderId="7" xfId="0" applyNumberFormat="1" applyBorder="1" applyAlignment="1">
      <alignment horizontal="right"/>
    </xf>
    <xf numFmtId="8" fontId="13" fillId="5" borderId="7" xfId="0" applyNumberFormat="1" applyFont="1" applyFill="1" applyBorder="1"/>
    <xf numFmtId="1" fontId="3" fillId="5" borderId="7" xfId="0" applyNumberFormat="1" applyFont="1" applyFill="1" applyBorder="1" applyAlignment="1">
      <alignment horizontal="right"/>
    </xf>
    <xf numFmtId="1" fontId="3" fillId="5" borderId="7" xfId="0" applyNumberFormat="1" applyFont="1" applyFill="1" applyBorder="1" applyAlignment="1">
      <alignment horizontal="left"/>
    </xf>
    <xf numFmtId="8" fontId="0" fillId="5" borderId="7" xfId="0" applyNumberFormat="1" applyFill="1" applyBorder="1" applyAlignment="1">
      <alignment horizontal="right"/>
    </xf>
    <xf numFmtId="0" fontId="50" fillId="5" borderId="7" xfId="0" applyFont="1" applyFill="1" applyBorder="1" applyAlignment="1">
      <alignment wrapText="1"/>
    </xf>
    <xf numFmtId="1" fontId="0" fillId="5" borderId="7" xfId="0" applyNumberFormat="1" applyFill="1" applyBorder="1"/>
    <xf numFmtId="1" fontId="0" fillId="5" borderId="7" xfId="0" applyNumberFormat="1" applyFill="1" applyBorder="1" applyAlignment="1">
      <alignment horizontal="right"/>
    </xf>
    <xf numFmtId="8" fontId="0" fillId="5" borderId="7" xfId="0" applyNumberFormat="1" applyFill="1" applyBorder="1"/>
    <xf numFmtId="8" fontId="0" fillId="0" borderId="7" xfId="0" applyNumberFormat="1" applyBorder="1"/>
    <xf numFmtId="8" fontId="30" fillId="0" borderId="7" xfId="0" applyNumberFormat="1" applyFont="1" applyBorder="1"/>
    <xf numFmtId="0" fontId="20" fillId="0" borderId="0" xfId="0" applyFont="1"/>
    <xf numFmtId="8" fontId="13" fillId="2" borderId="7" xfId="0" applyNumberFormat="1" applyFont="1" applyFill="1" applyBorder="1" applyAlignment="1">
      <alignment wrapText="1"/>
    </xf>
    <xf numFmtId="8" fontId="13" fillId="0" borderId="7" xfId="0" applyNumberFormat="1" applyFont="1" applyBorder="1" applyAlignment="1">
      <alignment wrapText="1"/>
    </xf>
    <xf numFmtId="8" fontId="13" fillId="2" borderId="7" xfId="0" applyNumberFormat="1" applyFont="1" applyFill="1" applyBorder="1"/>
    <xf numFmtId="8" fontId="13" fillId="0" borderId="7" xfId="0" applyNumberFormat="1" applyFont="1" applyBorder="1"/>
    <xf numFmtId="8" fontId="13" fillId="0" borderId="7" xfId="0" applyNumberFormat="1" applyFont="1" applyBorder="1" applyAlignment="1">
      <alignment vertical="center"/>
    </xf>
    <xf numFmtId="8" fontId="6" fillId="0" borderId="0" xfId="0" applyNumberFormat="1" applyFont="1" applyAlignment="1">
      <alignment wrapText="1"/>
    </xf>
    <xf numFmtId="8" fontId="3" fillId="0" borderId="15" xfId="0" applyNumberFormat="1" applyFont="1" applyBorder="1"/>
    <xf numFmtId="8" fontId="34" fillId="0" borderId="0" xfId="0" applyNumberFormat="1" applyFont="1" applyAlignment="1">
      <alignment wrapText="1"/>
    </xf>
    <xf numFmtId="8" fontId="34" fillId="0" borderId="0" xfId="0" applyNumberFormat="1" applyFont="1"/>
    <xf numFmtId="8" fontId="34" fillId="2" borderId="7" xfId="0" applyNumberFormat="1" applyFont="1" applyFill="1" applyBorder="1"/>
    <xf numFmtId="8" fontId="2" fillId="0" borderId="0" xfId="0" applyNumberFormat="1" applyFont="1" applyAlignment="1">
      <alignment vertical="top"/>
    </xf>
    <xf numFmtId="165" fontId="0" fillId="5" borderId="7" xfId="0" applyNumberFormat="1" applyFill="1" applyBorder="1"/>
    <xf numFmtId="165" fontId="0" fillId="2" borderId="7" xfId="0" applyNumberFormat="1" applyFill="1" applyBorder="1"/>
    <xf numFmtId="165" fontId="0" fillId="0" borderId="7" xfId="0" applyNumberFormat="1" applyBorder="1"/>
    <xf numFmtId="165" fontId="0" fillId="2" borderId="4" xfId="0" applyNumberFormat="1" applyFill="1" applyBorder="1"/>
    <xf numFmtId="44" fontId="3" fillId="2" borderId="7" xfId="0" applyNumberFormat="1" applyFont="1" applyFill="1" applyBorder="1"/>
    <xf numFmtId="165" fontId="14" fillId="2" borderId="4" xfId="0" applyNumberFormat="1" applyFont="1" applyFill="1" applyBorder="1"/>
    <xf numFmtId="165" fontId="2" fillId="0" borderId="7" xfId="0" applyNumberFormat="1" applyFont="1" applyBorder="1"/>
    <xf numFmtId="42" fontId="2" fillId="2" borderId="7" xfId="0" applyNumberFormat="1" applyFont="1" applyFill="1" applyBorder="1"/>
    <xf numFmtId="165" fontId="3" fillId="0" borderId="15" xfId="0" applyNumberFormat="1" applyFont="1" applyBorder="1"/>
    <xf numFmtId="166" fontId="3" fillId="5" borderId="0" xfId="0" applyNumberFormat="1" applyFont="1" applyFill="1" applyAlignment="1">
      <alignment horizontal="center"/>
    </xf>
    <xf numFmtId="8" fontId="36" fillId="5" borderId="0" xfId="0" applyNumberFormat="1" applyFont="1" applyFill="1" applyAlignment="1">
      <alignment vertical="top"/>
    </xf>
    <xf numFmtId="0" fontId="3" fillId="0" borderId="7" xfId="0" applyFont="1" applyBorder="1" applyAlignment="1">
      <alignment horizontal="left" wrapText="1"/>
    </xf>
    <xf numFmtId="166" fontId="3" fillId="0" borderId="7" xfId="0" applyNumberFormat="1" applyFont="1" applyBorder="1" applyAlignment="1">
      <alignment horizontal="left"/>
    </xf>
    <xf numFmtId="166" fontId="3" fillId="0" borderId="7" xfId="0" applyNumberFormat="1" applyFont="1" applyBorder="1" applyAlignment="1">
      <alignment horizontal="right"/>
    </xf>
    <xf numFmtId="8" fontId="3" fillId="0" borderId="7" xfId="0" applyNumberFormat="1" applyFont="1" applyBorder="1" applyAlignment="1">
      <alignment horizontal="right"/>
    </xf>
    <xf numFmtId="8" fontId="3" fillId="0" borderId="7" xfId="0" applyNumberFormat="1" applyFont="1" applyBorder="1"/>
    <xf numFmtId="0" fontId="1" fillId="8" borderId="1" xfId="0" applyFont="1" applyFill="1" applyBorder="1" applyAlignment="1">
      <alignment horizontal="center"/>
    </xf>
    <xf numFmtId="44" fontId="1" fillId="8" borderId="2" xfId="0" applyNumberFormat="1" applyFont="1" applyFill="1" applyBorder="1" applyAlignment="1">
      <alignment horizontal="center" wrapText="1"/>
    </xf>
    <xf numFmtId="164" fontId="1" fillId="8" borderId="3" xfId="0" applyNumberFormat="1" applyFont="1" applyFill="1" applyBorder="1" applyAlignment="1">
      <alignment horizontal="center"/>
    </xf>
    <xf numFmtId="8" fontId="50" fillId="0" borderId="0" xfId="0" applyNumberFormat="1" applyFont="1" applyAlignment="1">
      <alignment wrapText="1"/>
    </xf>
    <xf numFmtId="8" fontId="51" fillId="5" borderId="0" xfId="0" applyNumberFormat="1" applyFont="1" applyFill="1" applyAlignment="1">
      <alignment wrapText="1"/>
    </xf>
    <xf numFmtId="8" fontId="3" fillId="5" borderId="0" xfId="0" applyNumberFormat="1" applyFont="1" applyFill="1" applyAlignment="1">
      <alignment horizontal="left" wrapText="1"/>
    </xf>
    <xf numFmtId="8" fontId="50" fillId="5" borderId="0" xfId="0" applyNumberFormat="1" applyFont="1" applyFill="1"/>
    <xf numFmtId="1" fontId="3" fillId="0" borderId="7" xfId="0" applyNumberFormat="1" applyFont="1" applyBorder="1"/>
    <xf numFmtId="8" fontId="4" fillId="8" borderId="7" xfId="0" applyNumberFormat="1" applyFont="1" applyFill="1" applyBorder="1" applyAlignment="1">
      <alignment horizontal="center"/>
    </xf>
    <xf numFmtId="0" fontId="3" fillId="5" borderId="7" xfId="0" applyFont="1" applyFill="1" applyBorder="1"/>
    <xf numFmtId="165" fontId="3" fillId="5" borderId="7" xfId="0" applyNumberFormat="1" applyFont="1" applyFill="1" applyBorder="1"/>
    <xf numFmtId="10" fontId="7" fillId="5" borderId="7" xfId="0" applyNumberFormat="1" applyFont="1" applyFill="1" applyBorder="1"/>
    <xf numFmtId="10" fontId="7" fillId="0" borderId="7" xfId="0" applyNumberFormat="1" applyFont="1" applyBorder="1"/>
    <xf numFmtId="0" fontId="3" fillId="2" borderId="7" xfId="0" applyFont="1" applyFill="1" applyBorder="1"/>
    <xf numFmtId="165" fontId="3" fillId="2" borderId="7" xfId="0" applyNumberFormat="1" applyFont="1" applyFill="1" applyBorder="1"/>
    <xf numFmtId="0" fontId="3" fillId="0" borderId="7" xfId="0" applyFont="1" applyBorder="1"/>
    <xf numFmtId="165" fontId="3" fillId="0" borderId="7" xfId="0" applyNumberFormat="1" applyFont="1" applyBorder="1"/>
    <xf numFmtId="165" fontId="3" fillId="2" borderId="4" xfId="0" applyNumberFormat="1" applyFont="1" applyFill="1" applyBorder="1"/>
    <xf numFmtId="10" fontId="15" fillId="0" borderId="16" xfId="0" applyNumberFormat="1" applyFont="1" applyBorder="1"/>
    <xf numFmtId="10" fontId="7" fillId="2" borderId="7" xfId="0" applyNumberFormat="1" applyFont="1" applyFill="1" applyBorder="1"/>
    <xf numFmtId="0" fontId="14" fillId="2" borderId="7" xfId="0" applyFont="1" applyFill="1" applyBorder="1"/>
    <xf numFmtId="165" fontId="14" fillId="6" borderId="4" xfId="0" applyNumberFormat="1" applyFont="1" applyFill="1" applyBorder="1"/>
    <xf numFmtId="10" fontId="15" fillId="2" borderId="13" xfId="0" applyNumberFormat="1" applyFont="1" applyFill="1" applyBorder="1"/>
    <xf numFmtId="0" fontId="18" fillId="0" borderId="7" xfId="0" applyFont="1" applyBorder="1"/>
    <xf numFmtId="6" fontId="9" fillId="2" borderId="7" xfId="0" applyNumberFormat="1" applyFont="1" applyFill="1" applyBorder="1"/>
    <xf numFmtId="165" fontId="2" fillId="2" borderId="7" xfId="0" applyNumberFormat="1" applyFont="1" applyFill="1" applyBorder="1"/>
    <xf numFmtId="10" fontId="15" fillId="0" borderId="14" xfId="0" applyNumberFormat="1" applyFont="1" applyBorder="1"/>
    <xf numFmtId="0" fontId="5" fillId="8" borderId="7" xfId="0" applyFont="1" applyFill="1" applyBorder="1"/>
    <xf numFmtId="8" fontId="4" fillId="8" borderId="7" xfId="0" applyNumberFormat="1" applyFont="1" applyFill="1" applyBorder="1" applyAlignment="1">
      <alignment horizontal="center" wrapText="1"/>
    </xf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0" fontId="10" fillId="2" borderId="7" xfId="0" applyFont="1" applyFill="1" applyBorder="1"/>
    <xf numFmtId="167" fontId="0" fillId="2" borderId="7" xfId="0" applyNumberFormat="1" applyFill="1" applyBorder="1" applyAlignment="1">
      <alignment horizontal="left"/>
    </xf>
    <xf numFmtId="167" fontId="0" fillId="2" borderId="7" xfId="0" applyNumberFormat="1" applyFill="1" applyBorder="1" applyAlignment="1">
      <alignment horizontal="center"/>
    </xf>
    <xf numFmtId="0" fontId="11" fillId="2" borderId="7" xfId="0" applyFont="1" applyFill="1" applyBorder="1"/>
    <xf numFmtId="167" fontId="0" fillId="2" borderId="7" xfId="0" applyNumberFormat="1" applyFill="1" applyBorder="1"/>
    <xf numFmtId="6" fontId="0" fillId="2" borderId="7" xfId="0" applyNumberFormat="1" applyFill="1" applyBorder="1"/>
    <xf numFmtId="0" fontId="20" fillId="2" borderId="7" xfId="0" applyFont="1" applyFill="1" applyBorder="1"/>
    <xf numFmtId="167" fontId="3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center"/>
    </xf>
    <xf numFmtId="6" fontId="14" fillId="0" borderId="11" xfId="0" applyNumberFormat="1" applyFont="1" applyBorder="1"/>
    <xf numFmtId="0" fontId="17" fillId="0" borderId="0" xfId="0" applyFont="1" applyAlignment="1">
      <alignment horizontal="center"/>
    </xf>
    <xf numFmtId="6" fontId="9" fillId="0" borderId="7" xfId="0" applyNumberFormat="1" applyFont="1" applyBorder="1"/>
    <xf numFmtId="167" fontId="50" fillId="2" borderId="7" xfId="0" applyNumberFormat="1" applyFont="1" applyFill="1" applyBorder="1" applyAlignment="1">
      <alignment horizontal="left"/>
    </xf>
    <xf numFmtId="6" fontId="0" fillId="2" borderId="4" xfId="0" applyNumberFormat="1" applyFill="1" applyBorder="1"/>
    <xf numFmtId="6" fontId="48" fillId="0" borderId="7" xfId="0" applyNumberFormat="1" applyFont="1" applyBorder="1"/>
    <xf numFmtId="167" fontId="17" fillId="0" borderId="0" xfId="0" applyNumberFormat="1" applyFont="1"/>
    <xf numFmtId="167" fontId="17" fillId="0" borderId="0" xfId="0" applyNumberFormat="1" applyFont="1" applyAlignment="1">
      <alignment horizontal="center"/>
    </xf>
    <xf numFmtId="0" fontId="0" fillId="2" borderId="7" xfId="0" applyFill="1" applyBorder="1"/>
    <xf numFmtId="6" fontId="3" fillId="2" borderId="7" xfId="0" applyNumberFormat="1" applyFont="1" applyFill="1" applyBorder="1"/>
    <xf numFmtId="0" fontId="8" fillId="2" borderId="7" xfId="0" applyFont="1" applyFill="1" applyBorder="1"/>
    <xf numFmtId="6" fontId="3" fillId="2" borderId="4" xfId="0" applyNumberFormat="1" applyFont="1" applyFill="1" applyBorder="1"/>
    <xf numFmtId="167" fontId="26" fillId="2" borderId="7" xfId="0" applyNumberFormat="1" applyFont="1" applyFill="1" applyBorder="1"/>
    <xf numFmtId="167" fontId="3" fillId="2" borderId="7" xfId="0" applyNumberFormat="1" applyFont="1" applyFill="1" applyBorder="1" applyAlignment="1">
      <alignment horizontal="left"/>
    </xf>
    <xf numFmtId="1" fontId="3" fillId="2" borderId="7" xfId="0" applyNumberFormat="1" applyFont="1" applyFill="1" applyBorder="1" applyAlignment="1">
      <alignment horizontal="center"/>
    </xf>
    <xf numFmtId="0" fontId="3" fillId="9" borderId="7" xfId="0" applyFont="1" applyFill="1" applyBorder="1"/>
    <xf numFmtId="0" fontId="3" fillId="9" borderId="7" xfId="0" applyFont="1" applyFill="1" applyBorder="1" applyAlignment="1">
      <alignment horizontal="center"/>
    </xf>
    <xf numFmtId="167" fontId="35" fillId="0" borderId="0" xfId="0" applyNumberFormat="1" applyFont="1"/>
    <xf numFmtId="165" fontId="14" fillId="0" borderId="11" xfId="0" applyNumberFormat="1" applyFont="1" applyBorder="1"/>
    <xf numFmtId="8" fontId="29" fillId="0" borderId="7" xfId="0" applyNumberFormat="1" applyFon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center"/>
    </xf>
    <xf numFmtId="0" fontId="58" fillId="2" borderId="7" xfId="0" applyFont="1" applyFill="1" applyBorder="1"/>
    <xf numFmtId="167" fontId="23" fillId="2" borderId="7" xfId="0" applyNumberFormat="1" applyFont="1" applyFill="1" applyBorder="1"/>
    <xf numFmtId="167" fontId="23" fillId="2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/>
    <xf numFmtId="6" fontId="14" fillId="2" borderId="7" xfId="0" applyNumberFormat="1" applyFont="1" applyFill="1" applyBorder="1" applyAlignment="1">
      <alignment horizontal="right"/>
    </xf>
    <xf numFmtId="167" fontId="23" fillId="0" borderId="0" xfId="0" applyNumberFormat="1" applyFont="1"/>
    <xf numFmtId="8" fontId="10" fillId="2" borderId="7" xfId="0" applyNumberFormat="1" applyFont="1" applyFill="1" applyBorder="1"/>
    <xf numFmtId="6" fontId="12" fillId="2" borderId="7" xfId="0" applyNumberFormat="1" applyFont="1" applyFill="1" applyBorder="1"/>
    <xf numFmtId="8" fontId="10" fillId="2" borderId="7" xfId="0" applyNumberFormat="1" applyFont="1" applyFill="1" applyBorder="1" applyAlignment="1">
      <alignment horizontal="center"/>
    </xf>
    <xf numFmtId="6" fontId="27" fillId="0" borderId="11" xfId="0" applyNumberFormat="1" applyFont="1" applyBorder="1"/>
    <xf numFmtId="0" fontId="10" fillId="2" borderId="7" xfId="0" applyFont="1" applyFill="1" applyBorder="1" applyAlignment="1">
      <alignment horizontal="right"/>
    </xf>
    <xf numFmtId="167" fontId="13" fillId="2" borderId="7" xfId="0" applyNumberFormat="1" applyFont="1" applyFill="1" applyBorder="1" applyAlignment="1">
      <alignment horizontal="right"/>
    </xf>
    <xf numFmtId="167" fontId="13" fillId="2" borderId="7" xfId="0" applyNumberFormat="1" applyFont="1" applyFill="1" applyBorder="1" applyAlignment="1">
      <alignment horizontal="center"/>
    </xf>
    <xf numFmtId="167" fontId="17" fillId="0" borderId="0" xfId="0" applyNumberFormat="1" applyFont="1" applyAlignment="1">
      <alignment horizontal="left"/>
    </xf>
    <xf numFmtId="10" fontId="3" fillId="2" borderId="4" xfId="0" applyNumberFormat="1" applyFont="1" applyFill="1" applyBorder="1"/>
    <xf numFmtId="5" fontId="3" fillId="0" borderId="7" xfId="0" applyNumberFormat="1" applyFont="1" applyBorder="1"/>
    <xf numFmtId="1" fontId="4" fillId="8" borderId="7" xfId="0" applyNumberFormat="1" applyFont="1" applyFill="1" applyBorder="1" applyAlignment="1">
      <alignment horizontal="center" wrapText="1"/>
    </xf>
    <xf numFmtId="8" fontId="52" fillId="8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  <xf numFmtId="166" fontId="3" fillId="2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right"/>
    </xf>
    <xf numFmtId="8" fontId="3" fillId="2" borderId="7" xfId="0" applyNumberFormat="1" applyFont="1" applyFill="1" applyBorder="1" applyAlignment="1">
      <alignment horizontal="right"/>
    </xf>
    <xf numFmtId="8" fontId="3" fillId="2" borderId="7" xfId="0" applyNumberFormat="1" applyFont="1" applyFill="1" applyBorder="1"/>
    <xf numFmtId="166" fontId="3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166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right"/>
    </xf>
    <xf numFmtId="10" fontId="14" fillId="0" borderId="0" xfId="0" applyNumberFormat="1" applyFont="1" applyAlignment="1">
      <alignment horizontal="right"/>
    </xf>
    <xf numFmtId="8" fontId="14" fillId="0" borderId="15" xfId="0" applyNumberFormat="1" applyFont="1" applyBorder="1"/>
    <xf numFmtId="8" fontId="14" fillId="0" borderId="11" xfId="0" applyNumberFormat="1" applyFont="1" applyBorder="1"/>
    <xf numFmtId="0" fontId="0" fillId="5" borderId="7" xfId="0" applyFill="1" applyBorder="1" applyAlignment="1">
      <alignment horizontal="left" wrapText="1"/>
    </xf>
    <xf numFmtId="8" fontId="3" fillId="5" borderId="7" xfId="0" applyNumberFormat="1" applyFont="1" applyFill="1" applyBorder="1"/>
    <xf numFmtId="0" fontId="0" fillId="2" borderId="7" xfId="0" applyFill="1" applyBorder="1" applyAlignment="1">
      <alignment wrapText="1"/>
    </xf>
    <xf numFmtId="166" fontId="0" fillId="2" borderId="7" xfId="0" applyNumberFormat="1" applyFill="1" applyBorder="1"/>
    <xf numFmtId="8" fontId="0" fillId="2" borderId="7" xfId="0" applyNumberFormat="1" applyFill="1" applyBorder="1" applyAlignment="1">
      <alignment horizontal="right"/>
    </xf>
    <xf numFmtId="166" fontId="3" fillId="2" borderId="7" xfId="0" applyNumberFormat="1" applyFont="1" applyFill="1" applyBorder="1"/>
    <xf numFmtId="166" fontId="0" fillId="0" borderId="7" xfId="0" applyNumberFormat="1" applyBorder="1" applyAlignment="1">
      <alignment horizontal="left"/>
    </xf>
    <xf numFmtId="0" fontId="0" fillId="0" borderId="7" xfId="0" applyBorder="1" applyAlignment="1">
      <alignment wrapText="1"/>
    </xf>
    <xf numFmtId="0" fontId="0" fillId="4" borderId="7" xfId="0" applyFill="1" applyBorder="1"/>
    <xf numFmtId="8" fontId="39" fillId="5" borderId="7" xfId="0" applyNumberFormat="1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166" fontId="3" fillId="5" borderId="7" xfId="0" applyNumberFormat="1" applyFont="1" applyFill="1" applyBorder="1"/>
    <xf numFmtId="166" fontId="3" fillId="5" borderId="7" xfId="0" applyNumberFormat="1" applyFont="1" applyFill="1" applyBorder="1" applyAlignment="1">
      <alignment horizontal="right"/>
    </xf>
    <xf numFmtId="8" fontId="3" fillId="5" borderId="7" xfId="0" applyNumberFormat="1" applyFont="1" applyFill="1" applyBorder="1" applyAlignment="1">
      <alignment horizontal="right"/>
    </xf>
    <xf numFmtId="166" fontId="3" fillId="5" borderId="7" xfId="0" applyNumberFormat="1" applyFont="1" applyFill="1" applyBorder="1" applyAlignment="1">
      <alignment horizontal="left"/>
    </xf>
    <xf numFmtId="8" fontId="3" fillId="0" borderId="7" xfId="0" applyNumberFormat="1" applyFont="1" applyBorder="1" applyAlignment="1">
      <alignment wrapText="1"/>
    </xf>
    <xf numFmtId="8" fontId="27" fillId="0" borderId="11" xfId="0" applyNumberFormat="1" applyFont="1" applyBorder="1"/>
    <xf numFmtId="1" fontId="3" fillId="2" borderId="7" xfId="0" applyNumberFormat="1" applyFont="1" applyFill="1" applyBorder="1" applyAlignment="1">
      <alignment horizontal="right"/>
    </xf>
    <xf numFmtId="8" fontId="0" fillId="2" borderId="7" xfId="0" applyNumberFormat="1" applyFill="1" applyBorder="1"/>
    <xf numFmtId="8" fontId="20" fillId="0" borderId="0" xfId="0" applyNumberFormat="1" applyFont="1" applyAlignment="1">
      <alignment wrapText="1"/>
    </xf>
    <xf numFmtId="8" fontId="20" fillId="5" borderId="0" xfId="0" applyNumberFormat="1" applyFont="1" applyFill="1" applyAlignment="1">
      <alignment wrapText="1"/>
    </xf>
    <xf numFmtId="1" fontId="0" fillId="0" borderId="7" xfId="0" applyNumberFormat="1" applyBorder="1" applyAlignment="1">
      <alignment horizontal="right"/>
    </xf>
    <xf numFmtId="1" fontId="3" fillId="0" borderId="7" xfId="0" applyNumberFormat="1" applyFont="1" applyBorder="1" applyAlignment="1">
      <alignment horizontal="center"/>
    </xf>
    <xf numFmtId="8" fontId="3" fillId="5" borderId="7" xfId="0" applyNumberFormat="1" applyFont="1" applyFill="1" applyBorder="1" applyAlignment="1">
      <alignment wrapText="1"/>
    </xf>
    <xf numFmtId="1" fontId="3" fillId="5" borderId="7" xfId="0" applyNumberFormat="1" applyFont="1" applyFill="1" applyBorder="1"/>
    <xf numFmtId="0" fontId="3" fillId="5" borderId="7" xfId="0" applyFont="1" applyFill="1" applyBorder="1" applyAlignment="1">
      <alignment horizontal="left"/>
    </xf>
    <xf numFmtId="8" fontId="16" fillId="0" borderId="11" xfId="0" applyNumberFormat="1" applyFont="1" applyBorder="1"/>
    <xf numFmtId="1" fontId="0" fillId="0" borderId="7" xfId="0" applyNumberFormat="1" applyBorder="1" applyAlignment="1">
      <alignment horizontal="left"/>
    </xf>
    <xf numFmtId="0" fontId="3" fillId="5" borderId="7" xfId="0" applyFont="1" applyFill="1" applyBorder="1" applyAlignment="1">
      <alignment horizontal="right"/>
    </xf>
    <xf numFmtId="3" fontId="3" fillId="5" borderId="7" xfId="0" applyNumberFormat="1" applyFont="1" applyFill="1" applyBorder="1" applyAlignment="1">
      <alignment horizontal="right"/>
    </xf>
    <xf numFmtId="8" fontId="3" fillId="5" borderId="7" xfId="0" applyNumberFormat="1" applyFont="1" applyFill="1" applyBorder="1" applyAlignment="1">
      <alignment horizontal="right" vertical="top"/>
    </xf>
    <xf numFmtId="0" fontId="0" fillId="5" borderId="7" xfId="0" applyFill="1" applyBorder="1" applyAlignment="1">
      <alignment wrapText="1"/>
    </xf>
    <xf numFmtId="0" fontId="3" fillId="0" borderId="7" xfId="0" applyFont="1" applyBorder="1" applyAlignment="1">
      <alignment wrapText="1"/>
    </xf>
    <xf numFmtId="8" fontId="29" fillId="3" borderId="7" xfId="0" applyNumberFormat="1" applyFont="1" applyFill="1" applyBorder="1" applyAlignment="1">
      <alignment horizontal="left" wrapText="1"/>
    </xf>
    <xf numFmtId="8" fontId="6" fillId="3" borderId="7" xfId="0" applyNumberFormat="1" applyFont="1" applyFill="1" applyBorder="1" applyAlignment="1">
      <alignment horizontal="left" wrapText="1"/>
    </xf>
    <xf numFmtId="0" fontId="0" fillId="3" borderId="7" xfId="0" applyFill="1" applyBorder="1"/>
    <xf numFmtId="0" fontId="50" fillId="2" borderId="7" xfId="0" applyFont="1" applyFill="1" applyBorder="1" applyAlignment="1">
      <alignment horizontal="left" wrapText="1"/>
    </xf>
    <xf numFmtId="1" fontId="0" fillId="2" borderId="7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right"/>
    </xf>
    <xf numFmtId="8" fontId="54" fillId="6" borderId="7" xfId="0" applyNumberFormat="1" applyFont="1" applyFill="1" applyBorder="1" applyAlignment="1">
      <alignment wrapText="1"/>
    </xf>
    <xf numFmtId="0" fontId="50" fillId="6" borderId="7" xfId="0" applyFont="1" applyFill="1" applyBorder="1" applyAlignment="1">
      <alignment horizontal="left" wrapText="1"/>
    </xf>
    <xf numFmtId="1" fontId="0" fillId="6" borderId="7" xfId="0" applyNumberFormat="1" applyFill="1" applyBorder="1" applyAlignment="1">
      <alignment horizontal="left"/>
    </xf>
    <xf numFmtId="3" fontId="3" fillId="6" borderId="7" xfId="0" applyNumberFormat="1" applyFont="1" applyFill="1" applyBorder="1"/>
    <xf numFmtId="1" fontId="0" fillId="6" borderId="7" xfId="0" applyNumberFormat="1" applyFill="1" applyBorder="1" applyAlignment="1">
      <alignment horizontal="right"/>
    </xf>
    <xf numFmtId="8" fontId="0" fillId="6" borderId="7" xfId="0" applyNumberFormat="1" applyFill="1" applyBorder="1" applyAlignment="1">
      <alignment horizontal="right"/>
    </xf>
    <xf numFmtId="8" fontId="3" fillId="6" borderId="7" xfId="0" applyNumberFormat="1" applyFont="1" applyFill="1" applyBorder="1"/>
    <xf numFmtId="8" fontId="30" fillId="2" borderId="7" xfId="0" applyNumberFormat="1" applyFont="1" applyFill="1" applyBorder="1"/>
    <xf numFmtId="1" fontId="3" fillId="2" borderId="7" xfId="0" applyNumberFormat="1" applyFont="1" applyFill="1" applyBorder="1" applyAlignment="1">
      <alignment horizontal="left"/>
    </xf>
    <xf numFmtId="1" fontId="0" fillId="0" borderId="7" xfId="0" applyNumberFormat="1" applyBorder="1"/>
    <xf numFmtId="8" fontId="30" fillId="5" borderId="7" xfId="0" applyNumberFormat="1" applyFont="1" applyFill="1" applyBorder="1"/>
    <xf numFmtId="1" fontId="0" fillId="2" borderId="7" xfId="0" applyNumberFormat="1" applyFill="1" applyBorder="1"/>
    <xf numFmtId="1" fontId="3" fillId="2" borderId="7" xfId="0" applyNumberFormat="1" applyFont="1" applyFill="1" applyBorder="1"/>
    <xf numFmtId="8" fontId="44" fillId="0" borderId="7" xfId="0" applyNumberFormat="1" applyFont="1" applyBorder="1"/>
    <xf numFmtId="8" fontId="50" fillId="0" borderId="7" xfId="0" applyNumberFormat="1" applyFont="1" applyBorder="1" applyAlignment="1">
      <alignment horizontal="right"/>
    </xf>
    <xf numFmtId="1" fontId="14" fillId="0" borderId="7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8" fontId="44" fillId="5" borderId="0" xfId="0" applyNumberFormat="1" applyFont="1" applyFill="1" applyAlignment="1">
      <alignment horizontal="left" wrapText="1"/>
    </xf>
    <xf numFmtId="8" fontId="51" fillId="2" borderId="7" xfId="0" applyNumberFormat="1" applyFont="1" applyFill="1" applyBorder="1"/>
    <xf numFmtId="0" fontId="50" fillId="2" borderId="7" xfId="0" applyFont="1" applyFill="1" applyBorder="1"/>
    <xf numFmtId="8" fontId="14" fillId="0" borderId="11" xfId="0" applyNumberFormat="1" applyFont="1" applyBorder="1" applyAlignment="1">
      <alignment horizontal="right"/>
    </xf>
    <xf numFmtId="0" fontId="0" fillId="2" borderId="7" xfId="0" applyFill="1" applyBorder="1" applyAlignment="1">
      <alignment horizontal="left" wrapText="1"/>
    </xf>
    <xf numFmtId="0" fontId="3" fillId="2" borderId="7" xfId="0" applyFont="1" applyFill="1" applyBorder="1" applyAlignment="1">
      <alignment wrapText="1"/>
    </xf>
    <xf numFmtId="1" fontId="15" fillId="5" borderId="7" xfId="0" applyNumberFormat="1" applyFont="1" applyFill="1" applyBorder="1" applyAlignment="1">
      <alignment horizontal="right"/>
    </xf>
    <xf numFmtId="8" fontId="0" fillId="5" borderId="7" xfId="0" applyNumberFormat="1" applyFill="1" applyBorder="1" applyAlignment="1">
      <alignment wrapText="1"/>
    </xf>
    <xf numFmtId="1" fontId="28" fillId="0" borderId="7" xfId="0" applyNumberFormat="1" applyFont="1" applyBorder="1"/>
    <xf numFmtId="8" fontId="3" fillId="2" borderId="0" xfId="0" applyNumberFormat="1" applyFont="1" applyFill="1"/>
    <xf numFmtId="8" fontId="0" fillId="2" borderId="7" xfId="0" applyNumberFormat="1" applyFill="1" applyBorder="1" applyAlignment="1">
      <alignment wrapText="1"/>
    </xf>
    <xf numFmtId="8" fontId="0" fillId="0" borderId="7" xfId="0" applyNumberFormat="1" applyBorder="1" applyAlignment="1">
      <alignment wrapText="1"/>
    </xf>
    <xf numFmtId="10" fontId="3" fillId="0" borderId="0" xfId="0" applyNumberFormat="1" applyFont="1" applyAlignment="1">
      <alignment horizontal="right"/>
    </xf>
    <xf numFmtId="8" fontId="44" fillId="0" borderId="0" xfId="0" quotePrefix="1" applyNumberFormat="1" applyFont="1"/>
    <xf numFmtId="8" fontId="25" fillId="2" borderId="7" xfId="0" applyNumberFormat="1" applyFont="1" applyFill="1" applyBorder="1"/>
    <xf numFmtId="0" fontId="21" fillId="8" borderId="7" xfId="0" applyFont="1" applyFill="1" applyBorder="1"/>
    <xf numFmtId="0" fontId="4" fillId="8" borderId="7" xfId="0" applyFont="1" applyFill="1" applyBorder="1" applyAlignment="1">
      <alignment horizontal="center" wrapText="1"/>
    </xf>
    <xf numFmtId="8" fontId="7" fillId="2" borderId="7" xfId="0" applyNumberFormat="1" applyFont="1" applyFill="1" applyBorder="1" applyAlignment="1">
      <alignment horizontal="right"/>
    </xf>
    <xf numFmtId="10" fontId="33" fillId="0" borderId="0" xfId="0" applyNumberFormat="1" applyFont="1" applyAlignment="1">
      <alignment horizontal="right"/>
    </xf>
    <xf numFmtId="8" fontId="15" fillId="0" borderId="11" xfId="0" applyNumberFormat="1" applyFont="1" applyBorder="1" applyAlignment="1">
      <alignment horizontal="right"/>
    </xf>
    <xf numFmtId="8" fontId="12" fillId="2" borderId="7" xfId="0" applyNumberFormat="1" applyFont="1" applyFill="1" applyBorder="1"/>
    <xf numFmtId="8" fontId="7" fillId="0" borderId="7" xfId="0" applyNumberFormat="1" applyFont="1" applyBorder="1" applyAlignment="1">
      <alignment horizontal="right"/>
    </xf>
    <xf numFmtId="8" fontId="3" fillId="0" borderId="7" xfId="0" applyNumberFormat="1" applyFont="1" applyBorder="1" applyAlignment="1">
      <alignment vertical="top"/>
    </xf>
    <xf numFmtId="3" fontId="0" fillId="0" borderId="7" xfId="0" applyNumberFormat="1" applyBorder="1"/>
    <xf numFmtId="169" fontId="0" fillId="5" borderId="7" xfId="0" applyNumberFormat="1" applyFill="1" applyBorder="1" applyAlignment="1">
      <alignment horizontal="right"/>
    </xf>
    <xf numFmtId="8" fontId="7" fillId="5" borderId="7" xfId="0" applyNumberFormat="1" applyFont="1" applyFill="1" applyBorder="1" applyAlignment="1">
      <alignment horizontal="right"/>
    </xf>
    <xf numFmtId="8" fontId="13" fillId="10" borderId="7" xfId="0" applyNumberFormat="1" applyFont="1" applyFill="1" applyBorder="1"/>
    <xf numFmtId="0" fontId="3" fillId="10" borderId="7" xfId="0" applyFont="1" applyFill="1" applyBorder="1" applyAlignment="1">
      <alignment horizontal="left" wrapText="1"/>
    </xf>
    <xf numFmtId="1" fontId="3" fillId="10" borderId="7" xfId="0" applyNumberFormat="1" applyFont="1" applyFill="1" applyBorder="1" applyAlignment="1">
      <alignment horizontal="right"/>
    </xf>
    <xf numFmtId="1" fontId="3" fillId="10" borderId="7" xfId="0" applyNumberFormat="1" applyFont="1" applyFill="1" applyBorder="1"/>
    <xf numFmtId="8" fontId="0" fillId="10" borderId="7" xfId="0" applyNumberFormat="1" applyFill="1" applyBorder="1" applyAlignment="1">
      <alignment horizontal="right"/>
    </xf>
    <xf numFmtId="8" fontId="3" fillId="10" borderId="7" xfId="0" applyNumberFormat="1" applyFont="1" applyFill="1" applyBorder="1"/>
    <xf numFmtId="8" fontId="3" fillId="10" borderId="0" xfId="0" applyNumberFormat="1" applyFont="1" applyFill="1"/>
    <xf numFmtId="8" fontId="0" fillId="10" borderId="7" xfId="0" applyNumberFormat="1" applyFill="1" applyBorder="1"/>
    <xf numFmtId="8" fontId="42" fillId="0" borderId="0" xfId="0" applyNumberFormat="1" applyFont="1"/>
    <xf numFmtId="0" fontId="63" fillId="0" borderId="0" xfId="0" applyFont="1"/>
    <xf numFmtId="0" fontId="32" fillId="0" borderId="0" xfId="0" applyFont="1" applyAlignment="1">
      <alignment horizontal="left" wrapText="1"/>
    </xf>
    <xf numFmtId="1" fontId="32" fillId="0" borderId="0" xfId="0" applyNumberFormat="1" applyFont="1"/>
    <xf numFmtId="1" fontId="32" fillId="0" borderId="0" xfId="0" applyNumberFormat="1" applyFont="1" applyAlignment="1">
      <alignment horizontal="right"/>
    </xf>
    <xf numFmtId="8" fontId="32" fillId="0" borderId="0" xfId="0" applyNumberFormat="1" applyFont="1"/>
    <xf numFmtId="8" fontId="42" fillId="2" borderId="7" xfId="0" applyNumberFormat="1" applyFont="1" applyFill="1" applyBorder="1"/>
    <xf numFmtId="8" fontId="32" fillId="5" borderId="0" xfId="0" applyNumberFormat="1" applyFont="1" applyFill="1"/>
    <xf numFmtId="0" fontId="32" fillId="2" borderId="7" xfId="0" applyFont="1" applyFill="1" applyBorder="1" applyAlignment="1">
      <alignment horizontal="left" wrapText="1"/>
    </xf>
    <xf numFmtId="8" fontId="32" fillId="2" borderId="7" xfId="0" applyNumberFormat="1" applyFont="1" applyFill="1" applyBorder="1" applyAlignment="1">
      <alignment horizontal="right"/>
    </xf>
    <xf numFmtId="8" fontId="32" fillId="2" borderId="7" xfId="0" applyNumberFormat="1" applyFont="1" applyFill="1" applyBorder="1"/>
    <xf numFmtId="166" fontId="0" fillId="10" borderId="0" xfId="0" applyNumberFormat="1" applyFill="1" applyAlignment="1">
      <alignment horizontal="right"/>
    </xf>
    <xf numFmtId="8" fontId="42" fillId="5" borderId="7" xfId="0" applyNumberFormat="1" applyFont="1" applyFill="1" applyBorder="1"/>
    <xf numFmtId="0" fontId="32" fillId="5" borderId="7" xfId="0" applyFont="1" applyFill="1" applyBorder="1" applyAlignment="1">
      <alignment horizontal="left" wrapText="1"/>
    </xf>
    <xf numFmtId="3" fontId="32" fillId="5" borderId="7" xfId="0" applyNumberFormat="1" applyFont="1" applyFill="1" applyBorder="1"/>
    <xf numFmtId="1" fontId="32" fillId="5" borderId="7" xfId="0" applyNumberFormat="1" applyFont="1" applyFill="1" applyBorder="1" applyAlignment="1">
      <alignment horizontal="right"/>
    </xf>
    <xf numFmtId="1" fontId="32" fillId="5" borderId="7" xfId="0" applyNumberFormat="1" applyFont="1" applyFill="1" applyBorder="1"/>
    <xf numFmtId="8" fontId="32" fillId="6" borderId="7" xfId="0" applyNumberFormat="1" applyFont="1" applyFill="1" applyBorder="1"/>
    <xf numFmtId="8" fontId="42" fillId="0" borderId="7" xfId="0" applyNumberFormat="1" applyFont="1" applyBorder="1"/>
    <xf numFmtId="8" fontId="42" fillId="0" borderId="7" xfId="0" applyNumberFormat="1" applyFont="1" applyBorder="1" applyAlignment="1">
      <alignment wrapText="1"/>
    </xf>
    <xf numFmtId="8" fontId="42" fillId="0" borderId="0" xfId="0" applyNumberFormat="1" applyFont="1" applyAlignment="1">
      <alignment wrapText="1"/>
    </xf>
    <xf numFmtId="8" fontId="13" fillId="10" borderId="0" xfId="0" applyNumberFormat="1" applyFont="1" applyFill="1" applyAlignment="1">
      <alignment wrapText="1"/>
    </xf>
    <xf numFmtId="0" fontId="3" fillId="10" borderId="0" xfId="0" applyFont="1" applyFill="1" applyAlignment="1">
      <alignment horizontal="left" wrapText="1"/>
    </xf>
    <xf numFmtId="8" fontId="3" fillId="10" borderId="0" xfId="0" applyNumberFormat="1" applyFont="1" applyFill="1" applyAlignment="1">
      <alignment horizontal="right"/>
    </xf>
    <xf numFmtId="8" fontId="13" fillId="10" borderId="7" xfId="0" applyNumberFormat="1" applyFont="1" applyFill="1" applyBorder="1" applyAlignment="1">
      <alignment wrapText="1"/>
    </xf>
    <xf numFmtId="0" fontId="0" fillId="10" borderId="7" xfId="0" applyFill="1" applyBorder="1" applyAlignment="1">
      <alignment horizontal="left" wrapText="1"/>
    </xf>
    <xf numFmtId="0" fontId="0" fillId="10" borderId="7" xfId="0" applyFill="1" applyBorder="1" applyAlignment="1">
      <alignment wrapText="1"/>
    </xf>
    <xf numFmtId="8" fontId="28" fillId="0" borderId="0" xfId="0" applyNumberFormat="1" applyFont="1" applyAlignment="1">
      <alignment horizontal="right"/>
    </xf>
    <xf numFmtId="8" fontId="28" fillId="5" borderId="7" xfId="0" applyNumberFormat="1" applyFont="1" applyFill="1" applyBorder="1" applyAlignment="1">
      <alignment horizontal="right"/>
    </xf>
    <xf numFmtId="0" fontId="28" fillId="5" borderId="7" xfId="0" applyFont="1" applyFill="1" applyBorder="1" applyAlignment="1">
      <alignment wrapText="1"/>
    </xf>
    <xf numFmtId="1" fontId="28" fillId="5" borderId="7" xfId="0" applyNumberFormat="1" applyFont="1" applyFill="1" applyBorder="1"/>
    <xf numFmtId="1" fontId="28" fillId="5" borderId="7" xfId="0" applyNumberFormat="1" applyFont="1" applyFill="1" applyBorder="1" applyAlignment="1">
      <alignment horizontal="right"/>
    </xf>
    <xf numFmtId="0" fontId="28" fillId="0" borderId="7" xfId="0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8" fontId="28" fillId="0" borderId="7" xfId="0" applyNumberFormat="1" applyFont="1" applyBorder="1" applyAlignment="1">
      <alignment horizontal="right"/>
    </xf>
    <xf numFmtId="8" fontId="38" fillId="0" borderId="0" xfId="0" applyNumberFormat="1" applyFont="1" applyAlignment="1">
      <alignment wrapText="1"/>
    </xf>
    <xf numFmtId="8" fontId="0" fillId="10" borderId="0" xfId="0" applyNumberFormat="1" applyFill="1" applyAlignment="1">
      <alignment horizontal="right"/>
    </xf>
    <xf numFmtId="37" fontId="3" fillId="0" borderId="0" xfId="0" applyNumberFormat="1" applyFont="1" applyAlignment="1">
      <alignment horizontal="right"/>
    </xf>
    <xf numFmtId="1" fontId="3" fillId="10" borderId="7" xfId="0" applyNumberFormat="1" applyFont="1" applyFill="1" applyBorder="1" applyAlignment="1">
      <alignment horizontal="left"/>
    </xf>
    <xf numFmtId="8" fontId="13" fillId="10" borderId="7" xfId="0" applyNumberFormat="1" applyFont="1" applyFill="1" applyBorder="1" applyAlignment="1">
      <alignment vertical="center"/>
    </xf>
    <xf numFmtId="1" fontId="0" fillId="10" borderId="7" xfId="0" applyNumberFormat="1" applyFill="1" applyBorder="1"/>
    <xf numFmtId="1" fontId="0" fillId="10" borderId="7" xfId="0" applyNumberFormat="1" applyFill="1" applyBorder="1" applyAlignment="1">
      <alignment horizontal="right"/>
    </xf>
    <xf numFmtId="8" fontId="13" fillId="10" borderId="0" xfId="0" applyNumberFormat="1" applyFont="1" applyFill="1"/>
    <xf numFmtId="1" fontId="0" fillId="10" borderId="0" xfId="0" applyNumberFormat="1" applyFill="1" applyAlignment="1">
      <alignment horizontal="right"/>
    </xf>
    <xf numFmtId="1" fontId="0" fillId="10" borderId="0" xfId="0" applyNumberFormat="1" applyFill="1" applyAlignment="1">
      <alignment horizontal="left"/>
    </xf>
    <xf numFmtId="8" fontId="0" fillId="10" borderId="0" xfId="0" applyNumberFormat="1" applyFill="1"/>
    <xf numFmtId="8" fontId="42" fillId="10" borderId="0" xfId="0" applyNumberFormat="1" applyFont="1" applyFill="1"/>
    <xf numFmtId="1" fontId="3" fillId="10" borderId="0" xfId="0" applyNumberFormat="1" applyFont="1" applyFill="1" applyAlignment="1">
      <alignment horizontal="right"/>
    </xf>
    <xf numFmtId="1" fontId="32" fillId="10" borderId="0" xfId="0" applyNumberFormat="1" applyFont="1" applyFill="1" applyAlignment="1">
      <alignment horizontal="left"/>
    </xf>
    <xf numFmtId="8" fontId="3" fillId="10" borderId="0" xfId="0" applyNumberFormat="1" applyFont="1" applyFill="1" applyAlignment="1">
      <alignment wrapText="1"/>
    </xf>
    <xf numFmtId="1" fontId="3" fillId="10" borderId="0" xfId="0" applyNumberFormat="1" applyFont="1" applyFill="1"/>
    <xf numFmtId="1" fontId="3" fillId="10" borderId="0" xfId="0" applyNumberFormat="1" applyFont="1" applyFill="1" applyAlignment="1">
      <alignment horizontal="left"/>
    </xf>
    <xf numFmtId="0" fontId="0" fillId="10" borderId="0" xfId="0" applyFill="1" applyAlignment="1">
      <alignment horizontal="left" wrapText="1"/>
    </xf>
    <xf numFmtId="8" fontId="50" fillId="5" borderId="7" xfId="0" applyNumberFormat="1" applyFont="1" applyFill="1" applyBorder="1" applyAlignment="1">
      <alignment horizontal="right"/>
    </xf>
    <xf numFmtId="8" fontId="13" fillId="10" borderId="0" xfId="0" applyNumberFormat="1" applyFont="1" applyFill="1" applyAlignment="1">
      <alignment vertical="center"/>
    </xf>
    <xf numFmtId="1" fontId="0" fillId="10" borderId="0" xfId="0" applyNumberFormat="1" applyFill="1"/>
    <xf numFmtId="8" fontId="50" fillId="5" borderId="7" xfId="0" applyNumberFormat="1" applyFont="1" applyFill="1" applyBorder="1"/>
    <xf numFmtId="8" fontId="50" fillId="0" borderId="7" xfId="0" applyNumberFormat="1" applyFont="1" applyBorder="1"/>
    <xf numFmtId="1" fontId="0" fillId="10" borderId="7" xfId="0" applyNumberFormat="1" applyFill="1" applyBorder="1" applyAlignment="1">
      <alignment horizontal="left"/>
    </xf>
    <xf numFmtId="8" fontId="0" fillId="10" borderId="0" xfId="0" applyNumberFormat="1" applyFill="1" applyAlignment="1">
      <alignment wrapText="1"/>
    </xf>
    <xf numFmtId="166" fontId="3" fillId="10" borderId="0" xfId="0" applyNumberFormat="1" applyFont="1" applyFill="1" applyAlignment="1">
      <alignment horizontal="center"/>
    </xf>
    <xf numFmtId="166" fontId="14" fillId="10" borderId="0" xfId="0" applyNumberFormat="1" applyFont="1" applyFill="1" applyAlignment="1">
      <alignment horizontal="right"/>
    </xf>
    <xf numFmtId="166" fontId="14" fillId="10" borderId="0" xfId="0" applyNumberFormat="1" applyFont="1" applyFill="1" applyAlignment="1">
      <alignment horizontal="center"/>
    </xf>
    <xf numFmtId="3" fontId="3" fillId="0" borderId="7" xfId="0" applyNumberFormat="1" applyFont="1" applyBorder="1"/>
    <xf numFmtId="8" fontId="13" fillId="11" borderId="0" xfId="0" applyNumberFormat="1" applyFont="1" applyFill="1"/>
    <xf numFmtId="8" fontId="13" fillId="11" borderId="0" xfId="0" applyNumberFormat="1" applyFont="1" applyFill="1" applyAlignment="1">
      <alignment vertical="center"/>
    </xf>
    <xf numFmtId="0" fontId="3" fillId="11" borderId="0" xfId="0" applyFont="1" applyFill="1" applyAlignment="1">
      <alignment wrapText="1"/>
    </xf>
    <xf numFmtId="1" fontId="3" fillId="11" borderId="0" xfId="0" applyNumberFormat="1" applyFont="1" applyFill="1"/>
    <xf numFmtId="1" fontId="3" fillId="11" borderId="0" xfId="0" applyNumberFormat="1" applyFont="1" applyFill="1" applyAlignment="1">
      <alignment horizontal="right"/>
    </xf>
    <xf numFmtId="8" fontId="0" fillId="11" borderId="0" xfId="0" applyNumberFormat="1" applyFill="1" applyAlignment="1">
      <alignment horizontal="right"/>
    </xf>
    <xf numFmtId="8" fontId="3" fillId="11" borderId="0" xfId="0" applyNumberFormat="1" applyFont="1" applyFill="1"/>
    <xf numFmtId="8" fontId="0" fillId="11" borderId="0" xfId="0" applyNumberFormat="1" applyFill="1"/>
    <xf numFmtId="8" fontId="13" fillId="11" borderId="7" xfId="0" applyNumberFormat="1" applyFont="1" applyFill="1" applyBorder="1"/>
    <xf numFmtId="0" fontId="0" fillId="11" borderId="0" xfId="0" applyFill="1" applyAlignment="1">
      <alignment wrapText="1"/>
    </xf>
    <xf numFmtId="1" fontId="0" fillId="11" borderId="0" xfId="0" applyNumberFormat="1" applyFill="1"/>
    <xf numFmtId="1" fontId="0" fillId="11" borderId="0" xfId="0" applyNumberFormat="1" applyFill="1" applyAlignment="1">
      <alignment horizontal="right"/>
    </xf>
    <xf numFmtId="8" fontId="3" fillId="12" borderId="7" xfId="0" applyNumberFormat="1" applyFont="1" applyFill="1" applyBorder="1"/>
    <xf numFmtId="166" fontId="0" fillId="5" borderId="7" xfId="0" applyNumberFormat="1" applyFill="1" applyBorder="1" applyAlignment="1">
      <alignment horizontal="right"/>
    </xf>
    <xf numFmtId="166" fontId="0" fillId="5" borderId="7" xfId="0" applyNumberFormat="1" applyFill="1" applyBorder="1" applyAlignment="1">
      <alignment horizontal="left"/>
    </xf>
    <xf numFmtId="8" fontId="13" fillId="11" borderId="0" xfId="0" applyNumberFormat="1" applyFont="1" applyFill="1" applyAlignment="1">
      <alignment wrapText="1"/>
    </xf>
    <xf numFmtId="8" fontId="13" fillId="11" borderId="7" xfId="0" applyNumberFormat="1" applyFont="1" applyFill="1" applyBorder="1" applyAlignment="1">
      <alignment wrapText="1"/>
    </xf>
    <xf numFmtId="8" fontId="3" fillId="11" borderId="7" xfId="0" applyNumberFormat="1" applyFont="1" applyFill="1" applyBorder="1"/>
    <xf numFmtId="8" fontId="3" fillId="11" borderId="0" xfId="0" applyNumberFormat="1" applyFont="1" applyFill="1" applyAlignment="1">
      <alignment horizontal="right"/>
    </xf>
    <xf numFmtId="166" fontId="3" fillId="11" borderId="7" xfId="0" applyNumberFormat="1" applyFont="1" applyFill="1" applyBorder="1" applyAlignment="1">
      <alignment horizontal="left"/>
    </xf>
    <xf numFmtId="166" fontId="3" fillId="11" borderId="7" xfId="0" applyNumberFormat="1" applyFont="1" applyFill="1" applyBorder="1" applyAlignment="1">
      <alignment horizontal="right"/>
    </xf>
    <xf numFmtId="8" fontId="3" fillId="11" borderId="7" xfId="0" applyNumberFormat="1" applyFont="1" applyFill="1" applyBorder="1" applyAlignment="1">
      <alignment horizontal="right"/>
    </xf>
    <xf numFmtId="0" fontId="32" fillId="11" borderId="7" xfId="0" applyFont="1" applyFill="1" applyBorder="1" applyAlignment="1">
      <alignment horizontal="left" wrapText="1"/>
    </xf>
    <xf numFmtId="0" fontId="50" fillId="11" borderId="0" xfId="0" applyFont="1" applyFill="1" applyAlignment="1">
      <alignment horizontal="left" wrapText="1"/>
    </xf>
    <xf numFmtId="166" fontId="0" fillId="11" borderId="0" xfId="0" applyNumberFormat="1" applyFill="1" applyAlignment="1">
      <alignment horizontal="left"/>
    </xf>
    <xf numFmtId="166" fontId="0" fillId="11" borderId="0" xfId="0" applyNumberFormat="1" applyFill="1" applyAlignment="1">
      <alignment horizontal="right"/>
    </xf>
    <xf numFmtId="8" fontId="32" fillId="5" borderId="7" xfId="0" applyNumberFormat="1" applyFont="1" applyFill="1" applyBorder="1" applyAlignment="1">
      <alignment wrapText="1"/>
    </xf>
    <xf numFmtId="10" fontId="13" fillId="0" borderId="0" xfId="3" applyNumberFormat="1" applyFont="1" applyAlignment="1">
      <alignment horizontal="right"/>
    </xf>
    <xf numFmtId="1" fontId="3" fillId="6" borderId="7" xfId="0" applyNumberFormat="1" applyFont="1" applyFill="1" applyBorder="1" applyAlignment="1">
      <alignment horizontal="right"/>
    </xf>
    <xf numFmtId="8" fontId="3" fillId="0" borderId="0" xfId="0" applyNumberFormat="1" applyFont="1" applyFill="1"/>
    <xf numFmtId="8" fontId="13" fillId="0" borderId="0" xfId="0" applyNumberFormat="1" applyFont="1" applyFill="1" applyAlignment="1">
      <alignment wrapText="1"/>
    </xf>
    <xf numFmtId="0" fontId="50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right"/>
    </xf>
    <xf numFmtId="0" fontId="0" fillId="0" borderId="0" xfId="0" applyFill="1"/>
    <xf numFmtId="8" fontId="0" fillId="0" borderId="0" xfId="0" applyNumberFormat="1" applyFill="1" applyAlignment="1">
      <alignment horizontal="right"/>
    </xf>
    <xf numFmtId="8" fontId="3" fillId="0" borderId="0" xfId="0" applyNumberFormat="1" applyFont="1" applyFill="1" applyAlignment="1">
      <alignment horizontal="right" wrapText="1"/>
    </xf>
    <xf numFmtId="8" fontId="0" fillId="0" borderId="0" xfId="0" applyNumberFormat="1" applyFill="1"/>
    <xf numFmtId="8" fontId="39" fillId="5" borderId="0" xfId="0" applyNumberFormat="1" applyFont="1" applyFill="1"/>
    <xf numFmtId="0" fontId="0" fillId="0" borderId="0" xfId="0" applyAlignment="1">
      <alignment horizontal="center"/>
    </xf>
    <xf numFmtId="8" fontId="6" fillId="9" borderId="7" xfId="0" applyNumberFormat="1" applyFont="1" applyFill="1" applyBorder="1" applyAlignment="1">
      <alignment horizontal="left" wrapText="1"/>
    </xf>
    <xf numFmtId="8" fontId="6" fillId="9" borderId="7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8" fontId="13" fillId="0" borderId="0" xfId="0" applyNumberFormat="1" applyFont="1" applyFill="1"/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8" fontId="0" fillId="0" borderId="7" xfId="0" applyNumberFormat="1" applyFill="1" applyBorder="1" applyAlignment="1">
      <alignment horizontal="right"/>
    </xf>
    <xf numFmtId="8" fontId="3" fillId="0" borderId="7" xfId="0" applyNumberFormat="1" applyFont="1" applyFill="1" applyBorder="1"/>
    <xf numFmtId="8" fontId="0" fillId="0" borderId="7" xfId="0" applyNumberFormat="1" applyFill="1" applyBorder="1"/>
    <xf numFmtId="0" fontId="50" fillId="0" borderId="0" xfId="0" applyFont="1" applyFill="1" applyAlignment="1">
      <alignment wrapText="1"/>
    </xf>
    <xf numFmtId="0" fontId="0" fillId="0" borderId="0" xfId="0" applyFont="1"/>
    <xf numFmtId="0" fontId="0" fillId="0" borderId="0" xfId="0" applyFont="1" applyAlignment="1"/>
    <xf numFmtId="0" fontId="3" fillId="0" borderId="0" xfId="0" applyFont="1" applyFill="1"/>
    <xf numFmtId="8" fontId="14" fillId="0" borderId="7" xfId="0" applyNumberFormat="1" applyFont="1" applyBorder="1"/>
    <xf numFmtId="8" fontId="16" fillId="0" borderId="7" xfId="0" applyNumberFormat="1" applyFont="1" applyBorder="1"/>
    <xf numFmtId="166" fontId="0" fillId="2" borderId="7" xfId="0" applyNumberFormat="1" applyFill="1" applyBorder="1" applyAlignment="1">
      <alignment horizontal="right"/>
    </xf>
    <xf numFmtId="0" fontId="3" fillId="0" borderId="7" xfId="0" applyFont="1" applyFill="1" applyBorder="1" applyAlignment="1">
      <alignment horizontal="left" wrapText="1"/>
    </xf>
    <xf numFmtId="8" fontId="13" fillId="0" borderId="7" xfId="0" applyNumberFormat="1" applyFont="1" applyFill="1" applyBorder="1"/>
    <xf numFmtId="0" fontId="0" fillId="0" borderId="7" xfId="0" applyFill="1" applyBorder="1" applyAlignment="1">
      <alignment horizontal="left" wrapText="1"/>
    </xf>
    <xf numFmtId="1" fontId="0" fillId="0" borderId="7" xfId="0" applyNumberForma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right"/>
    </xf>
    <xf numFmtId="1" fontId="3" fillId="0" borderId="7" xfId="0" applyNumberFormat="1" applyFont="1" applyFill="1" applyBorder="1"/>
    <xf numFmtId="8" fontId="13" fillId="0" borderId="7" xfId="0" applyNumberFormat="1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3" fillId="0" borderId="7" xfId="0" applyFont="1" applyFill="1" applyBorder="1" applyAlignment="1">
      <alignment horizontal="right" wrapText="1"/>
    </xf>
    <xf numFmtId="1" fontId="3" fillId="0" borderId="7" xfId="0" applyNumberFormat="1" applyFont="1" applyFill="1" applyBorder="1" applyAlignment="1">
      <alignment horizontal="left"/>
    </xf>
    <xf numFmtId="3" fontId="3" fillId="5" borderId="0" xfId="0" applyNumberFormat="1" applyFont="1" applyFill="1"/>
    <xf numFmtId="3" fontId="3" fillId="5" borderId="0" xfId="0" applyNumberFormat="1" applyFont="1" applyFill="1" applyAlignment="1">
      <alignment horizontal="right"/>
    </xf>
    <xf numFmtId="0" fontId="13" fillId="5" borderId="0" xfId="0" applyFont="1" applyFill="1" applyAlignment="1">
      <alignment wrapText="1"/>
    </xf>
    <xf numFmtId="0" fontId="3" fillId="5" borderId="0" xfId="0" applyFont="1" applyFill="1" applyAlignment="1">
      <alignment horizontal="right" wrapText="1"/>
    </xf>
    <xf numFmtId="0" fontId="20" fillId="5" borderId="0" xfId="0" applyFont="1" applyFill="1" applyAlignment="1">
      <alignment wrapText="1"/>
    </xf>
    <xf numFmtId="0" fontId="20" fillId="5" borderId="0" xfId="0" applyFont="1" applyFill="1"/>
    <xf numFmtId="0" fontId="67" fillId="5" borderId="0" xfId="0" applyFont="1" applyFill="1" applyAlignment="1">
      <alignment horizontal="left" wrapText="1"/>
    </xf>
    <xf numFmtId="1" fontId="67" fillId="5" borderId="0" xfId="0" applyNumberFormat="1" applyFont="1" applyFill="1" applyAlignment="1">
      <alignment horizontal="right"/>
    </xf>
    <xf numFmtId="8" fontId="67" fillId="5" borderId="0" xfId="0" applyNumberFormat="1" applyFont="1" applyFill="1" applyAlignment="1">
      <alignment horizontal="right"/>
    </xf>
    <xf numFmtId="8" fontId="13" fillId="0" borderId="7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8" fontId="65" fillId="0" borderId="0" xfId="0" applyNumberFormat="1" applyFont="1" applyFill="1" applyAlignment="1">
      <alignment horizontal="right"/>
    </xf>
    <xf numFmtId="8" fontId="30" fillId="0" borderId="7" xfId="0" applyNumberFormat="1" applyFont="1" applyFill="1" applyBorder="1"/>
    <xf numFmtId="8" fontId="66" fillId="0" borderId="0" xfId="0" applyNumberFormat="1" applyFont="1" applyFill="1" applyAlignment="1">
      <alignment horizontal="right"/>
    </xf>
    <xf numFmtId="8" fontId="38" fillId="5" borderId="0" xfId="0" applyNumberFormat="1" applyFont="1" applyFill="1" applyAlignment="1">
      <alignment wrapText="1"/>
    </xf>
    <xf numFmtId="0" fontId="32" fillId="5" borderId="0" xfId="0" applyFont="1" applyFill="1" applyAlignment="1">
      <alignment wrapText="1"/>
    </xf>
    <xf numFmtId="1" fontId="32" fillId="5" borderId="0" xfId="0" applyNumberFormat="1" applyFont="1" applyFill="1"/>
    <xf numFmtId="8" fontId="28" fillId="5" borderId="0" xfId="0" applyNumberFormat="1" applyFont="1" applyFill="1" applyAlignment="1">
      <alignment horizontal="right"/>
    </xf>
    <xf numFmtId="8" fontId="13" fillId="5" borderId="7" xfId="0" applyNumberFormat="1" applyFont="1" applyFill="1" applyBorder="1" applyAlignment="1">
      <alignment horizontal="left" wrapText="1"/>
    </xf>
    <xf numFmtId="0" fontId="0" fillId="5" borderId="7" xfId="0" applyFill="1" applyBorder="1"/>
    <xf numFmtId="8" fontId="30" fillId="5" borderId="0" xfId="0" applyNumberFormat="1" applyFont="1" applyFill="1"/>
    <xf numFmtId="8" fontId="39" fillId="14" borderId="7" xfId="0" applyNumberFormat="1" applyFont="1" applyFill="1" applyBorder="1"/>
    <xf numFmtId="8" fontId="13" fillId="14" borderId="0" xfId="0" applyNumberFormat="1" applyFont="1" applyFill="1"/>
    <xf numFmtId="0" fontId="50" fillId="14" borderId="7" xfId="0" applyFont="1" applyFill="1" applyBorder="1" applyAlignment="1">
      <alignment wrapText="1"/>
    </xf>
    <xf numFmtId="1" fontId="0" fillId="14" borderId="7" xfId="0" applyNumberFormat="1" applyFill="1" applyBorder="1"/>
    <xf numFmtId="1" fontId="0" fillId="14" borderId="7" xfId="0" applyNumberFormat="1" applyFill="1" applyBorder="1" applyAlignment="1">
      <alignment horizontal="right"/>
    </xf>
    <xf numFmtId="8" fontId="0" fillId="14" borderId="7" xfId="0" applyNumberFormat="1" applyFill="1" applyBorder="1" applyAlignment="1">
      <alignment horizontal="right"/>
    </xf>
    <xf numFmtId="8" fontId="3" fillId="14" borderId="0" xfId="0" applyNumberFormat="1" applyFont="1" applyFill="1"/>
    <xf numFmtId="8" fontId="3" fillId="14" borderId="7" xfId="0" applyNumberFormat="1" applyFont="1" applyFill="1" applyBorder="1"/>
    <xf numFmtId="8" fontId="0" fillId="14" borderId="7" xfId="0" applyNumberFormat="1" applyFill="1" applyBorder="1"/>
    <xf numFmtId="166" fontId="0" fillId="0" borderId="7" xfId="0" applyNumberFormat="1" applyFill="1" applyBorder="1"/>
    <xf numFmtId="166" fontId="0" fillId="0" borderId="7" xfId="0" applyNumberFormat="1" applyFill="1" applyBorder="1" applyAlignment="1">
      <alignment horizontal="right"/>
    </xf>
    <xf numFmtId="0" fontId="3" fillId="0" borderId="0" xfId="0" applyFont="1" applyFill="1" applyAlignment="1">
      <alignment horizontal="left" wrapText="1"/>
    </xf>
    <xf numFmtId="166" fontId="3" fillId="0" borderId="0" xfId="0" applyNumberFormat="1" applyFont="1" applyFill="1" applyAlignment="1">
      <alignment horizontal="left"/>
    </xf>
    <xf numFmtId="166" fontId="3" fillId="0" borderId="7" xfId="0" applyNumberFormat="1" applyFont="1" applyFill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8" fontId="3" fillId="0" borderId="0" xfId="0" applyNumberFormat="1" applyFont="1" applyFill="1" applyAlignment="1">
      <alignment horizontal="right"/>
    </xf>
    <xf numFmtId="166" fontId="0" fillId="0" borderId="7" xfId="0" applyNumberFormat="1" applyFill="1" applyBorder="1" applyAlignment="1">
      <alignment horizontal="left"/>
    </xf>
    <xf numFmtId="166" fontId="0" fillId="0" borderId="0" xfId="0" applyNumberFormat="1" applyFill="1" applyAlignment="1">
      <alignment horizontal="right"/>
    </xf>
    <xf numFmtId="166" fontId="3" fillId="0" borderId="7" xfId="0" applyNumberFormat="1" applyFont="1" applyFill="1" applyBorder="1" applyAlignment="1">
      <alignment horizontal="left"/>
    </xf>
    <xf numFmtId="8" fontId="3" fillId="0" borderId="7" xfId="0" applyNumberFormat="1" applyFont="1" applyFill="1" applyBorder="1" applyAlignment="1">
      <alignment horizontal="right"/>
    </xf>
    <xf numFmtId="0" fontId="28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166" fontId="3" fillId="5" borderId="0" xfId="0" applyNumberFormat="1" applyFont="1" applyFill="1"/>
    <xf numFmtId="8" fontId="44" fillId="5" borderId="7" xfId="0" applyNumberFormat="1" applyFont="1" applyFill="1" applyBorder="1"/>
    <xf numFmtId="8" fontId="72" fillId="5" borderId="7" xfId="0" applyNumberFormat="1" applyFont="1" applyFill="1" applyBorder="1"/>
    <xf numFmtId="8" fontId="3" fillId="0" borderId="0" xfId="0" applyNumberFormat="1" applyFont="1" applyFill="1" applyAlignment="1">
      <alignment wrapText="1"/>
    </xf>
    <xf numFmtId="1" fontId="0" fillId="0" borderId="0" xfId="0" applyNumberFormat="1" applyFill="1"/>
    <xf numFmtId="1" fontId="0" fillId="0" borderId="0" xfId="0" applyNumberFormat="1" applyFill="1" applyAlignment="1">
      <alignment horizontal="right"/>
    </xf>
    <xf numFmtId="0" fontId="50" fillId="0" borderId="7" xfId="0" applyFont="1" applyFill="1" applyBorder="1" applyAlignment="1">
      <alignment wrapText="1"/>
    </xf>
    <xf numFmtId="8" fontId="14" fillId="0" borderId="0" xfId="0" applyNumberFormat="1" applyFont="1" applyFill="1" applyAlignment="1">
      <alignment wrapText="1"/>
    </xf>
    <xf numFmtId="0" fontId="50" fillId="0" borderId="7" xfId="0" applyFont="1" applyFill="1" applyBorder="1" applyAlignment="1">
      <alignment horizontal="left" wrapText="1"/>
    </xf>
    <xf numFmtId="8" fontId="44" fillId="0" borderId="0" xfId="0" applyNumberFormat="1" applyFont="1" applyFill="1"/>
    <xf numFmtId="0" fontId="50" fillId="0" borderId="0" xfId="0" applyFont="1" applyFill="1" applyAlignment="1">
      <alignment horizontal="left" wrapText="1"/>
    </xf>
    <xf numFmtId="1" fontId="0" fillId="0" borderId="0" xfId="0" applyNumberForma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" fontId="0" fillId="5" borderId="7" xfId="0" applyNumberFormat="1" applyFill="1" applyBorder="1" applyAlignment="1">
      <alignment horizontal="left"/>
    </xf>
    <xf numFmtId="0" fontId="50" fillId="5" borderId="7" xfId="0" applyFont="1" applyFill="1" applyBorder="1" applyAlignment="1">
      <alignment horizontal="left" wrapText="1"/>
    </xf>
    <xf numFmtId="1" fontId="28" fillId="0" borderId="7" xfId="0" applyNumberFormat="1" applyFont="1" applyFill="1" applyBorder="1"/>
    <xf numFmtId="8" fontId="0" fillId="0" borderId="0" xfId="0" applyNumberFormat="1" applyFill="1" applyAlignment="1">
      <alignment wrapText="1"/>
    </xf>
    <xf numFmtId="1" fontId="14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1" fontId="14" fillId="5" borderId="7" xfId="0" applyNumberFormat="1" applyFont="1" applyFill="1" applyBorder="1" applyAlignment="1">
      <alignment horizontal="left"/>
    </xf>
    <xf numFmtId="8" fontId="20" fillId="5" borderId="0" xfId="0" applyNumberFormat="1" applyFont="1" applyFill="1"/>
    <xf numFmtId="1" fontId="14" fillId="5" borderId="0" xfId="0" applyNumberFormat="1" applyFont="1" applyFill="1" applyAlignment="1">
      <alignment horizontal="left"/>
    </xf>
    <xf numFmtId="0" fontId="3" fillId="15" borderId="7" xfId="0" applyFont="1" applyFill="1" applyBorder="1"/>
    <xf numFmtId="165" fontId="73" fillId="15" borderId="7" xfId="0" applyNumberFormat="1" applyFont="1" applyFill="1" applyBorder="1"/>
    <xf numFmtId="165" fontId="73" fillId="15" borderId="7" xfId="2" applyNumberFormat="1" applyFont="1" applyFill="1" applyBorder="1"/>
    <xf numFmtId="10" fontId="73" fillId="15" borderId="7" xfId="0" applyNumberFormat="1" applyFont="1" applyFill="1" applyBorder="1"/>
    <xf numFmtId="165" fontId="73" fillId="0" borderId="7" xfId="0" applyNumberFormat="1" applyFont="1" applyBorder="1"/>
    <xf numFmtId="165" fontId="73" fillId="0" borderId="7" xfId="2" applyNumberFormat="1" applyFont="1" applyBorder="1"/>
    <xf numFmtId="10" fontId="73" fillId="0" borderId="7" xfId="0" applyNumberFormat="1" applyFont="1" applyBorder="1"/>
    <xf numFmtId="44" fontId="3" fillId="15" borderId="7" xfId="0" applyNumberFormat="1" applyFont="1" applyFill="1" applyBorder="1"/>
    <xf numFmtId="10" fontId="73" fillId="15" borderId="0" xfId="0" applyNumberFormat="1" applyFont="1" applyFill="1"/>
    <xf numFmtId="0" fontId="14" fillId="15" borderId="7" xfId="0" applyFont="1" applyFill="1" applyBorder="1"/>
    <xf numFmtId="42" fontId="2" fillId="15" borderId="7" xfId="0" applyNumberFormat="1" applyFont="1" applyFill="1" applyBorder="1"/>
    <xf numFmtId="10" fontId="73" fillId="0" borderId="17" xfId="0" applyNumberFormat="1" applyFont="1" applyBorder="1"/>
    <xf numFmtId="0" fontId="1" fillId="8" borderId="18" xfId="0" applyFont="1" applyFill="1" applyBorder="1" applyAlignment="1">
      <alignment horizontal="center"/>
    </xf>
    <xf numFmtId="44" fontId="1" fillId="8" borderId="18" xfId="0" applyNumberFormat="1" applyFont="1" applyFill="1" applyBorder="1" applyAlignment="1">
      <alignment horizontal="center" wrapText="1"/>
    </xf>
    <xf numFmtId="0" fontId="71" fillId="13" borderId="18" xfId="0" applyFont="1" applyFill="1" applyBorder="1" applyAlignment="1">
      <alignment horizontal="center"/>
    </xf>
    <xf numFmtId="165" fontId="74" fillId="0" borderId="9" xfId="0" applyNumberFormat="1" applyFont="1" applyBorder="1"/>
    <xf numFmtId="165" fontId="74" fillId="0" borderId="16" xfId="2" applyNumberFormat="1" applyFont="1" applyBorder="1"/>
    <xf numFmtId="10" fontId="73" fillId="0" borderId="16" xfId="0" applyNumberFormat="1" applyFont="1" applyBorder="1"/>
    <xf numFmtId="165" fontId="14" fillId="15" borderId="9" xfId="0" applyNumberFormat="1" applyFont="1" applyFill="1" applyBorder="1"/>
    <xf numFmtId="165" fontId="74" fillId="15" borderId="16" xfId="2" applyNumberFormat="1" applyFont="1" applyFill="1" applyBorder="1"/>
    <xf numFmtId="10" fontId="73" fillId="15" borderId="16" xfId="0" applyNumberFormat="1" applyFont="1" applyFill="1" applyBorder="1"/>
    <xf numFmtId="165" fontId="2" fillId="0" borderId="9" xfId="0" applyNumberFormat="1" applyFont="1" applyBorder="1"/>
    <xf numFmtId="165" fontId="73" fillId="0" borderId="16" xfId="2" applyNumberFormat="1" applyFont="1" applyBorder="1"/>
    <xf numFmtId="165" fontId="2" fillId="15" borderId="7" xfId="2" applyNumberFormat="1" applyFont="1" applyFill="1" applyBorder="1"/>
    <xf numFmtId="0" fontId="3" fillId="0" borderId="7" xfId="0" applyFont="1" applyFill="1" applyBorder="1"/>
    <xf numFmtId="165" fontId="3" fillId="0" borderId="7" xfId="0" applyNumberFormat="1" applyFont="1" applyFill="1" applyBorder="1"/>
    <xf numFmtId="165" fontId="73" fillId="0" borderId="7" xfId="2" applyNumberFormat="1" applyFont="1" applyFill="1" applyBorder="1"/>
    <xf numFmtId="10" fontId="73" fillId="0" borderId="7" xfId="0" applyNumberFormat="1" applyFont="1" applyFill="1" applyBorder="1"/>
    <xf numFmtId="165" fontId="73" fillId="0" borderId="7" xfId="0" applyNumberFormat="1" applyFont="1" applyFill="1" applyBorder="1"/>
    <xf numFmtId="165" fontId="73" fillId="5" borderId="7" xfId="0" applyNumberFormat="1" applyFont="1" applyFill="1" applyBorder="1"/>
    <xf numFmtId="165" fontId="73" fillId="5" borderId="7" xfId="2" applyNumberFormat="1" applyFont="1" applyFill="1" applyBorder="1"/>
    <xf numFmtId="10" fontId="73" fillId="5" borderId="7" xfId="0" applyNumberFormat="1" applyFont="1" applyFill="1" applyBorder="1"/>
    <xf numFmtId="10" fontId="73" fillId="0" borderId="0" xfId="0" applyNumberFormat="1" applyFont="1" applyFill="1"/>
    <xf numFmtId="0" fontId="3" fillId="5" borderId="18" xfId="0" applyFont="1" applyFill="1" applyBorder="1"/>
    <xf numFmtId="165" fontId="73" fillId="5" borderId="18" xfId="0" applyNumberFormat="1" applyFont="1" applyFill="1" applyBorder="1"/>
    <xf numFmtId="165" fontId="73" fillId="5" borderId="18" xfId="2" applyNumberFormat="1" applyFont="1" applyFill="1" applyBorder="1"/>
    <xf numFmtId="10" fontId="73" fillId="5" borderId="18" xfId="0" applyNumberFormat="1" applyFont="1" applyFill="1" applyBorder="1"/>
    <xf numFmtId="165" fontId="0" fillId="0" borderId="4" xfId="0" applyNumberFormat="1" applyFill="1" applyBorder="1"/>
    <xf numFmtId="165" fontId="3" fillId="0" borderId="4" xfId="0" applyNumberFormat="1" applyFont="1" applyFill="1" applyBorder="1"/>
    <xf numFmtId="10" fontId="7" fillId="0" borderId="7" xfId="0" applyNumberFormat="1" applyFont="1" applyFill="1" applyBorder="1"/>
    <xf numFmtId="0" fontId="2" fillId="0" borderId="0" xfId="0" applyFont="1" applyFill="1"/>
    <xf numFmtId="165" fontId="3" fillId="0" borderId="0" xfId="0" applyNumberFormat="1" applyFont="1" applyFill="1"/>
    <xf numFmtId="165" fontId="0" fillId="0" borderId="0" xfId="2" applyNumberFormat="1" applyFont="1" applyFill="1"/>
    <xf numFmtId="164" fontId="0" fillId="0" borderId="0" xfId="3" applyNumberFormat="1" applyFont="1" applyFill="1"/>
    <xf numFmtId="0" fontId="3" fillId="6" borderId="7" xfId="0" applyFont="1" applyFill="1" applyBorder="1"/>
    <xf numFmtId="165" fontId="0" fillId="6" borderId="7" xfId="0" applyNumberFormat="1" applyFill="1" applyBorder="1"/>
    <xf numFmtId="165" fontId="3" fillId="6" borderId="7" xfId="0" applyNumberFormat="1" applyFont="1" applyFill="1" applyBorder="1"/>
    <xf numFmtId="165" fontId="0" fillId="0" borderId="0" xfId="0" applyNumberFormat="1" applyFill="1"/>
    <xf numFmtId="164" fontId="0" fillId="0" borderId="0" xfId="0" applyNumberFormat="1" applyFill="1"/>
    <xf numFmtId="0" fontId="20" fillId="0" borderId="7" xfId="0" applyFont="1" applyFill="1" applyBorder="1" applyAlignment="1">
      <alignment wrapText="1"/>
    </xf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center"/>
    </xf>
    <xf numFmtId="6" fontId="9" fillId="0" borderId="0" xfId="0" applyNumberFormat="1" applyFont="1" applyFill="1"/>
    <xf numFmtId="6" fontId="3" fillId="0" borderId="0" xfId="0" applyNumberFormat="1" applyFont="1" applyFill="1"/>
    <xf numFmtId="6" fontId="0" fillId="0" borderId="0" xfId="0" applyNumberFormat="1" applyFill="1"/>
    <xf numFmtId="0" fontId="68" fillId="6" borderId="7" xfId="0" applyFont="1" applyFill="1" applyBorder="1"/>
    <xf numFmtId="167" fontId="50" fillId="6" borderId="7" xfId="0" applyNumberFormat="1" applyFont="1" applyFill="1" applyBorder="1" applyAlignment="1">
      <alignment horizontal="left"/>
    </xf>
    <xf numFmtId="167" fontId="0" fillId="6" borderId="7" xfId="0" applyNumberFormat="1" applyFill="1" applyBorder="1" applyAlignment="1">
      <alignment horizontal="center"/>
    </xf>
    <xf numFmtId="167" fontId="0" fillId="6" borderId="7" xfId="0" applyNumberFormat="1" applyFill="1" applyBorder="1" applyAlignment="1">
      <alignment horizontal="left"/>
    </xf>
    <xf numFmtId="6" fontId="0" fillId="6" borderId="7" xfId="0" applyNumberFormat="1" applyFill="1" applyBorder="1" applyAlignment="1">
      <alignment horizontal="right"/>
    </xf>
    <xf numFmtId="0" fontId="20" fillId="6" borderId="7" xfId="0" applyFont="1" applyFill="1" applyBorder="1"/>
    <xf numFmtId="6" fontId="9" fillId="6" borderId="7" xfId="0" applyNumberFormat="1" applyFont="1" applyFill="1" applyBorder="1"/>
    <xf numFmtId="6" fontId="0" fillId="6" borderId="7" xfId="0" applyNumberFormat="1" applyFill="1" applyBorder="1"/>
    <xf numFmtId="0" fontId="20" fillId="5" borderId="7" xfId="0" applyFont="1" applyFill="1" applyBorder="1"/>
    <xf numFmtId="167" fontId="50" fillId="5" borderId="7" xfId="0" applyNumberFormat="1" applyFont="1" applyFill="1" applyBorder="1" applyAlignment="1">
      <alignment horizontal="left"/>
    </xf>
    <xf numFmtId="167" fontId="0" fillId="5" borderId="7" xfId="0" applyNumberFormat="1" applyFill="1" applyBorder="1" applyAlignment="1">
      <alignment horizontal="center"/>
    </xf>
    <xf numFmtId="6" fontId="9" fillId="5" borderId="7" xfId="0" applyNumberFormat="1" applyFont="1" applyFill="1" applyBorder="1"/>
    <xf numFmtId="6" fontId="3" fillId="5" borderId="7" xfId="0" applyNumberFormat="1" applyFont="1" applyFill="1" applyBorder="1"/>
    <xf numFmtId="167" fontId="3" fillId="6" borderId="7" xfId="0" applyNumberFormat="1" applyFont="1" applyFill="1" applyBorder="1" applyAlignment="1">
      <alignment horizontal="left"/>
    </xf>
    <xf numFmtId="167" fontId="3" fillId="6" borderId="7" xfId="0" applyNumberFormat="1" applyFont="1" applyFill="1" applyBorder="1" applyAlignment="1">
      <alignment horizontal="center"/>
    </xf>
    <xf numFmtId="6" fontId="3" fillId="6" borderId="7" xfId="0" applyNumberFormat="1" applyFont="1" applyFill="1" applyBorder="1"/>
    <xf numFmtId="0" fontId="20" fillId="0" borderId="0" xfId="0" applyFont="1" applyFill="1"/>
    <xf numFmtId="167" fontId="3" fillId="0" borderId="0" xfId="0" applyNumberFormat="1" applyFont="1" applyFill="1" applyAlignment="1">
      <alignment horizontal="left"/>
    </xf>
    <xf numFmtId="6" fontId="9" fillId="0" borderId="7" xfId="0" applyNumberFormat="1" applyFont="1" applyFill="1" applyBorder="1"/>
    <xf numFmtId="0" fontId="58" fillId="0" borderId="0" xfId="0" applyFont="1" applyFill="1"/>
    <xf numFmtId="0" fontId="57" fillId="6" borderId="7" xfId="0" applyFont="1" applyFill="1" applyBorder="1"/>
    <xf numFmtId="0" fontId="0" fillId="6" borderId="7" xfId="0" applyFill="1" applyBorder="1"/>
    <xf numFmtId="6" fontId="9" fillId="6" borderId="12" xfId="0" applyNumberFormat="1" applyFont="1" applyFill="1" applyBorder="1"/>
    <xf numFmtId="6" fontId="3" fillId="6" borderId="4" xfId="0" applyNumberFormat="1" applyFont="1" applyFill="1" applyBorder="1"/>
    <xf numFmtId="0" fontId="69" fillId="5" borderId="0" xfId="0" applyFont="1" applyFill="1"/>
    <xf numFmtId="0" fontId="10" fillId="0" borderId="0" xfId="0" applyFont="1" applyFill="1"/>
    <xf numFmtId="166" fontId="0" fillId="5" borderId="7" xfId="0" applyNumberFormat="1" applyFill="1" applyBorder="1"/>
    <xf numFmtId="0" fontId="0" fillId="0" borderId="0" xfId="0" applyFill="1" applyAlignment="1">
      <alignment horizontal="left" wrapText="1"/>
    </xf>
    <xf numFmtId="166" fontId="0" fillId="0" borderId="0" xfId="0" applyNumberFormat="1" applyFill="1" applyAlignment="1">
      <alignment horizontal="left"/>
    </xf>
    <xf numFmtId="8" fontId="72" fillId="0" borderId="7" xfId="0" applyNumberFormat="1" applyFont="1" applyFill="1" applyBorder="1"/>
    <xf numFmtId="8" fontId="25" fillId="6" borderId="7" xfId="0" applyNumberFormat="1" applyFont="1" applyFill="1" applyBorder="1"/>
    <xf numFmtId="8" fontId="13" fillId="6" borderId="7" xfId="0" applyNumberFormat="1" applyFont="1" applyFill="1" applyBorder="1"/>
    <xf numFmtId="8" fontId="7" fillId="6" borderId="7" xfId="0" applyNumberFormat="1" applyFont="1" applyFill="1" applyBorder="1" applyAlignment="1">
      <alignment horizontal="right"/>
    </xf>
    <xf numFmtId="8" fontId="3" fillId="6" borderId="7" xfId="0" applyNumberFormat="1" applyFont="1" applyFill="1" applyBorder="1" applyAlignment="1">
      <alignment horizontal="right"/>
    </xf>
    <xf numFmtId="8" fontId="13" fillId="0" borderId="0" xfId="0" applyNumberFormat="1" applyFont="1" applyFill="1" applyAlignment="1">
      <alignment horizontal="left" wrapText="1"/>
    </xf>
    <xf numFmtId="8" fontId="3" fillId="0" borderId="0" xfId="0" applyNumberFormat="1" applyFont="1" applyFill="1" applyAlignment="1">
      <alignment horizontal="left" wrapText="1"/>
    </xf>
    <xf numFmtId="3" fontId="3" fillId="0" borderId="0" xfId="0" applyNumberFormat="1" applyFont="1" applyFill="1" applyAlignment="1">
      <alignment horizontal="right"/>
    </xf>
    <xf numFmtId="8" fontId="7" fillId="0" borderId="0" xfId="0" applyNumberFormat="1" applyFont="1" applyFill="1" applyAlignment="1">
      <alignment horizontal="right"/>
    </xf>
    <xf numFmtId="8" fontId="22" fillId="0" borderId="0" xfId="0" applyNumberFormat="1" applyFont="1" applyFill="1"/>
    <xf numFmtId="8" fontId="12" fillId="0" borderId="0" xfId="0" applyNumberFormat="1" applyFont="1" applyFill="1"/>
    <xf numFmtId="8" fontId="34" fillId="0" borderId="0" xfId="0" applyNumberFormat="1" applyFont="1" applyFill="1"/>
    <xf numFmtId="8" fontId="12" fillId="6" borderId="7" xfId="0" applyNumberFormat="1" applyFont="1" applyFill="1" applyBorder="1"/>
    <xf numFmtId="8" fontId="34" fillId="6" borderId="7" xfId="0" applyNumberFormat="1" applyFont="1" applyFill="1" applyBorder="1"/>
    <xf numFmtId="8" fontId="0" fillId="6" borderId="7" xfId="0" applyNumberFormat="1" applyFill="1" applyBorder="1"/>
    <xf numFmtId="8" fontId="2" fillId="6" borderId="7" xfId="0" applyNumberFormat="1" applyFont="1" applyFill="1" applyBorder="1"/>
    <xf numFmtId="0" fontId="0" fillId="0" borderId="19" xfId="0" applyBorder="1"/>
    <xf numFmtId="168" fontId="0" fillId="0" borderId="20" xfId="0" applyNumberFormat="1" applyBorder="1"/>
    <xf numFmtId="9" fontId="0" fillId="0" borderId="21" xfId="0" applyNumberFormat="1" applyBorder="1"/>
    <xf numFmtId="0" fontId="0" fillId="2" borderId="19" xfId="0" applyFill="1" applyBorder="1"/>
    <xf numFmtId="168" fontId="0" fillId="2" borderId="20" xfId="0" applyNumberFormat="1" applyFill="1" applyBorder="1"/>
    <xf numFmtId="9" fontId="0" fillId="2" borderId="21" xfId="0" applyNumberFormat="1" applyFill="1" applyBorder="1"/>
    <xf numFmtId="0" fontId="0" fillId="5" borderId="22" xfId="0" applyFill="1" applyBorder="1"/>
    <xf numFmtId="168" fontId="0" fillId="5" borderId="18" xfId="0" applyNumberFormat="1" applyFill="1" applyBorder="1"/>
    <xf numFmtId="9" fontId="0" fillId="5" borderId="23" xfId="0" applyNumberFormat="1" applyFill="1" applyBorder="1"/>
    <xf numFmtId="168" fontId="16" fillId="0" borderId="25" xfId="0" applyNumberFormat="1" applyFont="1" applyFill="1" applyBorder="1"/>
    <xf numFmtId="9" fontId="16" fillId="0" borderId="26" xfId="0" applyNumberFormat="1" applyFont="1" applyFill="1" applyBorder="1"/>
    <xf numFmtId="0" fontId="16" fillId="0" borderId="24" xfId="0" applyFont="1" applyFill="1" applyBorder="1" applyAlignment="1">
      <alignment horizontal="right"/>
    </xf>
    <xf numFmtId="0" fontId="1" fillId="16" borderId="19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/>
    </xf>
    <xf numFmtId="0" fontId="1" fillId="16" borderId="21" xfId="0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right"/>
    </xf>
    <xf numFmtId="166" fontId="0" fillId="5" borderId="7" xfId="1" applyNumberFormat="1" applyFont="1" applyFill="1" applyBorder="1" applyAlignment="1">
      <alignment horizontal="right"/>
    </xf>
    <xf numFmtId="166" fontId="3" fillId="0" borderId="0" xfId="1" applyNumberFormat="1" applyFont="1" applyAlignment="1">
      <alignment horizontal="right"/>
    </xf>
    <xf numFmtId="166" fontId="3" fillId="6" borderId="7" xfId="1" applyNumberFormat="1" applyFont="1" applyFill="1" applyBorder="1" applyAlignment="1">
      <alignment horizontal="right"/>
    </xf>
    <xf numFmtId="166" fontId="0" fillId="0" borderId="7" xfId="0" applyNumberFormat="1" applyBorder="1"/>
    <xf numFmtId="8" fontId="20" fillId="0" borderId="0" xfId="0" applyNumberFormat="1" applyFont="1" applyFill="1" applyAlignment="1">
      <alignment wrapText="1"/>
    </xf>
    <xf numFmtId="8" fontId="3" fillId="5" borderId="0" xfId="0" applyNumberFormat="1" applyFont="1" applyFill="1" applyAlignment="1">
      <alignment vertical="top"/>
    </xf>
    <xf numFmtId="0" fontId="0" fillId="0" borderId="27" xfId="0" applyBorder="1"/>
    <xf numFmtId="168" fontId="0" fillId="0" borderId="13" xfId="0" applyNumberFormat="1" applyBorder="1"/>
    <xf numFmtId="10" fontId="0" fillId="0" borderId="28" xfId="0" applyNumberFormat="1" applyBorder="1"/>
    <xf numFmtId="0" fontId="0" fillId="2" borderId="27" xfId="0" applyFill="1" applyBorder="1"/>
    <xf numFmtId="168" fontId="0" fillId="2" borderId="13" xfId="0" applyNumberFormat="1" applyFill="1" applyBorder="1"/>
    <xf numFmtId="10" fontId="0" fillId="2" borderId="28" xfId="0" applyNumberFormat="1" applyFill="1" applyBorder="1"/>
    <xf numFmtId="0" fontId="1" fillId="16" borderId="27" xfId="0" applyFont="1" applyFill="1" applyBorder="1"/>
    <xf numFmtId="0" fontId="1" fillId="16" borderId="13" xfId="0" applyFont="1" applyFill="1" applyBorder="1"/>
    <xf numFmtId="0" fontId="1" fillId="16" borderId="28" xfId="0" applyFont="1" applyFill="1" applyBorder="1"/>
    <xf numFmtId="0" fontId="0" fillId="0" borderId="7" xfId="0" applyFill="1" applyBorder="1"/>
    <xf numFmtId="168" fontId="0" fillId="0" borderId="7" xfId="0" applyNumberFormat="1" applyFill="1" applyBorder="1"/>
    <xf numFmtId="10" fontId="0" fillId="0" borderId="7" xfId="0" applyNumberFormat="1" applyFill="1" applyBorder="1"/>
    <xf numFmtId="171" fontId="0" fillId="0" borderId="7" xfId="0" applyNumberFormat="1" applyBorder="1"/>
    <xf numFmtId="171" fontId="0" fillId="0" borderId="30" xfId="0" applyNumberFormat="1" applyBorder="1"/>
    <xf numFmtId="171" fontId="0" fillId="0" borderId="31" xfId="0" applyNumberFormat="1" applyBorder="1"/>
    <xf numFmtId="49" fontId="0" fillId="0" borderId="29" xfId="0" applyNumberFormat="1" applyBorder="1" applyAlignment="1">
      <alignment horizontal="center"/>
    </xf>
    <xf numFmtId="0" fontId="0" fillId="0" borderId="0" xfId="0" applyNumberFormat="1"/>
    <xf numFmtId="49" fontId="0" fillId="0" borderId="0" xfId="0" applyNumberFormat="1" applyAlignment="1">
      <alignment horizontal="center"/>
    </xf>
    <xf numFmtId="8" fontId="13" fillId="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7" fillId="0" borderId="7" xfId="6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50" fillId="0" borderId="0" xfId="0" applyNumberFormat="1" applyFont="1"/>
    <xf numFmtId="0" fontId="7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/>
    <xf numFmtId="165" fontId="0" fillId="0" borderId="0" xfId="0" applyNumberFormat="1" applyAlignment="1">
      <alignment horizontal="center"/>
    </xf>
    <xf numFmtId="8" fontId="6" fillId="9" borderId="7" xfId="0" applyNumberFormat="1" applyFont="1" applyFill="1" applyBorder="1" applyAlignment="1">
      <alignment horizontal="left" wrapText="1"/>
    </xf>
    <xf numFmtId="0" fontId="3" fillId="7" borderId="7" xfId="0" applyFont="1" applyFill="1" applyBorder="1" applyAlignment="1"/>
    <xf numFmtId="8" fontId="6" fillId="9" borderId="7" xfId="0" applyNumberFormat="1" applyFont="1" applyFill="1" applyBorder="1" applyAlignment="1">
      <alignment horizontal="left"/>
    </xf>
    <xf numFmtId="0" fontId="70" fillId="0" borderId="7" xfId="0" applyFont="1" applyBorder="1" applyAlignment="1">
      <alignment horizontal="center"/>
    </xf>
    <xf numFmtId="0" fontId="77" fillId="0" borderId="7" xfId="6"/>
  </cellXfs>
  <cellStyles count="7">
    <cellStyle name="Comma" xfId="1" builtinId="3"/>
    <cellStyle name="Currency" xfId="2" builtinId="4"/>
    <cellStyle name="Normal" xfId="0" builtinId="0"/>
    <cellStyle name="Normal 2" xfId="4" xr:uid="{3E0C15FA-17F2-49ED-9342-ADC84EB95939}"/>
    <cellStyle name="Normal 3" xfId="5" xr:uid="{338A2841-9BD6-419F-9A0B-5E3EF5B2F4DC}"/>
    <cellStyle name="Normal 4" xfId="6" xr:uid="{FCE90E93-5059-43F9-81E8-41247E600B2B}"/>
    <cellStyle name="Percent" xfId="3" builtinId="5"/>
  </cellStyles>
  <dxfs count="126"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  <dxf>
      <font>
        <color rgb="FF00B050"/>
      </font>
    </dxf>
    <dxf>
      <font>
        <color rgb="FFFF0000"/>
      </font>
    </dxf>
    <dxf>
      <font>
        <color theme="1"/>
      </font>
    </dxf>
  </dxfs>
  <tableStyles count="0" defaultTableStyle="TableStyleMedium2" defaultPivotStyle="PivotStyleLight16"/>
  <colors>
    <mruColors>
      <color rgb="FFFF99FF"/>
      <color rgb="FF4472C4"/>
      <color rgb="FFFB6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/>
          <a:lstStyle/>
          <a:p>
            <a:pPr lvl="0">
              <a:defRPr sz="2800" b="1" i="0"/>
            </a:pPr>
            <a:r>
              <a:rPr lang="en-US" sz="1600"/>
              <a:t>Williamson County Appraisal Review</a:t>
            </a:r>
            <a:r>
              <a:rPr lang="en-US" sz="1600" baseline="0"/>
              <a:t> Board</a:t>
            </a:r>
          </a:p>
          <a:p>
            <a:pPr lvl="0">
              <a:defRPr sz="2800" b="1" i="0"/>
            </a:pPr>
            <a:r>
              <a:rPr lang="en-US" sz="1600"/>
              <a:t>2020 Approved Budget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6AC3-4F48-9777-07F7032660B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6AC3-4F48-9777-07F7032660B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6AC3-4F48-9777-07F7032660B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6AC3-4F48-9777-07F7032660B0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6AC3-4F48-9777-07F7032660B0}"/>
              </c:ext>
            </c:extLst>
          </c:dPt>
          <c:dLbls>
            <c:dLbl>
              <c:idx val="1"/>
              <c:layout>
                <c:manualLayout>
                  <c:x val="-0.12031921424186617"/>
                  <c:y val="-9.06666666666667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C3-4F48-9777-07F7032660B0}"/>
                </c:ext>
              </c:extLst>
            </c:dLbl>
            <c:dLbl>
              <c:idx val="2"/>
              <c:layout>
                <c:manualLayout>
                  <c:x val="-7.3664825046040518E-3"/>
                  <c:y val="-1.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240000"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3-4F48-9777-07F7032660B0}"/>
                </c:ext>
              </c:extLst>
            </c:dLbl>
            <c:dLbl>
              <c:idx val="3"/>
              <c:layout>
                <c:manualLayout>
                  <c:x val="-7.9803560466543896E-2"/>
                  <c:y val="-0.1373333333333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898710865561695"/>
                      <c:h val="9.17599999999999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AC3-4F48-9777-07F7032660B0}"/>
                </c:ext>
              </c:extLst>
            </c:dLbl>
            <c:dLbl>
              <c:idx val="4"/>
              <c:layout>
                <c:manualLayout>
                  <c:x val="6.6298342541436461E-2"/>
                  <c:y val="-0.136000000000000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3-4F48-9777-07F703266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'Recap chart'!$L$5:$L$9</c:f>
              <c:strCache>
                <c:ptCount val="5"/>
                <c:pt idx="0">
                  <c:v>Contract Labor</c:v>
                </c:pt>
                <c:pt idx="1">
                  <c:v>Supplies</c:v>
                </c:pt>
                <c:pt idx="2">
                  <c:v>Forms &amp; Printing</c:v>
                </c:pt>
                <c:pt idx="3">
                  <c:v>Training/Seminars</c:v>
                </c:pt>
                <c:pt idx="4">
                  <c:v>Litigation</c:v>
                </c:pt>
              </c:strCache>
            </c:strRef>
          </c:cat>
          <c:val>
            <c:numRef>
              <c:f>'Recap chart'!$N$5:$N$9</c:f>
              <c:numCache>
                <c:formatCode>0.00%</c:formatCode>
                <c:ptCount val="5"/>
                <c:pt idx="0">
                  <c:v>0.88643546971027221</c:v>
                </c:pt>
                <c:pt idx="1">
                  <c:v>4.6532045654082525E-3</c:v>
                </c:pt>
                <c:pt idx="2">
                  <c:v>7.4473222124670765E-2</c:v>
                </c:pt>
                <c:pt idx="3">
                  <c:v>2.1071115013169446E-2</c:v>
                </c:pt>
                <c:pt idx="4">
                  <c:v>1.3169446883230905E-2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C3-4F48-9777-07F7032660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c:spPr>
    </c:plotArea>
    <c:plotVisOnly val="1"/>
    <c:dispBlanksAs val="zero"/>
    <c:showDLblsOverMax val="1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6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600" b="1" i="0" u="none" strike="noStrike" kern="1200" cap="all" spc="5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+mn-lt"/>
              </a:rPr>
              <a:t>Williamson Central Appraisal District</a:t>
            </a:r>
          </a:p>
          <a:p>
            <a:pPr algn="ctr" rtl="0">
              <a:defRPr sz="16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600" b="1" i="0" u="none" strike="noStrike" kern="1200" cap="all" spc="5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+mn-lt"/>
              </a:rPr>
              <a:t>2020 Approved Budget</a:t>
            </a:r>
          </a:p>
        </cx:rich>
      </cx:tx>
    </cx:title>
    <cx:plotArea>
      <cx:plotAreaRegion>
        <cx:series layoutId="treemap" uniqueId="{E1F7C426-2C1D-4B92-98B8-63471B3DF446}">
          <cx:dataLabels pos="inEnd">
            <cx:visibility seriesName="0" categoryName="1" value="1"/>
            <cx:separator>, </cx:separator>
          </cx:dataLabels>
          <cx:dataId val="0"/>
          <cx:layoutPr>
            <cx:parentLabelLayout val="banner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92074</xdr:rowOff>
    </xdr:from>
    <xdr:to>
      <xdr:col>0</xdr:col>
      <xdr:colOff>1404938</xdr:colOff>
      <xdr:row>0</xdr:row>
      <xdr:rowOff>611188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2074"/>
          <a:ext cx="1404938" cy="519114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1084261</xdr:colOff>
      <xdr:row>0</xdr:row>
      <xdr:rowOff>47625</xdr:rowOff>
    </xdr:from>
    <xdr:to>
      <xdr:col>3</xdr:col>
      <xdr:colOff>674687</xdr:colOff>
      <xdr:row>0</xdr:row>
      <xdr:rowOff>609600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84761" y="47625"/>
          <a:ext cx="677864" cy="561975"/>
        </a:xfrm>
        <a:prstGeom prst="rect">
          <a:avLst/>
        </a:prstGeom>
        <a:noFill/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3265" name="FILTER" hidden="1">
              <a:extLst>
                <a:ext uri="{63B3BB69-23CF-44E3-9099-C40C66FF867C}">
                  <a14:compatExt spid="_x0000_s53265"/>
                </a:ext>
                <a:ext uri="{FF2B5EF4-FFF2-40B4-BE49-F238E27FC236}">
                  <a16:creationId xmlns:a16="http://schemas.microsoft.com/office/drawing/2014/main" id="{00000000-0008-0000-0C00-00001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3266" name="HEADER" hidden="1">
              <a:extLst>
                <a:ext uri="{63B3BB69-23CF-44E3-9099-C40C66FF867C}">
                  <a14:compatExt spid="_x0000_s53266"/>
                </a:ext>
                <a:ext uri="{FF2B5EF4-FFF2-40B4-BE49-F238E27FC236}">
                  <a16:creationId xmlns:a16="http://schemas.microsoft.com/office/drawing/2014/main" id="{00000000-0008-0000-0C00-00001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4301" name="FILTER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D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4302" name="HEADER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D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5315" name="FILTER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E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5316" name="HEADER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E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6339" name="FILTER" hidden="1">
              <a:extLst>
                <a:ext uri="{63B3BB69-23CF-44E3-9099-C40C66FF867C}">
                  <a14:compatExt spid="_x0000_s56339"/>
                </a:ext>
                <a:ext uri="{FF2B5EF4-FFF2-40B4-BE49-F238E27FC236}">
                  <a16:creationId xmlns:a16="http://schemas.microsoft.com/office/drawing/2014/main" id="{00000000-0008-0000-0F00-00001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6340" name="HEADER" hidden="1">
              <a:extLst>
                <a:ext uri="{63B3BB69-23CF-44E3-9099-C40C66FF867C}">
                  <a14:compatExt spid="_x0000_s56340"/>
                </a:ext>
                <a:ext uri="{FF2B5EF4-FFF2-40B4-BE49-F238E27FC236}">
                  <a16:creationId xmlns:a16="http://schemas.microsoft.com/office/drawing/2014/main" id="{00000000-0008-0000-0F00-00001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7361" name="FILTER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10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7362" name="HEADER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10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8385" name="FILTER" hidden="1">
              <a:extLst>
                <a:ext uri="{63B3BB69-23CF-44E3-9099-C40C66FF867C}">
                  <a14:compatExt spid="_x0000_s58385"/>
                </a:ext>
                <a:ext uri="{FF2B5EF4-FFF2-40B4-BE49-F238E27FC236}">
                  <a16:creationId xmlns:a16="http://schemas.microsoft.com/office/drawing/2014/main" id="{00000000-0008-0000-1100-00001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8386" name="HEADER" hidden="1">
              <a:extLst>
                <a:ext uri="{63B3BB69-23CF-44E3-9099-C40C66FF867C}">
                  <a14:compatExt spid="_x0000_s58386"/>
                </a:ext>
                <a:ext uri="{FF2B5EF4-FFF2-40B4-BE49-F238E27FC236}">
                  <a16:creationId xmlns:a16="http://schemas.microsoft.com/office/drawing/2014/main" id="{00000000-0008-0000-1100-00001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9401" name="FILTER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12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9402" name="HEADER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12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0435" name="FILTER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13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0436" name="HEADER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13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71695" name="FILTER" hidden="1">
              <a:extLst>
                <a:ext uri="{63B3BB69-23CF-44E3-9099-C40C66FF867C}">
                  <a14:compatExt spid="_x0000_s71695"/>
                </a:ext>
                <a:ext uri="{FF2B5EF4-FFF2-40B4-BE49-F238E27FC236}">
                  <a16:creationId xmlns:a16="http://schemas.microsoft.com/office/drawing/2014/main" id="{00000000-0008-0000-1400-00000F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71696" name="HEADER" hidden="1">
              <a:extLst>
                <a:ext uri="{63B3BB69-23CF-44E3-9099-C40C66FF867C}">
                  <a14:compatExt spid="_x0000_s71696"/>
                </a:ext>
                <a:ext uri="{FF2B5EF4-FFF2-40B4-BE49-F238E27FC236}">
                  <a16:creationId xmlns:a16="http://schemas.microsoft.com/office/drawing/2014/main" id="{00000000-0008-0000-1400-000010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1459" name="FILTER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15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1460" name="HEADER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15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142875</xdr:colOff>
      <xdr:row>44</xdr:row>
      <xdr:rowOff>161925</xdr:rowOff>
    </xdr:to>
    <xdr:sp macro="" textlink="">
      <xdr:nvSpPr>
        <xdr:cNvPr id="2106" name="Text Box 58" hidden="1">
          <a:extLst>
            <a:ext uri="{FF2B5EF4-FFF2-40B4-BE49-F238E27FC236}">
              <a16:creationId xmlns:a16="http://schemas.microsoft.com/office/drawing/2014/main" id="{00000000-0008-0000-0400-00003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2483" name="FILTER" hidden="1">
              <a:extLst>
                <a:ext uri="{63B3BB69-23CF-44E3-9099-C40C66FF867C}">
                  <a14:compatExt spid="_x0000_s62483"/>
                </a:ext>
                <a:ext uri="{FF2B5EF4-FFF2-40B4-BE49-F238E27FC236}">
                  <a16:creationId xmlns:a16="http://schemas.microsoft.com/office/drawing/2014/main" id="{00000000-0008-0000-1600-00001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2484" name="HEADER" hidden="1">
              <a:extLst>
                <a:ext uri="{63B3BB69-23CF-44E3-9099-C40C66FF867C}">
                  <a14:compatExt spid="_x0000_s62484"/>
                </a:ext>
                <a:ext uri="{FF2B5EF4-FFF2-40B4-BE49-F238E27FC236}">
                  <a16:creationId xmlns:a16="http://schemas.microsoft.com/office/drawing/2014/main" id="{00000000-0008-0000-1600-000014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3509" name="FILTER" hidden="1">
              <a:extLst>
                <a:ext uri="{63B3BB69-23CF-44E3-9099-C40C66FF867C}">
                  <a14:compatExt spid="_x0000_s63509"/>
                </a:ext>
                <a:ext uri="{FF2B5EF4-FFF2-40B4-BE49-F238E27FC236}">
                  <a16:creationId xmlns:a16="http://schemas.microsoft.com/office/drawing/2014/main" id="{00000000-0008-0000-1700-00001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3510" name="HEADER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:a16="http://schemas.microsoft.com/office/drawing/2014/main" id="{00000000-0008-0000-17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83969" name="FILTER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18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38100</xdr:rowOff>
        </xdr:to>
        <xdr:sp macro="" textlink="">
          <xdr:nvSpPr>
            <xdr:cNvPr id="83970" name="HEADER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18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4527" name="FILTER" hidden="1">
              <a:extLst>
                <a:ext uri="{63B3BB69-23CF-44E3-9099-C40C66FF867C}">
                  <a14:compatExt spid="_x0000_s64527"/>
                </a:ext>
                <a:ext uri="{FF2B5EF4-FFF2-40B4-BE49-F238E27FC236}">
                  <a16:creationId xmlns:a16="http://schemas.microsoft.com/office/drawing/2014/main" id="{00000000-0008-0000-1900-00000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4528" name="HEADER" hidden="1">
              <a:extLst>
                <a:ext uri="{63B3BB69-23CF-44E3-9099-C40C66FF867C}">
                  <a14:compatExt spid="_x0000_s64528"/>
                </a:ext>
                <a:ext uri="{FF2B5EF4-FFF2-40B4-BE49-F238E27FC236}">
                  <a16:creationId xmlns:a16="http://schemas.microsoft.com/office/drawing/2014/main" id="{00000000-0008-0000-1900-00001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533400</xdr:colOff>
          <xdr:row>1</xdr:row>
          <xdr:rowOff>27214</xdr:rowOff>
        </xdr:to>
        <xdr:sp macro="" textlink="">
          <xdr:nvSpPr>
            <xdr:cNvPr id="65541" name="FILTER" hidden="1">
              <a:extLst>
                <a:ext uri="{63B3BB69-23CF-44E3-9099-C40C66FF867C}">
                  <a14:compatExt spid="_x0000_s65541"/>
                </a:ext>
                <a:ext uri="{FF2B5EF4-FFF2-40B4-BE49-F238E27FC236}">
                  <a16:creationId xmlns:a16="http://schemas.microsoft.com/office/drawing/2014/main" id="{00000000-0008-0000-1A00-000005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533400</xdr:colOff>
          <xdr:row>1</xdr:row>
          <xdr:rowOff>27214</xdr:rowOff>
        </xdr:to>
        <xdr:sp macro="" textlink="">
          <xdr:nvSpPr>
            <xdr:cNvPr id="65542" name="HEADER" hidden="1">
              <a:extLst>
                <a:ext uri="{63B3BB69-23CF-44E3-9099-C40C66FF867C}">
                  <a14:compatExt spid="_x0000_s65542"/>
                </a:ext>
                <a:ext uri="{FF2B5EF4-FFF2-40B4-BE49-F238E27FC236}">
                  <a16:creationId xmlns:a16="http://schemas.microsoft.com/office/drawing/2014/main" id="{00000000-0008-0000-1A00-000006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6571" name="FILTER" hidden="1">
              <a:extLst>
                <a:ext uri="{63B3BB69-23CF-44E3-9099-C40C66FF867C}">
                  <a14:compatExt spid="_x0000_s66571"/>
                </a:ext>
                <a:ext uri="{FF2B5EF4-FFF2-40B4-BE49-F238E27FC236}">
                  <a16:creationId xmlns:a16="http://schemas.microsoft.com/office/drawing/2014/main" id="{00000000-0008-0000-1B00-00000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6572" name="HEADER" hidden="1">
              <a:extLst>
                <a:ext uri="{63B3BB69-23CF-44E3-9099-C40C66FF867C}">
                  <a14:compatExt spid="_x0000_s66572"/>
                </a:ext>
                <a:ext uri="{FF2B5EF4-FFF2-40B4-BE49-F238E27FC236}">
                  <a16:creationId xmlns:a16="http://schemas.microsoft.com/office/drawing/2014/main" id="{00000000-0008-0000-1B00-00000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533400</xdr:colOff>
          <xdr:row>1</xdr:row>
          <xdr:rowOff>27214</xdr:rowOff>
        </xdr:to>
        <xdr:sp macro="" textlink="">
          <xdr:nvSpPr>
            <xdr:cNvPr id="67585" name="FILTER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1C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533400</xdr:colOff>
          <xdr:row>1</xdr:row>
          <xdr:rowOff>27214</xdr:rowOff>
        </xdr:to>
        <xdr:sp macro="" textlink="">
          <xdr:nvSpPr>
            <xdr:cNvPr id="67586" name="HEADER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1C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8615" name="FILTER" hidden="1">
              <a:extLst>
                <a:ext uri="{63B3BB69-23CF-44E3-9099-C40C66FF867C}">
                  <a14:compatExt spid="_x0000_s68615"/>
                </a:ext>
                <a:ext uri="{FF2B5EF4-FFF2-40B4-BE49-F238E27FC236}">
                  <a16:creationId xmlns:a16="http://schemas.microsoft.com/office/drawing/2014/main" id="{00000000-0008-0000-1D00-000007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8616" name="HEADER" hidden="1">
              <a:extLst>
                <a:ext uri="{63B3BB69-23CF-44E3-9099-C40C66FF867C}">
                  <a14:compatExt spid="_x0000_s68616"/>
                </a:ext>
                <a:ext uri="{FF2B5EF4-FFF2-40B4-BE49-F238E27FC236}">
                  <a16:creationId xmlns:a16="http://schemas.microsoft.com/office/drawing/2014/main" id="{00000000-0008-0000-1D00-000008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9647" name="FILTER" hidden="1">
              <a:extLst>
                <a:ext uri="{63B3BB69-23CF-44E3-9099-C40C66FF867C}">
                  <a14:compatExt spid="_x0000_s69647"/>
                </a:ext>
                <a:ext uri="{FF2B5EF4-FFF2-40B4-BE49-F238E27FC236}">
                  <a16:creationId xmlns:a16="http://schemas.microsoft.com/office/drawing/2014/main" id="{00000000-0008-0000-1F00-00000F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69648" name="HEADER" hidden="1">
              <a:extLst>
                <a:ext uri="{63B3BB69-23CF-44E3-9099-C40C66FF867C}">
                  <a14:compatExt spid="_x0000_s69648"/>
                </a:ext>
                <a:ext uri="{FF2B5EF4-FFF2-40B4-BE49-F238E27FC236}">
                  <a16:creationId xmlns:a16="http://schemas.microsoft.com/office/drawing/2014/main" id="{00000000-0008-0000-1F00-000010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295275</xdr:colOff>
      <xdr:row>43</xdr:row>
      <xdr:rowOff>142875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93187" name="FILTER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20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93188" name="HEADER" hidden="1">
              <a:extLst>
                <a:ext uri="{63B3BB69-23CF-44E3-9099-C40C66FF867C}">
                  <a14:compatExt spid="_x0000_s93188"/>
                </a:ext>
                <a:ext uri="{FF2B5EF4-FFF2-40B4-BE49-F238E27FC236}">
                  <a16:creationId xmlns:a16="http://schemas.microsoft.com/office/drawing/2014/main" id="{00000000-0008-0000-2000-00000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190499</xdr:rowOff>
    </xdr:from>
    <xdr:to>
      <xdr:col>8</xdr:col>
      <xdr:colOff>409575</xdr:colOff>
      <xdr:row>41</xdr:row>
      <xdr:rowOff>180974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759528"/>
              <a:ext cx="6102804" cy="551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 fLocksWithSheet="0"/>
  </xdr:twoCellAnchor>
  <xdr:twoCellAnchor>
    <xdr:from>
      <xdr:col>9</xdr:col>
      <xdr:colOff>85726</xdr:colOff>
      <xdr:row>13</xdr:row>
      <xdr:rowOff>28575</xdr:rowOff>
    </xdr:from>
    <xdr:to>
      <xdr:col>15</xdr:col>
      <xdr:colOff>628650</xdr:colOff>
      <xdr:row>41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46103" name="FILTER" hidden="1">
              <a:extLst>
                <a:ext uri="{63B3BB69-23CF-44E3-9099-C40C66FF867C}">
                  <a14:compatExt spid="_x0000_s46103"/>
                </a:ext>
                <a:ext uri="{FF2B5EF4-FFF2-40B4-BE49-F238E27FC236}">
                  <a16:creationId xmlns:a16="http://schemas.microsoft.com/office/drawing/2014/main" id="{00000000-0008-0000-0700-00001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46104" name="HEADER" hidden="1">
              <a:extLst>
                <a:ext uri="{63B3BB69-23CF-44E3-9099-C40C66FF867C}">
                  <a14:compatExt spid="_x0000_s46104"/>
                </a:ext>
                <a:ext uri="{FF2B5EF4-FFF2-40B4-BE49-F238E27FC236}">
                  <a16:creationId xmlns:a16="http://schemas.microsoft.com/office/drawing/2014/main" id="{00000000-0008-0000-0700-00001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49173" name="FILTER" hidden="1">
              <a:extLst>
                <a:ext uri="{63B3BB69-23CF-44E3-9099-C40C66FF867C}">
                  <a14:compatExt spid="_x0000_s49173"/>
                </a:ext>
                <a:ext uri="{FF2B5EF4-FFF2-40B4-BE49-F238E27FC236}">
                  <a16:creationId xmlns:a16="http://schemas.microsoft.com/office/drawing/2014/main" id="{00000000-0008-0000-0800-00001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49174" name="HEADER" hidden="1">
              <a:extLst>
                <a:ext uri="{63B3BB69-23CF-44E3-9099-C40C66FF867C}">
                  <a14:compatExt spid="_x0000_s49174"/>
                </a:ext>
                <a:ext uri="{FF2B5EF4-FFF2-40B4-BE49-F238E27FC236}">
                  <a16:creationId xmlns:a16="http://schemas.microsoft.com/office/drawing/2014/main" id="{00000000-0008-0000-0800-00001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0197" name="FILTER" hidden="1">
              <a:extLst>
                <a:ext uri="{63B3BB69-23CF-44E3-9099-C40C66FF867C}">
                  <a14:compatExt spid="_x0000_s50197"/>
                </a:ext>
                <a:ext uri="{FF2B5EF4-FFF2-40B4-BE49-F238E27FC236}">
                  <a16:creationId xmlns:a16="http://schemas.microsoft.com/office/drawing/2014/main" id="{00000000-0008-0000-0900-00001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0198" name="HEADER" hidden="1">
              <a:extLst>
                <a:ext uri="{63B3BB69-23CF-44E3-9099-C40C66FF867C}">
                  <a14:compatExt spid="_x0000_s50198"/>
                </a:ext>
                <a:ext uri="{FF2B5EF4-FFF2-40B4-BE49-F238E27FC236}">
                  <a16:creationId xmlns:a16="http://schemas.microsoft.com/office/drawing/2014/main" id="{00000000-0008-0000-0900-000016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1215" name="FILTER" hidden="1">
              <a:extLst>
                <a:ext uri="{63B3BB69-23CF-44E3-9099-C40C66FF867C}">
                  <a14:compatExt spid="_x0000_s51215"/>
                </a:ext>
                <a:ext uri="{FF2B5EF4-FFF2-40B4-BE49-F238E27FC236}">
                  <a16:creationId xmlns:a16="http://schemas.microsoft.com/office/drawing/2014/main" id="{00000000-0008-0000-0A00-00000F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1216" name="HEADER" hidden="1">
              <a:extLst>
                <a:ext uri="{63B3BB69-23CF-44E3-9099-C40C66FF867C}">
                  <a14:compatExt spid="_x0000_s51216"/>
                </a:ext>
                <a:ext uri="{FF2B5EF4-FFF2-40B4-BE49-F238E27FC236}">
                  <a16:creationId xmlns:a16="http://schemas.microsoft.com/office/drawing/2014/main" id="{00000000-0008-0000-0A00-000010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2245" name="FILTER" hidden="1">
              <a:extLst>
                <a:ext uri="{63B3BB69-23CF-44E3-9099-C40C66FF867C}">
                  <a14:compatExt spid="_x0000_s52245"/>
                </a:ext>
                <a:ext uri="{FF2B5EF4-FFF2-40B4-BE49-F238E27FC236}">
                  <a16:creationId xmlns:a16="http://schemas.microsoft.com/office/drawing/2014/main" id="{00000000-0008-0000-0B00-00001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517071</xdr:colOff>
          <xdr:row>1</xdr:row>
          <xdr:rowOff>27214</xdr:rowOff>
        </xdr:to>
        <xdr:sp macro="" textlink="">
          <xdr:nvSpPr>
            <xdr:cNvPr id="52246" name="HEADER" hidden="1">
              <a:extLst>
                <a:ext uri="{63B3BB69-23CF-44E3-9099-C40C66FF867C}">
                  <a14:compatExt spid="_x0000_s52246"/>
                </a:ext>
                <a:ext uri="{FF2B5EF4-FFF2-40B4-BE49-F238E27FC236}">
                  <a16:creationId xmlns:a16="http://schemas.microsoft.com/office/drawing/2014/main" id="{00000000-0008-0000-0B00-000016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8" personId="{00000000-0000-0000-0000-000000000000}" id="{4D9EFB99-C802-4643-AFD0-0D7518FEA9EE}">
    <text>Cost Increase from 2018 (In state)
	-Billy White</text>
  </threadedComment>
  <threadedComment ref="H113" personId="{00000000-0000-0000-0000-000000000000}" id="{848B4758-2734-43CD-A3CD-0A227FADC0D7}">
    <text>Registration fee = $210 / each
Designation fee = $160 / each
Designation pending = $80 / each
Application fee = $50 / each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4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8.xml"/><Relationship Id="rId5" Type="http://schemas.openxmlformats.org/officeDocument/2006/relationships/image" Target="../media/image3.emf"/><Relationship Id="rId4" Type="http://schemas.openxmlformats.org/officeDocument/2006/relationships/control" Target="../activeX/activeX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4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10.xml"/><Relationship Id="rId5" Type="http://schemas.openxmlformats.org/officeDocument/2006/relationships/image" Target="../media/image3.emf"/><Relationship Id="rId4" Type="http://schemas.openxmlformats.org/officeDocument/2006/relationships/control" Target="../activeX/activeX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4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12.xml"/><Relationship Id="rId5" Type="http://schemas.openxmlformats.org/officeDocument/2006/relationships/image" Target="../media/image3.emf"/><Relationship Id="rId4" Type="http://schemas.openxmlformats.org/officeDocument/2006/relationships/control" Target="../activeX/activeX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14.xml"/><Relationship Id="rId5" Type="http://schemas.openxmlformats.org/officeDocument/2006/relationships/image" Target="../media/image3.emf"/><Relationship Id="rId4" Type="http://schemas.openxmlformats.org/officeDocument/2006/relationships/control" Target="../activeX/activeX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4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16.xml"/><Relationship Id="rId5" Type="http://schemas.openxmlformats.org/officeDocument/2006/relationships/image" Target="../media/image3.emf"/><Relationship Id="rId4" Type="http://schemas.openxmlformats.org/officeDocument/2006/relationships/control" Target="../activeX/activeX1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4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18.xml"/><Relationship Id="rId5" Type="http://schemas.openxmlformats.org/officeDocument/2006/relationships/image" Target="../media/image3.emf"/><Relationship Id="rId4" Type="http://schemas.openxmlformats.org/officeDocument/2006/relationships/control" Target="../activeX/activeX1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image" Target="../media/image4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20.xml"/><Relationship Id="rId5" Type="http://schemas.openxmlformats.org/officeDocument/2006/relationships/image" Target="../media/image3.emf"/><Relationship Id="rId4" Type="http://schemas.openxmlformats.org/officeDocument/2006/relationships/control" Target="../activeX/activeX1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7" Type="http://schemas.openxmlformats.org/officeDocument/2006/relationships/image" Target="../media/image4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22.xml"/><Relationship Id="rId5" Type="http://schemas.openxmlformats.org/officeDocument/2006/relationships/image" Target="../media/image3.emf"/><Relationship Id="rId4" Type="http://schemas.openxmlformats.org/officeDocument/2006/relationships/control" Target="../activeX/activeX2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7" Type="http://schemas.openxmlformats.org/officeDocument/2006/relationships/image" Target="../media/image4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24.xml"/><Relationship Id="rId5" Type="http://schemas.openxmlformats.org/officeDocument/2006/relationships/image" Target="../media/image3.emf"/><Relationship Id="rId4" Type="http://schemas.openxmlformats.org/officeDocument/2006/relationships/control" Target="../activeX/activeX2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7" Type="http://schemas.openxmlformats.org/officeDocument/2006/relationships/image" Target="../media/image3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26.xml"/><Relationship Id="rId5" Type="http://schemas.openxmlformats.org/officeDocument/2006/relationships/image" Target="../media/image4.emf"/><Relationship Id="rId4" Type="http://schemas.openxmlformats.org/officeDocument/2006/relationships/control" Target="../activeX/activeX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image" Target="../media/image4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28.xml"/><Relationship Id="rId5" Type="http://schemas.openxmlformats.org/officeDocument/2006/relationships/image" Target="../media/image5.emf"/><Relationship Id="rId4" Type="http://schemas.openxmlformats.org/officeDocument/2006/relationships/control" Target="../activeX/activeX2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image" Target="../media/image3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30.xml"/><Relationship Id="rId5" Type="http://schemas.openxmlformats.org/officeDocument/2006/relationships/image" Target="../media/image4.emf"/><Relationship Id="rId4" Type="http://schemas.openxmlformats.org/officeDocument/2006/relationships/control" Target="../activeX/activeX2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7" Type="http://schemas.openxmlformats.org/officeDocument/2006/relationships/image" Target="../media/image3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32.xml"/><Relationship Id="rId5" Type="http://schemas.openxmlformats.org/officeDocument/2006/relationships/image" Target="../media/image4.emf"/><Relationship Id="rId4" Type="http://schemas.openxmlformats.org/officeDocument/2006/relationships/control" Target="../activeX/activeX3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7" Type="http://schemas.openxmlformats.org/officeDocument/2006/relationships/image" Target="../media/image3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34.xml"/><Relationship Id="rId5" Type="http://schemas.openxmlformats.org/officeDocument/2006/relationships/image" Target="../media/image4.emf"/><Relationship Id="rId4" Type="http://schemas.openxmlformats.org/officeDocument/2006/relationships/control" Target="../activeX/activeX3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image" Target="../media/image5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36.xml"/><Relationship Id="rId5" Type="http://schemas.openxmlformats.org/officeDocument/2006/relationships/image" Target="../media/image4.emf"/><Relationship Id="rId4" Type="http://schemas.openxmlformats.org/officeDocument/2006/relationships/control" Target="../activeX/activeX3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7" Type="http://schemas.openxmlformats.org/officeDocument/2006/relationships/image" Target="../media/image3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38.xml"/><Relationship Id="rId5" Type="http://schemas.openxmlformats.org/officeDocument/2006/relationships/image" Target="../media/image4.emf"/><Relationship Id="rId4" Type="http://schemas.openxmlformats.org/officeDocument/2006/relationships/control" Target="../activeX/activeX3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7" Type="http://schemas.openxmlformats.org/officeDocument/2006/relationships/image" Target="../media/image4.emf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Relationship Id="rId6" Type="http://schemas.openxmlformats.org/officeDocument/2006/relationships/control" Target="../activeX/activeX40.xml"/><Relationship Id="rId5" Type="http://schemas.openxmlformats.org/officeDocument/2006/relationships/image" Target="../media/image5.emf"/><Relationship Id="rId4" Type="http://schemas.openxmlformats.org/officeDocument/2006/relationships/control" Target="../activeX/activeX39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7" Type="http://schemas.openxmlformats.org/officeDocument/2006/relationships/image" Target="../media/image3.emf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42.xml"/><Relationship Id="rId5" Type="http://schemas.openxmlformats.org/officeDocument/2006/relationships/image" Target="../media/image4.emf"/><Relationship Id="rId4" Type="http://schemas.openxmlformats.org/officeDocument/2006/relationships/control" Target="../activeX/activeX4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7" Type="http://schemas.openxmlformats.org/officeDocument/2006/relationships/image" Target="../media/image4.emf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6" Type="http://schemas.openxmlformats.org/officeDocument/2006/relationships/control" Target="../activeX/activeX44.xml"/><Relationship Id="rId5" Type="http://schemas.openxmlformats.org/officeDocument/2006/relationships/image" Target="../media/image5.emf"/><Relationship Id="rId4" Type="http://schemas.openxmlformats.org/officeDocument/2006/relationships/control" Target="../activeX/activeX4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7" Type="http://schemas.openxmlformats.org/officeDocument/2006/relationships/image" Target="../media/image3.emf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Relationship Id="rId6" Type="http://schemas.openxmlformats.org/officeDocument/2006/relationships/control" Target="../activeX/activeX46.xml"/><Relationship Id="rId5" Type="http://schemas.openxmlformats.org/officeDocument/2006/relationships/image" Target="../media/image4.emf"/><Relationship Id="rId4" Type="http://schemas.openxmlformats.org/officeDocument/2006/relationships/control" Target="../activeX/activeX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7" Type="http://schemas.openxmlformats.org/officeDocument/2006/relationships/image" Target="../media/image3.emf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Relationship Id="rId6" Type="http://schemas.openxmlformats.org/officeDocument/2006/relationships/control" Target="../activeX/activeX48.xml"/><Relationship Id="rId5" Type="http://schemas.openxmlformats.org/officeDocument/2006/relationships/image" Target="../media/image4.emf"/><Relationship Id="rId4" Type="http://schemas.openxmlformats.org/officeDocument/2006/relationships/control" Target="../activeX/activeX47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7" Type="http://schemas.openxmlformats.org/officeDocument/2006/relationships/image" Target="../media/image3.emf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Relationship Id="rId6" Type="http://schemas.openxmlformats.org/officeDocument/2006/relationships/control" Target="../activeX/activeX50.xml"/><Relationship Id="rId5" Type="http://schemas.openxmlformats.org/officeDocument/2006/relationships/image" Target="../media/image4.emf"/><Relationship Id="rId4" Type="http://schemas.openxmlformats.org/officeDocument/2006/relationships/control" Target="../activeX/activeX4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6.xml"/><Relationship Id="rId5" Type="http://schemas.openxmlformats.org/officeDocument/2006/relationships/image" Target="../media/image3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="120" zoomScaleNormal="120" workbookViewId="0">
      <selection activeCell="A52" sqref="A52"/>
    </sheetView>
  </sheetViews>
  <sheetFormatPr defaultRowHeight="14.6" x14ac:dyDescent="0.4"/>
  <cols>
    <col min="1" max="1" width="47.69140625" customWidth="1"/>
    <col min="2" max="2" width="12.3046875" bestFit="1" customWidth="1"/>
    <col min="3" max="3" width="16.3046875" customWidth="1"/>
    <col min="4" max="4" width="13.84375" customWidth="1"/>
    <col min="6" max="6" width="11.84375" bestFit="1" customWidth="1"/>
  </cols>
  <sheetData>
    <row r="1" spans="1:24" s="542" customFormat="1" ht="49.5" customHeight="1" x14ac:dyDescent="0.7">
      <c r="A1" s="771" t="s">
        <v>518</v>
      </c>
      <c r="B1" s="771"/>
      <c r="C1" s="771"/>
      <c r="D1" s="77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</row>
    <row r="2" spans="1:24" s="542" customFormat="1" ht="42" customHeight="1" x14ac:dyDescent="0.4">
      <c r="A2" s="634" t="s">
        <v>0</v>
      </c>
      <c r="B2" s="635" t="s">
        <v>516</v>
      </c>
      <c r="C2" s="635" t="s">
        <v>537</v>
      </c>
      <c r="D2" s="636" t="s">
        <v>517</v>
      </c>
    </row>
    <row r="3" spans="1:24" s="525" customFormat="1" x14ac:dyDescent="0.4">
      <c r="A3" s="655" t="s">
        <v>11</v>
      </c>
      <c r="B3" s="656">
        <v>4350500</v>
      </c>
      <c r="C3" s="657">
        <f>SUM('4% Overview'!J2)</f>
        <v>4650100</v>
      </c>
      <c r="D3" s="658">
        <f t="shared" ref="D3:D23" si="0">(C3-B3)/B3</f>
        <v>6.8865647626709575E-2</v>
      </c>
    </row>
    <row r="4" spans="1:24" s="525" customFormat="1" x14ac:dyDescent="0.4">
      <c r="A4" s="646" t="s">
        <v>12</v>
      </c>
      <c r="B4" s="647">
        <v>253000</v>
      </c>
      <c r="C4" s="648">
        <f>SUM('4% Overview'!J3)</f>
        <v>265800</v>
      </c>
      <c r="D4" s="649">
        <f t="shared" si="0"/>
        <v>5.059288537549407E-2</v>
      </c>
    </row>
    <row r="5" spans="1:24" s="525" customFormat="1" x14ac:dyDescent="0.4">
      <c r="A5" s="254" t="s">
        <v>14</v>
      </c>
      <c r="B5" s="651">
        <v>626700</v>
      </c>
      <c r="C5" s="652">
        <f>SUM('4% Overview'!J4)</f>
        <v>675600</v>
      </c>
      <c r="D5" s="653">
        <f t="shared" si="0"/>
        <v>7.802776448061273E-2</v>
      </c>
    </row>
    <row r="6" spans="1:24" s="525" customFormat="1" x14ac:dyDescent="0.4">
      <c r="A6" s="646" t="s">
        <v>15</v>
      </c>
      <c r="B6" s="650">
        <v>717700</v>
      </c>
      <c r="C6" s="648">
        <f>SUM('4% Overview'!J5)</f>
        <v>882200</v>
      </c>
      <c r="D6" s="649">
        <f t="shared" si="0"/>
        <v>0.22920440295388045</v>
      </c>
    </row>
    <row r="7" spans="1:24" s="525" customFormat="1" x14ac:dyDescent="0.4">
      <c r="A7" s="254" t="s">
        <v>16</v>
      </c>
      <c r="B7" s="651">
        <v>8900</v>
      </c>
      <c r="C7" s="652">
        <f>SUM('4% Overview'!J6)</f>
        <v>8900</v>
      </c>
      <c r="D7" s="653">
        <f t="shared" si="0"/>
        <v>0</v>
      </c>
      <c r="F7" s="669">
        <f>SUM(C3:C8)</f>
        <v>6553600</v>
      </c>
    </row>
    <row r="8" spans="1:24" s="525" customFormat="1" x14ac:dyDescent="0.4">
      <c r="A8" s="646" t="s">
        <v>17</v>
      </c>
      <c r="B8" s="650">
        <v>67400</v>
      </c>
      <c r="C8" s="648">
        <f>SUM('4% Overview'!J7)</f>
        <v>71000</v>
      </c>
      <c r="D8" s="649">
        <f t="shared" si="0"/>
        <v>5.3412462908011868E-2</v>
      </c>
    </row>
    <row r="9" spans="1:24" s="525" customFormat="1" x14ac:dyDescent="0.4">
      <c r="A9" s="254" t="s">
        <v>18</v>
      </c>
      <c r="B9" s="651">
        <v>14100</v>
      </c>
      <c r="C9" s="652">
        <f>SUM('4% Overview'!J8)</f>
        <v>13600</v>
      </c>
      <c r="D9" s="653">
        <f t="shared" si="0"/>
        <v>-3.5460992907801421E-2</v>
      </c>
    </row>
    <row r="10" spans="1:24" s="525" customFormat="1" x14ac:dyDescent="0.4">
      <c r="A10" s="646" t="s">
        <v>19</v>
      </c>
      <c r="B10" s="650">
        <v>129900</v>
      </c>
      <c r="C10" s="648">
        <f>SUM('4% Overview'!J9)</f>
        <v>210900</v>
      </c>
      <c r="D10" s="649">
        <f t="shared" si="0"/>
        <v>0.62355658198614317</v>
      </c>
    </row>
    <row r="11" spans="1:24" s="525" customFormat="1" x14ac:dyDescent="0.4">
      <c r="A11" s="254" t="s">
        <v>21</v>
      </c>
      <c r="B11" s="651">
        <v>58800</v>
      </c>
      <c r="C11" s="652">
        <f>SUM('4% Overview'!J10)</f>
        <v>85000</v>
      </c>
      <c r="D11" s="653">
        <f t="shared" si="0"/>
        <v>0.445578231292517</v>
      </c>
    </row>
    <row r="12" spans="1:24" s="525" customFormat="1" x14ac:dyDescent="0.4">
      <c r="A12" s="646" t="s">
        <v>22</v>
      </c>
      <c r="B12" s="650">
        <v>7200</v>
      </c>
      <c r="C12" s="648">
        <f>SUM('4% Overview'!J11)</f>
        <v>7200</v>
      </c>
      <c r="D12" s="649">
        <f t="shared" si="0"/>
        <v>0</v>
      </c>
      <c r="F12" s="669">
        <f>SUM(C9:C14)</f>
        <v>411000</v>
      </c>
    </row>
    <row r="13" spans="1:24" x14ac:dyDescent="0.4">
      <c r="A13" s="622" t="s">
        <v>23</v>
      </c>
      <c r="B13" s="623">
        <v>78900</v>
      </c>
      <c r="C13" s="624">
        <f>SUM('4% Overview'!J12)</f>
        <v>80800</v>
      </c>
      <c r="D13" s="625">
        <f t="shared" si="0"/>
        <v>2.4081115335868188E-2</v>
      </c>
    </row>
    <row r="14" spans="1:24" x14ac:dyDescent="0.4">
      <c r="A14" s="260" t="s">
        <v>24</v>
      </c>
      <c r="B14" s="626">
        <v>14300</v>
      </c>
      <c r="C14" s="627">
        <f>SUM('4% Overview'!J13)</f>
        <v>13500</v>
      </c>
      <c r="D14" s="628">
        <f t="shared" si="0"/>
        <v>-5.5944055944055944E-2</v>
      </c>
    </row>
    <row r="15" spans="1:24" s="525" customFormat="1" x14ac:dyDescent="0.4">
      <c r="A15" s="254" t="s">
        <v>25</v>
      </c>
      <c r="B15" s="651">
        <v>106900</v>
      </c>
      <c r="C15" s="652">
        <f>SUM('4% Overview'!J14)</f>
        <v>111700</v>
      </c>
      <c r="D15" s="653">
        <f t="shared" si="0"/>
        <v>4.4901777362020577E-2</v>
      </c>
    </row>
    <row r="16" spans="1:24" x14ac:dyDescent="0.4">
      <c r="A16" s="260" t="s">
        <v>26</v>
      </c>
      <c r="B16" s="626">
        <v>40000</v>
      </c>
      <c r="C16" s="627">
        <f>SUM('4% Overview'!J15)</f>
        <v>40000</v>
      </c>
      <c r="D16" s="628">
        <f t="shared" si="0"/>
        <v>0</v>
      </c>
    </row>
    <row r="17" spans="1:6" x14ac:dyDescent="0.4">
      <c r="A17" s="622" t="s">
        <v>28</v>
      </c>
      <c r="B17" s="623">
        <v>158400</v>
      </c>
      <c r="C17" s="624">
        <f>SUM('4% Overview'!J16)</f>
        <v>167300</v>
      </c>
      <c r="D17" s="625">
        <f t="shared" si="0"/>
        <v>5.6186868686868688E-2</v>
      </c>
    </row>
    <row r="18" spans="1:6" x14ac:dyDescent="0.4">
      <c r="A18" s="260" t="s">
        <v>29</v>
      </c>
      <c r="B18" s="626">
        <v>128000</v>
      </c>
      <c r="C18" s="627">
        <f>SUM('4% Overview'!J17)</f>
        <v>129300</v>
      </c>
      <c r="D18" s="628">
        <f t="shared" si="0"/>
        <v>1.015625E-2</v>
      </c>
      <c r="F18" s="4">
        <f>SUM(C15:C27)</f>
        <v>1825300</v>
      </c>
    </row>
    <row r="19" spans="1:6" x14ac:dyDescent="0.4">
      <c r="A19" s="622" t="s">
        <v>30</v>
      </c>
      <c r="B19" s="623">
        <v>10100</v>
      </c>
      <c r="C19" s="624">
        <f>SUM('4% Overview'!J18)</f>
        <v>10200</v>
      </c>
      <c r="D19" s="625">
        <f t="shared" si="0"/>
        <v>9.9009900990099011E-3</v>
      </c>
    </row>
    <row r="20" spans="1:6" x14ac:dyDescent="0.4">
      <c r="A20" s="260" t="s">
        <v>31</v>
      </c>
      <c r="B20" s="626">
        <v>6000</v>
      </c>
      <c r="C20" s="627">
        <f>SUM('4% Overview'!J19)</f>
        <v>6000</v>
      </c>
      <c r="D20" s="628">
        <f t="shared" si="0"/>
        <v>0</v>
      </c>
    </row>
    <row r="21" spans="1:6" x14ac:dyDescent="0.4">
      <c r="A21" s="622" t="s">
        <v>32</v>
      </c>
      <c r="B21" s="623">
        <v>47200</v>
      </c>
      <c r="C21" s="624">
        <f>SUM('4% Overview'!J20)</f>
        <v>85300</v>
      </c>
      <c r="D21" s="625">
        <f t="shared" si="0"/>
        <v>0.80720338983050843</v>
      </c>
    </row>
    <row r="22" spans="1:6" x14ac:dyDescent="0.4">
      <c r="A22" s="260" t="s">
        <v>33</v>
      </c>
      <c r="B22" s="626">
        <v>500</v>
      </c>
      <c r="C22" s="627">
        <f>SUM('4% Overview'!J21)</f>
        <v>500</v>
      </c>
      <c r="D22" s="628">
        <f t="shared" si="0"/>
        <v>0</v>
      </c>
    </row>
    <row r="23" spans="1:6" x14ac:dyDescent="0.4">
      <c r="A23" s="622" t="s">
        <v>34</v>
      </c>
      <c r="B23" s="623">
        <v>840700</v>
      </c>
      <c r="C23" s="624">
        <f>SUM('4% Overview'!J22)</f>
        <v>855700</v>
      </c>
      <c r="D23" s="625">
        <f t="shared" si="0"/>
        <v>1.7842274295230165E-2</v>
      </c>
    </row>
    <row r="24" spans="1:6" x14ac:dyDescent="0.4">
      <c r="A24" s="260" t="s">
        <v>35</v>
      </c>
      <c r="B24" s="626">
        <v>0</v>
      </c>
      <c r="C24" s="627">
        <f>SUM('4% Overview'!J23)</f>
        <v>0</v>
      </c>
      <c r="D24" s="628">
        <v>0</v>
      </c>
    </row>
    <row r="25" spans="1:6" s="525" customFormat="1" x14ac:dyDescent="0.4">
      <c r="A25" s="254" t="s">
        <v>36</v>
      </c>
      <c r="B25" s="651">
        <v>270800</v>
      </c>
      <c r="C25" s="652">
        <f>SUM('4% Overview'!J24)</f>
        <v>277600</v>
      </c>
      <c r="D25" s="653">
        <f>(C25-B25)/B25</f>
        <v>2.5110782865583457E-2</v>
      </c>
    </row>
    <row r="26" spans="1:6" x14ac:dyDescent="0.4">
      <c r="A26" s="260" t="s">
        <v>37</v>
      </c>
      <c r="B26" s="626">
        <v>96400</v>
      </c>
      <c r="C26" s="627">
        <f>SUM('4% Overview'!J25)</f>
        <v>123900</v>
      </c>
      <c r="D26" s="628">
        <f>(C26-B26)/B26</f>
        <v>0.28526970954356845</v>
      </c>
    </row>
    <row r="27" spans="1:6" x14ac:dyDescent="0.4">
      <c r="A27" s="622" t="s">
        <v>38</v>
      </c>
      <c r="B27" s="623">
        <v>17500</v>
      </c>
      <c r="C27" s="624">
        <f>SUM('4% Overview'!J26)</f>
        <v>17800</v>
      </c>
      <c r="D27" s="625">
        <f>(C27-B27)/B27</f>
        <v>1.7142857142857144E-2</v>
      </c>
    </row>
    <row r="28" spans="1:6" x14ac:dyDescent="0.4">
      <c r="A28" s="260" t="s">
        <v>40</v>
      </c>
      <c r="B28" s="626">
        <v>425600</v>
      </c>
      <c r="C28" s="627">
        <f>SUM('4% Overview'!J27)</f>
        <v>425600</v>
      </c>
      <c r="D28" s="628">
        <f>(C28-B28)/B28</f>
        <v>0</v>
      </c>
    </row>
    <row r="29" spans="1:6" x14ac:dyDescent="0.4">
      <c r="A29" s="622" t="s">
        <v>41</v>
      </c>
      <c r="B29" s="623">
        <v>80000</v>
      </c>
      <c r="C29" s="624">
        <f>SUM('4% Overview'!J28)</f>
        <v>61200</v>
      </c>
      <c r="D29" s="625">
        <f>(C29-B29)/B29</f>
        <v>-0.23499999999999999</v>
      </c>
    </row>
    <row r="30" spans="1:6" x14ac:dyDescent="0.4">
      <c r="A30" s="260" t="s">
        <v>42</v>
      </c>
      <c r="B30" s="626">
        <v>0</v>
      </c>
      <c r="C30" s="627">
        <f>SUM('4% Overview'!J29)</f>
        <v>0</v>
      </c>
      <c r="D30" s="628">
        <v>0</v>
      </c>
    </row>
    <row r="31" spans="1:6" x14ac:dyDescent="0.4">
      <c r="A31" s="622" t="s">
        <v>44</v>
      </c>
      <c r="B31" s="623">
        <v>5000</v>
      </c>
      <c r="C31" s="624">
        <f>SUM('4% Overview'!J30)</f>
        <v>5000</v>
      </c>
      <c r="D31" s="625">
        <f>(C31-B31)/B31</f>
        <v>0</v>
      </c>
    </row>
    <row r="32" spans="1:6" x14ac:dyDescent="0.4">
      <c r="A32" s="17" t="s">
        <v>45</v>
      </c>
      <c r="B32" s="637">
        <f>SUM(B3:B31)</f>
        <v>8560500</v>
      </c>
      <c r="C32" s="638">
        <f>SUM(C3:C31)</f>
        <v>9281700</v>
      </c>
      <c r="D32" s="639">
        <f>(C32-B32)/B32</f>
        <v>8.4247415454704752E-2</v>
      </c>
    </row>
    <row r="33" spans="1:4" x14ac:dyDescent="0.4">
      <c r="A33" s="622"/>
      <c r="B33" s="629"/>
      <c r="C33" s="624"/>
      <c r="D33" s="630"/>
    </row>
    <row r="34" spans="1:4" s="525" customFormat="1" x14ac:dyDescent="0.4">
      <c r="A34" s="543" t="s">
        <v>46</v>
      </c>
      <c r="B34" s="650">
        <v>195300</v>
      </c>
      <c r="C34" s="648">
        <f>SUM('4% Overview'!J33)</f>
        <v>227800</v>
      </c>
      <c r="D34" s="654">
        <f>(C34-B34)/B34</f>
        <v>0.16641065028161803</v>
      </c>
    </row>
    <row r="35" spans="1:4" x14ac:dyDescent="0.4">
      <c r="A35" s="631" t="s">
        <v>47</v>
      </c>
      <c r="B35" s="640">
        <f>SUM(B32:B34)</f>
        <v>8755800</v>
      </c>
      <c r="C35" s="641">
        <f>SUM(C32:C34)</f>
        <v>9509500</v>
      </c>
      <c r="D35" s="642">
        <f>(C35-B35)/B35</f>
        <v>8.6080084058566889E-2</v>
      </c>
    </row>
    <row r="36" spans="1:4" x14ac:dyDescent="0.4">
      <c r="A36" s="268" t="s">
        <v>48</v>
      </c>
      <c r="B36" s="643"/>
      <c r="C36" s="644"/>
      <c r="D36" s="639"/>
    </row>
    <row r="37" spans="1:4" ht="15" thickBot="1" x14ac:dyDescent="0.45">
      <c r="A37" s="622" t="s">
        <v>49</v>
      </c>
      <c r="B37" s="632"/>
      <c r="C37" s="645">
        <v>-158000</v>
      </c>
      <c r="D37" s="630"/>
    </row>
    <row r="38" spans="1:4" ht="15.45" thickTop="1" thickBot="1" x14ac:dyDescent="0.45">
      <c r="A38" s="25" t="s">
        <v>50</v>
      </c>
      <c r="B38" s="27">
        <f>SUM(B35:B37)</f>
        <v>8755800</v>
      </c>
      <c r="C38" s="27">
        <f t="shared" ref="C38" si="1">SUM(C35:C37)</f>
        <v>9351500</v>
      </c>
      <c r="D38" s="633">
        <f>(C38-B38)/B38</f>
        <v>6.8034902578862008E-2</v>
      </c>
    </row>
    <row r="39" spans="1:4" ht="15" thickTop="1" x14ac:dyDescent="0.4"/>
  </sheetData>
  <mergeCells count="1">
    <mergeCell ref="A1:D1"/>
  </mergeCells>
  <conditionalFormatting sqref="D3:D32">
    <cfRule type="cellIs" dxfId="125" priority="1" operator="equal">
      <formula>0</formula>
    </cfRule>
    <cfRule type="cellIs" dxfId="124" priority="2" operator="lessThan">
      <formula>0</formula>
    </cfRule>
    <cfRule type="cellIs" dxfId="123" priority="3" operator="greaterThan">
      <formula>0</formula>
    </cfRule>
  </conditionalFormatting>
  <conditionalFormatting sqref="D34:D35">
    <cfRule type="cellIs" dxfId="122" priority="16" operator="equal">
      <formula>0</formula>
    </cfRule>
    <cfRule type="cellIs" dxfId="121" priority="17" operator="lessThan">
      <formula>0</formula>
    </cfRule>
    <cfRule type="cellIs" dxfId="120" priority="18" operator="greaterThan">
      <formula>0</formula>
    </cfRule>
  </conditionalFormatting>
  <conditionalFormatting sqref="D38">
    <cfRule type="cellIs" dxfId="119" priority="13" operator="equal">
      <formula>0</formula>
    </cfRule>
    <cfRule type="cellIs" dxfId="118" priority="14" operator="lessThan">
      <formula>0</formula>
    </cfRule>
    <cfRule type="cellIs" dxfId="117" priority="15" operator="greaterThan">
      <formula>0</formula>
    </cfRule>
  </conditionalFormatting>
  <printOptions horizontalCentered="1" verticalCentered="1"/>
  <pageMargins left="0.45" right="0.45" top="0.25" bottom="0.25" header="0.3" footer="0.3"/>
  <pageSetup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/>
  <dimension ref="A1:K2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8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6" style="760" bestFit="1" customWidth="1"/>
    <col min="8" max="8" width="30.69140625" style="760" customWidth="1"/>
    <col min="9" max="9" width="23.69140625" style="760" bestFit="1" customWidth="1"/>
    <col min="10" max="10" width="22.3046875" style="760" bestFit="1" customWidth="1"/>
    <col min="11" max="11" width="8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932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43871</v>
      </c>
      <c r="G4" s="94" t="s">
        <v>696</v>
      </c>
      <c r="H4" s="94" t="s">
        <v>698</v>
      </c>
      <c r="I4" s="94" t="s">
        <v>699</v>
      </c>
      <c r="J4" s="94" t="s">
        <v>733</v>
      </c>
      <c r="K4" s="97">
        <v>423.78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43878</v>
      </c>
      <c r="G5" s="94" t="s">
        <v>697</v>
      </c>
      <c r="H5" s="94" t="s">
        <v>698</v>
      </c>
      <c r="I5" s="94" t="s">
        <v>699</v>
      </c>
      <c r="J5" s="94" t="s">
        <v>733</v>
      </c>
      <c r="K5" s="97">
        <v>116.09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43896</v>
      </c>
      <c r="G6" s="94" t="s">
        <v>1305</v>
      </c>
      <c r="H6" s="94" t="s">
        <v>698</v>
      </c>
      <c r="I6" s="94" t="s">
        <v>699</v>
      </c>
      <c r="J6" s="94" t="s">
        <v>733</v>
      </c>
      <c r="K6" s="97">
        <v>355.41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43910</v>
      </c>
      <c r="G7" s="94" t="s">
        <v>1306</v>
      </c>
      <c r="H7" s="94" t="s">
        <v>698</v>
      </c>
      <c r="I7" s="94" t="s">
        <v>699</v>
      </c>
      <c r="J7" s="94" t="s">
        <v>733</v>
      </c>
      <c r="K7" s="97">
        <v>596.77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43910</v>
      </c>
      <c r="G8" s="94" t="s">
        <v>1307</v>
      </c>
      <c r="H8" s="94" t="s">
        <v>698</v>
      </c>
      <c r="I8" s="94" t="s">
        <v>699</v>
      </c>
      <c r="J8" s="94" t="s">
        <v>733</v>
      </c>
      <c r="K8" s="97">
        <v>125.45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43948</v>
      </c>
      <c r="G9" s="94" t="s">
        <v>1597</v>
      </c>
      <c r="H9" s="94" t="s">
        <v>698</v>
      </c>
      <c r="I9" s="94" t="s">
        <v>699</v>
      </c>
      <c r="J9" s="94" t="s">
        <v>733</v>
      </c>
      <c r="K9" s="97">
        <v>124.12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44019</v>
      </c>
      <c r="G10" s="94" t="s">
        <v>1963</v>
      </c>
      <c r="H10" s="94" t="s">
        <v>698</v>
      </c>
      <c r="I10" s="94" t="s">
        <v>699</v>
      </c>
      <c r="J10" s="94" t="s">
        <v>733</v>
      </c>
      <c r="K10" s="97">
        <v>922.36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44029</v>
      </c>
      <c r="G11" s="94" t="s">
        <v>2207</v>
      </c>
      <c r="H11" s="94" t="s">
        <v>698</v>
      </c>
      <c r="I11" s="94" t="s">
        <v>699</v>
      </c>
      <c r="J11" s="94" t="s">
        <v>733</v>
      </c>
      <c r="K11" s="97">
        <v>169.5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44033</v>
      </c>
      <c r="G12" s="94" t="s">
        <v>2208</v>
      </c>
      <c r="H12" s="94" t="s">
        <v>698</v>
      </c>
      <c r="I12" s="94" t="s">
        <v>699</v>
      </c>
      <c r="J12" s="94" t="s">
        <v>733</v>
      </c>
      <c r="K12" s="97">
        <v>210.88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44047</v>
      </c>
      <c r="G13" s="94" t="s">
        <v>2209</v>
      </c>
      <c r="H13" s="94" t="s">
        <v>698</v>
      </c>
      <c r="I13" s="94" t="s">
        <v>699</v>
      </c>
      <c r="J13" s="94" t="s">
        <v>733</v>
      </c>
      <c r="K13" s="97">
        <v>56.5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44047</v>
      </c>
      <c r="G14" s="94" t="s">
        <v>2210</v>
      </c>
      <c r="H14" s="94" t="s">
        <v>698</v>
      </c>
      <c r="I14" s="94" t="s">
        <v>699</v>
      </c>
      <c r="J14" s="94" t="s">
        <v>733</v>
      </c>
      <c r="K14" s="97">
        <v>217.8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44047</v>
      </c>
      <c r="G15" s="94" t="s">
        <v>2211</v>
      </c>
      <c r="H15" s="94" t="s">
        <v>698</v>
      </c>
      <c r="I15" s="94" t="s">
        <v>699</v>
      </c>
      <c r="J15" s="94" t="s">
        <v>733</v>
      </c>
      <c r="K15" s="97">
        <v>1025.1400000000001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44124</v>
      </c>
      <c r="G16" s="94" t="s">
        <v>2781</v>
      </c>
      <c r="H16" s="94" t="s">
        <v>698</v>
      </c>
      <c r="I16" s="94" t="s">
        <v>699</v>
      </c>
      <c r="J16" s="94" t="s">
        <v>733</v>
      </c>
      <c r="K16" s="97">
        <v>666.2</v>
      </c>
    </row>
    <row r="17" spans="1:11" thickBot="1" x14ac:dyDescent="0.45">
      <c r="A17" s="94"/>
      <c r="B17" s="94"/>
      <c r="C17" s="94"/>
      <c r="D17" s="94"/>
      <c r="E17" s="94" t="s">
        <v>544</v>
      </c>
      <c r="F17" s="95">
        <v>44186</v>
      </c>
      <c r="G17" s="94" t="s">
        <v>3053</v>
      </c>
      <c r="H17" s="94" t="s">
        <v>698</v>
      </c>
      <c r="I17" s="94" t="s">
        <v>699</v>
      </c>
      <c r="J17" s="94" t="s">
        <v>733</v>
      </c>
      <c r="K17" s="756">
        <v>459.75</v>
      </c>
    </row>
    <row r="18" spans="1:11" thickBot="1" x14ac:dyDescent="0.45">
      <c r="A18" s="94"/>
      <c r="B18" s="94"/>
      <c r="C18" s="94" t="s">
        <v>933</v>
      </c>
      <c r="D18" s="94"/>
      <c r="E18" s="94"/>
      <c r="F18" s="95"/>
      <c r="G18" s="94"/>
      <c r="H18" s="94"/>
      <c r="I18" s="94"/>
      <c r="J18" s="94"/>
      <c r="K18" s="757">
        <f>ROUND(SUM(K3:K17),5)</f>
        <v>5469.75</v>
      </c>
    </row>
    <row r="19" spans="1:11" thickBot="1" x14ac:dyDescent="0.45">
      <c r="A19" s="94"/>
      <c r="B19" s="94" t="s">
        <v>732</v>
      </c>
      <c r="C19" s="94"/>
      <c r="D19" s="94"/>
      <c r="E19" s="94"/>
      <c r="F19" s="95"/>
      <c r="G19" s="94"/>
      <c r="H19" s="94"/>
      <c r="I19" s="94"/>
      <c r="J19" s="94"/>
      <c r="K19" s="757">
        <f>K18</f>
        <v>5469.75</v>
      </c>
    </row>
    <row r="20" spans="1:11" thickBot="1" x14ac:dyDescent="0.45">
      <c r="A20" s="94" t="s">
        <v>98</v>
      </c>
      <c r="B20" s="94"/>
      <c r="C20" s="94"/>
      <c r="D20" s="94"/>
      <c r="E20" s="94"/>
      <c r="F20" s="95"/>
      <c r="G20" s="94"/>
      <c r="H20" s="94"/>
      <c r="I20" s="94"/>
      <c r="J20" s="94"/>
      <c r="K20" s="758">
        <f>K19</f>
        <v>5469.75</v>
      </c>
    </row>
    <row r="21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3:23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1215" r:id="rId4" name="FILTER"/>
      </mc:Fallback>
    </mc:AlternateContent>
    <mc:AlternateContent xmlns:mc="http://schemas.openxmlformats.org/markup-compatibility/2006">
      <mc:Choice Requires="x14">
        <control shapeId="5121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1216" r:id="rId6" name="HEADER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1:M116"/>
  <sheetViews>
    <sheetView workbookViewId="0">
      <pane xSplit="3" ySplit="1" topLeftCell="D80" activePane="bottomRight" state="frozenSplit"/>
      <selection pane="topRight" activeCell="D1" sqref="D1"/>
      <selection pane="bottomLeft" activeCell="A2" sqref="A2"/>
      <selection pane="bottomRight" activeCell="M114" sqref="M114"/>
    </sheetView>
  </sheetViews>
  <sheetFormatPr defaultColWidth="14.3828125" defaultRowHeight="15" customHeight="1" x14ac:dyDescent="0.4"/>
  <cols>
    <col min="1" max="2" width="3" style="760" customWidth="1"/>
    <col min="3" max="3" width="37.535156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8.53515625" style="760" bestFit="1" customWidth="1"/>
    <col min="8" max="8" width="26.15234375" style="760" bestFit="1" customWidth="1"/>
    <col min="9" max="10" width="30.69140625" style="760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934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43843</v>
      </c>
      <c r="G4" s="94" t="s">
        <v>548</v>
      </c>
      <c r="H4" s="94" t="s">
        <v>580</v>
      </c>
      <c r="I4" s="94" t="s">
        <v>713</v>
      </c>
      <c r="J4" s="94" t="s">
        <v>733</v>
      </c>
      <c r="K4" s="97">
        <v>244.26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43843</v>
      </c>
      <c r="G5" s="94" t="s">
        <v>548</v>
      </c>
      <c r="H5" s="94" t="s">
        <v>580</v>
      </c>
      <c r="I5" s="94" t="s">
        <v>714</v>
      </c>
      <c r="J5" s="94" t="s">
        <v>733</v>
      </c>
      <c r="K5" s="97">
        <v>98.97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43843</v>
      </c>
      <c r="G6" s="94" t="s">
        <v>548</v>
      </c>
      <c r="H6" s="94" t="s">
        <v>580</v>
      </c>
      <c r="I6" s="94" t="s">
        <v>715</v>
      </c>
      <c r="J6" s="94" t="s">
        <v>733</v>
      </c>
      <c r="K6" s="97">
        <v>19.03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43843</v>
      </c>
      <c r="G7" s="94" t="s">
        <v>700</v>
      </c>
      <c r="H7" s="94" t="s">
        <v>708</v>
      </c>
      <c r="I7" s="94" t="s">
        <v>716</v>
      </c>
      <c r="J7" s="94" t="s">
        <v>733</v>
      </c>
      <c r="K7" s="97">
        <v>215.42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43846</v>
      </c>
      <c r="G8" s="94" t="s">
        <v>701</v>
      </c>
      <c r="H8" s="94" t="s">
        <v>580</v>
      </c>
      <c r="I8" s="94" t="s">
        <v>717</v>
      </c>
      <c r="J8" s="94" t="s">
        <v>733</v>
      </c>
      <c r="K8" s="97">
        <v>0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43851</v>
      </c>
      <c r="G9" s="94" t="s">
        <v>557</v>
      </c>
      <c r="H9" s="94" t="s">
        <v>580</v>
      </c>
      <c r="I9" s="94" t="s">
        <v>718</v>
      </c>
      <c r="J9" s="94" t="s">
        <v>733</v>
      </c>
      <c r="K9" s="97">
        <v>109.92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43851</v>
      </c>
      <c r="G10" s="94" t="s">
        <v>557</v>
      </c>
      <c r="H10" s="94" t="s">
        <v>580</v>
      </c>
      <c r="I10" s="94" t="s">
        <v>719</v>
      </c>
      <c r="J10" s="94" t="s">
        <v>733</v>
      </c>
      <c r="K10" s="97">
        <v>26.19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43851</v>
      </c>
      <c r="G11" s="94" t="s">
        <v>557</v>
      </c>
      <c r="H11" s="94" t="s">
        <v>580</v>
      </c>
      <c r="I11" s="94" t="s">
        <v>720</v>
      </c>
      <c r="J11" s="94" t="s">
        <v>733</v>
      </c>
      <c r="K11" s="97">
        <v>176.34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43851</v>
      </c>
      <c r="G12" s="94" t="s">
        <v>557</v>
      </c>
      <c r="H12" s="94" t="s">
        <v>580</v>
      </c>
      <c r="I12" s="94" t="s">
        <v>721</v>
      </c>
      <c r="J12" s="94" t="s">
        <v>733</v>
      </c>
      <c r="K12" s="97">
        <v>29.95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43851</v>
      </c>
      <c r="G13" s="94" t="s">
        <v>557</v>
      </c>
      <c r="H13" s="94" t="s">
        <v>580</v>
      </c>
      <c r="I13" s="94" t="s">
        <v>722</v>
      </c>
      <c r="J13" s="94" t="s">
        <v>733</v>
      </c>
      <c r="K13" s="97">
        <v>162.84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43851</v>
      </c>
      <c r="G14" s="94" t="s">
        <v>557</v>
      </c>
      <c r="H14" s="94" t="s">
        <v>580</v>
      </c>
      <c r="I14" s="94" t="s">
        <v>723</v>
      </c>
      <c r="J14" s="94" t="s">
        <v>733</v>
      </c>
      <c r="K14" s="97">
        <v>8.7899999999999991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43851</v>
      </c>
      <c r="G15" s="94" t="s">
        <v>702</v>
      </c>
      <c r="H15" s="94" t="s">
        <v>580</v>
      </c>
      <c r="I15" s="94" t="s">
        <v>717</v>
      </c>
      <c r="J15" s="94" t="s">
        <v>733</v>
      </c>
      <c r="K15" s="97">
        <v>549.99</v>
      </c>
    </row>
    <row r="16" spans="1:11" ht="14.6" x14ac:dyDescent="0.4">
      <c r="A16" s="94"/>
      <c r="B16" s="94"/>
      <c r="C16" s="94"/>
      <c r="D16" s="94"/>
      <c r="E16" s="94" t="s">
        <v>545</v>
      </c>
      <c r="F16" s="95">
        <v>43865</v>
      </c>
      <c r="G16" s="94" t="s">
        <v>703</v>
      </c>
      <c r="H16" s="94" t="s">
        <v>709</v>
      </c>
      <c r="I16" s="94" t="s">
        <v>724</v>
      </c>
      <c r="J16" s="94" t="s">
        <v>924</v>
      </c>
      <c r="K16" s="97">
        <v>30.28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43871</v>
      </c>
      <c r="G17" s="94" t="s">
        <v>704</v>
      </c>
      <c r="H17" s="94" t="s">
        <v>710</v>
      </c>
      <c r="I17" s="94" t="s">
        <v>725</v>
      </c>
      <c r="J17" s="94" t="s">
        <v>733</v>
      </c>
      <c r="K17" s="97">
        <v>2249.9499999999998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43872</v>
      </c>
      <c r="G18" s="94" t="s">
        <v>705</v>
      </c>
      <c r="H18" s="94" t="s">
        <v>580</v>
      </c>
      <c r="I18" s="94" t="s">
        <v>726</v>
      </c>
      <c r="J18" s="94" t="s">
        <v>733</v>
      </c>
      <c r="K18" s="97">
        <v>549.99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43879</v>
      </c>
      <c r="G19" s="94" t="s">
        <v>706</v>
      </c>
      <c r="H19" s="94" t="s">
        <v>711</v>
      </c>
      <c r="I19" s="94" t="s">
        <v>727</v>
      </c>
      <c r="J19" s="94" t="s">
        <v>733</v>
      </c>
      <c r="K19" s="97">
        <v>310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43879</v>
      </c>
      <c r="G20" s="94" t="s">
        <v>706</v>
      </c>
      <c r="H20" s="94" t="s">
        <v>711</v>
      </c>
      <c r="I20" s="94" t="s">
        <v>715</v>
      </c>
      <c r="J20" s="94" t="s">
        <v>733</v>
      </c>
      <c r="K20" s="97">
        <v>52.81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43879</v>
      </c>
      <c r="G21" s="94" t="s">
        <v>706</v>
      </c>
      <c r="H21" s="94" t="s">
        <v>711</v>
      </c>
      <c r="I21" s="94" t="s">
        <v>729</v>
      </c>
      <c r="J21" s="94" t="s">
        <v>733</v>
      </c>
      <c r="K21" s="97">
        <v>-6.2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43884</v>
      </c>
      <c r="G22" s="94" t="s">
        <v>707</v>
      </c>
      <c r="H22" s="94" t="s">
        <v>712</v>
      </c>
      <c r="I22" s="94" t="s">
        <v>728</v>
      </c>
      <c r="J22" s="94" t="s">
        <v>733</v>
      </c>
      <c r="K22" s="97">
        <v>329.31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43893</v>
      </c>
      <c r="G23" s="94" t="s">
        <v>1308</v>
      </c>
      <c r="H23" s="94" t="s">
        <v>1191</v>
      </c>
      <c r="I23" s="94" t="s">
        <v>1311</v>
      </c>
      <c r="J23" s="94" t="s">
        <v>733</v>
      </c>
      <c r="K23" s="97">
        <v>3375.36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43916</v>
      </c>
      <c r="G24" s="94" t="s">
        <v>1598</v>
      </c>
      <c r="H24" s="94" t="s">
        <v>580</v>
      </c>
      <c r="I24" s="94" t="s">
        <v>1601</v>
      </c>
      <c r="J24" s="94" t="s">
        <v>733</v>
      </c>
      <c r="K24" s="97">
        <v>0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43916</v>
      </c>
      <c r="G25" s="94" t="s">
        <v>1598</v>
      </c>
      <c r="H25" s="94" t="s">
        <v>580</v>
      </c>
      <c r="I25" s="94" t="s">
        <v>1602</v>
      </c>
      <c r="J25" s="94" t="s">
        <v>733</v>
      </c>
      <c r="K25" s="97">
        <v>119.98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43916</v>
      </c>
      <c r="G26" s="94" t="s">
        <v>1598</v>
      </c>
      <c r="H26" s="94" t="s">
        <v>580</v>
      </c>
      <c r="I26" s="94" t="s">
        <v>1603</v>
      </c>
      <c r="J26" s="94" t="s">
        <v>733</v>
      </c>
      <c r="K26" s="97">
        <v>0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43916</v>
      </c>
      <c r="G27" s="94" t="s">
        <v>1599</v>
      </c>
      <c r="H27" s="94" t="s">
        <v>580</v>
      </c>
      <c r="I27" s="94" t="s">
        <v>1601</v>
      </c>
      <c r="J27" s="94" t="s">
        <v>733</v>
      </c>
      <c r="K27" s="97">
        <v>59.97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43916</v>
      </c>
      <c r="G28" s="94" t="s">
        <v>1599</v>
      </c>
      <c r="H28" s="94" t="s">
        <v>580</v>
      </c>
      <c r="I28" s="94" t="s">
        <v>1603</v>
      </c>
      <c r="J28" s="94" t="s">
        <v>733</v>
      </c>
      <c r="K28" s="97">
        <v>28.99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43920</v>
      </c>
      <c r="G29" s="94" t="s">
        <v>1309</v>
      </c>
      <c r="H29" s="94" t="s">
        <v>712</v>
      </c>
      <c r="I29" s="94" t="s">
        <v>1312</v>
      </c>
      <c r="J29" s="94" t="s">
        <v>733</v>
      </c>
      <c r="K29" s="97">
        <v>239.71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43920</v>
      </c>
      <c r="G30" s="94" t="s">
        <v>1309</v>
      </c>
      <c r="H30" s="94" t="s">
        <v>712</v>
      </c>
      <c r="I30" s="94" t="s">
        <v>1313</v>
      </c>
      <c r="J30" s="94" t="s">
        <v>733</v>
      </c>
      <c r="K30" s="97">
        <v>0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43927</v>
      </c>
      <c r="G31" s="94" t="s">
        <v>1310</v>
      </c>
      <c r="H31" s="94" t="s">
        <v>712</v>
      </c>
      <c r="I31" s="94" t="s">
        <v>1313</v>
      </c>
      <c r="J31" s="94" t="s">
        <v>733</v>
      </c>
      <c r="K31" s="97">
        <v>6.99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43967</v>
      </c>
      <c r="G32" s="94" t="s">
        <v>1600</v>
      </c>
      <c r="H32" s="94" t="s">
        <v>712</v>
      </c>
      <c r="I32" s="94" t="s">
        <v>1604</v>
      </c>
      <c r="J32" s="94" t="s">
        <v>733</v>
      </c>
      <c r="K32" s="97">
        <v>6.97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43970</v>
      </c>
      <c r="G33" s="94" t="s">
        <v>1802</v>
      </c>
      <c r="H33" s="94" t="s">
        <v>580</v>
      </c>
      <c r="I33" s="94" t="s">
        <v>1805</v>
      </c>
      <c r="J33" s="94" t="s">
        <v>733</v>
      </c>
      <c r="K33" s="97">
        <v>57.25</v>
      </c>
    </row>
    <row r="34" spans="1:11" ht="14.6" x14ac:dyDescent="0.4">
      <c r="A34" s="94"/>
      <c r="B34" s="94"/>
      <c r="C34" s="94"/>
      <c r="D34" s="94"/>
      <c r="E34" s="94" t="s">
        <v>545</v>
      </c>
      <c r="F34" s="95">
        <v>43972</v>
      </c>
      <c r="G34" s="94" t="s">
        <v>1803</v>
      </c>
      <c r="H34" s="94" t="s">
        <v>1804</v>
      </c>
      <c r="I34" s="94" t="s">
        <v>1806</v>
      </c>
      <c r="J34" s="94" t="s">
        <v>924</v>
      </c>
      <c r="K34" s="97">
        <v>279.98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43972</v>
      </c>
      <c r="G35" s="94" t="s">
        <v>1964</v>
      </c>
      <c r="H35" s="94" t="s">
        <v>1969</v>
      </c>
      <c r="I35" s="94" t="s">
        <v>1970</v>
      </c>
      <c r="J35" s="94" t="s">
        <v>733</v>
      </c>
      <c r="K35" s="97">
        <v>6419.24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43972</v>
      </c>
      <c r="G36" s="94" t="s">
        <v>1964</v>
      </c>
      <c r="H36" s="94" t="s">
        <v>1969</v>
      </c>
      <c r="I36" s="94" t="s">
        <v>1971</v>
      </c>
      <c r="J36" s="94" t="s">
        <v>733</v>
      </c>
      <c r="K36" s="97">
        <v>-1.6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44000</v>
      </c>
      <c r="G37" s="94" t="s">
        <v>1965</v>
      </c>
      <c r="H37" s="94" t="s">
        <v>580</v>
      </c>
      <c r="I37" s="94" t="s">
        <v>1972</v>
      </c>
      <c r="J37" s="94" t="s">
        <v>733</v>
      </c>
      <c r="K37" s="97">
        <v>73.489999999999995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44000</v>
      </c>
      <c r="G38" s="94" t="s">
        <v>1965</v>
      </c>
      <c r="H38" s="94" t="s">
        <v>580</v>
      </c>
      <c r="I38" s="94" t="s">
        <v>1973</v>
      </c>
      <c r="J38" s="94" t="s">
        <v>733</v>
      </c>
      <c r="K38" s="97">
        <v>74.97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44000</v>
      </c>
      <c r="G39" s="94" t="s">
        <v>1965</v>
      </c>
      <c r="H39" s="94" t="s">
        <v>580</v>
      </c>
      <c r="I39" s="94" t="s">
        <v>1974</v>
      </c>
      <c r="J39" s="94" t="s">
        <v>733</v>
      </c>
      <c r="K39" s="97">
        <v>67.989999999999995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44000</v>
      </c>
      <c r="G40" s="94" t="s">
        <v>1965</v>
      </c>
      <c r="H40" s="94" t="s">
        <v>580</v>
      </c>
      <c r="I40" s="94" t="s">
        <v>1975</v>
      </c>
      <c r="J40" s="94" t="s">
        <v>733</v>
      </c>
      <c r="K40" s="97">
        <v>53.06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44008</v>
      </c>
      <c r="G41" s="94" t="s">
        <v>1966</v>
      </c>
      <c r="H41" s="94" t="s">
        <v>1191</v>
      </c>
      <c r="I41" s="94" t="s">
        <v>1976</v>
      </c>
      <c r="J41" s="94" t="s">
        <v>733</v>
      </c>
      <c r="K41" s="97">
        <v>2531.52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44013</v>
      </c>
      <c r="G42" s="94" t="s">
        <v>2342</v>
      </c>
      <c r="H42" s="94" t="s">
        <v>1710</v>
      </c>
      <c r="I42" s="94" t="s">
        <v>2348</v>
      </c>
      <c r="J42" s="94" t="s">
        <v>733</v>
      </c>
      <c r="K42" s="97">
        <v>169.5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44024</v>
      </c>
      <c r="G43" s="94" t="s">
        <v>1967</v>
      </c>
      <c r="H43" s="94" t="s">
        <v>712</v>
      </c>
      <c r="I43" s="94" t="s">
        <v>1977</v>
      </c>
      <c r="J43" s="94" t="s">
        <v>733</v>
      </c>
      <c r="K43" s="97">
        <v>559.98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44024</v>
      </c>
      <c r="G44" s="94" t="s">
        <v>1967</v>
      </c>
      <c r="H44" s="94" t="s">
        <v>712</v>
      </c>
      <c r="I44" s="94" t="s">
        <v>1978</v>
      </c>
      <c r="J44" s="94" t="s">
        <v>733</v>
      </c>
      <c r="K44" s="97">
        <v>899.97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44032</v>
      </c>
      <c r="G45" s="94" t="s">
        <v>2343</v>
      </c>
      <c r="H45" s="94" t="s">
        <v>580</v>
      </c>
      <c r="I45" s="94" t="s">
        <v>2349</v>
      </c>
      <c r="J45" s="94" t="s">
        <v>733</v>
      </c>
      <c r="K45" s="97">
        <v>13.94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44034</v>
      </c>
      <c r="G46" s="94" t="s">
        <v>2344</v>
      </c>
      <c r="H46" s="94" t="s">
        <v>580</v>
      </c>
      <c r="I46" s="94" t="s">
        <v>2350</v>
      </c>
      <c r="J46" s="94" t="s">
        <v>733</v>
      </c>
      <c r="K46" s="97">
        <v>24.99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44034</v>
      </c>
      <c r="G47" s="94" t="s">
        <v>1968</v>
      </c>
      <c r="H47" s="94" t="s">
        <v>1969</v>
      </c>
      <c r="I47" s="94" t="s">
        <v>2351</v>
      </c>
      <c r="J47" s="94" t="s">
        <v>733</v>
      </c>
      <c r="K47" s="97">
        <v>455.25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44041</v>
      </c>
      <c r="G48" s="94" t="s">
        <v>2212</v>
      </c>
      <c r="H48" s="94" t="s">
        <v>710</v>
      </c>
      <c r="I48" s="94" t="s">
        <v>2213</v>
      </c>
      <c r="J48" s="94" t="s">
        <v>733</v>
      </c>
      <c r="K48" s="97">
        <v>1799.99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44041</v>
      </c>
      <c r="G49" s="94" t="s">
        <v>2212</v>
      </c>
      <c r="H49" s="94" t="s">
        <v>710</v>
      </c>
      <c r="I49" s="94" t="s">
        <v>2214</v>
      </c>
      <c r="J49" s="94" t="s">
        <v>733</v>
      </c>
      <c r="K49" s="97">
        <v>179.99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44041</v>
      </c>
      <c r="G50" s="94" t="s">
        <v>2212</v>
      </c>
      <c r="H50" s="94" t="s">
        <v>710</v>
      </c>
      <c r="I50" s="94" t="s">
        <v>2215</v>
      </c>
      <c r="J50" s="94" t="s">
        <v>733</v>
      </c>
      <c r="K50" s="97">
        <v>399.99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44041</v>
      </c>
      <c r="G51" s="94" t="s">
        <v>2212</v>
      </c>
      <c r="H51" s="94" t="s">
        <v>710</v>
      </c>
      <c r="I51" s="94" t="s">
        <v>2216</v>
      </c>
      <c r="J51" s="94" t="s">
        <v>733</v>
      </c>
      <c r="K51" s="97">
        <v>23.8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44051</v>
      </c>
      <c r="G52" s="94" t="s">
        <v>2345</v>
      </c>
      <c r="H52" s="94" t="s">
        <v>712</v>
      </c>
      <c r="I52" s="94" t="s">
        <v>2352</v>
      </c>
      <c r="J52" s="94" t="s">
        <v>733</v>
      </c>
      <c r="K52" s="97">
        <v>553.79999999999995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44051</v>
      </c>
      <c r="G53" s="94" t="s">
        <v>2345</v>
      </c>
      <c r="H53" s="94" t="s">
        <v>712</v>
      </c>
      <c r="I53" s="94" t="s">
        <v>2353</v>
      </c>
      <c r="J53" s="94" t="s">
        <v>733</v>
      </c>
      <c r="K53" s="97">
        <v>251.93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44051</v>
      </c>
      <c r="G54" s="94" t="s">
        <v>2345</v>
      </c>
      <c r="H54" s="94" t="s">
        <v>712</v>
      </c>
      <c r="I54" s="94" t="s">
        <v>2354</v>
      </c>
      <c r="J54" s="94" t="s">
        <v>733</v>
      </c>
      <c r="K54" s="97">
        <v>49.98</v>
      </c>
    </row>
    <row r="55" spans="1:11" ht="14.6" x14ac:dyDescent="0.4">
      <c r="A55" s="94"/>
      <c r="B55" s="94"/>
      <c r="C55" s="94"/>
      <c r="D55" s="94"/>
      <c r="E55" s="94" t="s">
        <v>545</v>
      </c>
      <c r="F55" s="95">
        <v>44062</v>
      </c>
      <c r="G55" s="94" t="s">
        <v>2568</v>
      </c>
      <c r="H55" s="94" t="s">
        <v>582</v>
      </c>
      <c r="I55" s="94" t="s">
        <v>2577</v>
      </c>
      <c r="J55" s="94" t="s">
        <v>927</v>
      </c>
      <c r="K55" s="97">
        <v>59.86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44071</v>
      </c>
      <c r="G56" s="94" t="s">
        <v>2269</v>
      </c>
      <c r="H56" s="94" t="s">
        <v>712</v>
      </c>
      <c r="I56" s="94" t="s">
        <v>2355</v>
      </c>
      <c r="J56" s="94" t="s">
        <v>733</v>
      </c>
      <c r="K56" s="97">
        <v>59.98</v>
      </c>
    </row>
    <row r="57" spans="1:11" ht="14.6" x14ac:dyDescent="0.4">
      <c r="A57" s="94"/>
      <c r="B57" s="94"/>
      <c r="C57" s="94"/>
      <c r="D57" s="94"/>
      <c r="E57" s="94" t="s">
        <v>545</v>
      </c>
      <c r="F57" s="95">
        <v>44084</v>
      </c>
      <c r="G57" s="94" t="s">
        <v>2569</v>
      </c>
      <c r="H57" s="94" t="s">
        <v>582</v>
      </c>
      <c r="I57" s="94" t="s">
        <v>2578</v>
      </c>
      <c r="J57" s="94" t="s">
        <v>927</v>
      </c>
      <c r="K57" s="97">
        <v>207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44085</v>
      </c>
      <c r="G58" s="94" t="s">
        <v>2570</v>
      </c>
      <c r="H58" s="94" t="s">
        <v>710</v>
      </c>
      <c r="I58" s="94" t="s">
        <v>2579</v>
      </c>
      <c r="J58" s="94" t="s">
        <v>733</v>
      </c>
      <c r="K58" s="97">
        <v>5709.95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44085</v>
      </c>
      <c r="G59" s="94" t="s">
        <v>2570</v>
      </c>
      <c r="H59" s="94" t="s">
        <v>710</v>
      </c>
      <c r="I59" s="94" t="s">
        <v>2580</v>
      </c>
      <c r="J59" s="94" t="s">
        <v>733</v>
      </c>
      <c r="K59" s="97">
        <v>463.98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44085</v>
      </c>
      <c r="G60" s="94" t="s">
        <v>2570</v>
      </c>
      <c r="H60" s="94" t="s">
        <v>710</v>
      </c>
      <c r="I60" s="94" t="s">
        <v>2581</v>
      </c>
      <c r="J60" s="94" t="s">
        <v>733</v>
      </c>
      <c r="K60" s="97">
        <v>354.75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44085</v>
      </c>
      <c r="G61" s="94" t="s">
        <v>2570</v>
      </c>
      <c r="H61" s="94" t="s">
        <v>710</v>
      </c>
      <c r="I61" s="94" t="s">
        <v>2582</v>
      </c>
      <c r="J61" s="94" t="s">
        <v>733</v>
      </c>
      <c r="K61" s="97">
        <v>46.03</v>
      </c>
    </row>
    <row r="62" spans="1:11" ht="14.6" x14ac:dyDescent="0.4">
      <c r="A62" s="94"/>
      <c r="B62" s="94"/>
      <c r="C62" s="94"/>
      <c r="D62" s="94"/>
      <c r="E62" s="94" t="s">
        <v>545</v>
      </c>
      <c r="F62" s="95">
        <v>44089</v>
      </c>
      <c r="G62" s="94" t="s">
        <v>2346</v>
      </c>
      <c r="H62" s="94" t="s">
        <v>2347</v>
      </c>
      <c r="I62" s="94" t="s">
        <v>2356</v>
      </c>
      <c r="J62" s="94" t="s">
        <v>923</v>
      </c>
      <c r="K62" s="97">
        <v>525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44089</v>
      </c>
      <c r="G63" s="94" t="s">
        <v>2571</v>
      </c>
      <c r="H63" s="94" t="s">
        <v>712</v>
      </c>
      <c r="I63" s="94" t="s">
        <v>2583</v>
      </c>
      <c r="J63" s="94" t="s">
        <v>733</v>
      </c>
      <c r="K63" s="97">
        <v>197.9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44098</v>
      </c>
      <c r="G64" s="94" t="s">
        <v>2572</v>
      </c>
      <c r="H64" s="94" t="s">
        <v>712</v>
      </c>
      <c r="I64" s="94" t="s">
        <v>2584</v>
      </c>
      <c r="J64" s="94" t="s">
        <v>733</v>
      </c>
      <c r="K64" s="97">
        <v>559.98</v>
      </c>
    </row>
    <row r="65" spans="1:12" ht="14.6" x14ac:dyDescent="0.4">
      <c r="A65" s="94"/>
      <c r="B65" s="94"/>
      <c r="C65" s="94"/>
      <c r="D65" s="94"/>
      <c r="E65" s="94" t="s">
        <v>544</v>
      </c>
      <c r="F65" s="95">
        <v>44102</v>
      </c>
      <c r="G65" s="94" t="s">
        <v>2573</v>
      </c>
      <c r="H65" s="94" t="s">
        <v>1191</v>
      </c>
      <c r="I65" s="94" t="s">
        <v>2585</v>
      </c>
      <c r="J65" s="94" t="s">
        <v>733</v>
      </c>
      <c r="K65" s="97">
        <v>2238.73</v>
      </c>
    </row>
    <row r="66" spans="1:12" ht="14.6" x14ac:dyDescent="0.4">
      <c r="A66" s="94"/>
      <c r="B66" s="94"/>
      <c r="C66" s="94"/>
      <c r="D66" s="94"/>
      <c r="E66" s="94" t="s">
        <v>544</v>
      </c>
      <c r="F66" s="95">
        <v>44104</v>
      </c>
      <c r="G66" s="94" t="s">
        <v>2539</v>
      </c>
      <c r="H66" s="94" t="s">
        <v>712</v>
      </c>
      <c r="I66" s="94" t="s">
        <v>2790</v>
      </c>
      <c r="J66" s="94" t="s">
        <v>733</v>
      </c>
      <c r="K66" s="97">
        <v>269.99</v>
      </c>
    </row>
    <row r="67" spans="1:12" ht="14.6" x14ac:dyDescent="0.4">
      <c r="A67" s="94"/>
      <c r="B67" s="94"/>
      <c r="C67" s="94"/>
      <c r="D67" s="94"/>
      <c r="E67" s="94" t="s">
        <v>544</v>
      </c>
      <c r="F67" s="95">
        <v>44104</v>
      </c>
      <c r="G67" s="94" t="s">
        <v>2539</v>
      </c>
      <c r="H67" s="94" t="s">
        <v>712</v>
      </c>
      <c r="I67" s="94" t="s">
        <v>2586</v>
      </c>
      <c r="J67" s="94" t="s">
        <v>733</v>
      </c>
      <c r="K67" s="97">
        <v>45.99</v>
      </c>
    </row>
    <row r="68" spans="1:12" ht="14.6" x14ac:dyDescent="0.4">
      <c r="A68" s="94"/>
      <c r="B68" s="94"/>
      <c r="C68" s="94"/>
      <c r="D68" s="94"/>
      <c r="E68" s="94" t="s">
        <v>544</v>
      </c>
      <c r="F68" s="95">
        <v>44104</v>
      </c>
      <c r="G68" s="94" t="s">
        <v>2539</v>
      </c>
      <c r="H68" s="94" t="s">
        <v>712</v>
      </c>
      <c r="I68" s="94" t="s">
        <v>2587</v>
      </c>
      <c r="J68" s="94" t="s">
        <v>733</v>
      </c>
      <c r="K68" s="97">
        <v>79.959999999999994</v>
      </c>
    </row>
    <row r="69" spans="1:12" ht="14.6" x14ac:dyDescent="0.4">
      <c r="A69" s="94"/>
      <c r="B69" s="94"/>
      <c r="C69" s="94"/>
      <c r="D69" s="94"/>
      <c r="E69" s="94" t="s">
        <v>545</v>
      </c>
      <c r="F69" s="95">
        <v>44104</v>
      </c>
      <c r="G69" s="94" t="s">
        <v>2782</v>
      </c>
      <c r="H69" s="94" t="s">
        <v>2789</v>
      </c>
      <c r="I69" s="94" t="s">
        <v>2791</v>
      </c>
      <c r="J69" s="94" t="s">
        <v>924</v>
      </c>
      <c r="K69" s="97">
        <v>499.75</v>
      </c>
    </row>
    <row r="70" spans="1:12" ht="14.6" x14ac:dyDescent="0.4">
      <c r="A70" s="94"/>
      <c r="B70" s="94"/>
      <c r="C70" s="94"/>
      <c r="D70" s="94"/>
      <c r="E70" s="94" t="s">
        <v>545</v>
      </c>
      <c r="F70" s="95">
        <v>44104</v>
      </c>
      <c r="G70" s="94" t="s">
        <v>2782</v>
      </c>
      <c r="H70" s="94" t="s">
        <v>2789</v>
      </c>
      <c r="I70" s="94" t="s">
        <v>2792</v>
      </c>
      <c r="J70" s="94" t="s">
        <v>924</v>
      </c>
      <c r="K70" s="97">
        <v>-74.959999999999994</v>
      </c>
    </row>
    <row r="71" spans="1:12" ht="14.6" x14ac:dyDescent="0.4">
      <c r="A71" s="94"/>
      <c r="B71" s="94"/>
      <c r="C71" s="94"/>
      <c r="D71" s="94"/>
      <c r="E71" s="94" t="s">
        <v>544</v>
      </c>
      <c r="F71" s="95">
        <v>44108</v>
      </c>
      <c r="G71" s="94" t="s">
        <v>2574</v>
      </c>
      <c r="H71" s="94" t="s">
        <v>2576</v>
      </c>
      <c r="I71" s="94" t="s">
        <v>2588</v>
      </c>
      <c r="J71" s="94" t="s">
        <v>733</v>
      </c>
      <c r="K71" s="97">
        <v>75</v>
      </c>
    </row>
    <row r="72" spans="1:12" ht="14.6" x14ac:dyDescent="0.4">
      <c r="A72" s="94"/>
      <c r="B72" s="94"/>
      <c r="C72" s="94"/>
      <c r="D72" s="94"/>
      <c r="E72" s="94" t="s">
        <v>545</v>
      </c>
      <c r="F72" s="95">
        <v>44110</v>
      </c>
      <c r="G72" s="94" t="s">
        <v>2783</v>
      </c>
      <c r="H72" s="94" t="s">
        <v>582</v>
      </c>
      <c r="I72" s="94" t="s">
        <v>2793</v>
      </c>
      <c r="J72" s="94" t="s">
        <v>927</v>
      </c>
      <c r="L72" s="97">
        <v>638</v>
      </c>
    </row>
    <row r="73" spans="1:12" ht="14.6" x14ac:dyDescent="0.4">
      <c r="A73" s="94"/>
      <c r="B73" s="94"/>
      <c r="C73" s="94"/>
      <c r="D73" s="94"/>
      <c r="E73" s="94" t="s">
        <v>545</v>
      </c>
      <c r="F73" s="95">
        <v>44110</v>
      </c>
      <c r="G73" s="94" t="s">
        <v>2784</v>
      </c>
      <c r="H73" s="94" t="s">
        <v>582</v>
      </c>
      <c r="I73" s="94" t="s">
        <v>2793</v>
      </c>
      <c r="J73" s="94" t="s">
        <v>924</v>
      </c>
      <c r="L73" s="97">
        <v>319</v>
      </c>
    </row>
    <row r="74" spans="1:12" ht="14.6" x14ac:dyDescent="0.4">
      <c r="A74" s="94"/>
      <c r="B74" s="94"/>
      <c r="C74" s="94"/>
      <c r="D74" s="94"/>
      <c r="E74" s="94" t="s">
        <v>544</v>
      </c>
      <c r="F74" s="95">
        <v>44113</v>
      </c>
      <c r="G74" s="94" t="s">
        <v>2575</v>
      </c>
      <c r="H74" s="94" t="s">
        <v>712</v>
      </c>
      <c r="I74" s="94" t="s">
        <v>2589</v>
      </c>
      <c r="J74" s="94" t="s">
        <v>733</v>
      </c>
      <c r="K74" s="97">
        <v>3.77</v>
      </c>
    </row>
    <row r="75" spans="1:12" ht="14.6" x14ac:dyDescent="0.4">
      <c r="A75" s="94"/>
      <c r="B75" s="94"/>
      <c r="C75" s="94"/>
      <c r="D75" s="94"/>
      <c r="E75" s="94" t="s">
        <v>544</v>
      </c>
      <c r="F75" s="95">
        <v>44113</v>
      </c>
      <c r="G75" s="94" t="s">
        <v>2575</v>
      </c>
      <c r="H75" s="94" t="s">
        <v>712</v>
      </c>
      <c r="I75" s="94" t="s">
        <v>2590</v>
      </c>
      <c r="J75" s="94" t="s">
        <v>733</v>
      </c>
      <c r="K75" s="97">
        <v>48.98</v>
      </c>
    </row>
    <row r="76" spans="1:12" ht="14.6" x14ac:dyDescent="0.4">
      <c r="A76" s="94"/>
      <c r="B76" s="94"/>
      <c r="C76" s="94"/>
      <c r="D76" s="94"/>
      <c r="E76" s="94" t="s">
        <v>544</v>
      </c>
      <c r="F76" s="95">
        <v>44113</v>
      </c>
      <c r="G76" s="94" t="s">
        <v>2575</v>
      </c>
      <c r="H76" s="94" t="s">
        <v>712</v>
      </c>
      <c r="I76" s="94" t="s">
        <v>2591</v>
      </c>
      <c r="J76" s="94" t="s">
        <v>733</v>
      </c>
      <c r="K76" s="97">
        <v>33.6</v>
      </c>
    </row>
    <row r="77" spans="1:12" ht="14.6" x14ac:dyDescent="0.4">
      <c r="A77" s="94"/>
      <c r="B77" s="94"/>
      <c r="C77" s="94"/>
      <c r="D77" s="94"/>
      <c r="E77" s="94" t="s">
        <v>544</v>
      </c>
      <c r="F77" s="95">
        <v>44113</v>
      </c>
      <c r="G77" s="94" t="s">
        <v>2575</v>
      </c>
      <c r="H77" s="94" t="s">
        <v>712</v>
      </c>
      <c r="I77" s="94" t="s">
        <v>2592</v>
      </c>
      <c r="J77" s="94" t="s">
        <v>733</v>
      </c>
      <c r="K77" s="97">
        <v>212</v>
      </c>
    </row>
    <row r="78" spans="1:12" ht="14.6" x14ac:dyDescent="0.4">
      <c r="A78" s="94"/>
      <c r="B78" s="94"/>
      <c r="C78" s="94"/>
      <c r="D78" s="94"/>
      <c r="E78" s="94" t="s">
        <v>544</v>
      </c>
      <c r="F78" s="95">
        <v>44119</v>
      </c>
      <c r="G78" s="94" t="s">
        <v>2785</v>
      </c>
      <c r="H78" s="94" t="s">
        <v>712</v>
      </c>
      <c r="I78" s="94" t="s">
        <v>2794</v>
      </c>
      <c r="J78" s="94" t="s">
        <v>733</v>
      </c>
      <c r="K78" s="97">
        <v>17.989999999999998</v>
      </c>
    </row>
    <row r="79" spans="1:12" ht="14.6" x14ac:dyDescent="0.4">
      <c r="A79" s="94"/>
      <c r="B79" s="94"/>
      <c r="C79" s="94"/>
      <c r="D79" s="94"/>
      <c r="E79" s="94" t="s">
        <v>544</v>
      </c>
      <c r="F79" s="95">
        <v>44119</v>
      </c>
      <c r="G79" s="94" t="s">
        <v>2785</v>
      </c>
      <c r="H79" s="94" t="s">
        <v>712</v>
      </c>
      <c r="I79" s="94" t="s">
        <v>2795</v>
      </c>
      <c r="J79" s="94" t="s">
        <v>733</v>
      </c>
      <c r="K79" s="97">
        <v>11.16</v>
      </c>
    </row>
    <row r="80" spans="1:12" ht="14.6" x14ac:dyDescent="0.4">
      <c r="A80" s="94"/>
      <c r="B80" s="94"/>
      <c r="C80" s="94"/>
      <c r="D80" s="94"/>
      <c r="E80" s="94" t="s">
        <v>544</v>
      </c>
      <c r="F80" s="95">
        <v>44119</v>
      </c>
      <c r="G80" s="94" t="s">
        <v>2785</v>
      </c>
      <c r="H80" s="94" t="s">
        <v>712</v>
      </c>
      <c r="I80" s="94" t="s">
        <v>2796</v>
      </c>
      <c r="J80" s="94" t="s">
        <v>733</v>
      </c>
      <c r="K80" s="97">
        <v>164.8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44120</v>
      </c>
      <c r="G81" s="94" t="s">
        <v>2786</v>
      </c>
      <c r="H81" s="94" t="s">
        <v>1191</v>
      </c>
      <c r="I81" s="94" t="s">
        <v>2797</v>
      </c>
      <c r="J81" s="94" t="s">
        <v>733</v>
      </c>
      <c r="K81" s="97">
        <v>22954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44126</v>
      </c>
      <c r="G82" s="94" t="s">
        <v>2787</v>
      </c>
      <c r="H82" s="94" t="s">
        <v>712</v>
      </c>
      <c r="I82" s="94" t="s">
        <v>2798</v>
      </c>
      <c r="J82" s="94" t="s">
        <v>733</v>
      </c>
      <c r="K82" s="97">
        <v>29.8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44126</v>
      </c>
      <c r="G83" s="94" t="s">
        <v>2787</v>
      </c>
      <c r="H83" s="94" t="s">
        <v>712</v>
      </c>
      <c r="I83" s="94" t="s">
        <v>2799</v>
      </c>
      <c r="J83" s="94" t="s">
        <v>733</v>
      </c>
      <c r="K83" s="97">
        <v>419.98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44126</v>
      </c>
      <c r="G84" s="94" t="s">
        <v>2787</v>
      </c>
      <c r="H84" s="94" t="s">
        <v>712</v>
      </c>
      <c r="I84" s="94" t="s">
        <v>2800</v>
      </c>
      <c r="J84" s="94" t="s">
        <v>733</v>
      </c>
      <c r="K84" s="97">
        <v>49.98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44126</v>
      </c>
      <c r="G85" s="94" t="s">
        <v>2787</v>
      </c>
      <c r="H85" s="94" t="s">
        <v>712</v>
      </c>
      <c r="I85" s="94" t="s">
        <v>2801</v>
      </c>
      <c r="J85" s="94" t="s">
        <v>733</v>
      </c>
      <c r="K85" s="97">
        <v>25.99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44126</v>
      </c>
      <c r="G86" s="94" t="s">
        <v>2787</v>
      </c>
      <c r="H86" s="94" t="s">
        <v>712</v>
      </c>
      <c r="I86" s="94" t="s">
        <v>2802</v>
      </c>
      <c r="J86" s="94" t="s">
        <v>733</v>
      </c>
      <c r="K86" s="97">
        <v>51.98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44130</v>
      </c>
      <c r="G87" s="94" t="s">
        <v>2788</v>
      </c>
      <c r="H87" s="94" t="s">
        <v>580</v>
      </c>
      <c r="I87" s="94" t="s">
        <v>2803</v>
      </c>
      <c r="J87" s="94" t="s">
        <v>733</v>
      </c>
      <c r="K87" s="97">
        <v>359.98</v>
      </c>
    </row>
    <row r="88" spans="1:11" ht="14.6" x14ac:dyDescent="0.4">
      <c r="A88" s="94"/>
      <c r="B88" s="94"/>
      <c r="C88" s="94"/>
      <c r="D88" s="94"/>
      <c r="E88" s="94" t="s">
        <v>545</v>
      </c>
      <c r="F88" s="95">
        <v>44132</v>
      </c>
      <c r="G88" s="94" t="s">
        <v>3054</v>
      </c>
      <c r="H88" s="94" t="s">
        <v>710</v>
      </c>
      <c r="I88" s="94" t="s">
        <v>3065</v>
      </c>
      <c r="J88" s="94" t="s">
        <v>924</v>
      </c>
      <c r="K88" s="97">
        <v>599.98</v>
      </c>
    </row>
    <row r="89" spans="1:11" ht="14.6" x14ac:dyDescent="0.4">
      <c r="A89" s="94"/>
      <c r="B89" s="94"/>
      <c r="C89" s="94"/>
      <c r="D89" s="94"/>
      <c r="E89" s="94" t="s">
        <v>545</v>
      </c>
      <c r="F89" s="95">
        <v>44132</v>
      </c>
      <c r="G89" s="94" t="s">
        <v>3054</v>
      </c>
      <c r="H89" s="94" t="s">
        <v>710</v>
      </c>
      <c r="I89" s="94" t="s">
        <v>3066</v>
      </c>
      <c r="J89" s="94" t="s">
        <v>924</v>
      </c>
      <c r="K89" s="97">
        <v>9.99</v>
      </c>
    </row>
    <row r="90" spans="1:11" ht="14.6" x14ac:dyDescent="0.4">
      <c r="A90" s="94"/>
      <c r="B90" s="94"/>
      <c r="C90" s="94"/>
      <c r="D90" s="94"/>
      <c r="E90" s="94" t="s">
        <v>545</v>
      </c>
      <c r="F90" s="95">
        <v>44132</v>
      </c>
      <c r="G90" s="94" t="s">
        <v>3054</v>
      </c>
      <c r="H90" s="94" t="s">
        <v>710</v>
      </c>
      <c r="I90" s="94" t="s">
        <v>3067</v>
      </c>
      <c r="J90" s="94" t="s">
        <v>924</v>
      </c>
      <c r="K90" s="97">
        <v>29.99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44148</v>
      </c>
      <c r="G91" s="94" t="s">
        <v>3055</v>
      </c>
      <c r="H91" s="94" t="s">
        <v>712</v>
      </c>
      <c r="I91" s="94" t="s">
        <v>3068</v>
      </c>
      <c r="J91" s="94" t="s">
        <v>733</v>
      </c>
      <c r="K91" s="97">
        <v>-94.4</v>
      </c>
    </row>
    <row r="92" spans="1:11" ht="15" customHeight="1" x14ac:dyDescent="0.4">
      <c r="A92" s="94"/>
      <c r="B92" s="94"/>
      <c r="C92" s="94"/>
      <c r="D92" s="94"/>
      <c r="E92" s="94" t="s">
        <v>544</v>
      </c>
      <c r="F92" s="95">
        <v>44148</v>
      </c>
      <c r="G92" s="94" t="s">
        <v>3055</v>
      </c>
      <c r="H92" s="94" t="s">
        <v>712</v>
      </c>
      <c r="I92" s="94" t="s">
        <v>3069</v>
      </c>
      <c r="J92" s="94" t="s">
        <v>733</v>
      </c>
      <c r="K92" s="97">
        <v>1180</v>
      </c>
    </row>
    <row r="93" spans="1:11" ht="15" customHeight="1" x14ac:dyDescent="0.4">
      <c r="A93" s="94"/>
      <c r="B93" s="94"/>
      <c r="C93" s="94"/>
      <c r="D93" s="94"/>
      <c r="E93" s="94" t="s">
        <v>545</v>
      </c>
      <c r="F93" s="95">
        <v>44172</v>
      </c>
      <c r="G93" s="94" t="s">
        <v>3056</v>
      </c>
      <c r="H93" s="94" t="s">
        <v>582</v>
      </c>
      <c r="I93" s="94" t="s">
        <v>3070</v>
      </c>
      <c r="J93" s="94" t="s">
        <v>927</v>
      </c>
      <c r="K93" s="97">
        <v>59.55</v>
      </c>
    </row>
    <row r="94" spans="1:11" ht="15" customHeight="1" x14ac:dyDescent="0.4">
      <c r="A94" s="94"/>
      <c r="B94" s="94"/>
      <c r="C94" s="94"/>
      <c r="D94" s="94"/>
      <c r="E94" s="94" t="s">
        <v>544</v>
      </c>
      <c r="F94" s="95">
        <v>44180</v>
      </c>
      <c r="G94" s="94" t="s">
        <v>3057</v>
      </c>
      <c r="H94" s="94" t="s">
        <v>712</v>
      </c>
      <c r="I94" s="94" t="s">
        <v>1606</v>
      </c>
      <c r="J94" s="94" t="s">
        <v>733</v>
      </c>
      <c r="K94" s="97">
        <v>0</v>
      </c>
    </row>
    <row r="95" spans="1:11" ht="15" customHeight="1" x14ac:dyDescent="0.4">
      <c r="A95" s="94"/>
      <c r="B95" s="94"/>
      <c r="C95" s="94"/>
      <c r="D95" s="94"/>
      <c r="E95" s="94" t="s">
        <v>544</v>
      </c>
      <c r="F95" s="95">
        <v>44180</v>
      </c>
      <c r="G95" s="94" t="s">
        <v>3057</v>
      </c>
      <c r="H95" s="94" t="s">
        <v>712</v>
      </c>
      <c r="I95" s="94" t="s">
        <v>3071</v>
      </c>
      <c r="J95" s="94" t="s">
        <v>733</v>
      </c>
      <c r="K95" s="97">
        <v>64</v>
      </c>
    </row>
    <row r="96" spans="1:11" ht="15" customHeight="1" x14ac:dyDescent="0.4">
      <c r="A96" s="94"/>
      <c r="B96" s="94"/>
      <c r="C96" s="94"/>
      <c r="D96" s="94"/>
      <c r="E96" s="94" t="s">
        <v>544</v>
      </c>
      <c r="F96" s="95">
        <v>44180</v>
      </c>
      <c r="G96" s="94"/>
      <c r="H96" s="94" t="s">
        <v>712</v>
      </c>
      <c r="I96" s="94" t="s">
        <v>3072</v>
      </c>
      <c r="J96" s="94" t="s">
        <v>733</v>
      </c>
      <c r="K96" s="97">
        <v>0</v>
      </c>
    </row>
    <row r="97" spans="1:11" ht="15" customHeight="1" x14ac:dyDescent="0.4">
      <c r="A97" s="94"/>
      <c r="B97" s="94"/>
      <c r="C97" s="94"/>
      <c r="D97" s="94"/>
      <c r="E97" s="94" t="s">
        <v>544</v>
      </c>
      <c r="F97" s="95">
        <v>44181</v>
      </c>
      <c r="G97" s="94" t="s">
        <v>3058</v>
      </c>
      <c r="H97" s="94" t="s">
        <v>712</v>
      </c>
      <c r="I97" s="94" t="s">
        <v>3051</v>
      </c>
      <c r="J97" s="94" t="s">
        <v>733</v>
      </c>
      <c r="K97" s="97">
        <v>0</v>
      </c>
    </row>
    <row r="98" spans="1:11" ht="15" customHeight="1" x14ac:dyDescent="0.4">
      <c r="A98" s="94"/>
      <c r="B98" s="94"/>
      <c r="C98" s="94"/>
      <c r="D98" s="94"/>
      <c r="E98" s="94" t="s">
        <v>544</v>
      </c>
      <c r="F98" s="95">
        <v>44181</v>
      </c>
      <c r="G98" s="94" t="s">
        <v>3059</v>
      </c>
      <c r="H98" s="94" t="s">
        <v>579</v>
      </c>
      <c r="I98" s="94" t="s">
        <v>3073</v>
      </c>
      <c r="J98" s="94" t="s">
        <v>733</v>
      </c>
      <c r="K98" s="97">
        <v>30.16</v>
      </c>
    </row>
    <row r="99" spans="1:11" ht="15" customHeight="1" x14ac:dyDescent="0.4">
      <c r="A99" s="94"/>
      <c r="B99" s="94"/>
      <c r="C99" s="94"/>
      <c r="D99" s="94"/>
      <c r="E99" s="94" t="s">
        <v>544</v>
      </c>
      <c r="F99" s="95">
        <v>44181</v>
      </c>
      <c r="G99" s="94" t="s">
        <v>3059</v>
      </c>
      <c r="H99" s="94" t="s">
        <v>579</v>
      </c>
      <c r="I99" s="94" t="s">
        <v>3074</v>
      </c>
      <c r="J99" s="94" t="s">
        <v>733</v>
      </c>
      <c r="K99" s="97">
        <v>341</v>
      </c>
    </row>
    <row r="100" spans="1:11" ht="15" customHeight="1" x14ac:dyDescent="0.4">
      <c r="A100" s="94"/>
      <c r="B100" s="94"/>
      <c r="C100" s="94"/>
      <c r="D100" s="94"/>
      <c r="E100" s="94" t="s">
        <v>739</v>
      </c>
      <c r="F100" s="95">
        <v>44183</v>
      </c>
      <c r="G100" s="94" t="s">
        <v>3060</v>
      </c>
      <c r="H100" s="94" t="s">
        <v>712</v>
      </c>
      <c r="I100" s="94" t="s">
        <v>3075</v>
      </c>
      <c r="J100" s="94" t="s">
        <v>733</v>
      </c>
      <c r="K100" s="97">
        <v>-29.97</v>
      </c>
    </row>
    <row r="101" spans="1:11" ht="15" customHeight="1" x14ac:dyDescent="0.4">
      <c r="A101" s="94"/>
      <c r="B101" s="94"/>
      <c r="C101" s="94"/>
      <c r="D101" s="94"/>
      <c r="E101" s="94" t="s">
        <v>544</v>
      </c>
      <c r="F101" s="95">
        <v>44185</v>
      </c>
      <c r="G101" s="94" t="s">
        <v>3061</v>
      </c>
      <c r="H101" s="94" t="s">
        <v>712</v>
      </c>
      <c r="I101" s="94" t="s">
        <v>1606</v>
      </c>
      <c r="J101" s="94" t="s">
        <v>733</v>
      </c>
      <c r="K101" s="97">
        <v>0</v>
      </c>
    </row>
    <row r="102" spans="1:11" ht="15" customHeight="1" x14ac:dyDescent="0.4">
      <c r="A102" s="94"/>
      <c r="B102" s="94"/>
      <c r="C102" s="94"/>
      <c r="D102" s="94"/>
      <c r="E102" s="94" t="s">
        <v>544</v>
      </c>
      <c r="F102" s="95">
        <v>44185</v>
      </c>
      <c r="G102" s="94" t="s">
        <v>3061</v>
      </c>
      <c r="H102" s="94" t="s">
        <v>712</v>
      </c>
      <c r="I102" s="94" t="s">
        <v>3076</v>
      </c>
      <c r="J102" s="94" t="s">
        <v>733</v>
      </c>
      <c r="K102" s="97">
        <v>109.9</v>
      </c>
    </row>
    <row r="103" spans="1:11" ht="15" customHeight="1" x14ac:dyDescent="0.4">
      <c r="A103" s="94"/>
      <c r="B103" s="94"/>
      <c r="C103" s="94"/>
      <c r="D103" s="94"/>
      <c r="E103" s="94" t="s">
        <v>544</v>
      </c>
      <c r="F103" s="95">
        <v>44185</v>
      </c>
      <c r="G103" s="94" t="s">
        <v>3061</v>
      </c>
      <c r="H103" s="94" t="s">
        <v>712</v>
      </c>
      <c r="I103" s="94" t="s">
        <v>3077</v>
      </c>
      <c r="J103" s="94" t="s">
        <v>733</v>
      </c>
      <c r="K103" s="97">
        <v>874.75</v>
      </c>
    </row>
    <row r="104" spans="1:11" ht="15" customHeight="1" x14ac:dyDescent="0.4">
      <c r="A104" s="94"/>
      <c r="B104" s="94"/>
      <c r="C104" s="94"/>
      <c r="D104" s="94"/>
      <c r="E104" s="94" t="s">
        <v>544</v>
      </c>
      <c r="F104" s="95">
        <v>44185</v>
      </c>
      <c r="G104" s="94" t="s">
        <v>3061</v>
      </c>
      <c r="H104" s="94" t="s">
        <v>712</v>
      </c>
      <c r="I104" s="94" t="s">
        <v>3078</v>
      </c>
      <c r="J104" s="94" t="s">
        <v>733</v>
      </c>
      <c r="K104" s="97">
        <v>208.8</v>
      </c>
    </row>
    <row r="105" spans="1:11" ht="15" customHeight="1" x14ac:dyDescent="0.4">
      <c r="A105" s="94"/>
      <c r="B105" s="94"/>
      <c r="C105" s="94"/>
      <c r="D105" s="94"/>
      <c r="E105" s="94" t="s">
        <v>544</v>
      </c>
      <c r="F105" s="95">
        <v>44185</v>
      </c>
      <c r="G105" s="94" t="s">
        <v>3061</v>
      </c>
      <c r="H105" s="94" t="s">
        <v>712</v>
      </c>
      <c r="I105" s="94" t="s">
        <v>3079</v>
      </c>
      <c r="J105" s="94" t="s">
        <v>733</v>
      </c>
      <c r="K105" s="97">
        <v>399.84</v>
      </c>
    </row>
    <row r="106" spans="1:11" ht="15" customHeight="1" x14ac:dyDescent="0.4">
      <c r="A106" s="94"/>
      <c r="B106" s="94"/>
      <c r="C106" s="94"/>
      <c r="D106" s="94"/>
      <c r="E106" s="94" t="s">
        <v>544</v>
      </c>
      <c r="F106" s="95">
        <v>44185</v>
      </c>
      <c r="G106" s="94" t="s">
        <v>3061</v>
      </c>
      <c r="H106" s="94" t="s">
        <v>712</v>
      </c>
      <c r="I106" s="94" t="s">
        <v>3080</v>
      </c>
      <c r="J106" s="94" t="s">
        <v>733</v>
      </c>
      <c r="K106" s="97">
        <v>637</v>
      </c>
    </row>
    <row r="107" spans="1:11" ht="15" customHeight="1" x14ac:dyDescent="0.4">
      <c r="A107" s="94"/>
      <c r="B107" s="94"/>
      <c r="C107" s="94"/>
      <c r="D107" s="94"/>
      <c r="E107" s="94" t="s">
        <v>544</v>
      </c>
      <c r="F107" s="95">
        <v>44185</v>
      </c>
      <c r="G107" s="94" t="s">
        <v>3061</v>
      </c>
      <c r="H107" s="94" t="s">
        <v>712</v>
      </c>
      <c r="I107" s="94" t="s">
        <v>3081</v>
      </c>
      <c r="J107" s="94" t="s">
        <v>733</v>
      </c>
      <c r="K107" s="97">
        <v>249.95</v>
      </c>
    </row>
    <row r="108" spans="1:11" ht="15" customHeight="1" x14ac:dyDescent="0.4">
      <c r="A108" s="94"/>
      <c r="B108" s="94"/>
      <c r="C108" s="94"/>
      <c r="D108" s="94"/>
      <c r="E108" s="94" t="s">
        <v>544</v>
      </c>
      <c r="F108" s="95">
        <v>44185</v>
      </c>
      <c r="G108" s="94" t="s">
        <v>3061</v>
      </c>
      <c r="H108" s="94" t="s">
        <v>712</v>
      </c>
      <c r="I108" s="94" t="s">
        <v>3082</v>
      </c>
      <c r="J108" s="94" t="s">
        <v>733</v>
      </c>
      <c r="K108" s="97">
        <v>119.88</v>
      </c>
    </row>
    <row r="109" spans="1:11" ht="15" customHeight="1" x14ac:dyDescent="0.4">
      <c r="A109" s="94"/>
      <c r="B109" s="94"/>
      <c r="C109" s="94"/>
      <c r="D109" s="94"/>
      <c r="E109" s="94" t="s">
        <v>544</v>
      </c>
      <c r="F109" s="95">
        <v>44191</v>
      </c>
      <c r="G109" s="94" t="s">
        <v>3062</v>
      </c>
      <c r="H109" s="94" t="s">
        <v>1191</v>
      </c>
      <c r="I109" s="94" t="s">
        <v>3083</v>
      </c>
      <c r="J109" s="94" t="s">
        <v>733</v>
      </c>
      <c r="K109" s="97">
        <v>1578.38</v>
      </c>
    </row>
    <row r="110" spans="1:11" ht="15" customHeight="1" x14ac:dyDescent="0.4">
      <c r="A110" s="94"/>
      <c r="B110" s="94"/>
      <c r="C110" s="94"/>
      <c r="D110" s="94"/>
      <c r="E110" s="94" t="s">
        <v>544</v>
      </c>
      <c r="F110" s="95">
        <v>44191</v>
      </c>
      <c r="G110" s="94" t="s">
        <v>3062</v>
      </c>
      <c r="H110" s="94" t="s">
        <v>1191</v>
      </c>
      <c r="I110" s="94" t="s">
        <v>3084</v>
      </c>
      <c r="J110" s="94" t="s">
        <v>733</v>
      </c>
      <c r="K110" s="97">
        <v>29.99</v>
      </c>
    </row>
    <row r="111" spans="1:11" ht="15" customHeight="1" x14ac:dyDescent="0.4">
      <c r="A111" s="94"/>
      <c r="B111" s="94"/>
      <c r="C111" s="94"/>
      <c r="D111" s="94"/>
      <c r="E111" s="94" t="s">
        <v>544</v>
      </c>
      <c r="F111" s="95">
        <v>44192</v>
      </c>
      <c r="G111" s="94" t="s">
        <v>3063</v>
      </c>
      <c r="H111" s="94" t="s">
        <v>1191</v>
      </c>
      <c r="I111" s="94" t="s">
        <v>3085</v>
      </c>
      <c r="J111" s="94" t="s">
        <v>733</v>
      </c>
      <c r="K111" s="97">
        <v>2089.2600000000002</v>
      </c>
    </row>
    <row r="112" spans="1:11" ht="15" customHeight="1" thickBot="1" x14ac:dyDescent="0.45">
      <c r="A112" s="94"/>
      <c r="B112" s="94"/>
      <c r="C112" s="94"/>
      <c r="D112" s="94"/>
      <c r="E112" s="94" t="s">
        <v>544</v>
      </c>
      <c r="F112" s="95">
        <v>44196</v>
      </c>
      <c r="G112" s="94" t="s">
        <v>3064</v>
      </c>
      <c r="H112" s="94" t="s">
        <v>1191</v>
      </c>
      <c r="I112" s="94" t="s">
        <v>3086</v>
      </c>
      <c r="J112" s="94" t="s">
        <v>733</v>
      </c>
      <c r="K112" s="756">
        <v>1866.66</v>
      </c>
    </row>
    <row r="113" spans="1:13" ht="15" customHeight="1" thickBot="1" x14ac:dyDescent="0.45">
      <c r="A113" s="94"/>
      <c r="B113" s="94"/>
      <c r="C113" s="94" t="s">
        <v>935</v>
      </c>
      <c r="D113" s="94"/>
      <c r="E113" s="94"/>
      <c r="F113" s="95"/>
      <c r="G113" s="94"/>
      <c r="H113" s="94"/>
      <c r="I113" s="94"/>
      <c r="J113" s="94"/>
      <c r="K113" s="757">
        <f>ROUND(SUM(K3:K112),5)</f>
        <v>69992.429999999993</v>
      </c>
      <c r="L113">
        <f>SUM(L4:L112)</f>
        <v>957</v>
      </c>
      <c r="M113" s="97">
        <f>SUM(K113:L113)</f>
        <v>70949.429999999993</v>
      </c>
    </row>
    <row r="114" spans="1:13" ht="15" customHeight="1" thickBot="1" x14ac:dyDescent="0.45">
      <c r="A114" s="94"/>
      <c r="B114" s="94" t="s">
        <v>732</v>
      </c>
      <c r="C114" s="94"/>
      <c r="D114" s="94"/>
      <c r="E114" s="94"/>
      <c r="F114" s="95"/>
      <c r="G114" s="94"/>
      <c r="H114" s="94"/>
      <c r="I114" s="94"/>
      <c r="J114" s="94"/>
      <c r="K114" s="757">
        <f>K113</f>
        <v>69992.429999999993</v>
      </c>
    </row>
    <row r="115" spans="1:13" ht="15" customHeight="1" thickBot="1" x14ac:dyDescent="0.45">
      <c r="A115" s="94" t="s">
        <v>98</v>
      </c>
      <c r="B115" s="94"/>
      <c r="C115" s="94"/>
      <c r="D115" s="94"/>
      <c r="E115" s="94"/>
      <c r="F115" s="95"/>
      <c r="G115" s="94"/>
      <c r="H115" s="94"/>
      <c r="I115" s="94"/>
      <c r="J115" s="94"/>
      <c r="K115" s="758">
        <f>K114</f>
        <v>69992.429999999993</v>
      </c>
    </row>
    <row r="116" spans="1:13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3:24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22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2245" r:id="rId4" name="FILTER"/>
      </mc:Fallback>
    </mc:AlternateContent>
    <mc:AlternateContent xmlns:mc="http://schemas.openxmlformats.org/markup-compatibility/2006">
      <mc:Choice Requires="x14">
        <control shapeId="5224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2246" r:id="rId6" name="HEADER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/>
  <dimension ref="A1:K70"/>
  <sheetViews>
    <sheetView workbookViewId="0">
      <pane xSplit="3" ySplit="1" topLeftCell="D50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36.8437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8.53515625" style="760" bestFit="1" customWidth="1"/>
    <col min="8" max="8" width="24.3828125" style="760" bestFit="1" customWidth="1"/>
    <col min="9" max="9" width="30.69140625" style="760" customWidth="1"/>
    <col min="10" max="10" width="27.3828125" style="760" bestFit="1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2961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43842</v>
      </c>
      <c r="G4" s="94" t="s">
        <v>2963</v>
      </c>
      <c r="H4" s="94" t="s">
        <v>712</v>
      </c>
      <c r="I4" s="94" t="s">
        <v>2987</v>
      </c>
      <c r="J4" s="94" t="s">
        <v>733</v>
      </c>
      <c r="K4" s="97">
        <v>100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43846</v>
      </c>
      <c r="G5" s="94" t="s">
        <v>701</v>
      </c>
      <c r="H5" s="94" t="s">
        <v>580</v>
      </c>
      <c r="I5" s="94" t="s">
        <v>2988</v>
      </c>
      <c r="J5" s="94" t="s">
        <v>733</v>
      </c>
      <c r="K5" s="97">
        <v>27.99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43875</v>
      </c>
      <c r="G6" s="94" t="s">
        <v>2964</v>
      </c>
      <c r="H6" s="94" t="s">
        <v>580</v>
      </c>
      <c r="I6" s="94" t="s">
        <v>2989</v>
      </c>
      <c r="J6" s="94" t="s">
        <v>733</v>
      </c>
      <c r="K6" s="97">
        <v>32.99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43884</v>
      </c>
      <c r="G7" s="94" t="s">
        <v>707</v>
      </c>
      <c r="H7" s="94" t="s">
        <v>712</v>
      </c>
      <c r="I7" s="94" t="s">
        <v>2990</v>
      </c>
      <c r="J7" s="94" t="s">
        <v>733</v>
      </c>
      <c r="K7" s="97">
        <v>58.99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43896</v>
      </c>
      <c r="G8" s="94" t="s">
        <v>2965</v>
      </c>
      <c r="H8" s="94" t="s">
        <v>943</v>
      </c>
      <c r="I8" s="94" t="s">
        <v>2991</v>
      </c>
      <c r="J8" s="94" t="s">
        <v>733</v>
      </c>
      <c r="K8" s="97">
        <v>27</v>
      </c>
    </row>
    <row r="9" spans="1:11" ht="14.6" x14ac:dyDescent="0.4">
      <c r="A9" s="94"/>
      <c r="B9" s="94"/>
      <c r="C9" s="94"/>
      <c r="D9" s="94"/>
      <c r="E9" s="94" t="s">
        <v>545</v>
      </c>
      <c r="F9" s="95">
        <v>43915</v>
      </c>
      <c r="G9" s="94" t="s">
        <v>2966</v>
      </c>
      <c r="H9" s="94" t="s">
        <v>580</v>
      </c>
      <c r="I9" s="94" t="s">
        <v>2992</v>
      </c>
      <c r="J9" s="94" t="s">
        <v>923</v>
      </c>
      <c r="K9" s="97">
        <v>42.49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43916</v>
      </c>
      <c r="G10" s="94" t="s">
        <v>1598</v>
      </c>
      <c r="H10" s="94" t="s">
        <v>580</v>
      </c>
      <c r="I10" s="94" t="s">
        <v>1606</v>
      </c>
      <c r="J10" s="94" t="s">
        <v>733</v>
      </c>
      <c r="K10" s="97">
        <v>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43916</v>
      </c>
      <c r="G11" s="94" t="s">
        <v>1599</v>
      </c>
      <c r="H11" s="94" t="s">
        <v>580</v>
      </c>
      <c r="I11" s="94" t="s">
        <v>1606</v>
      </c>
      <c r="J11" s="94" t="s">
        <v>733</v>
      </c>
      <c r="K11" s="97">
        <v>0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43973</v>
      </c>
      <c r="G12" s="94" t="s">
        <v>2967</v>
      </c>
      <c r="H12" s="94" t="s">
        <v>1605</v>
      </c>
      <c r="I12" s="94" t="s">
        <v>2993</v>
      </c>
      <c r="J12" s="94" t="s">
        <v>733</v>
      </c>
      <c r="K12" s="97">
        <v>207.36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43983</v>
      </c>
      <c r="G13" s="94" t="s">
        <v>2968</v>
      </c>
      <c r="H13" s="94" t="s">
        <v>943</v>
      </c>
      <c r="I13" s="94" t="s">
        <v>2994</v>
      </c>
      <c r="J13" s="94" t="s">
        <v>733</v>
      </c>
      <c r="K13" s="97">
        <v>12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44005</v>
      </c>
      <c r="G14" s="94" t="s">
        <v>2969</v>
      </c>
      <c r="H14" s="94" t="s">
        <v>943</v>
      </c>
      <c r="I14" s="94" t="s">
        <v>2994</v>
      </c>
      <c r="J14" s="94" t="s">
        <v>733</v>
      </c>
      <c r="K14" s="97">
        <v>12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44007</v>
      </c>
      <c r="G15" s="94" t="s">
        <v>2970</v>
      </c>
      <c r="H15" s="94" t="s">
        <v>943</v>
      </c>
      <c r="I15" s="94" t="s">
        <v>2994</v>
      </c>
      <c r="J15" s="94" t="s">
        <v>733</v>
      </c>
      <c r="K15" s="97">
        <v>19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44007</v>
      </c>
      <c r="G16" s="94" t="s">
        <v>2971</v>
      </c>
      <c r="H16" s="94" t="s">
        <v>943</v>
      </c>
      <c r="I16" s="94" t="s">
        <v>2994</v>
      </c>
      <c r="J16" s="94" t="s">
        <v>733</v>
      </c>
      <c r="K16" s="97">
        <v>12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44012</v>
      </c>
      <c r="G17" s="94" t="s">
        <v>2972</v>
      </c>
      <c r="H17" s="94" t="s">
        <v>943</v>
      </c>
      <c r="I17" s="94" t="s">
        <v>2994</v>
      </c>
      <c r="J17" s="94" t="s">
        <v>733</v>
      </c>
      <c r="K17" s="97">
        <v>12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44013</v>
      </c>
      <c r="G18" s="94" t="s">
        <v>2973</v>
      </c>
      <c r="H18" s="94" t="s">
        <v>943</v>
      </c>
      <c r="I18" s="94" t="s">
        <v>2994</v>
      </c>
      <c r="J18" s="94" t="s">
        <v>733</v>
      </c>
      <c r="K18" s="97">
        <v>12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44021</v>
      </c>
      <c r="G19" s="94" t="s">
        <v>2974</v>
      </c>
      <c r="H19" s="94" t="s">
        <v>943</v>
      </c>
      <c r="I19" s="94" t="s">
        <v>2994</v>
      </c>
      <c r="J19" s="94" t="s">
        <v>733</v>
      </c>
      <c r="K19" s="97">
        <v>12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44021</v>
      </c>
      <c r="G20" s="94" t="s">
        <v>2975</v>
      </c>
      <c r="H20" s="94" t="s">
        <v>943</v>
      </c>
      <c r="I20" s="94" t="s">
        <v>2994</v>
      </c>
      <c r="J20" s="94" t="s">
        <v>733</v>
      </c>
      <c r="K20" s="97">
        <v>35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44036</v>
      </c>
      <c r="G21" s="94" t="s">
        <v>2976</v>
      </c>
      <c r="H21" s="94" t="s">
        <v>943</v>
      </c>
      <c r="I21" s="94" t="s">
        <v>2994</v>
      </c>
      <c r="J21" s="94" t="s">
        <v>733</v>
      </c>
      <c r="K21" s="97">
        <v>15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44041</v>
      </c>
      <c r="G22" s="94" t="s">
        <v>2977</v>
      </c>
      <c r="H22" s="94" t="s">
        <v>943</v>
      </c>
      <c r="I22" s="94" t="s">
        <v>2994</v>
      </c>
      <c r="J22" s="94" t="s">
        <v>733</v>
      </c>
      <c r="K22" s="97">
        <v>12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44047</v>
      </c>
      <c r="G23" s="94" t="s">
        <v>2978</v>
      </c>
      <c r="H23" s="94" t="s">
        <v>943</v>
      </c>
      <c r="I23" s="94" t="s">
        <v>2994</v>
      </c>
      <c r="J23" s="94" t="s">
        <v>733</v>
      </c>
      <c r="K23" s="97">
        <v>12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44051</v>
      </c>
      <c r="G24" s="94" t="s">
        <v>2345</v>
      </c>
      <c r="H24" s="94" t="s">
        <v>712</v>
      </c>
      <c r="I24" s="94" t="s">
        <v>2995</v>
      </c>
      <c r="J24" s="94" t="s">
        <v>733</v>
      </c>
      <c r="K24" s="97">
        <v>54.78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44071</v>
      </c>
      <c r="G25" s="94" t="s">
        <v>2979</v>
      </c>
      <c r="H25" s="94" t="s">
        <v>943</v>
      </c>
      <c r="I25" s="94" t="s">
        <v>2994</v>
      </c>
      <c r="J25" s="94" t="s">
        <v>733</v>
      </c>
      <c r="K25" s="97">
        <v>12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44089</v>
      </c>
      <c r="G26" s="94" t="s">
        <v>2571</v>
      </c>
      <c r="H26" s="94" t="s">
        <v>712</v>
      </c>
      <c r="I26" s="94" t="s">
        <v>1606</v>
      </c>
      <c r="J26" s="94" t="s">
        <v>733</v>
      </c>
      <c r="K26" s="97">
        <v>0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44090</v>
      </c>
      <c r="G27" s="94" t="s">
        <v>2980</v>
      </c>
      <c r="H27" s="94" t="s">
        <v>943</v>
      </c>
      <c r="I27" s="94" t="s">
        <v>2994</v>
      </c>
      <c r="J27" s="94" t="s">
        <v>733</v>
      </c>
      <c r="K27" s="97">
        <v>12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44090</v>
      </c>
      <c r="G28" s="94" t="s">
        <v>2981</v>
      </c>
      <c r="H28" s="94" t="s">
        <v>943</v>
      </c>
      <c r="I28" s="94" t="s">
        <v>2994</v>
      </c>
      <c r="J28" s="94" t="s">
        <v>733</v>
      </c>
      <c r="K28" s="97">
        <v>12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44097</v>
      </c>
      <c r="G29" s="94" t="s">
        <v>2982</v>
      </c>
      <c r="H29" s="94" t="s">
        <v>712</v>
      </c>
      <c r="I29" s="94" t="s">
        <v>2996</v>
      </c>
      <c r="J29" s="94" t="s">
        <v>733</v>
      </c>
      <c r="K29" s="97">
        <v>39.950000000000003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44097</v>
      </c>
      <c r="G30" s="94" t="s">
        <v>2982</v>
      </c>
      <c r="H30" s="94" t="s">
        <v>712</v>
      </c>
      <c r="I30" s="94" t="s">
        <v>2997</v>
      </c>
      <c r="J30" s="94" t="s">
        <v>733</v>
      </c>
      <c r="K30" s="97">
        <v>89.9</v>
      </c>
    </row>
    <row r="31" spans="1:11" ht="14.6" x14ac:dyDescent="0.4">
      <c r="A31" s="94"/>
      <c r="B31" s="94"/>
      <c r="C31" s="94"/>
      <c r="D31" s="94"/>
      <c r="E31" s="94" t="s">
        <v>739</v>
      </c>
      <c r="F31" s="95">
        <v>44097</v>
      </c>
      <c r="G31" s="94" t="s">
        <v>2983</v>
      </c>
      <c r="H31" s="94" t="s">
        <v>712</v>
      </c>
      <c r="I31" s="94" t="s">
        <v>2998</v>
      </c>
      <c r="J31" s="94" t="s">
        <v>733</v>
      </c>
      <c r="K31" s="97">
        <v>-7.99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44098</v>
      </c>
      <c r="G32" s="94" t="s">
        <v>2572</v>
      </c>
      <c r="H32" s="94" t="s">
        <v>712</v>
      </c>
      <c r="I32" s="94" t="s">
        <v>1606</v>
      </c>
      <c r="J32" s="94" t="s">
        <v>733</v>
      </c>
      <c r="K32" s="97">
        <v>0</v>
      </c>
    </row>
    <row r="33" spans="1:11" ht="14.6" x14ac:dyDescent="0.4">
      <c r="A33" s="94"/>
      <c r="B33" s="94"/>
      <c r="C33" s="94"/>
      <c r="D33" s="94"/>
      <c r="E33" s="94" t="s">
        <v>545</v>
      </c>
      <c r="F33" s="95">
        <v>44104</v>
      </c>
      <c r="G33" s="94" t="s">
        <v>2782</v>
      </c>
      <c r="H33" s="94" t="s">
        <v>2789</v>
      </c>
      <c r="I33" s="94" t="s">
        <v>1606</v>
      </c>
      <c r="J33" s="94" t="s">
        <v>924</v>
      </c>
      <c r="K33" s="97">
        <v>0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44110</v>
      </c>
      <c r="G34" s="94" t="s">
        <v>2984</v>
      </c>
      <c r="H34" s="94" t="s">
        <v>943</v>
      </c>
      <c r="I34" s="94" t="s">
        <v>2999</v>
      </c>
      <c r="J34" s="94" t="s">
        <v>733</v>
      </c>
      <c r="K34" s="97">
        <v>329.16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44110</v>
      </c>
      <c r="G35" s="94" t="s">
        <v>2985</v>
      </c>
      <c r="H35" s="94" t="s">
        <v>943</v>
      </c>
      <c r="I35" s="94" t="s">
        <v>2999</v>
      </c>
      <c r="J35" s="94" t="s">
        <v>733</v>
      </c>
      <c r="K35" s="97">
        <v>69.930000000000007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44126</v>
      </c>
      <c r="G36" s="94" t="s">
        <v>2787</v>
      </c>
      <c r="H36" s="94" t="s">
        <v>712</v>
      </c>
      <c r="I36" s="94" t="s">
        <v>3000</v>
      </c>
      <c r="J36" s="94" t="s">
        <v>733</v>
      </c>
      <c r="K36" s="97">
        <v>99.9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44138</v>
      </c>
      <c r="G37" s="94" t="s">
        <v>2986</v>
      </c>
      <c r="H37" s="94" t="s">
        <v>712</v>
      </c>
      <c r="I37" s="94" t="s">
        <v>3001</v>
      </c>
      <c r="J37" s="94" t="s">
        <v>733</v>
      </c>
      <c r="K37" s="97">
        <v>31.98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44138</v>
      </c>
      <c r="G38" s="94" t="s">
        <v>2986</v>
      </c>
      <c r="H38" s="94" t="s">
        <v>712</v>
      </c>
      <c r="I38" s="94" t="s">
        <v>3002</v>
      </c>
      <c r="J38" s="94" t="s">
        <v>733</v>
      </c>
      <c r="K38" s="97">
        <v>21.98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44179</v>
      </c>
      <c r="G39" s="94" t="s">
        <v>3087</v>
      </c>
      <c r="H39" s="94" t="s">
        <v>943</v>
      </c>
      <c r="I39" s="94" t="s">
        <v>2994</v>
      </c>
      <c r="J39" s="94" t="s">
        <v>733</v>
      </c>
      <c r="K39" s="97">
        <v>23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44180</v>
      </c>
      <c r="G40" s="94" t="s">
        <v>3088</v>
      </c>
      <c r="H40" s="94" t="s">
        <v>1605</v>
      </c>
      <c r="I40" s="94" t="s">
        <v>3099</v>
      </c>
      <c r="J40" s="94" t="s">
        <v>733</v>
      </c>
      <c r="K40" s="97">
        <v>2686.49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44180</v>
      </c>
      <c r="G41" s="94" t="s">
        <v>3088</v>
      </c>
      <c r="H41" s="94" t="s">
        <v>1605</v>
      </c>
      <c r="I41" s="94" t="s">
        <v>3100</v>
      </c>
      <c r="J41" s="94" t="s">
        <v>733</v>
      </c>
      <c r="K41" s="97">
        <v>97.48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44180</v>
      </c>
      <c r="G42" s="94" t="s">
        <v>3088</v>
      </c>
      <c r="H42" s="94" t="s">
        <v>1605</v>
      </c>
      <c r="I42" s="94" t="s">
        <v>3101</v>
      </c>
      <c r="J42" s="94" t="s">
        <v>733</v>
      </c>
      <c r="K42" s="97">
        <v>0</v>
      </c>
    </row>
    <row r="43" spans="1:11" ht="15" customHeight="1" x14ac:dyDescent="0.4">
      <c r="A43" s="94"/>
      <c r="B43" s="94"/>
      <c r="C43" s="94"/>
      <c r="D43" s="94"/>
      <c r="E43" s="94" t="s">
        <v>544</v>
      </c>
      <c r="F43" s="95">
        <v>44180</v>
      </c>
      <c r="G43" s="94" t="s">
        <v>3088</v>
      </c>
      <c r="H43" s="94" t="s">
        <v>1605</v>
      </c>
      <c r="I43" s="94" t="s">
        <v>3102</v>
      </c>
      <c r="J43" s="94" t="s">
        <v>733</v>
      </c>
      <c r="K43" s="97">
        <v>0</v>
      </c>
    </row>
    <row r="44" spans="1:11" ht="15" customHeight="1" x14ac:dyDescent="0.4">
      <c r="A44" s="94"/>
      <c r="B44" s="94"/>
      <c r="C44" s="94"/>
      <c r="D44" s="94"/>
      <c r="E44" s="94" t="s">
        <v>544</v>
      </c>
      <c r="F44" s="95">
        <v>44180</v>
      </c>
      <c r="G44" s="94"/>
      <c r="H44" s="94" t="s">
        <v>712</v>
      </c>
      <c r="I44" s="94" t="s">
        <v>3103</v>
      </c>
      <c r="J44" s="94" t="s">
        <v>733</v>
      </c>
      <c r="K44" s="97">
        <v>270.54000000000002</v>
      </c>
    </row>
    <row r="45" spans="1:11" ht="15" customHeight="1" x14ac:dyDescent="0.4">
      <c r="A45" s="94"/>
      <c r="B45" s="94"/>
      <c r="C45" s="94"/>
      <c r="D45" s="94"/>
      <c r="E45" s="94" t="s">
        <v>544</v>
      </c>
      <c r="F45" s="95">
        <v>44180</v>
      </c>
      <c r="G45" s="94"/>
      <c r="H45" s="94" t="s">
        <v>712</v>
      </c>
      <c r="I45" s="94" t="s">
        <v>3103</v>
      </c>
      <c r="J45" s="94" t="s">
        <v>733</v>
      </c>
      <c r="K45" s="97">
        <v>270.54000000000002</v>
      </c>
    </row>
    <row r="46" spans="1:11" ht="15" customHeight="1" x14ac:dyDescent="0.4">
      <c r="A46" s="94"/>
      <c r="B46" s="94"/>
      <c r="C46" s="94"/>
      <c r="D46" s="94"/>
      <c r="E46" s="94" t="s">
        <v>545</v>
      </c>
      <c r="F46" s="95">
        <v>44182</v>
      </c>
      <c r="G46" s="94" t="s">
        <v>3089</v>
      </c>
      <c r="H46" s="94" t="s">
        <v>3098</v>
      </c>
      <c r="I46" s="94" t="s">
        <v>3104</v>
      </c>
      <c r="J46" s="94" t="s">
        <v>924</v>
      </c>
      <c r="K46" s="97">
        <v>7295.84</v>
      </c>
    </row>
    <row r="47" spans="1:11" ht="15" customHeight="1" x14ac:dyDescent="0.4">
      <c r="A47" s="94"/>
      <c r="B47" s="94"/>
      <c r="C47" s="94"/>
      <c r="D47" s="94"/>
      <c r="E47" s="94" t="s">
        <v>544</v>
      </c>
      <c r="F47" s="95">
        <v>44183</v>
      </c>
      <c r="G47" s="94" t="s">
        <v>3013</v>
      </c>
      <c r="H47" s="94" t="s">
        <v>580</v>
      </c>
      <c r="I47" s="94" t="s">
        <v>3105</v>
      </c>
      <c r="J47" s="94" t="s">
        <v>733</v>
      </c>
      <c r="K47" s="97">
        <v>0</v>
      </c>
    </row>
    <row r="48" spans="1:11" ht="15" customHeight="1" x14ac:dyDescent="0.4">
      <c r="A48" s="94"/>
      <c r="B48" s="94"/>
      <c r="C48" s="94"/>
      <c r="D48" s="94"/>
      <c r="E48" s="94" t="s">
        <v>544</v>
      </c>
      <c r="F48" s="95">
        <v>44183</v>
      </c>
      <c r="G48" s="94" t="s">
        <v>3013</v>
      </c>
      <c r="H48" s="94" t="s">
        <v>580</v>
      </c>
      <c r="I48" s="94" t="s">
        <v>3106</v>
      </c>
      <c r="J48" s="94" t="s">
        <v>733</v>
      </c>
      <c r="K48" s="97">
        <v>0</v>
      </c>
    </row>
    <row r="49" spans="1:11" ht="15" customHeight="1" x14ac:dyDescent="0.4">
      <c r="A49" s="94"/>
      <c r="B49" s="94"/>
      <c r="C49" s="94"/>
      <c r="D49" s="94"/>
      <c r="E49" s="94" t="s">
        <v>544</v>
      </c>
      <c r="F49" s="95">
        <v>44183</v>
      </c>
      <c r="G49" s="94" t="s">
        <v>3013</v>
      </c>
      <c r="H49" s="94" t="s">
        <v>580</v>
      </c>
      <c r="I49" s="94" t="s">
        <v>3107</v>
      </c>
      <c r="J49" s="94" t="s">
        <v>733</v>
      </c>
      <c r="K49" s="97">
        <v>0</v>
      </c>
    </row>
    <row r="50" spans="1:11" ht="15" customHeight="1" x14ac:dyDescent="0.4">
      <c r="A50" s="94"/>
      <c r="B50" s="94"/>
      <c r="C50" s="94"/>
      <c r="D50" s="94"/>
      <c r="E50" s="94" t="s">
        <v>544</v>
      </c>
      <c r="F50" s="95">
        <v>44183</v>
      </c>
      <c r="G50" s="94" t="s">
        <v>3013</v>
      </c>
      <c r="H50" s="94" t="s">
        <v>580</v>
      </c>
      <c r="I50" s="94" t="s">
        <v>3108</v>
      </c>
      <c r="J50" s="94" t="s">
        <v>733</v>
      </c>
      <c r="K50" s="97">
        <v>235.96</v>
      </c>
    </row>
    <row r="51" spans="1:11" ht="15" customHeight="1" x14ac:dyDescent="0.4">
      <c r="A51" s="94"/>
      <c r="B51" s="94"/>
      <c r="C51" s="94"/>
      <c r="D51" s="94"/>
      <c r="E51" s="94" t="s">
        <v>544</v>
      </c>
      <c r="F51" s="95">
        <v>44183</v>
      </c>
      <c r="G51" s="94" t="s">
        <v>3013</v>
      </c>
      <c r="H51" s="94" t="s">
        <v>580</v>
      </c>
      <c r="I51" s="94" t="s">
        <v>3109</v>
      </c>
      <c r="J51" s="94" t="s">
        <v>733</v>
      </c>
      <c r="K51" s="97">
        <v>45.7</v>
      </c>
    </row>
    <row r="52" spans="1:11" ht="15" customHeight="1" x14ac:dyDescent="0.4">
      <c r="A52" s="94"/>
      <c r="B52" s="94"/>
      <c r="C52" s="94"/>
      <c r="D52" s="94"/>
      <c r="E52" s="94" t="s">
        <v>544</v>
      </c>
      <c r="F52" s="95">
        <v>44183</v>
      </c>
      <c r="G52" s="94" t="s">
        <v>3013</v>
      </c>
      <c r="H52" s="94" t="s">
        <v>580</v>
      </c>
      <c r="I52" s="94" t="s">
        <v>3110</v>
      </c>
      <c r="J52" s="94" t="s">
        <v>733</v>
      </c>
      <c r="K52" s="97">
        <v>-5.9</v>
      </c>
    </row>
    <row r="53" spans="1:11" ht="15" customHeight="1" x14ac:dyDescent="0.4">
      <c r="A53" s="94"/>
      <c r="B53" s="94"/>
      <c r="C53" s="94"/>
      <c r="D53" s="94"/>
      <c r="E53" s="94" t="s">
        <v>544</v>
      </c>
      <c r="F53" s="95">
        <v>44183</v>
      </c>
      <c r="G53" s="94" t="s">
        <v>3090</v>
      </c>
      <c r="H53" s="94" t="s">
        <v>580</v>
      </c>
      <c r="I53" s="94" t="s">
        <v>3105</v>
      </c>
      <c r="J53" s="94" t="s">
        <v>733</v>
      </c>
      <c r="K53" s="97">
        <v>0</v>
      </c>
    </row>
    <row r="54" spans="1:11" ht="15" customHeight="1" x14ac:dyDescent="0.4">
      <c r="A54" s="94"/>
      <c r="B54" s="94"/>
      <c r="C54" s="94"/>
      <c r="D54" s="94"/>
      <c r="E54" s="94" t="s">
        <v>544</v>
      </c>
      <c r="F54" s="95">
        <v>44183</v>
      </c>
      <c r="G54" s="94" t="s">
        <v>3090</v>
      </c>
      <c r="H54" s="94" t="s">
        <v>580</v>
      </c>
      <c r="I54" s="94" t="s">
        <v>3106</v>
      </c>
      <c r="J54" s="94" t="s">
        <v>733</v>
      </c>
      <c r="K54" s="97">
        <v>0</v>
      </c>
    </row>
    <row r="55" spans="1:11" ht="15" customHeight="1" x14ac:dyDescent="0.4">
      <c r="A55" s="94"/>
      <c r="B55" s="94"/>
      <c r="C55" s="94"/>
      <c r="D55" s="94"/>
      <c r="E55" s="94" t="s">
        <v>544</v>
      </c>
      <c r="F55" s="95">
        <v>44183</v>
      </c>
      <c r="G55" s="94" t="s">
        <v>3090</v>
      </c>
      <c r="H55" s="94" t="s">
        <v>580</v>
      </c>
      <c r="I55" s="94" t="s">
        <v>3107</v>
      </c>
      <c r="J55" s="94" t="s">
        <v>733</v>
      </c>
      <c r="K55" s="97">
        <v>0</v>
      </c>
    </row>
    <row r="56" spans="1:11" ht="15" customHeight="1" x14ac:dyDescent="0.4">
      <c r="A56" s="94"/>
      <c r="B56" s="94"/>
      <c r="C56" s="94"/>
      <c r="D56" s="94"/>
      <c r="E56" s="94" t="s">
        <v>544</v>
      </c>
      <c r="F56" s="95">
        <v>44183</v>
      </c>
      <c r="G56" s="94" t="s">
        <v>3091</v>
      </c>
      <c r="H56" s="94" t="s">
        <v>580</v>
      </c>
      <c r="I56" s="94" t="s">
        <v>3105</v>
      </c>
      <c r="J56" s="94" t="s">
        <v>733</v>
      </c>
      <c r="K56" s="97">
        <v>53.98</v>
      </c>
    </row>
    <row r="57" spans="1:11" ht="15" customHeight="1" x14ac:dyDescent="0.4">
      <c r="A57" s="94"/>
      <c r="B57" s="94"/>
      <c r="C57" s="94"/>
      <c r="D57" s="94"/>
      <c r="E57" s="94" t="s">
        <v>544</v>
      </c>
      <c r="F57" s="95">
        <v>44183</v>
      </c>
      <c r="G57" s="94" t="s">
        <v>3091</v>
      </c>
      <c r="H57" s="94" t="s">
        <v>580</v>
      </c>
      <c r="I57" s="94" t="s">
        <v>3106</v>
      </c>
      <c r="J57" s="94" t="s">
        <v>733</v>
      </c>
      <c r="K57" s="97">
        <v>0</v>
      </c>
    </row>
    <row r="58" spans="1:11" ht="15" customHeight="1" x14ac:dyDescent="0.4">
      <c r="A58" s="94"/>
      <c r="B58" s="94"/>
      <c r="C58" s="94"/>
      <c r="D58" s="94"/>
      <c r="E58" s="94" t="s">
        <v>544</v>
      </c>
      <c r="F58" s="95">
        <v>44183</v>
      </c>
      <c r="G58" s="94" t="s">
        <v>3091</v>
      </c>
      <c r="H58" s="94" t="s">
        <v>580</v>
      </c>
      <c r="I58" s="94" t="s">
        <v>3107</v>
      </c>
      <c r="J58" s="94" t="s">
        <v>733</v>
      </c>
      <c r="K58" s="97">
        <v>0</v>
      </c>
    </row>
    <row r="59" spans="1:11" ht="15" customHeight="1" x14ac:dyDescent="0.4">
      <c r="A59" s="94"/>
      <c r="B59" s="94"/>
      <c r="C59" s="94"/>
      <c r="D59" s="94"/>
      <c r="E59" s="94" t="s">
        <v>544</v>
      </c>
      <c r="F59" s="95">
        <v>44183</v>
      </c>
      <c r="G59" s="94" t="s">
        <v>3092</v>
      </c>
      <c r="H59" s="94" t="s">
        <v>580</v>
      </c>
      <c r="I59" s="94" t="s">
        <v>3106</v>
      </c>
      <c r="J59" s="94" t="s">
        <v>733</v>
      </c>
      <c r="K59" s="97">
        <v>24.99</v>
      </c>
    </row>
    <row r="60" spans="1:11" ht="15" customHeight="1" x14ac:dyDescent="0.4">
      <c r="A60" s="94"/>
      <c r="B60" s="94"/>
      <c r="C60" s="94"/>
      <c r="D60" s="94"/>
      <c r="E60" s="94" t="s">
        <v>544</v>
      </c>
      <c r="F60" s="95">
        <v>44183</v>
      </c>
      <c r="G60" s="94" t="s">
        <v>3092</v>
      </c>
      <c r="H60" s="94" t="s">
        <v>580</v>
      </c>
      <c r="I60" s="94" t="s">
        <v>3107</v>
      </c>
      <c r="J60" s="94" t="s">
        <v>733</v>
      </c>
      <c r="K60" s="97">
        <v>0</v>
      </c>
    </row>
    <row r="61" spans="1:11" ht="15" customHeight="1" x14ac:dyDescent="0.4">
      <c r="A61" s="94"/>
      <c r="B61" s="94"/>
      <c r="C61" s="94"/>
      <c r="D61" s="94"/>
      <c r="E61" s="94" t="s">
        <v>544</v>
      </c>
      <c r="F61" s="95">
        <v>44183</v>
      </c>
      <c r="G61" s="94" t="s">
        <v>3093</v>
      </c>
      <c r="H61" s="94" t="s">
        <v>580</v>
      </c>
      <c r="I61" s="94" t="s">
        <v>3107</v>
      </c>
      <c r="J61" s="94" t="s">
        <v>733</v>
      </c>
      <c r="K61" s="97">
        <v>0</v>
      </c>
    </row>
    <row r="62" spans="1:11" ht="15" customHeight="1" x14ac:dyDescent="0.4">
      <c r="A62" s="94"/>
      <c r="B62" s="94"/>
      <c r="C62" s="94"/>
      <c r="D62" s="94"/>
      <c r="E62" s="94" t="s">
        <v>544</v>
      </c>
      <c r="F62" s="95">
        <v>44183</v>
      </c>
      <c r="G62" s="94" t="s">
        <v>3094</v>
      </c>
      <c r="H62" s="94" t="s">
        <v>580</v>
      </c>
      <c r="I62" s="94" t="s">
        <v>3107</v>
      </c>
      <c r="J62" s="94" t="s">
        <v>733</v>
      </c>
      <c r="K62" s="97">
        <v>50.99</v>
      </c>
    </row>
    <row r="63" spans="1:11" ht="15" customHeight="1" x14ac:dyDescent="0.4">
      <c r="A63" s="94"/>
      <c r="B63" s="94"/>
      <c r="C63" s="94"/>
      <c r="D63" s="94"/>
      <c r="E63" s="94" t="s">
        <v>544</v>
      </c>
      <c r="F63" s="95">
        <v>44192</v>
      </c>
      <c r="G63" s="94" t="s">
        <v>3095</v>
      </c>
      <c r="H63" s="94" t="s">
        <v>1605</v>
      </c>
      <c r="I63" s="94" t="s">
        <v>3101</v>
      </c>
      <c r="J63" s="94" t="s">
        <v>733</v>
      </c>
      <c r="K63" s="97">
        <v>78.599999999999994</v>
      </c>
    </row>
    <row r="64" spans="1:11" ht="15" customHeight="1" x14ac:dyDescent="0.4">
      <c r="A64" s="94"/>
      <c r="B64" s="94"/>
      <c r="C64" s="94"/>
      <c r="D64" s="94"/>
      <c r="E64" s="94" t="s">
        <v>544</v>
      </c>
      <c r="F64" s="95">
        <v>44192</v>
      </c>
      <c r="G64" s="94" t="s">
        <v>3095</v>
      </c>
      <c r="H64" s="94" t="s">
        <v>1605</v>
      </c>
      <c r="I64" s="94" t="s">
        <v>3102</v>
      </c>
      <c r="J64" s="94" t="s">
        <v>733</v>
      </c>
      <c r="K64" s="97">
        <v>258.69</v>
      </c>
    </row>
    <row r="65" spans="1:11" ht="15" customHeight="1" x14ac:dyDescent="0.4">
      <c r="A65" s="94"/>
      <c r="B65" s="94"/>
      <c r="C65" s="94"/>
      <c r="D65" s="94"/>
      <c r="E65" s="94" t="s">
        <v>544</v>
      </c>
      <c r="F65" s="95">
        <v>44196</v>
      </c>
      <c r="G65" s="94" t="s">
        <v>3096</v>
      </c>
      <c r="H65" s="94" t="s">
        <v>1605</v>
      </c>
      <c r="I65" s="94" t="s">
        <v>3101</v>
      </c>
      <c r="J65" s="94" t="s">
        <v>733</v>
      </c>
      <c r="K65" s="97">
        <v>157.19999999999999</v>
      </c>
    </row>
    <row r="66" spans="1:11" ht="15" customHeight="1" thickBot="1" x14ac:dyDescent="0.45">
      <c r="A66" s="94"/>
      <c r="B66" s="94"/>
      <c r="C66" s="94"/>
      <c r="D66" s="94"/>
      <c r="E66" s="94" t="s">
        <v>544</v>
      </c>
      <c r="F66" s="95">
        <v>44196</v>
      </c>
      <c r="G66" s="94" t="s">
        <v>3097</v>
      </c>
      <c r="H66" s="94" t="s">
        <v>1191</v>
      </c>
      <c r="I66" s="94" t="s">
        <v>2992</v>
      </c>
      <c r="J66" s="94" t="s">
        <v>733</v>
      </c>
      <c r="K66" s="756">
        <v>70.56</v>
      </c>
    </row>
    <row r="67" spans="1:11" ht="15" customHeight="1" thickBot="1" x14ac:dyDescent="0.45">
      <c r="A67" s="94"/>
      <c r="B67" s="94"/>
      <c r="C67" s="94" t="s">
        <v>2962</v>
      </c>
      <c r="D67" s="94"/>
      <c r="E67" s="94"/>
      <c r="F67" s="95"/>
      <c r="G67" s="94"/>
      <c r="H67" s="94"/>
      <c r="I67" s="94"/>
      <c r="J67" s="94"/>
      <c r="K67" s="757">
        <f>ROUND(SUM(K3:K66),5)</f>
        <v>13042.07</v>
      </c>
    </row>
    <row r="68" spans="1:11" ht="15" customHeight="1" thickBot="1" x14ac:dyDescent="0.45">
      <c r="A68" s="94"/>
      <c r="B68" s="94" t="s">
        <v>732</v>
      </c>
      <c r="C68" s="94"/>
      <c r="D68" s="94"/>
      <c r="E68" s="94"/>
      <c r="F68" s="95"/>
      <c r="G68" s="94"/>
      <c r="H68" s="94"/>
      <c r="I68" s="94"/>
      <c r="J68" s="94"/>
      <c r="K68" s="757">
        <f>K67</f>
        <v>13042.07</v>
      </c>
    </row>
    <row r="69" spans="1:11" ht="15" customHeight="1" thickBot="1" x14ac:dyDescent="0.45">
      <c r="A69" s="94" t="s">
        <v>98</v>
      </c>
      <c r="B69" s="94"/>
      <c r="C69" s="94"/>
      <c r="D69" s="94"/>
      <c r="E69" s="94"/>
      <c r="F69" s="95"/>
      <c r="G69" s="94"/>
      <c r="H69" s="94"/>
      <c r="I69" s="94"/>
      <c r="J69" s="94"/>
      <c r="K69" s="758">
        <f>K68</f>
        <v>13042.07</v>
      </c>
    </row>
    <row r="70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3:26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3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3265" r:id="rId4" name="FILTER"/>
      </mc:Fallback>
    </mc:AlternateContent>
    <mc:AlternateContent xmlns:mc="http://schemas.openxmlformats.org/markup-compatibility/2006">
      <mc:Choice Requires="x14">
        <control shapeId="5326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3266" r:id="rId6" name="HEADER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K370"/>
  <sheetViews>
    <sheetView workbookViewId="0">
      <pane xSplit="3" ySplit="1" topLeftCell="D347" activePane="bottomRight" state="frozenSplit"/>
      <selection pane="topRight" activeCell="D1" sqref="D1"/>
      <selection pane="bottomLeft" activeCell="A2" sqref="A2"/>
      <selection pane="bottomRight" activeCell="I359" sqref="I359"/>
    </sheetView>
  </sheetViews>
  <sheetFormatPr defaultColWidth="14.3828125" defaultRowHeight="15" customHeight="1" x14ac:dyDescent="0.4"/>
  <cols>
    <col min="1" max="2" width="3" style="760" customWidth="1"/>
    <col min="3" max="3" width="39.1523437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9.53515625" style="760" bestFit="1" customWidth="1"/>
    <col min="8" max="9" width="30.69140625" style="760" customWidth="1"/>
    <col min="10" max="10" width="28.3828125" style="760" bestFit="1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735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740</v>
      </c>
      <c r="H4" s="94" t="s">
        <v>809</v>
      </c>
      <c r="I4" s="94" t="s">
        <v>1622</v>
      </c>
      <c r="J4" s="94" t="s">
        <v>733</v>
      </c>
      <c r="K4" s="97">
        <v>575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740</v>
      </c>
      <c r="H5" s="94" t="s">
        <v>809</v>
      </c>
      <c r="I5" s="94" t="s">
        <v>1623</v>
      </c>
      <c r="J5" s="94" t="s">
        <v>733</v>
      </c>
      <c r="K5" s="97">
        <v>575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43832</v>
      </c>
      <c r="G6" s="94" t="s">
        <v>740</v>
      </c>
      <c r="H6" s="94" t="s">
        <v>809</v>
      </c>
      <c r="I6" s="94" t="s">
        <v>1624</v>
      </c>
      <c r="J6" s="94" t="s">
        <v>733</v>
      </c>
      <c r="K6" s="97">
        <v>575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43832</v>
      </c>
      <c r="G7" s="94" t="s">
        <v>741</v>
      </c>
      <c r="H7" s="94" t="s">
        <v>810</v>
      </c>
      <c r="I7" s="94" t="s">
        <v>841</v>
      </c>
      <c r="J7" s="94" t="s">
        <v>733</v>
      </c>
      <c r="K7" s="97">
        <v>200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43832</v>
      </c>
      <c r="G8" s="94" t="s">
        <v>742</v>
      </c>
      <c r="H8" s="94" t="s">
        <v>811</v>
      </c>
      <c r="I8" s="94" t="s">
        <v>842</v>
      </c>
      <c r="J8" s="94" t="s">
        <v>733</v>
      </c>
      <c r="K8" s="97">
        <v>310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43832</v>
      </c>
      <c r="G9" s="94" t="s">
        <v>743</v>
      </c>
      <c r="H9" s="94" t="s">
        <v>811</v>
      </c>
      <c r="I9" s="94" t="s">
        <v>843</v>
      </c>
      <c r="J9" s="94" t="s">
        <v>733</v>
      </c>
      <c r="K9" s="97">
        <v>2000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43832</v>
      </c>
      <c r="G10" s="94" t="s">
        <v>744</v>
      </c>
      <c r="H10" s="94" t="s">
        <v>812</v>
      </c>
      <c r="I10" s="94" t="s">
        <v>844</v>
      </c>
      <c r="J10" s="94" t="s">
        <v>733</v>
      </c>
      <c r="K10" s="97">
        <v>500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43832</v>
      </c>
      <c r="G11" s="94" t="s">
        <v>745</v>
      </c>
      <c r="H11" s="94" t="s">
        <v>813</v>
      </c>
      <c r="I11" s="94" t="s">
        <v>845</v>
      </c>
      <c r="J11" s="94" t="s">
        <v>733</v>
      </c>
      <c r="K11" s="97">
        <v>45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43832</v>
      </c>
      <c r="G12" s="94" t="s">
        <v>746</v>
      </c>
      <c r="H12" s="94" t="s">
        <v>813</v>
      </c>
      <c r="I12" s="94" t="s">
        <v>846</v>
      </c>
      <c r="J12" s="94" t="s">
        <v>733</v>
      </c>
      <c r="K12" s="97">
        <v>45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43832</v>
      </c>
      <c r="G13" s="94" t="s">
        <v>747</v>
      </c>
      <c r="H13" s="94" t="s">
        <v>813</v>
      </c>
      <c r="I13" s="94" t="s">
        <v>847</v>
      </c>
      <c r="J13" s="94" t="s">
        <v>733</v>
      </c>
      <c r="K13" s="97">
        <v>45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43832</v>
      </c>
      <c r="G14" s="94" t="s">
        <v>748</v>
      </c>
      <c r="H14" s="94" t="s">
        <v>813</v>
      </c>
      <c r="I14" s="94" t="s">
        <v>848</v>
      </c>
      <c r="J14" s="94" t="s">
        <v>733</v>
      </c>
      <c r="K14" s="97">
        <v>45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43832</v>
      </c>
      <c r="G15" s="94" t="s">
        <v>749</v>
      </c>
      <c r="H15" s="94" t="s">
        <v>813</v>
      </c>
      <c r="I15" s="94" t="s">
        <v>849</v>
      </c>
      <c r="J15" s="94" t="s">
        <v>733</v>
      </c>
      <c r="K15" s="97">
        <v>45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43832</v>
      </c>
      <c r="G16" s="94" t="s">
        <v>750</v>
      </c>
      <c r="H16" s="94" t="s">
        <v>813</v>
      </c>
      <c r="I16" s="94" t="s">
        <v>850</v>
      </c>
      <c r="J16" s="94" t="s">
        <v>733</v>
      </c>
      <c r="K16" s="97">
        <v>45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43832</v>
      </c>
      <c r="G17" s="94" t="s">
        <v>751</v>
      </c>
      <c r="H17" s="94" t="s">
        <v>813</v>
      </c>
      <c r="I17" s="94" t="s">
        <v>851</v>
      </c>
      <c r="J17" s="94" t="s">
        <v>733</v>
      </c>
      <c r="K17" s="97">
        <v>45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43832</v>
      </c>
      <c r="G18" s="94" t="s">
        <v>752</v>
      </c>
      <c r="H18" s="94" t="s">
        <v>813</v>
      </c>
      <c r="I18" s="94" t="s">
        <v>852</v>
      </c>
      <c r="J18" s="94" t="s">
        <v>733</v>
      </c>
      <c r="K18" s="97">
        <v>45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43832</v>
      </c>
      <c r="G19" s="94" t="s">
        <v>753</v>
      </c>
      <c r="H19" s="94" t="s">
        <v>813</v>
      </c>
      <c r="I19" s="94" t="s">
        <v>853</v>
      </c>
      <c r="J19" s="94" t="s">
        <v>733</v>
      </c>
      <c r="K19" s="97">
        <v>45</v>
      </c>
    </row>
    <row r="20" spans="1:11" ht="14.6" x14ac:dyDescent="0.4">
      <c r="A20" s="94"/>
      <c r="B20" s="94"/>
      <c r="C20" s="94"/>
      <c r="D20" s="94"/>
      <c r="E20" s="94" t="s">
        <v>545</v>
      </c>
      <c r="F20" s="95">
        <v>43836</v>
      </c>
      <c r="G20" s="94" t="s">
        <v>754</v>
      </c>
      <c r="H20" s="94" t="s">
        <v>814</v>
      </c>
      <c r="I20" s="94" t="s">
        <v>854</v>
      </c>
      <c r="J20" s="94" t="s">
        <v>923</v>
      </c>
      <c r="K20" s="97">
        <v>43.75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43838</v>
      </c>
      <c r="G21" s="94" t="s">
        <v>755</v>
      </c>
      <c r="H21" s="94" t="s">
        <v>813</v>
      </c>
      <c r="I21" s="94" t="s">
        <v>855</v>
      </c>
      <c r="J21" s="94" t="s">
        <v>733</v>
      </c>
      <c r="K21" s="97">
        <v>45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43838</v>
      </c>
      <c r="G22" s="94" t="s">
        <v>756</v>
      </c>
      <c r="H22" s="94" t="s">
        <v>813</v>
      </c>
      <c r="I22" s="94" t="s">
        <v>856</v>
      </c>
      <c r="J22" s="94" t="s">
        <v>733</v>
      </c>
      <c r="K22" s="97">
        <v>45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43838</v>
      </c>
      <c r="G23" s="94" t="s">
        <v>757</v>
      </c>
      <c r="H23" s="94" t="s">
        <v>813</v>
      </c>
      <c r="I23" s="94" t="s">
        <v>857</v>
      </c>
      <c r="J23" s="94" t="s">
        <v>733</v>
      </c>
      <c r="K23" s="97">
        <v>45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43838</v>
      </c>
      <c r="G24" s="94" t="s">
        <v>758</v>
      </c>
      <c r="H24" s="94" t="s">
        <v>813</v>
      </c>
      <c r="I24" s="94" t="s">
        <v>858</v>
      </c>
      <c r="J24" s="94" t="s">
        <v>733</v>
      </c>
      <c r="K24" s="97">
        <v>45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43838</v>
      </c>
      <c r="G25" s="94" t="s">
        <v>759</v>
      </c>
      <c r="H25" s="94" t="s">
        <v>815</v>
      </c>
      <c r="I25" s="94" t="s">
        <v>859</v>
      </c>
      <c r="J25" s="94" t="s">
        <v>733</v>
      </c>
      <c r="K25" s="97">
        <v>50</v>
      </c>
    </row>
    <row r="26" spans="1:11" ht="14.6" x14ac:dyDescent="0.4">
      <c r="A26" s="94"/>
      <c r="B26" s="94"/>
      <c r="C26" s="94"/>
      <c r="D26" s="94"/>
      <c r="E26" s="94" t="s">
        <v>738</v>
      </c>
      <c r="F26" s="95">
        <v>43838</v>
      </c>
      <c r="G26" s="94" t="s">
        <v>760</v>
      </c>
      <c r="H26" s="94" t="s">
        <v>816</v>
      </c>
      <c r="I26" s="94" t="s">
        <v>860</v>
      </c>
      <c r="J26" s="94" t="s">
        <v>923</v>
      </c>
      <c r="K26" s="97">
        <v>-133.38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43843</v>
      </c>
      <c r="G27" s="94" t="s">
        <v>761</v>
      </c>
      <c r="H27" s="94" t="s">
        <v>817</v>
      </c>
      <c r="I27" s="94" t="s">
        <v>861</v>
      </c>
      <c r="J27" s="94" t="s">
        <v>733</v>
      </c>
      <c r="K27" s="97">
        <v>975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43843</v>
      </c>
      <c r="G28" s="94" t="s">
        <v>761</v>
      </c>
      <c r="H28" s="94" t="s">
        <v>817</v>
      </c>
      <c r="I28" s="94" t="s">
        <v>862</v>
      </c>
      <c r="J28" s="94" t="s">
        <v>733</v>
      </c>
      <c r="K28" s="97">
        <v>975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43843</v>
      </c>
      <c r="G29" s="94" t="s">
        <v>761</v>
      </c>
      <c r="H29" s="94" t="s">
        <v>817</v>
      </c>
      <c r="I29" s="94" t="s">
        <v>863</v>
      </c>
      <c r="J29" s="94" t="s">
        <v>733</v>
      </c>
      <c r="K29" s="97">
        <v>975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43843</v>
      </c>
      <c r="G30" s="94" t="s">
        <v>762</v>
      </c>
      <c r="H30" s="94" t="s">
        <v>818</v>
      </c>
      <c r="I30" s="94" t="s">
        <v>864</v>
      </c>
      <c r="J30" s="94" t="s">
        <v>733</v>
      </c>
      <c r="K30" s="97">
        <v>53.98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43843</v>
      </c>
      <c r="G31" s="94" t="s">
        <v>763</v>
      </c>
      <c r="H31" s="94" t="s">
        <v>818</v>
      </c>
      <c r="I31" s="94" t="s">
        <v>864</v>
      </c>
      <c r="J31" s="94" t="s">
        <v>733</v>
      </c>
      <c r="K31" s="97">
        <v>53.7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43844</v>
      </c>
      <c r="G32" s="94" t="s">
        <v>742</v>
      </c>
      <c r="H32" s="94" t="s">
        <v>811</v>
      </c>
      <c r="I32" s="94" t="s">
        <v>865</v>
      </c>
      <c r="J32" s="94" t="s">
        <v>733</v>
      </c>
      <c r="K32" s="97">
        <v>310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43844</v>
      </c>
      <c r="G33" s="94" t="s">
        <v>764</v>
      </c>
      <c r="H33" s="94" t="s">
        <v>819</v>
      </c>
      <c r="I33" s="94" t="s">
        <v>866</v>
      </c>
      <c r="J33" s="94" t="s">
        <v>733</v>
      </c>
      <c r="K33" s="97">
        <v>99</v>
      </c>
    </row>
    <row r="34" spans="1:11" ht="14.6" x14ac:dyDescent="0.4">
      <c r="A34" s="94"/>
      <c r="B34" s="94"/>
      <c r="C34" s="94"/>
      <c r="D34" s="94"/>
      <c r="E34" s="94" t="s">
        <v>545</v>
      </c>
      <c r="F34" s="95">
        <v>43844</v>
      </c>
      <c r="G34" s="94" t="s">
        <v>765</v>
      </c>
      <c r="H34" s="94" t="s">
        <v>820</v>
      </c>
      <c r="I34" s="94" t="s">
        <v>867</v>
      </c>
      <c r="J34" s="94" t="s">
        <v>924</v>
      </c>
      <c r="K34" s="97">
        <v>60</v>
      </c>
    </row>
    <row r="35" spans="1:11" ht="14.6" x14ac:dyDescent="0.4">
      <c r="A35" s="94"/>
      <c r="B35" s="94"/>
      <c r="C35" s="94"/>
      <c r="D35" s="94"/>
      <c r="E35" s="94" t="s">
        <v>545</v>
      </c>
      <c r="F35" s="95">
        <v>43844</v>
      </c>
      <c r="G35" s="94" t="s">
        <v>766</v>
      </c>
      <c r="H35" s="94" t="s">
        <v>821</v>
      </c>
      <c r="I35" s="94" t="s">
        <v>867</v>
      </c>
      <c r="J35" s="94" t="s">
        <v>924</v>
      </c>
      <c r="K35" s="97">
        <v>90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43845</v>
      </c>
      <c r="G36" s="94" t="s">
        <v>767</v>
      </c>
      <c r="H36" s="94" t="s">
        <v>822</v>
      </c>
      <c r="I36" s="94" t="s">
        <v>868</v>
      </c>
      <c r="J36" s="94" t="s">
        <v>733</v>
      </c>
      <c r="K36" s="97">
        <v>350</v>
      </c>
    </row>
    <row r="37" spans="1:11" ht="14.6" x14ac:dyDescent="0.4">
      <c r="A37" s="94"/>
      <c r="B37" s="94"/>
      <c r="C37" s="94"/>
      <c r="D37" s="94"/>
      <c r="E37" s="94" t="s">
        <v>545</v>
      </c>
      <c r="F37" s="95">
        <v>43845</v>
      </c>
      <c r="G37" s="94" t="s">
        <v>768</v>
      </c>
      <c r="H37" s="94" t="s">
        <v>815</v>
      </c>
      <c r="I37" s="94" t="s">
        <v>869</v>
      </c>
      <c r="J37" s="94" t="s">
        <v>924</v>
      </c>
      <c r="K37" s="97">
        <v>45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43846</v>
      </c>
      <c r="G38" s="94" t="s">
        <v>769</v>
      </c>
      <c r="H38" s="94" t="s">
        <v>811</v>
      </c>
      <c r="I38" s="94" t="s">
        <v>870</v>
      </c>
      <c r="J38" s="94" t="s">
        <v>733</v>
      </c>
      <c r="K38" s="97">
        <v>75</v>
      </c>
    </row>
    <row r="39" spans="1:11" ht="14.6" x14ac:dyDescent="0.4">
      <c r="A39" s="94"/>
      <c r="B39" s="94"/>
      <c r="C39" s="94"/>
      <c r="D39" s="94"/>
      <c r="E39" s="94" t="s">
        <v>545</v>
      </c>
      <c r="F39" s="95">
        <v>43846</v>
      </c>
      <c r="G39" s="94" t="s">
        <v>770</v>
      </c>
      <c r="H39" s="94" t="s">
        <v>709</v>
      </c>
      <c r="I39" s="94" t="s">
        <v>871</v>
      </c>
      <c r="J39" s="94" t="s">
        <v>924</v>
      </c>
      <c r="K39" s="97">
        <v>4.0999999999999996</v>
      </c>
    </row>
    <row r="40" spans="1:11" ht="14.6" x14ac:dyDescent="0.4">
      <c r="A40" s="94"/>
      <c r="B40" s="94"/>
      <c r="C40" s="94"/>
      <c r="D40" s="94"/>
      <c r="E40" s="94" t="s">
        <v>545</v>
      </c>
      <c r="F40" s="95">
        <v>43846</v>
      </c>
      <c r="G40" s="94" t="s">
        <v>771</v>
      </c>
      <c r="H40" s="94" t="s">
        <v>823</v>
      </c>
      <c r="I40" s="94" t="s">
        <v>872</v>
      </c>
      <c r="J40" s="94" t="s">
        <v>924</v>
      </c>
      <c r="K40" s="97">
        <v>118.47</v>
      </c>
    </row>
    <row r="41" spans="1:11" ht="14.6" x14ac:dyDescent="0.4">
      <c r="A41" s="94"/>
      <c r="B41" s="94"/>
      <c r="C41" s="94"/>
      <c r="D41" s="94"/>
      <c r="E41" s="94" t="s">
        <v>545</v>
      </c>
      <c r="F41" s="95">
        <v>43846</v>
      </c>
      <c r="G41" s="94" t="s">
        <v>772</v>
      </c>
      <c r="H41" s="94" t="s">
        <v>824</v>
      </c>
      <c r="I41" s="94" t="s">
        <v>873</v>
      </c>
      <c r="J41" s="94" t="s">
        <v>924</v>
      </c>
      <c r="K41" s="97">
        <v>65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43852</v>
      </c>
      <c r="G42" s="94" t="s">
        <v>773</v>
      </c>
      <c r="H42" s="94" t="s">
        <v>811</v>
      </c>
      <c r="I42" s="94" t="s">
        <v>874</v>
      </c>
      <c r="J42" s="94" t="s">
        <v>733</v>
      </c>
      <c r="K42" s="97">
        <v>375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43852</v>
      </c>
      <c r="G43" s="94" t="s">
        <v>773</v>
      </c>
      <c r="H43" s="94" t="s">
        <v>811</v>
      </c>
      <c r="I43" s="94" t="s">
        <v>875</v>
      </c>
      <c r="J43" s="94" t="s">
        <v>733</v>
      </c>
      <c r="K43" s="97">
        <v>375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43852</v>
      </c>
      <c r="G44" s="94" t="s">
        <v>773</v>
      </c>
      <c r="H44" s="94" t="s">
        <v>811</v>
      </c>
      <c r="I44" s="94" t="s">
        <v>876</v>
      </c>
      <c r="J44" s="94" t="s">
        <v>733</v>
      </c>
      <c r="K44" s="97">
        <v>375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43852</v>
      </c>
      <c r="G45" s="94" t="s">
        <v>773</v>
      </c>
      <c r="H45" s="94" t="s">
        <v>811</v>
      </c>
      <c r="I45" s="94" t="s">
        <v>877</v>
      </c>
      <c r="J45" s="94" t="s">
        <v>733</v>
      </c>
      <c r="K45" s="97">
        <v>375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43852</v>
      </c>
      <c r="G46" s="94" t="s">
        <v>773</v>
      </c>
      <c r="H46" s="94" t="s">
        <v>811</v>
      </c>
      <c r="I46" s="94" t="s">
        <v>878</v>
      </c>
      <c r="J46" s="94" t="s">
        <v>733</v>
      </c>
      <c r="K46" s="97">
        <v>375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43852</v>
      </c>
      <c r="G47" s="94" t="s">
        <v>773</v>
      </c>
      <c r="H47" s="94" t="s">
        <v>811</v>
      </c>
      <c r="I47" s="94" t="s">
        <v>879</v>
      </c>
      <c r="J47" s="94" t="s">
        <v>733</v>
      </c>
      <c r="K47" s="97">
        <v>375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43852</v>
      </c>
      <c r="G48" s="94" t="s">
        <v>773</v>
      </c>
      <c r="H48" s="94" t="s">
        <v>811</v>
      </c>
      <c r="I48" s="94" t="s">
        <v>880</v>
      </c>
      <c r="J48" s="94" t="s">
        <v>733</v>
      </c>
      <c r="K48" s="97">
        <v>375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43852</v>
      </c>
      <c r="G49" s="94" t="s">
        <v>773</v>
      </c>
      <c r="H49" s="94" t="s">
        <v>811</v>
      </c>
      <c r="I49" s="94" t="s">
        <v>881</v>
      </c>
      <c r="J49" s="94" t="s">
        <v>733</v>
      </c>
      <c r="K49" s="97">
        <v>375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43852</v>
      </c>
      <c r="G50" s="94" t="s">
        <v>773</v>
      </c>
      <c r="H50" s="94" t="s">
        <v>811</v>
      </c>
      <c r="I50" s="94" t="s">
        <v>882</v>
      </c>
      <c r="J50" s="94" t="s">
        <v>733</v>
      </c>
      <c r="K50" s="97">
        <v>375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43852</v>
      </c>
      <c r="G51" s="94" t="s">
        <v>774</v>
      </c>
      <c r="H51" s="94" t="s">
        <v>813</v>
      </c>
      <c r="I51" s="94" t="s">
        <v>883</v>
      </c>
      <c r="J51" s="94" t="s">
        <v>733</v>
      </c>
      <c r="K51" s="97">
        <v>45</v>
      </c>
    </row>
    <row r="52" spans="1:11" ht="14.6" x14ac:dyDescent="0.4">
      <c r="A52" s="94"/>
      <c r="B52" s="94"/>
      <c r="C52" s="94"/>
      <c r="D52" s="94"/>
      <c r="E52" s="94" t="s">
        <v>545</v>
      </c>
      <c r="F52" s="95">
        <v>43854</v>
      </c>
      <c r="G52" s="94" t="s">
        <v>775</v>
      </c>
      <c r="H52" s="94" t="s">
        <v>825</v>
      </c>
      <c r="I52" s="94" t="s">
        <v>884</v>
      </c>
      <c r="J52" s="94" t="s">
        <v>923</v>
      </c>
      <c r="K52" s="97">
        <v>590.97</v>
      </c>
    </row>
    <row r="53" spans="1:11" ht="14.6" x14ac:dyDescent="0.4">
      <c r="A53" s="94"/>
      <c r="B53" s="94"/>
      <c r="C53" s="94"/>
      <c r="D53" s="94"/>
      <c r="E53" s="94" t="s">
        <v>545</v>
      </c>
      <c r="F53" s="95">
        <v>43854</v>
      </c>
      <c r="G53" s="94" t="s">
        <v>776</v>
      </c>
      <c r="H53" s="94" t="s">
        <v>825</v>
      </c>
      <c r="I53" s="94" t="s">
        <v>884</v>
      </c>
      <c r="J53" s="94" t="s">
        <v>923</v>
      </c>
      <c r="K53" s="97">
        <v>325.97000000000003</v>
      </c>
    </row>
    <row r="54" spans="1:11" ht="14.6" x14ac:dyDescent="0.4">
      <c r="A54" s="94"/>
      <c r="B54" s="94"/>
      <c r="C54" s="94"/>
      <c r="D54" s="94"/>
      <c r="E54" s="94" t="s">
        <v>545</v>
      </c>
      <c r="F54" s="95">
        <v>43854</v>
      </c>
      <c r="G54" s="94" t="s">
        <v>777</v>
      </c>
      <c r="H54" s="94" t="s">
        <v>825</v>
      </c>
      <c r="I54" s="94" t="s">
        <v>884</v>
      </c>
      <c r="J54" s="94" t="s">
        <v>923</v>
      </c>
      <c r="K54" s="97">
        <v>590.97</v>
      </c>
    </row>
    <row r="55" spans="1:11" ht="14.6" x14ac:dyDescent="0.4">
      <c r="A55" s="94"/>
      <c r="B55" s="94"/>
      <c r="C55" s="94"/>
      <c r="D55" s="94"/>
      <c r="E55" s="94" t="s">
        <v>545</v>
      </c>
      <c r="F55" s="95">
        <v>43858</v>
      </c>
      <c r="G55" s="94" t="s">
        <v>778</v>
      </c>
      <c r="H55" s="94" t="s">
        <v>824</v>
      </c>
      <c r="I55" s="94" t="s">
        <v>885</v>
      </c>
      <c r="J55" s="94" t="s">
        <v>924</v>
      </c>
      <c r="K55" s="97">
        <v>90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43858</v>
      </c>
      <c r="G56" s="94" t="s">
        <v>767</v>
      </c>
      <c r="H56" s="94" t="s">
        <v>822</v>
      </c>
      <c r="I56" s="94" t="s">
        <v>886</v>
      </c>
      <c r="J56" s="94" t="s">
        <v>733</v>
      </c>
      <c r="K56" s="97">
        <v>100</v>
      </c>
    </row>
    <row r="57" spans="1:11" ht="14.6" x14ac:dyDescent="0.4">
      <c r="A57" s="94"/>
      <c r="B57" s="94"/>
      <c r="C57" s="94"/>
      <c r="D57" s="94"/>
      <c r="E57" s="94" t="s">
        <v>545</v>
      </c>
      <c r="F57" s="95">
        <v>43859</v>
      </c>
      <c r="G57" s="94" t="s">
        <v>779</v>
      </c>
      <c r="H57" s="94" t="s">
        <v>815</v>
      </c>
      <c r="I57" s="94" t="s">
        <v>887</v>
      </c>
      <c r="J57" s="94" t="s">
        <v>924</v>
      </c>
      <c r="K57" s="97">
        <v>45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43860</v>
      </c>
      <c r="G58" s="94" t="s">
        <v>780</v>
      </c>
      <c r="H58" s="94" t="s">
        <v>811</v>
      </c>
      <c r="I58" s="94" t="s">
        <v>888</v>
      </c>
      <c r="J58" s="94" t="s">
        <v>733</v>
      </c>
      <c r="K58" s="97">
        <v>375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43860</v>
      </c>
      <c r="G59" s="94" t="s">
        <v>780</v>
      </c>
      <c r="H59" s="94" t="s">
        <v>811</v>
      </c>
      <c r="I59" s="94" t="s">
        <v>889</v>
      </c>
      <c r="J59" s="94" t="s">
        <v>733</v>
      </c>
      <c r="K59" s="97">
        <v>375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43860</v>
      </c>
      <c r="G60" s="94" t="s">
        <v>780</v>
      </c>
      <c r="H60" s="94" t="s">
        <v>811</v>
      </c>
      <c r="I60" s="94" t="s">
        <v>890</v>
      </c>
      <c r="J60" s="94" t="s">
        <v>733</v>
      </c>
      <c r="K60" s="97">
        <v>375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43860</v>
      </c>
      <c r="G61" s="94" t="s">
        <v>780</v>
      </c>
      <c r="H61" s="94" t="s">
        <v>811</v>
      </c>
      <c r="I61" s="94" t="s">
        <v>891</v>
      </c>
      <c r="J61" s="94" t="s">
        <v>733</v>
      </c>
      <c r="K61" s="97">
        <v>375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43860</v>
      </c>
      <c r="G62" s="94" t="s">
        <v>780</v>
      </c>
      <c r="H62" s="94" t="s">
        <v>811</v>
      </c>
      <c r="I62" s="94" t="s">
        <v>892</v>
      </c>
      <c r="J62" s="94" t="s">
        <v>733</v>
      </c>
      <c r="K62" s="97">
        <v>375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43860</v>
      </c>
      <c r="G63" s="94" t="s">
        <v>780</v>
      </c>
      <c r="H63" s="94" t="s">
        <v>811</v>
      </c>
      <c r="I63" s="94" t="s">
        <v>893</v>
      </c>
      <c r="J63" s="94" t="s">
        <v>733</v>
      </c>
      <c r="K63" s="97">
        <v>375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43861</v>
      </c>
      <c r="G64" s="94" t="s">
        <v>781</v>
      </c>
      <c r="H64" s="94" t="s">
        <v>826</v>
      </c>
      <c r="I64" s="94" t="s">
        <v>894</v>
      </c>
      <c r="J64" s="94" t="s">
        <v>733</v>
      </c>
      <c r="K64" s="97">
        <v>100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43865</v>
      </c>
      <c r="G65" s="94" t="s">
        <v>782</v>
      </c>
      <c r="H65" s="94" t="s">
        <v>827</v>
      </c>
      <c r="I65" s="94" t="s">
        <v>895</v>
      </c>
      <c r="J65" s="94" t="s">
        <v>733</v>
      </c>
      <c r="K65" s="97">
        <v>219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43865</v>
      </c>
      <c r="G66" s="94" t="s">
        <v>783</v>
      </c>
      <c r="H66" s="94" t="s">
        <v>813</v>
      </c>
      <c r="I66" s="94" t="s">
        <v>896</v>
      </c>
      <c r="J66" s="94" t="s">
        <v>733</v>
      </c>
      <c r="K66" s="97">
        <v>45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43865</v>
      </c>
      <c r="G67" s="94" t="s">
        <v>784</v>
      </c>
      <c r="H67" s="94" t="s">
        <v>828</v>
      </c>
      <c r="I67" s="94" t="s">
        <v>897</v>
      </c>
      <c r="J67" s="94" t="s">
        <v>733</v>
      </c>
      <c r="K67" s="97">
        <v>102.75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43865</v>
      </c>
      <c r="G68" s="94" t="s">
        <v>785</v>
      </c>
      <c r="H68" s="94" t="s">
        <v>828</v>
      </c>
      <c r="I68" s="94" t="s">
        <v>898</v>
      </c>
      <c r="J68" s="94" t="s">
        <v>733</v>
      </c>
      <c r="K68" s="97">
        <v>102.75</v>
      </c>
    </row>
    <row r="69" spans="1:11" ht="14.6" x14ac:dyDescent="0.4">
      <c r="A69" s="94"/>
      <c r="B69" s="94"/>
      <c r="C69" s="94"/>
      <c r="D69" s="94"/>
      <c r="E69" s="94" t="s">
        <v>545</v>
      </c>
      <c r="F69" s="95">
        <v>43865</v>
      </c>
      <c r="G69" s="94" t="s">
        <v>786</v>
      </c>
      <c r="H69" s="94" t="s">
        <v>811</v>
      </c>
      <c r="I69" s="94" t="s">
        <v>899</v>
      </c>
      <c r="J69" s="94" t="s">
        <v>924</v>
      </c>
      <c r="K69" s="97">
        <v>50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43865</v>
      </c>
      <c r="G70" s="94" t="s">
        <v>787</v>
      </c>
      <c r="H70" s="94" t="s">
        <v>813</v>
      </c>
      <c r="I70" s="94" t="s">
        <v>900</v>
      </c>
      <c r="J70" s="94" t="s">
        <v>733</v>
      </c>
      <c r="K70" s="97">
        <v>45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43866</v>
      </c>
      <c r="G71" s="94" t="s">
        <v>788</v>
      </c>
      <c r="H71" s="94" t="s">
        <v>813</v>
      </c>
      <c r="I71" s="94" t="s">
        <v>901</v>
      </c>
      <c r="J71" s="94" t="s">
        <v>733</v>
      </c>
      <c r="K71" s="97">
        <v>45</v>
      </c>
    </row>
    <row r="72" spans="1:11" ht="14.6" x14ac:dyDescent="0.4">
      <c r="A72" s="94"/>
      <c r="B72" s="94"/>
      <c r="C72" s="94"/>
      <c r="D72" s="94"/>
      <c r="E72" s="94" t="s">
        <v>545</v>
      </c>
      <c r="F72" s="95">
        <v>43866</v>
      </c>
      <c r="G72" s="94" t="s">
        <v>990</v>
      </c>
      <c r="H72" s="94" t="s">
        <v>978</v>
      </c>
      <c r="I72" s="94" t="s">
        <v>991</v>
      </c>
      <c r="J72" s="94" t="s">
        <v>924</v>
      </c>
      <c r="K72" s="97">
        <v>200</v>
      </c>
    </row>
    <row r="73" spans="1:11" ht="14.6" x14ac:dyDescent="0.4">
      <c r="A73" s="94"/>
      <c r="B73" s="94"/>
      <c r="C73" s="94"/>
      <c r="D73" s="94"/>
      <c r="E73" s="94" t="s">
        <v>545</v>
      </c>
      <c r="F73" s="95">
        <v>43867</v>
      </c>
      <c r="G73" s="94" t="s">
        <v>789</v>
      </c>
      <c r="H73" s="94" t="s">
        <v>829</v>
      </c>
      <c r="I73" s="94" t="s">
        <v>902</v>
      </c>
      <c r="J73" s="94" t="s">
        <v>923</v>
      </c>
      <c r="K73" s="97">
        <v>25</v>
      </c>
    </row>
    <row r="74" spans="1:11" ht="14.6" x14ac:dyDescent="0.4">
      <c r="A74" s="94"/>
      <c r="B74" s="94"/>
      <c r="C74" s="94"/>
      <c r="D74" s="94"/>
      <c r="E74" s="94" t="s">
        <v>545</v>
      </c>
      <c r="F74" s="95">
        <v>43868</v>
      </c>
      <c r="G74" s="94" t="s">
        <v>790</v>
      </c>
      <c r="H74" s="94" t="s">
        <v>829</v>
      </c>
      <c r="I74" s="94" t="s">
        <v>902</v>
      </c>
      <c r="J74" s="94" t="s">
        <v>923</v>
      </c>
      <c r="K74" s="97">
        <v>29</v>
      </c>
    </row>
    <row r="75" spans="1:11" ht="14.6" x14ac:dyDescent="0.4">
      <c r="A75" s="94"/>
      <c r="B75" s="94"/>
      <c r="C75" s="94"/>
      <c r="D75" s="94"/>
      <c r="E75" s="94" t="s">
        <v>545</v>
      </c>
      <c r="F75" s="95">
        <v>43869</v>
      </c>
      <c r="G75" s="94" t="s">
        <v>791</v>
      </c>
      <c r="H75" s="94" t="s">
        <v>830</v>
      </c>
      <c r="I75" s="94" t="s">
        <v>903</v>
      </c>
      <c r="J75" s="94" t="s">
        <v>923</v>
      </c>
      <c r="K75" s="97">
        <v>12.01</v>
      </c>
    </row>
    <row r="76" spans="1:11" ht="14.6" x14ac:dyDescent="0.4">
      <c r="A76" s="94"/>
      <c r="B76" s="94"/>
      <c r="C76" s="94"/>
      <c r="D76" s="94"/>
      <c r="E76" s="94" t="s">
        <v>545</v>
      </c>
      <c r="F76" s="95">
        <v>43869</v>
      </c>
      <c r="G76" s="94" t="s">
        <v>792</v>
      </c>
      <c r="H76" s="94" t="s">
        <v>831</v>
      </c>
      <c r="I76" s="94" t="s">
        <v>904</v>
      </c>
      <c r="J76" s="94" t="s">
        <v>923</v>
      </c>
      <c r="K76" s="97">
        <v>16.739999999999998</v>
      </c>
    </row>
    <row r="77" spans="1:11" ht="14.6" x14ac:dyDescent="0.4">
      <c r="A77" s="94"/>
      <c r="B77" s="94"/>
      <c r="C77" s="94"/>
      <c r="D77" s="94"/>
      <c r="E77" s="94" t="s">
        <v>545</v>
      </c>
      <c r="F77" s="95">
        <v>43870</v>
      </c>
      <c r="G77" s="94" t="s">
        <v>793</v>
      </c>
      <c r="H77" s="94" t="s">
        <v>830</v>
      </c>
      <c r="I77" s="94" t="s">
        <v>905</v>
      </c>
      <c r="J77" s="94" t="s">
        <v>923</v>
      </c>
      <c r="K77" s="97">
        <v>32.04</v>
      </c>
    </row>
    <row r="78" spans="1:11" ht="14.6" x14ac:dyDescent="0.4">
      <c r="A78" s="94"/>
      <c r="B78" s="94"/>
      <c r="C78" s="94"/>
      <c r="D78" s="94"/>
      <c r="E78" s="94" t="s">
        <v>545</v>
      </c>
      <c r="F78" s="95">
        <v>43870</v>
      </c>
      <c r="G78" s="94" t="s">
        <v>794</v>
      </c>
      <c r="H78" s="94" t="s">
        <v>832</v>
      </c>
      <c r="I78" s="94" t="s">
        <v>906</v>
      </c>
      <c r="J78" s="94" t="s">
        <v>923</v>
      </c>
      <c r="K78" s="97">
        <v>24</v>
      </c>
    </row>
    <row r="79" spans="1:11" ht="14.6" x14ac:dyDescent="0.4">
      <c r="A79" s="94"/>
      <c r="B79" s="94"/>
      <c r="C79" s="94"/>
      <c r="D79" s="94"/>
      <c r="E79" s="94" t="s">
        <v>545</v>
      </c>
      <c r="F79" s="95">
        <v>43870</v>
      </c>
      <c r="G79" s="94" t="s">
        <v>795</v>
      </c>
      <c r="H79" s="94" t="s">
        <v>833</v>
      </c>
      <c r="I79" s="94" t="s">
        <v>907</v>
      </c>
      <c r="J79" s="94" t="s">
        <v>923</v>
      </c>
      <c r="K79" s="97">
        <v>20</v>
      </c>
    </row>
    <row r="80" spans="1:11" ht="14.6" x14ac:dyDescent="0.4">
      <c r="A80" s="94"/>
      <c r="B80" s="94"/>
      <c r="C80" s="94"/>
      <c r="D80" s="94"/>
      <c r="E80" s="94" t="s">
        <v>545</v>
      </c>
      <c r="F80" s="95">
        <v>43871</v>
      </c>
      <c r="G80" s="94" t="s">
        <v>796</v>
      </c>
      <c r="H80" s="94" t="s">
        <v>830</v>
      </c>
      <c r="I80" s="94" t="s">
        <v>908</v>
      </c>
      <c r="J80" s="94" t="s">
        <v>923</v>
      </c>
      <c r="K80" s="97">
        <v>45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43873</v>
      </c>
      <c r="G81" s="94" t="s">
        <v>797</v>
      </c>
      <c r="H81" s="94" t="s">
        <v>834</v>
      </c>
      <c r="I81" s="94" t="s">
        <v>909</v>
      </c>
      <c r="J81" s="94" t="s">
        <v>733</v>
      </c>
      <c r="K81" s="97">
        <v>14.04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43873</v>
      </c>
      <c r="G82" s="94" t="s">
        <v>798</v>
      </c>
      <c r="H82" s="94" t="s">
        <v>811</v>
      </c>
      <c r="I82" s="94" t="s">
        <v>910</v>
      </c>
      <c r="J82" s="94" t="s">
        <v>733</v>
      </c>
      <c r="K82" s="97">
        <v>350</v>
      </c>
    </row>
    <row r="83" spans="1:11" ht="14.6" x14ac:dyDescent="0.4">
      <c r="A83" s="94"/>
      <c r="B83" s="94"/>
      <c r="C83" s="94"/>
      <c r="D83" s="94"/>
      <c r="E83" s="94" t="s">
        <v>545</v>
      </c>
      <c r="F83" s="95">
        <v>43874</v>
      </c>
      <c r="G83" s="94" t="s">
        <v>799</v>
      </c>
      <c r="H83" s="94" t="s">
        <v>815</v>
      </c>
      <c r="I83" s="94" t="s">
        <v>911</v>
      </c>
      <c r="J83" s="94" t="s">
        <v>924</v>
      </c>
      <c r="K83" s="97">
        <v>45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43876</v>
      </c>
      <c r="G84" s="94" t="s">
        <v>800</v>
      </c>
      <c r="H84" s="94" t="s">
        <v>712</v>
      </c>
      <c r="I84" s="94" t="s">
        <v>912</v>
      </c>
      <c r="J84" s="94" t="s">
        <v>733</v>
      </c>
      <c r="K84" s="97">
        <v>499</v>
      </c>
    </row>
    <row r="85" spans="1:11" ht="14.6" x14ac:dyDescent="0.4">
      <c r="A85" s="94"/>
      <c r="B85" s="94"/>
      <c r="C85" s="94"/>
      <c r="D85" s="94"/>
      <c r="E85" s="94" t="s">
        <v>545</v>
      </c>
      <c r="F85" s="95">
        <v>43879</v>
      </c>
      <c r="G85" s="94" t="s">
        <v>801</v>
      </c>
      <c r="H85" s="94" t="s">
        <v>825</v>
      </c>
      <c r="I85" s="94" t="s">
        <v>913</v>
      </c>
      <c r="J85" s="94" t="s">
        <v>923</v>
      </c>
      <c r="K85" s="97">
        <v>486.96</v>
      </c>
    </row>
    <row r="86" spans="1:11" ht="14.6" x14ac:dyDescent="0.4">
      <c r="A86" s="94"/>
      <c r="B86" s="94"/>
      <c r="C86" s="94"/>
      <c r="D86" s="94"/>
      <c r="E86" s="94" t="s">
        <v>545</v>
      </c>
      <c r="F86" s="95">
        <v>43879</v>
      </c>
      <c r="G86" s="94" t="s">
        <v>802</v>
      </c>
      <c r="H86" s="94" t="s">
        <v>825</v>
      </c>
      <c r="I86" s="94" t="s">
        <v>914</v>
      </c>
      <c r="J86" s="94" t="s">
        <v>923</v>
      </c>
      <c r="K86" s="97">
        <v>486.96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43879</v>
      </c>
      <c r="G87" s="94" t="s">
        <v>803</v>
      </c>
      <c r="H87" s="94" t="s">
        <v>835</v>
      </c>
      <c r="I87" s="94" t="s">
        <v>915</v>
      </c>
      <c r="J87" s="94" t="s">
        <v>733</v>
      </c>
      <c r="K87" s="97">
        <v>500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43880</v>
      </c>
      <c r="G88" s="94" t="s">
        <v>804</v>
      </c>
      <c r="H88" s="94" t="s">
        <v>813</v>
      </c>
      <c r="I88" s="94" t="s">
        <v>916</v>
      </c>
      <c r="J88" s="94" t="s">
        <v>733</v>
      </c>
      <c r="K88" s="97">
        <v>45</v>
      </c>
    </row>
    <row r="89" spans="1:11" ht="14.6" x14ac:dyDescent="0.4">
      <c r="A89" s="94"/>
      <c r="B89" s="94"/>
      <c r="C89" s="94"/>
      <c r="D89" s="94"/>
      <c r="E89" s="94" t="s">
        <v>739</v>
      </c>
      <c r="F89" s="95">
        <v>43880</v>
      </c>
      <c r="G89" s="94" t="s">
        <v>805</v>
      </c>
      <c r="H89" s="94" t="s">
        <v>811</v>
      </c>
      <c r="I89" s="94" t="s">
        <v>917</v>
      </c>
      <c r="J89" s="94" t="s">
        <v>733</v>
      </c>
      <c r="K89" s="97">
        <v>-50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43880</v>
      </c>
      <c r="G90" s="94" t="s">
        <v>740</v>
      </c>
      <c r="H90" s="94" t="s">
        <v>836</v>
      </c>
      <c r="I90" s="94" t="s">
        <v>918</v>
      </c>
      <c r="J90" s="94" t="s">
        <v>733</v>
      </c>
      <c r="K90" s="97">
        <v>41.74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43881</v>
      </c>
      <c r="G91" s="94" t="s">
        <v>806</v>
      </c>
      <c r="H91" s="94" t="s">
        <v>815</v>
      </c>
      <c r="I91" s="94" t="s">
        <v>919</v>
      </c>
      <c r="J91" s="94" t="s">
        <v>733</v>
      </c>
      <c r="K91" s="97">
        <v>50</v>
      </c>
    </row>
    <row r="92" spans="1:11" ht="14.6" x14ac:dyDescent="0.4">
      <c r="A92" s="94"/>
      <c r="B92" s="94"/>
      <c r="C92" s="94"/>
      <c r="D92" s="94"/>
      <c r="E92" s="94" t="s">
        <v>545</v>
      </c>
      <c r="F92" s="95">
        <v>43884</v>
      </c>
      <c r="G92" s="94" t="s">
        <v>1315</v>
      </c>
      <c r="H92" s="94" t="s">
        <v>1340</v>
      </c>
      <c r="I92" s="94" t="s">
        <v>1347</v>
      </c>
      <c r="J92" s="94" t="s">
        <v>923</v>
      </c>
      <c r="K92" s="97">
        <v>51</v>
      </c>
    </row>
    <row r="93" spans="1:11" ht="14.6" x14ac:dyDescent="0.4">
      <c r="A93" s="94"/>
      <c r="B93" s="94"/>
      <c r="C93" s="94"/>
      <c r="D93" s="94"/>
      <c r="E93" s="94" t="s">
        <v>545</v>
      </c>
      <c r="F93" s="95">
        <v>43887</v>
      </c>
      <c r="G93" s="94" t="s">
        <v>1316</v>
      </c>
      <c r="H93" s="94" t="s">
        <v>1341</v>
      </c>
      <c r="I93" s="94" t="s">
        <v>1348</v>
      </c>
      <c r="J93" s="94" t="s">
        <v>923</v>
      </c>
      <c r="K93" s="97">
        <v>86.76</v>
      </c>
    </row>
    <row r="94" spans="1:11" ht="14.6" x14ac:dyDescent="0.4">
      <c r="A94" s="94"/>
      <c r="B94" s="94"/>
      <c r="C94" s="94"/>
      <c r="D94" s="94"/>
      <c r="E94" s="94" t="s">
        <v>545</v>
      </c>
      <c r="F94" s="95">
        <v>43887</v>
      </c>
      <c r="G94" s="94" t="s">
        <v>1317</v>
      </c>
      <c r="H94" s="94" t="s">
        <v>1342</v>
      </c>
      <c r="I94" s="94" t="s">
        <v>1349</v>
      </c>
      <c r="J94" s="94" t="s">
        <v>923</v>
      </c>
      <c r="K94" s="97">
        <v>788.68</v>
      </c>
    </row>
    <row r="95" spans="1:11" ht="14.6" x14ac:dyDescent="0.4">
      <c r="A95" s="94"/>
      <c r="B95" s="94"/>
      <c r="C95" s="94"/>
      <c r="D95" s="94"/>
      <c r="E95" s="94" t="s">
        <v>545</v>
      </c>
      <c r="F95" s="95">
        <v>43887</v>
      </c>
      <c r="G95" s="94" t="s">
        <v>1318</v>
      </c>
      <c r="H95" s="94" t="s">
        <v>1342</v>
      </c>
      <c r="I95" s="94" t="s">
        <v>1350</v>
      </c>
      <c r="J95" s="94" t="s">
        <v>923</v>
      </c>
      <c r="K95" s="97">
        <v>785.43</v>
      </c>
    </row>
    <row r="96" spans="1:11" ht="14.6" x14ac:dyDescent="0.4">
      <c r="A96" s="94"/>
      <c r="B96" s="94"/>
      <c r="C96" s="94"/>
      <c r="D96" s="94"/>
      <c r="E96" s="94" t="s">
        <v>545</v>
      </c>
      <c r="F96" s="95">
        <v>43887</v>
      </c>
      <c r="G96" s="94" t="s">
        <v>1319</v>
      </c>
      <c r="H96" s="94" t="s">
        <v>1342</v>
      </c>
      <c r="I96" s="94" t="s">
        <v>1351</v>
      </c>
      <c r="J96" s="94" t="s">
        <v>923</v>
      </c>
      <c r="K96" s="97">
        <v>785.43</v>
      </c>
    </row>
    <row r="97" spans="1:11" ht="14.6" x14ac:dyDescent="0.4">
      <c r="A97" s="94"/>
      <c r="B97" s="94"/>
      <c r="C97" s="94"/>
      <c r="D97" s="94"/>
      <c r="E97" s="94" t="s">
        <v>545</v>
      </c>
      <c r="F97" s="95">
        <v>43887</v>
      </c>
      <c r="G97" s="94" t="s">
        <v>1320</v>
      </c>
      <c r="H97" s="94" t="s">
        <v>1342</v>
      </c>
      <c r="I97" s="94" t="s">
        <v>1381</v>
      </c>
      <c r="J97" s="94" t="s">
        <v>923</v>
      </c>
      <c r="K97" s="97">
        <v>856.89</v>
      </c>
    </row>
    <row r="98" spans="1:11" ht="14.6" x14ac:dyDescent="0.4">
      <c r="A98" s="94"/>
      <c r="B98" s="94"/>
      <c r="C98" s="94"/>
      <c r="D98" s="94"/>
      <c r="E98" s="94" t="s">
        <v>545</v>
      </c>
      <c r="F98" s="95">
        <v>43887</v>
      </c>
      <c r="G98" s="94" t="s">
        <v>805</v>
      </c>
      <c r="H98" s="94" t="s">
        <v>1342</v>
      </c>
      <c r="I98" s="94" t="s">
        <v>1352</v>
      </c>
      <c r="J98" s="94" t="s">
        <v>923</v>
      </c>
      <c r="K98" s="97">
        <v>817.91</v>
      </c>
    </row>
    <row r="99" spans="1:11" ht="14.6" x14ac:dyDescent="0.4">
      <c r="A99" s="94"/>
      <c r="B99" s="94"/>
      <c r="C99" s="94"/>
      <c r="D99" s="94"/>
      <c r="E99" s="94" t="s">
        <v>545</v>
      </c>
      <c r="F99" s="95">
        <v>43887</v>
      </c>
      <c r="G99" s="94" t="s">
        <v>1321</v>
      </c>
      <c r="H99" s="94" t="s">
        <v>1342</v>
      </c>
      <c r="I99" s="94" t="s">
        <v>1353</v>
      </c>
      <c r="J99" s="94" t="s">
        <v>923</v>
      </c>
      <c r="K99" s="97">
        <v>860.14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43888</v>
      </c>
      <c r="G100" s="94" t="s">
        <v>807</v>
      </c>
      <c r="H100" s="94" t="s">
        <v>837</v>
      </c>
      <c r="I100" s="94" t="s">
        <v>920</v>
      </c>
      <c r="J100" s="94" t="s">
        <v>733</v>
      </c>
      <c r="K100" s="97">
        <v>395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43888</v>
      </c>
      <c r="G101" s="94" t="s">
        <v>807</v>
      </c>
      <c r="H101" s="94" t="s">
        <v>837</v>
      </c>
      <c r="I101" s="94" t="s">
        <v>921</v>
      </c>
      <c r="J101" s="94" t="s">
        <v>733</v>
      </c>
      <c r="K101" s="97">
        <v>395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43888</v>
      </c>
      <c r="G102" s="94" t="s">
        <v>808</v>
      </c>
      <c r="H102" s="94" t="s">
        <v>838</v>
      </c>
      <c r="I102" s="94" t="s">
        <v>922</v>
      </c>
      <c r="J102" s="94" t="s">
        <v>733</v>
      </c>
      <c r="K102" s="97">
        <v>209.3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43888</v>
      </c>
      <c r="G103" s="94" t="s">
        <v>740</v>
      </c>
      <c r="H103" s="94" t="s">
        <v>839</v>
      </c>
      <c r="I103" s="94" t="s">
        <v>922</v>
      </c>
      <c r="J103" s="94" t="s">
        <v>733</v>
      </c>
      <c r="K103" s="97">
        <v>362.75</v>
      </c>
    </row>
    <row r="104" spans="1:11" ht="14.6" x14ac:dyDescent="0.4">
      <c r="A104" s="94"/>
      <c r="B104" s="94"/>
      <c r="C104" s="94"/>
      <c r="D104" s="94"/>
      <c r="E104" s="94" t="s">
        <v>545</v>
      </c>
      <c r="F104" s="95">
        <v>43888</v>
      </c>
      <c r="G104" s="94" t="s">
        <v>1322</v>
      </c>
      <c r="H104" s="94" t="s">
        <v>1342</v>
      </c>
      <c r="I104" s="94" t="s">
        <v>1354</v>
      </c>
      <c r="J104" s="94" t="s">
        <v>923</v>
      </c>
      <c r="K104" s="97">
        <v>97.44</v>
      </c>
    </row>
    <row r="105" spans="1:11" ht="14.6" x14ac:dyDescent="0.4">
      <c r="A105" s="94"/>
      <c r="B105" s="94"/>
      <c r="C105" s="94"/>
      <c r="D105" s="94"/>
      <c r="E105" s="94" t="s">
        <v>545</v>
      </c>
      <c r="F105" s="95">
        <v>43889</v>
      </c>
      <c r="G105" s="94" t="s">
        <v>1323</v>
      </c>
      <c r="H105" s="94" t="s">
        <v>1343</v>
      </c>
      <c r="I105" s="94" t="s">
        <v>1355</v>
      </c>
      <c r="J105" s="94" t="s">
        <v>924</v>
      </c>
      <c r="K105" s="97">
        <v>179.99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43892</v>
      </c>
      <c r="G106" s="94" t="s">
        <v>740</v>
      </c>
      <c r="H106" s="94" t="s">
        <v>840</v>
      </c>
      <c r="I106" s="94" t="s">
        <v>922</v>
      </c>
      <c r="J106" s="94" t="s">
        <v>733</v>
      </c>
      <c r="K106" s="97">
        <v>263.73</v>
      </c>
    </row>
    <row r="107" spans="1:11" ht="14.6" x14ac:dyDescent="0.4">
      <c r="A107" s="94"/>
      <c r="B107" s="94"/>
      <c r="C107" s="94"/>
      <c r="D107" s="94"/>
      <c r="E107" s="94" t="s">
        <v>545</v>
      </c>
      <c r="F107" s="95">
        <v>43892</v>
      </c>
      <c r="G107" s="94" t="s">
        <v>1324</v>
      </c>
      <c r="H107" s="94" t="s">
        <v>830</v>
      </c>
      <c r="I107" s="94" t="s">
        <v>1356</v>
      </c>
      <c r="J107" s="94" t="s">
        <v>923</v>
      </c>
      <c r="K107" s="97">
        <v>13.7</v>
      </c>
    </row>
    <row r="108" spans="1:11" ht="14.6" x14ac:dyDescent="0.4">
      <c r="A108" s="94"/>
      <c r="B108" s="94"/>
      <c r="C108" s="94"/>
      <c r="D108" s="94"/>
      <c r="E108" s="94" t="s">
        <v>545</v>
      </c>
      <c r="F108" s="95">
        <v>43893</v>
      </c>
      <c r="G108" s="94" t="s">
        <v>1325</v>
      </c>
      <c r="H108" s="94" t="s">
        <v>1344</v>
      </c>
      <c r="I108" s="94" t="s">
        <v>1357</v>
      </c>
      <c r="J108" s="94" t="s">
        <v>924</v>
      </c>
      <c r="K108" s="97">
        <v>100</v>
      </c>
    </row>
    <row r="109" spans="1:11" ht="14.6" x14ac:dyDescent="0.4">
      <c r="A109" s="94"/>
      <c r="B109" s="94"/>
      <c r="C109" s="94"/>
      <c r="D109" s="94"/>
      <c r="E109" s="94" t="s">
        <v>545</v>
      </c>
      <c r="F109" s="95">
        <v>43894</v>
      </c>
      <c r="G109" s="94" t="s">
        <v>1326</v>
      </c>
      <c r="H109" s="94" t="s">
        <v>815</v>
      </c>
      <c r="I109" s="94" t="s">
        <v>1358</v>
      </c>
      <c r="J109" s="94" t="s">
        <v>924</v>
      </c>
      <c r="K109" s="97">
        <v>499</v>
      </c>
    </row>
    <row r="110" spans="1:11" ht="14.6" x14ac:dyDescent="0.4">
      <c r="A110" s="94"/>
      <c r="B110" s="94"/>
      <c r="C110" s="94"/>
      <c r="D110" s="94"/>
      <c r="E110" s="94" t="s">
        <v>545</v>
      </c>
      <c r="F110" s="95">
        <v>43894</v>
      </c>
      <c r="G110" s="94" t="s">
        <v>1327</v>
      </c>
      <c r="H110" s="94" t="s">
        <v>1345</v>
      </c>
      <c r="I110" s="94" t="s">
        <v>1359</v>
      </c>
      <c r="J110" s="94" t="s">
        <v>923</v>
      </c>
      <c r="K110" s="97">
        <v>241.92</v>
      </c>
    </row>
    <row r="111" spans="1:11" ht="14.6" x14ac:dyDescent="0.4">
      <c r="A111" s="94"/>
      <c r="B111" s="94"/>
      <c r="C111" s="94"/>
      <c r="D111" s="94"/>
      <c r="E111" s="94" t="s">
        <v>545</v>
      </c>
      <c r="F111" s="95">
        <v>43894</v>
      </c>
      <c r="G111" s="94" t="s">
        <v>1328</v>
      </c>
      <c r="H111" s="94" t="s">
        <v>1345</v>
      </c>
      <c r="I111" s="94" t="s">
        <v>1360</v>
      </c>
      <c r="J111" s="94" t="s">
        <v>923</v>
      </c>
      <c r="K111" s="97">
        <v>241.92</v>
      </c>
    </row>
    <row r="112" spans="1:11" ht="14.6" x14ac:dyDescent="0.4">
      <c r="A112" s="94"/>
      <c r="B112" s="94"/>
      <c r="C112" s="94"/>
      <c r="D112" s="94"/>
      <c r="E112" s="94" t="s">
        <v>545</v>
      </c>
      <c r="F112" s="95">
        <v>43894</v>
      </c>
      <c r="G112" s="94" t="s">
        <v>1329</v>
      </c>
      <c r="H112" s="94" t="s">
        <v>1345</v>
      </c>
      <c r="I112" s="94" t="s">
        <v>1361</v>
      </c>
      <c r="J112" s="94" t="s">
        <v>923</v>
      </c>
      <c r="K112" s="97">
        <v>241.92</v>
      </c>
    </row>
    <row r="113" spans="1:11" ht="14.6" x14ac:dyDescent="0.4">
      <c r="A113" s="94"/>
      <c r="B113" s="94"/>
      <c r="C113" s="94"/>
      <c r="D113" s="94"/>
      <c r="E113" s="94" t="s">
        <v>545</v>
      </c>
      <c r="F113" s="95">
        <v>43894</v>
      </c>
      <c r="G113" s="94" t="s">
        <v>1330</v>
      </c>
      <c r="H113" s="94" t="s">
        <v>1345</v>
      </c>
      <c r="I113" s="94" t="s">
        <v>1362</v>
      </c>
      <c r="J113" s="94" t="s">
        <v>923</v>
      </c>
      <c r="K113" s="97">
        <v>241.92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43899</v>
      </c>
      <c r="G114" s="94" t="s">
        <v>1331</v>
      </c>
      <c r="H114" s="94" t="s">
        <v>811</v>
      </c>
      <c r="I114" s="94" t="s">
        <v>1363</v>
      </c>
      <c r="J114" s="94" t="s">
        <v>733</v>
      </c>
      <c r="K114" s="97">
        <v>410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43899</v>
      </c>
      <c r="G115" s="94" t="s">
        <v>1332</v>
      </c>
      <c r="H115" s="94" t="s">
        <v>824</v>
      </c>
      <c r="I115" s="94" t="s">
        <v>1364</v>
      </c>
      <c r="J115" s="94" t="s">
        <v>733</v>
      </c>
      <c r="K115" s="97">
        <v>330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43899</v>
      </c>
      <c r="G116" s="94" t="s">
        <v>1332</v>
      </c>
      <c r="H116" s="94" t="s">
        <v>824</v>
      </c>
      <c r="I116" s="94" t="s">
        <v>1365</v>
      </c>
      <c r="J116" s="94" t="s">
        <v>733</v>
      </c>
      <c r="K116" s="97">
        <v>330</v>
      </c>
    </row>
    <row r="117" spans="1:11" ht="14.6" x14ac:dyDescent="0.4">
      <c r="A117" s="94"/>
      <c r="B117" s="94"/>
      <c r="C117" s="94"/>
      <c r="D117" s="94"/>
      <c r="E117" s="94" t="s">
        <v>544</v>
      </c>
      <c r="F117" s="95">
        <v>43899</v>
      </c>
      <c r="G117" s="94" t="s">
        <v>1333</v>
      </c>
      <c r="H117" s="94" t="s">
        <v>811</v>
      </c>
      <c r="I117" s="94" t="s">
        <v>1366</v>
      </c>
      <c r="J117" s="94" t="s">
        <v>733</v>
      </c>
      <c r="K117" s="97">
        <v>310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43899</v>
      </c>
      <c r="G118" s="94" t="s">
        <v>1332</v>
      </c>
      <c r="H118" s="94" t="s">
        <v>811</v>
      </c>
      <c r="I118" s="94" t="s">
        <v>1367</v>
      </c>
      <c r="J118" s="94" t="s">
        <v>733</v>
      </c>
      <c r="K118" s="97">
        <v>310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43899</v>
      </c>
      <c r="G119" s="94" t="s">
        <v>1332</v>
      </c>
      <c r="H119" s="94" t="s">
        <v>811</v>
      </c>
      <c r="I119" s="94" t="s">
        <v>1368</v>
      </c>
      <c r="J119" s="94" t="s">
        <v>733</v>
      </c>
      <c r="K119" s="97">
        <v>235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43899</v>
      </c>
      <c r="G120" s="94" t="s">
        <v>781</v>
      </c>
      <c r="H120" s="94" t="s">
        <v>1346</v>
      </c>
      <c r="I120" s="94" t="s">
        <v>1369</v>
      </c>
      <c r="J120" s="94" t="s">
        <v>733</v>
      </c>
      <c r="K120" s="97">
        <v>100</v>
      </c>
    </row>
    <row r="121" spans="1:11" ht="14.6" x14ac:dyDescent="0.4">
      <c r="A121" s="94"/>
      <c r="B121" s="94"/>
      <c r="C121" s="94"/>
      <c r="D121" s="94"/>
      <c r="E121" s="94" t="s">
        <v>545</v>
      </c>
      <c r="F121" s="95">
        <v>43899</v>
      </c>
      <c r="G121" s="94" t="s">
        <v>1334</v>
      </c>
      <c r="H121" s="94" t="s">
        <v>811</v>
      </c>
      <c r="I121" s="94" t="s">
        <v>1370</v>
      </c>
      <c r="J121" s="94" t="s">
        <v>924</v>
      </c>
      <c r="K121" s="97">
        <v>50</v>
      </c>
    </row>
    <row r="122" spans="1:11" ht="14.6" x14ac:dyDescent="0.4">
      <c r="A122" s="94"/>
      <c r="B122" s="94"/>
      <c r="C122" s="94"/>
      <c r="D122" s="94"/>
      <c r="E122" s="94" t="s">
        <v>545</v>
      </c>
      <c r="F122" s="95">
        <v>43899</v>
      </c>
      <c r="G122" s="94" t="s">
        <v>1335</v>
      </c>
      <c r="H122" s="94" t="s">
        <v>811</v>
      </c>
      <c r="I122" s="94" t="s">
        <v>1371</v>
      </c>
      <c r="J122" s="94" t="s">
        <v>924</v>
      </c>
      <c r="K122" s="97">
        <v>50</v>
      </c>
    </row>
    <row r="123" spans="1:11" ht="14.6" x14ac:dyDescent="0.4">
      <c r="A123" s="94"/>
      <c r="B123" s="94"/>
      <c r="C123" s="94"/>
      <c r="D123" s="94"/>
      <c r="E123" s="94" t="s">
        <v>544</v>
      </c>
      <c r="F123" s="95">
        <v>43900</v>
      </c>
      <c r="G123" s="94" t="s">
        <v>798</v>
      </c>
      <c r="H123" s="94" t="s">
        <v>838</v>
      </c>
      <c r="I123" s="94" t="s">
        <v>1372</v>
      </c>
      <c r="J123" s="94" t="s">
        <v>733</v>
      </c>
      <c r="K123" s="97">
        <v>152.97</v>
      </c>
    </row>
    <row r="124" spans="1:11" ht="14.6" x14ac:dyDescent="0.4">
      <c r="A124" s="94"/>
      <c r="B124" s="94"/>
      <c r="C124" s="94"/>
      <c r="D124" s="94"/>
      <c r="E124" s="94" t="s">
        <v>1314</v>
      </c>
      <c r="F124" s="95">
        <v>43901</v>
      </c>
      <c r="G124" s="94" t="s">
        <v>1336</v>
      </c>
      <c r="H124" s="94" t="s">
        <v>811</v>
      </c>
      <c r="I124" s="94" t="s">
        <v>1380</v>
      </c>
      <c r="J124" s="94" t="s">
        <v>1379</v>
      </c>
      <c r="K124" s="97">
        <v>-325</v>
      </c>
    </row>
    <row r="125" spans="1:11" ht="14.6" x14ac:dyDescent="0.4">
      <c r="A125" s="94"/>
      <c r="B125" s="94"/>
      <c r="C125" s="94"/>
      <c r="D125" s="94"/>
      <c r="E125" s="94" t="s">
        <v>544</v>
      </c>
      <c r="F125" s="95">
        <v>43907</v>
      </c>
      <c r="G125" s="94" t="s">
        <v>1337</v>
      </c>
      <c r="H125" s="94" t="s">
        <v>837</v>
      </c>
      <c r="I125" s="94" t="s">
        <v>1373</v>
      </c>
      <c r="J125" s="94" t="s">
        <v>733</v>
      </c>
      <c r="K125" s="97">
        <v>645</v>
      </c>
    </row>
    <row r="126" spans="1:11" ht="14.6" x14ac:dyDescent="0.4">
      <c r="A126" s="94"/>
      <c r="B126" s="94"/>
      <c r="C126" s="94"/>
      <c r="D126" s="94"/>
      <c r="E126" s="94" t="s">
        <v>544</v>
      </c>
      <c r="F126" s="95">
        <v>43907</v>
      </c>
      <c r="G126" s="94" t="s">
        <v>1337</v>
      </c>
      <c r="H126" s="94" t="s">
        <v>837</v>
      </c>
      <c r="I126" s="94" t="s">
        <v>1374</v>
      </c>
      <c r="J126" s="94" t="s">
        <v>733</v>
      </c>
      <c r="K126" s="97">
        <v>645</v>
      </c>
    </row>
    <row r="127" spans="1:11" ht="14.6" x14ac:dyDescent="0.4">
      <c r="A127" s="94"/>
      <c r="B127" s="94"/>
      <c r="C127" s="94"/>
      <c r="D127" s="94"/>
      <c r="E127" s="94" t="s">
        <v>544</v>
      </c>
      <c r="F127" s="95">
        <v>43907</v>
      </c>
      <c r="G127" s="94" t="s">
        <v>1337</v>
      </c>
      <c r="H127" s="94" t="s">
        <v>837</v>
      </c>
      <c r="I127" s="94" t="s">
        <v>1375</v>
      </c>
      <c r="J127" s="94" t="s">
        <v>733</v>
      </c>
      <c r="K127" s="97">
        <v>645</v>
      </c>
    </row>
    <row r="128" spans="1:11" ht="14.6" x14ac:dyDescent="0.4">
      <c r="A128" s="94"/>
      <c r="B128" s="94"/>
      <c r="C128" s="94"/>
      <c r="D128" s="94"/>
      <c r="E128" s="94" t="s">
        <v>544</v>
      </c>
      <c r="F128" s="95">
        <v>43907</v>
      </c>
      <c r="G128" s="94" t="s">
        <v>1337</v>
      </c>
      <c r="H128" s="94" t="s">
        <v>837</v>
      </c>
      <c r="I128" s="94" t="s">
        <v>1376</v>
      </c>
      <c r="J128" s="94" t="s">
        <v>733</v>
      </c>
      <c r="K128" s="97">
        <v>845</v>
      </c>
    </row>
    <row r="129" spans="1:11" ht="14.6" x14ac:dyDescent="0.4">
      <c r="A129" s="94"/>
      <c r="B129" s="94"/>
      <c r="C129" s="94"/>
      <c r="D129" s="94"/>
      <c r="E129" s="94" t="s">
        <v>738</v>
      </c>
      <c r="F129" s="95">
        <v>43907</v>
      </c>
      <c r="G129" s="94" t="s">
        <v>1338</v>
      </c>
      <c r="H129" s="94" t="s">
        <v>978</v>
      </c>
      <c r="I129" s="94" t="s">
        <v>1377</v>
      </c>
      <c r="J129" s="94" t="s">
        <v>924</v>
      </c>
      <c r="K129" s="97">
        <v>-200</v>
      </c>
    </row>
    <row r="130" spans="1:11" ht="14.6" x14ac:dyDescent="0.4">
      <c r="A130" s="94"/>
      <c r="B130" s="94"/>
      <c r="C130" s="94"/>
      <c r="D130" s="94"/>
      <c r="E130" s="94" t="s">
        <v>738</v>
      </c>
      <c r="F130" s="95">
        <v>43909</v>
      </c>
      <c r="G130" s="94" t="s">
        <v>1607</v>
      </c>
      <c r="H130" s="94" t="s">
        <v>1613</v>
      </c>
      <c r="I130" s="94" t="s">
        <v>1615</v>
      </c>
      <c r="J130" s="94" t="s">
        <v>923</v>
      </c>
      <c r="K130" s="97">
        <v>-230.98</v>
      </c>
    </row>
    <row r="131" spans="1:11" ht="14.6" x14ac:dyDescent="0.4">
      <c r="A131" s="94"/>
      <c r="B131" s="94"/>
      <c r="C131" s="94"/>
      <c r="D131" s="94"/>
      <c r="E131" s="94" t="s">
        <v>738</v>
      </c>
      <c r="F131" s="95">
        <v>43909</v>
      </c>
      <c r="G131" s="94" t="s">
        <v>1607</v>
      </c>
      <c r="H131" s="94" t="s">
        <v>1613</v>
      </c>
      <c r="I131" s="94" t="s">
        <v>1615</v>
      </c>
      <c r="J131" s="94" t="s">
        <v>923</v>
      </c>
      <c r="K131" s="97">
        <v>-230.98</v>
      </c>
    </row>
    <row r="132" spans="1:11" ht="14.6" x14ac:dyDescent="0.4">
      <c r="A132" s="94"/>
      <c r="B132" s="94"/>
      <c r="C132" s="94"/>
      <c r="D132" s="94"/>
      <c r="E132" s="94" t="s">
        <v>738</v>
      </c>
      <c r="F132" s="95">
        <v>43909</v>
      </c>
      <c r="G132" s="94" t="s">
        <v>1607</v>
      </c>
      <c r="H132" s="94" t="s">
        <v>1613</v>
      </c>
      <c r="I132" s="94" t="s">
        <v>1615</v>
      </c>
      <c r="J132" s="94" t="s">
        <v>923</v>
      </c>
      <c r="K132" s="97">
        <v>-230.98</v>
      </c>
    </row>
    <row r="133" spans="1:11" ht="14.6" x14ac:dyDescent="0.4">
      <c r="A133" s="94"/>
      <c r="B133" s="94"/>
      <c r="C133" s="94"/>
      <c r="D133" s="94"/>
      <c r="E133" s="94" t="s">
        <v>544</v>
      </c>
      <c r="F133" s="95">
        <v>43914</v>
      </c>
      <c r="G133" s="94" t="s">
        <v>1339</v>
      </c>
      <c r="H133" s="94" t="s">
        <v>813</v>
      </c>
      <c r="I133" s="94" t="s">
        <v>1378</v>
      </c>
      <c r="J133" s="94" t="s">
        <v>733</v>
      </c>
      <c r="K133" s="97">
        <v>45</v>
      </c>
    </row>
    <row r="134" spans="1:11" ht="14.6" x14ac:dyDescent="0.4">
      <c r="A134" s="94"/>
      <c r="B134" s="94"/>
      <c r="C134" s="94"/>
      <c r="D134" s="94"/>
      <c r="E134" s="94" t="s">
        <v>545</v>
      </c>
      <c r="F134" s="95">
        <v>43941</v>
      </c>
      <c r="G134" s="94" t="s">
        <v>1608</v>
      </c>
      <c r="H134" s="94" t="s">
        <v>1614</v>
      </c>
      <c r="I134" s="94" t="s">
        <v>1616</v>
      </c>
      <c r="J134" s="94" t="s">
        <v>924</v>
      </c>
      <c r="K134" s="97">
        <v>384</v>
      </c>
    </row>
    <row r="135" spans="1:11" ht="14.6" x14ac:dyDescent="0.4">
      <c r="A135" s="94"/>
      <c r="B135" s="94"/>
      <c r="C135" s="94"/>
      <c r="D135" s="94"/>
      <c r="E135" s="94" t="s">
        <v>1314</v>
      </c>
      <c r="F135" s="95">
        <v>43955</v>
      </c>
      <c r="G135" s="94" t="s">
        <v>1609</v>
      </c>
      <c r="H135" s="94" t="s">
        <v>817</v>
      </c>
      <c r="I135" s="94" t="s">
        <v>1625</v>
      </c>
      <c r="J135" s="94" t="s">
        <v>1379</v>
      </c>
      <c r="K135" s="97">
        <v>-2925</v>
      </c>
    </row>
    <row r="136" spans="1:11" ht="14.6" x14ac:dyDescent="0.4">
      <c r="A136" s="94"/>
      <c r="B136" s="94"/>
      <c r="C136" s="94"/>
      <c r="D136" s="94"/>
      <c r="E136" s="94" t="s">
        <v>1314</v>
      </c>
      <c r="F136" s="95">
        <v>43955</v>
      </c>
      <c r="G136" s="94" t="s">
        <v>1610</v>
      </c>
      <c r="H136" s="94" t="s">
        <v>809</v>
      </c>
      <c r="I136" s="94" t="s">
        <v>1626</v>
      </c>
      <c r="J136" s="94" t="s">
        <v>1379</v>
      </c>
      <c r="K136" s="97">
        <v>-1725</v>
      </c>
    </row>
    <row r="137" spans="1:11" ht="14.6" x14ac:dyDescent="0.4">
      <c r="A137" s="94"/>
      <c r="B137" s="94"/>
      <c r="C137" s="94"/>
      <c r="D137" s="94"/>
      <c r="E137" s="94" t="s">
        <v>544</v>
      </c>
      <c r="F137" s="95">
        <v>43971</v>
      </c>
      <c r="G137" s="94" t="s">
        <v>1611</v>
      </c>
      <c r="H137" s="94" t="s">
        <v>811</v>
      </c>
      <c r="I137" s="94" t="s">
        <v>1617</v>
      </c>
      <c r="J137" s="94" t="s">
        <v>733</v>
      </c>
      <c r="K137" s="97">
        <v>175</v>
      </c>
    </row>
    <row r="138" spans="1:11" ht="14.6" x14ac:dyDescent="0.4">
      <c r="A138" s="94"/>
      <c r="B138" s="94"/>
      <c r="C138" s="94"/>
      <c r="D138" s="94"/>
      <c r="E138" s="94" t="s">
        <v>544</v>
      </c>
      <c r="F138" s="95">
        <v>43972</v>
      </c>
      <c r="G138" s="94" t="s">
        <v>1612</v>
      </c>
      <c r="H138" s="94" t="s">
        <v>811</v>
      </c>
      <c r="I138" s="94" t="s">
        <v>1618</v>
      </c>
      <c r="J138" s="94" t="s">
        <v>733</v>
      </c>
      <c r="K138" s="97">
        <v>410</v>
      </c>
    </row>
    <row r="139" spans="1:11" ht="14.6" x14ac:dyDescent="0.4">
      <c r="A139" s="94"/>
      <c r="B139" s="94"/>
      <c r="C139" s="94"/>
      <c r="D139" s="94"/>
      <c r="E139" s="94" t="s">
        <v>544</v>
      </c>
      <c r="F139" s="95">
        <v>43972</v>
      </c>
      <c r="G139" s="94" t="s">
        <v>1612</v>
      </c>
      <c r="H139" s="94" t="s">
        <v>811</v>
      </c>
      <c r="I139" s="94" t="s">
        <v>1619</v>
      </c>
      <c r="J139" s="94" t="s">
        <v>733</v>
      </c>
      <c r="K139" s="97">
        <v>410</v>
      </c>
    </row>
    <row r="140" spans="1:11" ht="14.6" x14ac:dyDescent="0.4">
      <c r="A140" s="94"/>
      <c r="B140" s="94"/>
      <c r="C140" s="94"/>
      <c r="D140" s="94"/>
      <c r="E140" s="94" t="s">
        <v>544</v>
      </c>
      <c r="F140" s="95">
        <v>43972</v>
      </c>
      <c r="G140" s="94" t="s">
        <v>1612</v>
      </c>
      <c r="H140" s="94" t="s">
        <v>811</v>
      </c>
      <c r="I140" s="94" t="s">
        <v>1620</v>
      </c>
      <c r="J140" s="94" t="s">
        <v>733</v>
      </c>
      <c r="K140" s="97">
        <v>310</v>
      </c>
    </row>
    <row r="141" spans="1:11" ht="14.6" x14ac:dyDescent="0.4">
      <c r="A141" s="94"/>
      <c r="B141" s="94"/>
      <c r="C141" s="94"/>
      <c r="D141" s="94"/>
      <c r="E141" s="94" t="s">
        <v>544</v>
      </c>
      <c r="F141" s="95">
        <v>43972</v>
      </c>
      <c r="G141" s="94" t="s">
        <v>1612</v>
      </c>
      <c r="H141" s="94" t="s">
        <v>811</v>
      </c>
      <c r="I141" s="94" t="s">
        <v>1621</v>
      </c>
      <c r="J141" s="94" t="s">
        <v>733</v>
      </c>
      <c r="K141" s="97">
        <v>310</v>
      </c>
    </row>
    <row r="142" spans="1:11" ht="14.6" x14ac:dyDescent="0.4">
      <c r="A142" s="94"/>
      <c r="B142" s="94"/>
      <c r="C142" s="94"/>
      <c r="D142" s="94"/>
      <c r="E142" s="94" t="s">
        <v>545</v>
      </c>
      <c r="F142" s="95">
        <v>43972</v>
      </c>
      <c r="G142" s="94" t="s">
        <v>1807</v>
      </c>
      <c r="H142" s="94" t="s">
        <v>824</v>
      </c>
      <c r="I142" s="94" t="s">
        <v>1816</v>
      </c>
      <c r="J142" s="94" t="s">
        <v>923</v>
      </c>
      <c r="K142" s="97">
        <v>285</v>
      </c>
    </row>
    <row r="143" spans="1:11" ht="14.6" x14ac:dyDescent="0.4">
      <c r="A143" s="94"/>
      <c r="B143" s="94"/>
      <c r="C143" s="94"/>
      <c r="D143" s="94"/>
      <c r="E143" s="94" t="s">
        <v>545</v>
      </c>
      <c r="F143" s="95">
        <v>43972</v>
      </c>
      <c r="G143" s="94" t="s">
        <v>1807</v>
      </c>
      <c r="H143" s="94" t="s">
        <v>824</v>
      </c>
      <c r="I143" s="94" t="s">
        <v>1817</v>
      </c>
      <c r="J143" s="94" t="s">
        <v>923</v>
      </c>
      <c r="K143" s="97">
        <v>285</v>
      </c>
    </row>
    <row r="144" spans="1:11" ht="14.6" x14ac:dyDescent="0.4">
      <c r="A144" s="94"/>
      <c r="B144" s="94"/>
      <c r="C144" s="94"/>
      <c r="D144" s="94"/>
      <c r="E144" s="94" t="s">
        <v>545</v>
      </c>
      <c r="F144" s="95">
        <v>43972</v>
      </c>
      <c r="G144" s="94" t="s">
        <v>1808</v>
      </c>
      <c r="H144" s="94" t="s">
        <v>825</v>
      </c>
      <c r="I144" s="94" t="s">
        <v>1818</v>
      </c>
      <c r="J144" s="94" t="s">
        <v>923</v>
      </c>
      <c r="K144" s="97">
        <v>85.98</v>
      </c>
    </row>
    <row r="145" spans="1:11" ht="14.6" x14ac:dyDescent="0.4">
      <c r="A145" s="94"/>
      <c r="B145" s="94"/>
      <c r="C145" s="94"/>
      <c r="D145" s="94"/>
      <c r="E145" s="94" t="s">
        <v>545</v>
      </c>
      <c r="F145" s="95">
        <v>43979</v>
      </c>
      <c r="G145" s="94" t="s">
        <v>1809</v>
      </c>
      <c r="H145" s="94" t="s">
        <v>709</v>
      </c>
      <c r="I145" s="94" t="s">
        <v>1819</v>
      </c>
      <c r="J145" s="94" t="s">
        <v>924</v>
      </c>
      <c r="K145" s="97">
        <v>23.99</v>
      </c>
    </row>
    <row r="146" spans="1:11" ht="14.6" x14ac:dyDescent="0.4">
      <c r="A146" s="94"/>
      <c r="B146" s="94"/>
      <c r="C146" s="94"/>
      <c r="D146" s="94"/>
      <c r="E146" s="94" t="s">
        <v>545</v>
      </c>
      <c r="F146" s="95">
        <v>43980</v>
      </c>
      <c r="G146" s="94" t="s">
        <v>1810</v>
      </c>
      <c r="H146" s="94" t="s">
        <v>1711</v>
      </c>
      <c r="I146" s="94" t="s">
        <v>1820</v>
      </c>
      <c r="J146" s="94" t="s">
        <v>924</v>
      </c>
      <c r="K146" s="97">
        <v>150</v>
      </c>
    </row>
    <row r="147" spans="1:11" ht="14.6" x14ac:dyDescent="0.4">
      <c r="A147" s="94"/>
      <c r="B147" s="94"/>
      <c r="C147" s="94"/>
      <c r="D147" s="94"/>
      <c r="E147" s="94" t="s">
        <v>544</v>
      </c>
      <c r="F147" s="95">
        <v>43980</v>
      </c>
      <c r="G147" s="94" t="s">
        <v>1638</v>
      </c>
      <c r="H147" s="94" t="s">
        <v>1814</v>
      </c>
      <c r="I147" s="94" t="s">
        <v>1821</v>
      </c>
      <c r="J147" s="94" t="s">
        <v>733</v>
      </c>
      <c r="K147" s="97">
        <v>100</v>
      </c>
    </row>
    <row r="148" spans="1:11" ht="14.6" x14ac:dyDescent="0.4">
      <c r="A148" s="94"/>
      <c r="B148" s="94"/>
      <c r="C148" s="94"/>
      <c r="D148" s="94"/>
      <c r="E148" s="94" t="s">
        <v>545</v>
      </c>
      <c r="F148" s="95">
        <v>43983</v>
      </c>
      <c r="G148" s="94" t="s">
        <v>1979</v>
      </c>
      <c r="H148" s="94" t="s">
        <v>825</v>
      </c>
      <c r="I148" s="94" t="s">
        <v>2004</v>
      </c>
      <c r="J148" s="94" t="s">
        <v>923</v>
      </c>
      <c r="K148" s="97">
        <v>205.96</v>
      </c>
    </row>
    <row r="149" spans="1:11" ht="14.6" x14ac:dyDescent="0.4">
      <c r="A149" s="94"/>
      <c r="B149" s="94"/>
      <c r="C149" s="94"/>
      <c r="D149" s="94"/>
      <c r="E149" s="94" t="s">
        <v>545</v>
      </c>
      <c r="F149" s="95">
        <v>43983</v>
      </c>
      <c r="G149" s="94" t="s">
        <v>1811</v>
      </c>
      <c r="H149" s="94" t="s">
        <v>825</v>
      </c>
      <c r="I149" s="94" t="s">
        <v>1822</v>
      </c>
      <c r="J149" s="94" t="s">
        <v>923</v>
      </c>
      <c r="K149" s="97">
        <v>205.96</v>
      </c>
    </row>
    <row r="150" spans="1:11" ht="14.6" x14ac:dyDescent="0.4">
      <c r="A150" s="94"/>
      <c r="B150" s="94"/>
      <c r="C150" s="94"/>
      <c r="D150" s="94"/>
      <c r="E150" s="94" t="s">
        <v>544</v>
      </c>
      <c r="F150" s="95">
        <v>43983</v>
      </c>
      <c r="G150" s="94" t="s">
        <v>1812</v>
      </c>
      <c r="H150" s="94" t="s">
        <v>813</v>
      </c>
      <c r="I150" s="94" t="s">
        <v>1823</v>
      </c>
      <c r="J150" s="94" t="s">
        <v>733</v>
      </c>
      <c r="K150" s="97">
        <v>45</v>
      </c>
    </row>
    <row r="151" spans="1:11" ht="14.6" x14ac:dyDescent="0.4">
      <c r="A151" s="94"/>
      <c r="B151" s="94"/>
      <c r="C151" s="94"/>
      <c r="D151" s="94"/>
      <c r="E151" s="94" t="s">
        <v>544</v>
      </c>
      <c r="F151" s="95">
        <v>43983</v>
      </c>
      <c r="G151" s="94" t="s">
        <v>1813</v>
      </c>
      <c r="H151" s="94" t="s">
        <v>811</v>
      </c>
      <c r="I151" s="94" t="s">
        <v>1824</v>
      </c>
      <c r="J151" s="94" t="s">
        <v>733</v>
      </c>
      <c r="K151" s="97">
        <v>235</v>
      </c>
    </row>
    <row r="152" spans="1:11" ht="14.6" x14ac:dyDescent="0.4">
      <c r="A152" s="94"/>
      <c r="B152" s="94"/>
      <c r="C152" s="94"/>
      <c r="D152" s="94"/>
      <c r="E152" s="94" t="s">
        <v>544</v>
      </c>
      <c r="F152" s="95">
        <v>43983</v>
      </c>
      <c r="G152" s="94" t="s">
        <v>1813</v>
      </c>
      <c r="H152" s="94" t="s">
        <v>811</v>
      </c>
      <c r="I152" s="94" t="s">
        <v>1825</v>
      </c>
      <c r="J152" s="94" t="s">
        <v>733</v>
      </c>
      <c r="K152" s="97">
        <v>310</v>
      </c>
    </row>
    <row r="153" spans="1:11" ht="14.6" x14ac:dyDescent="0.4">
      <c r="A153" s="94"/>
      <c r="B153" s="94"/>
      <c r="C153" s="94"/>
      <c r="D153" s="94"/>
      <c r="E153" s="94" t="s">
        <v>544</v>
      </c>
      <c r="F153" s="95">
        <v>43983</v>
      </c>
      <c r="G153" s="94" t="s">
        <v>781</v>
      </c>
      <c r="H153" s="94" t="s">
        <v>1815</v>
      </c>
      <c r="I153" s="94" t="s">
        <v>1826</v>
      </c>
      <c r="J153" s="94" t="s">
        <v>733</v>
      </c>
      <c r="K153" s="97">
        <v>85</v>
      </c>
    </row>
    <row r="154" spans="1:11" ht="14.6" x14ac:dyDescent="0.4">
      <c r="A154" s="94"/>
      <c r="B154" s="94"/>
      <c r="C154" s="94"/>
      <c r="D154" s="94"/>
      <c r="E154" s="94" t="s">
        <v>545</v>
      </c>
      <c r="F154" s="95">
        <v>43991</v>
      </c>
      <c r="G154" s="94" t="s">
        <v>1980</v>
      </c>
      <c r="H154" s="94" t="s">
        <v>2000</v>
      </c>
      <c r="I154" s="94" t="s">
        <v>2005</v>
      </c>
      <c r="J154" s="94" t="s">
        <v>923</v>
      </c>
      <c r="K154" s="97">
        <v>175.2</v>
      </c>
    </row>
    <row r="155" spans="1:11" ht="14.6" x14ac:dyDescent="0.4">
      <c r="A155" s="94"/>
      <c r="B155" s="94"/>
      <c r="C155" s="94"/>
      <c r="D155" s="94"/>
      <c r="E155" s="94" t="s">
        <v>545</v>
      </c>
      <c r="F155" s="95">
        <v>43991</v>
      </c>
      <c r="G155" s="94" t="s">
        <v>1981</v>
      </c>
      <c r="H155" s="94" t="s">
        <v>811</v>
      </c>
      <c r="I155" s="94" t="s">
        <v>2006</v>
      </c>
      <c r="J155" s="94" t="s">
        <v>924</v>
      </c>
      <c r="K155" s="97">
        <v>50</v>
      </c>
    </row>
    <row r="156" spans="1:11" ht="14.6" x14ac:dyDescent="0.4">
      <c r="A156" s="94"/>
      <c r="B156" s="94"/>
      <c r="C156" s="94"/>
      <c r="D156" s="94"/>
      <c r="E156" s="94" t="s">
        <v>545</v>
      </c>
      <c r="F156" s="95">
        <v>43993</v>
      </c>
      <c r="G156" s="94" t="s">
        <v>1982</v>
      </c>
      <c r="H156" s="94" t="s">
        <v>810</v>
      </c>
      <c r="I156" s="94" t="s">
        <v>2007</v>
      </c>
      <c r="J156" s="94" t="s">
        <v>924</v>
      </c>
      <c r="K156" s="97">
        <v>112.5</v>
      </c>
    </row>
    <row r="157" spans="1:11" ht="14.6" x14ac:dyDescent="0.4">
      <c r="A157" s="94"/>
      <c r="B157" s="94"/>
      <c r="C157" s="94"/>
      <c r="D157" s="94"/>
      <c r="E157" s="94" t="s">
        <v>545</v>
      </c>
      <c r="F157" s="95">
        <v>43993</v>
      </c>
      <c r="G157" s="94" t="s">
        <v>1983</v>
      </c>
      <c r="H157" s="94" t="s">
        <v>815</v>
      </c>
      <c r="I157" s="94" t="s">
        <v>2008</v>
      </c>
      <c r="J157" s="94" t="s">
        <v>924</v>
      </c>
      <c r="K157" s="97">
        <v>399</v>
      </c>
    </row>
    <row r="158" spans="1:11" ht="14.6" x14ac:dyDescent="0.4">
      <c r="A158" s="94"/>
      <c r="B158" s="94"/>
      <c r="C158" s="94"/>
      <c r="D158" s="94"/>
      <c r="E158" s="94" t="s">
        <v>544</v>
      </c>
      <c r="F158" s="95">
        <v>43999</v>
      </c>
      <c r="G158" s="94" t="s">
        <v>1984</v>
      </c>
      <c r="H158" s="94" t="s">
        <v>813</v>
      </c>
      <c r="I158" s="94" t="s">
        <v>2009</v>
      </c>
      <c r="J158" s="94" t="s">
        <v>733</v>
      </c>
      <c r="K158" s="97">
        <v>45</v>
      </c>
    </row>
    <row r="159" spans="1:11" ht="14.6" x14ac:dyDescent="0.4">
      <c r="A159" s="94"/>
      <c r="B159" s="94"/>
      <c r="C159" s="94"/>
      <c r="D159" s="94"/>
      <c r="E159" s="94" t="s">
        <v>738</v>
      </c>
      <c r="F159" s="95">
        <v>44000</v>
      </c>
      <c r="G159" s="94" t="s">
        <v>1985</v>
      </c>
      <c r="H159" s="94" t="s">
        <v>1345</v>
      </c>
      <c r="I159" s="94" t="s">
        <v>2010</v>
      </c>
      <c r="J159" s="94" t="s">
        <v>923</v>
      </c>
      <c r="K159" s="97">
        <v>-241.92</v>
      </c>
    </row>
    <row r="160" spans="1:11" ht="14.6" x14ac:dyDescent="0.4">
      <c r="A160" s="94"/>
      <c r="B160" s="94"/>
      <c r="C160" s="94"/>
      <c r="D160" s="94"/>
      <c r="E160" s="94" t="s">
        <v>738</v>
      </c>
      <c r="F160" s="95">
        <v>44000</v>
      </c>
      <c r="G160" s="94" t="s">
        <v>1986</v>
      </c>
      <c r="H160" s="94" t="s">
        <v>1345</v>
      </c>
      <c r="I160" s="94" t="s">
        <v>2011</v>
      </c>
      <c r="J160" s="94" t="s">
        <v>923</v>
      </c>
      <c r="K160" s="97">
        <v>-241.92</v>
      </c>
    </row>
    <row r="161" spans="1:11" ht="14.6" x14ac:dyDescent="0.4">
      <c r="A161" s="94"/>
      <c r="B161" s="94"/>
      <c r="C161" s="94"/>
      <c r="D161" s="94"/>
      <c r="E161" s="94" t="s">
        <v>738</v>
      </c>
      <c r="F161" s="95">
        <v>44000</v>
      </c>
      <c r="G161" s="94" t="s">
        <v>1987</v>
      </c>
      <c r="H161" s="94" t="s">
        <v>1345</v>
      </c>
      <c r="I161" s="94" t="s">
        <v>2012</v>
      </c>
      <c r="J161" s="94" t="s">
        <v>923</v>
      </c>
      <c r="K161" s="97">
        <v>-241.92</v>
      </c>
    </row>
    <row r="162" spans="1:11" ht="14.6" x14ac:dyDescent="0.4">
      <c r="A162" s="94"/>
      <c r="B162" s="94"/>
      <c r="C162" s="94"/>
      <c r="D162" s="94"/>
      <c r="E162" s="94" t="s">
        <v>738</v>
      </c>
      <c r="F162" s="95">
        <v>44000</v>
      </c>
      <c r="G162" s="94" t="s">
        <v>1988</v>
      </c>
      <c r="H162" s="94" t="s">
        <v>1345</v>
      </c>
      <c r="I162" s="94" t="s">
        <v>2013</v>
      </c>
      <c r="J162" s="94" t="s">
        <v>923</v>
      </c>
      <c r="K162" s="97">
        <v>-241.92</v>
      </c>
    </row>
    <row r="163" spans="1:11" ht="14.6" x14ac:dyDescent="0.4">
      <c r="A163" s="94"/>
      <c r="B163" s="94"/>
      <c r="C163" s="94"/>
      <c r="D163" s="94"/>
      <c r="E163" s="94" t="s">
        <v>545</v>
      </c>
      <c r="F163" s="95">
        <v>44004</v>
      </c>
      <c r="G163" s="94" t="s">
        <v>1989</v>
      </c>
      <c r="H163" s="94" t="s">
        <v>1614</v>
      </c>
      <c r="I163" s="94" t="s">
        <v>2014</v>
      </c>
      <c r="J163" s="94" t="s">
        <v>924</v>
      </c>
      <c r="K163" s="97">
        <v>384</v>
      </c>
    </row>
    <row r="164" spans="1:11" ht="14.6" x14ac:dyDescent="0.4">
      <c r="A164" s="94"/>
      <c r="B164" s="94"/>
      <c r="C164" s="94"/>
      <c r="D164" s="94"/>
      <c r="E164" s="94" t="s">
        <v>545</v>
      </c>
      <c r="F164" s="95">
        <v>44005</v>
      </c>
      <c r="G164" s="94" t="s">
        <v>1990</v>
      </c>
      <c r="H164" s="94" t="s">
        <v>813</v>
      </c>
      <c r="I164" s="94" t="s">
        <v>2015</v>
      </c>
      <c r="J164" s="94" t="s">
        <v>924</v>
      </c>
      <c r="K164" s="97">
        <v>67.5</v>
      </c>
    </row>
    <row r="165" spans="1:11" ht="14.6" x14ac:dyDescent="0.4">
      <c r="A165" s="94"/>
      <c r="B165" s="94"/>
      <c r="C165" s="94"/>
      <c r="D165" s="94"/>
      <c r="E165" s="94" t="s">
        <v>545</v>
      </c>
      <c r="F165" s="95">
        <v>44008</v>
      </c>
      <c r="G165" s="94" t="s">
        <v>1991</v>
      </c>
      <c r="H165" s="94" t="s">
        <v>824</v>
      </c>
      <c r="I165" s="94" t="s">
        <v>2016</v>
      </c>
      <c r="J165" s="94" t="s">
        <v>924</v>
      </c>
      <c r="K165" s="97">
        <v>165</v>
      </c>
    </row>
    <row r="166" spans="1:11" ht="14.6" x14ac:dyDescent="0.4">
      <c r="A166" s="94"/>
      <c r="B166" s="94"/>
      <c r="C166" s="94"/>
      <c r="D166" s="94"/>
      <c r="E166" s="94" t="s">
        <v>545</v>
      </c>
      <c r="F166" s="95">
        <v>44008</v>
      </c>
      <c r="G166" s="94" t="s">
        <v>1992</v>
      </c>
      <c r="H166" s="94" t="s">
        <v>1343</v>
      </c>
      <c r="I166" s="94" t="s">
        <v>2017</v>
      </c>
      <c r="J166" s="94" t="s">
        <v>923</v>
      </c>
      <c r="K166" s="97">
        <v>199.99</v>
      </c>
    </row>
    <row r="167" spans="1:11" ht="14.6" x14ac:dyDescent="0.4">
      <c r="A167" s="94"/>
      <c r="B167" s="94"/>
      <c r="C167" s="94"/>
      <c r="D167" s="94"/>
      <c r="E167" s="94" t="s">
        <v>545</v>
      </c>
      <c r="F167" s="95">
        <v>44013</v>
      </c>
      <c r="G167" s="94" t="s">
        <v>1993</v>
      </c>
      <c r="H167" s="94" t="s">
        <v>2001</v>
      </c>
      <c r="I167" s="94" t="s">
        <v>2018</v>
      </c>
      <c r="J167" s="94" t="s">
        <v>923</v>
      </c>
      <c r="K167" s="97">
        <v>185</v>
      </c>
    </row>
    <row r="168" spans="1:11" ht="14.6" x14ac:dyDescent="0.4">
      <c r="A168" s="94"/>
      <c r="B168" s="94"/>
      <c r="C168" s="94"/>
      <c r="D168" s="94"/>
      <c r="E168" s="94" t="s">
        <v>544</v>
      </c>
      <c r="F168" s="95">
        <v>44020</v>
      </c>
      <c r="G168" s="94" t="s">
        <v>1994</v>
      </c>
      <c r="H168" s="94" t="s">
        <v>813</v>
      </c>
      <c r="I168" s="94" t="s">
        <v>2019</v>
      </c>
      <c r="J168" s="94" t="s">
        <v>733</v>
      </c>
      <c r="K168" s="97">
        <v>45</v>
      </c>
    </row>
    <row r="169" spans="1:11" ht="14.6" x14ac:dyDescent="0.4">
      <c r="A169" s="94"/>
      <c r="B169" s="94"/>
      <c r="C169" s="94"/>
      <c r="D169" s="94"/>
      <c r="E169" s="94" t="s">
        <v>545</v>
      </c>
      <c r="F169" s="95">
        <v>44027</v>
      </c>
      <c r="G169" s="94" t="s">
        <v>2217</v>
      </c>
      <c r="H169" s="94" t="s">
        <v>2224</v>
      </c>
      <c r="I169" s="94" t="s">
        <v>2227</v>
      </c>
      <c r="J169" s="94" t="s">
        <v>923</v>
      </c>
      <c r="K169" s="97">
        <v>49</v>
      </c>
    </row>
    <row r="170" spans="1:11" ht="14.6" x14ac:dyDescent="0.4">
      <c r="A170" s="94"/>
      <c r="B170" s="94"/>
      <c r="C170" s="94"/>
      <c r="D170" s="94"/>
      <c r="E170" s="94" t="s">
        <v>545</v>
      </c>
      <c r="F170" s="95">
        <v>44027</v>
      </c>
      <c r="G170" s="94" t="s">
        <v>2218</v>
      </c>
      <c r="H170" s="94" t="s">
        <v>2225</v>
      </c>
      <c r="I170" s="94" t="s">
        <v>2228</v>
      </c>
      <c r="J170" s="94" t="s">
        <v>924</v>
      </c>
      <c r="K170" s="97">
        <v>250</v>
      </c>
    </row>
    <row r="171" spans="1:11" ht="14.6" x14ac:dyDescent="0.4">
      <c r="A171" s="94"/>
      <c r="B171" s="94"/>
      <c r="C171" s="94"/>
      <c r="D171" s="94"/>
      <c r="E171" s="94" t="s">
        <v>545</v>
      </c>
      <c r="F171" s="95">
        <v>44028</v>
      </c>
      <c r="G171" s="94" t="s">
        <v>2219</v>
      </c>
      <c r="H171" s="94" t="s">
        <v>2224</v>
      </c>
      <c r="I171" s="94" t="s">
        <v>2229</v>
      </c>
      <c r="J171" s="94" t="s">
        <v>924</v>
      </c>
      <c r="K171" s="97">
        <v>49</v>
      </c>
    </row>
    <row r="172" spans="1:11" ht="14.6" x14ac:dyDescent="0.4">
      <c r="A172" s="94"/>
      <c r="B172" s="94"/>
      <c r="C172" s="94"/>
      <c r="D172" s="94"/>
      <c r="E172" s="94" t="s">
        <v>544</v>
      </c>
      <c r="F172" s="95">
        <v>44028</v>
      </c>
      <c r="G172" s="94" t="s">
        <v>2357</v>
      </c>
      <c r="H172" s="94" t="s">
        <v>580</v>
      </c>
      <c r="I172" s="94" t="s">
        <v>2381</v>
      </c>
      <c r="J172" s="94" t="s">
        <v>733</v>
      </c>
      <c r="K172" s="97">
        <v>27.95</v>
      </c>
    </row>
    <row r="173" spans="1:11" ht="14.6" x14ac:dyDescent="0.4">
      <c r="A173" s="94"/>
      <c r="B173" s="94"/>
      <c r="C173" s="94"/>
      <c r="D173" s="94"/>
      <c r="E173" s="94" t="s">
        <v>544</v>
      </c>
      <c r="F173" s="95">
        <v>44028</v>
      </c>
      <c r="G173" s="94" t="s">
        <v>2358</v>
      </c>
      <c r="H173" s="94" t="s">
        <v>580</v>
      </c>
      <c r="I173" s="94" t="s">
        <v>2381</v>
      </c>
      <c r="J173" s="94" t="s">
        <v>733</v>
      </c>
      <c r="K173" s="97">
        <v>13.84</v>
      </c>
    </row>
    <row r="174" spans="1:11" ht="14.6" x14ac:dyDescent="0.4">
      <c r="A174" s="94"/>
      <c r="B174" s="94"/>
      <c r="C174" s="94"/>
      <c r="D174" s="94"/>
      <c r="E174" s="94" t="s">
        <v>1314</v>
      </c>
      <c r="F174" s="95">
        <v>44029</v>
      </c>
      <c r="G174" s="94" t="s">
        <v>1995</v>
      </c>
      <c r="H174" s="94" t="s">
        <v>2002</v>
      </c>
      <c r="I174" s="94" t="s">
        <v>2020</v>
      </c>
      <c r="J174" s="94" t="s">
        <v>1379</v>
      </c>
      <c r="K174" s="97">
        <v>-100</v>
      </c>
    </row>
    <row r="175" spans="1:11" ht="14.6" x14ac:dyDescent="0.4">
      <c r="A175" s="94"/>
      <c r="B175" s="94"/>
      <c r="C175" s="94"/>
      <c r="D175" s="94"/>
      <c r="E175" s="94" t="s">
        <v>545</v>
      </c>
      <c r="F175" s="95">
        <v>44029</v>
      </c>
      <c r="G175" s="94" t="s">
        <v>2220</v>
      </c>
      <c r="H175" s="94" t="s">
        <v>815</v>
      </c>
      <c r="I175" s="94" t="s">
        <v>2230</v>
      </c>
      <c r="J175" s="94" t="s">
        <v>923</v>
      </c>
      <c r="K175" s="97">
        <v>45</v>
      </c>
    </row>
    <row r="176" spans="1:11" ht="14.6" x14ac:dyDescent="0.4">
      <c r="A176" s="94"/>
      <c r="B176" s="94"/>
      <c r="C176" s="94"/>
      <c r="D176" s="94"/>
      <c r="E176" s="94" t="s">
        <v>545</v>
      </c>
      <c r="F176" s="95">
        <v>44032</v>
      </c>
      <c r="G176" s="94" t="s">
        <v>1808</v>
      </c>
      <c r="H176" s="94" t="s">
        <v>825</v>
      </c>
      <c r="I176" s="94" t="s">
        <v>2021</v>
      </c>
      <c r="J176" s="94" t="s">
        <v>923</v>
      </c>
      <c r="K176" s="97">
        <v>46</v>
      </c>
    </row>
    <row r="177" spans="1:11" ht="14.6" x14ac:dyDescent="0.4">
      <c r="A177" s="94"/>
      <c r="B177" s="94"/>
      <c r="C177" s="94"/>
      <c r="D177" s="94"/>
      <c r="E177" s="94" t="s">
        <v>544</v>
      </c>
      <c r="F177" s="95">
        <v>44032</v>
      </c>
      <c r="G177" s="94" t="s">
        <v>1314</v>
      </c>
      <c r="H177" s="94" t="s">
        <v>2003</v>
      </c>
      <c r="I177" s="94" t="s">
        <v>2022</v>
      </c>
      <c r="J177" s="94" t="s">
        <v>733</v>
      </c>
      <c r="K177" s="97">
        <v>500</v>
      </c>
    </row>
    <row r="178" spans="1:11" ht="14.6" x14ac:dyDescent="0.4">
      <c r="A178" s="94"/>
      <c r="B178" s="94"/>
      <c r="C178" s="94"/>
      <c r="D178" s="94"/>
      <c r="E178" s="94" t="s">
        <v>544</v>
      </c>
      <c r="F178" s="95">
        <v>44032</v>
      </c>
      <c r="G178" s="94" t="s">
        <v>2359</v>
      </c>
      <c r="H178" s="94" t="s">
        <v>580</v>
      </c>
      <c r="I178" s="94" t="s">
        <v>2381</v>
      </c>
      <c r="J178" s="94" t="s">
        <v>733</v>
      </c>
      <c r="K178" s="97">
        <v>78.62</v>
      </c>
    </row>
    <row r="179" spans="1:11" ht="14.6" x14ac:dyDescent="0.4">
      <c r="A179" s="94"/>
      <c r="B179" s="94"/>
      <c r="C179" s="94"/>
      <c r="D179" s="94"/>
      <c r="E179" s="94" t="s">
        <v>544</v>
      </c>
      <c r="F179" s="95">
        <v>44032</v>
      </c>
      <c r="G179" s="94" t="s">
        <v>2343</v>
      </c>
      <c r="H179" s="94" t="s">
        <v>580</v>
      </c>
      <c r="I179" s="94" t="s">
        <v>2382</v>
      </c>
      <c r="J179" s="94" t="s">
        <v>733</v>
      </c>
      <c r="K179" s="97">
        <v>0</v>
      </c>
    </row>
    <row r="180" spans="1:11" ht="14.6" x14ac:dyDescent="0.4">
      <c r="A180" s="94"/>
      <c r="B180" s="94"/>
      <c r="C180" s="94"/>
      <c r="D180" s="94"/>
      <c r="E180" s="94" t="s">
        <v>544</v>
      </c>
      <c r="F180" s="95">
        <v>44033</v>
      </c>
      <c r="G180" s="94" t="s">
        <v>1996</v>
      </c>
      <c r="H180" s="94" t="s">
        <v>813</v>
      </c>
      <c r="I180" s="94" t="s">
        <v>2023</v>
      </c>
      <c r="J180" s="94" t="s">
        <v>733</v>
      </c>
      <c r="K180" s="97">
        <v>45</v>
      </c>
    </row>
    <row r="181" spans="1:11" ht="14.6" x14ac:dyDescent="0.4">
      <c r="A181" s="94"/>
      <c r="B181" s="94"/>
      <c r="C181" s="94"/>
      <c r="D181" s="94"/>
      <c r="E181" s="94" t="s">
        <v>544</v>
      </c>
      <c r="F181" s="95">
        <v>44033</v>
      </c>
      <c r="G181" s="94" t="s">
        <v>1997</v>
      </c>
      <c r="H181" s="94" t="s">
        <v>813</v>
      </c>
      <c r="I181" s="94" t="s">
        <v>2024</v>
      </c>
      <c r="J181" s="94" t="s">
        <v>733</v>
      </c>
      <c r="K181" s="97">
        <v>45</v>
      </c>
    </row>
    <row r="182" spans="1:11" ht="14.6" x14ac:dyDescent="0.4">
      <c r="A182" s="94"/>
      <c r="B182" s="94"/>
      <c r="C182" s="94"/>
      <c r="D182" s="94"/>
      <c r="E182" s="94" t="s">
        <v>544</v>
      </c>
      <c r="F182" s="95">
        <v>44034</v>
      </c>
      <c r="G182" s="94" t="s">
        <v>1998</v>
      </c>
      <c r="H182" s="94" t="s">
        <v>813</v>
      </c>
      <c r="I182" s="94" t="s">
        <v>2025</v>
      </c>
      <c r="J182" s="94" t="s">
        <v>733</v>
      </c>
      <c r="K182" s="97">
        <v>45</v>
      </c>
    </row>
    <row r="183" spans="1:11" ht="14.6" x14ac:dyDescent="0.4">
      <c r="A183" s="94"/>
      <c r="B183" s="94"/>
      <c r="C183" s="94"/>
      <c r="D183" s="94"/>
      <c r="E183" s="94" t="s">
        <v>544</v>
      </c>
      <c r="F183" s="95">
        <v>44034</v>
      </c>
      <c r="G183" s="94" t="s">
        <v>1999</v>
      </c>
      <c r="H183" s="94" t="s">
        <v>813</v>
      </c>
      <c r="I183" s="94" t="s">
        <v>2026</v>
      </c>
      <c r="J183" s="94" t="s">
        <v>733</v>
      </c>
      <c r="K183" s="97">
        <v>45</v>
      </c>
    </row>
    <row r="184" spans="1:11" ht="14.6" x14ac:dyDescent="0.4">
      <c r="A184" s="94"/>
      <c r="B184" s="94"/>
      <c r="C184" s="94"/>
      <c r="D184" s="94"/>
      <c r="E184" s="94" t="s">
        <v>544</v>
      </c>
      <c r="F184" s="95">
        <v>44034</v>
      </c>
      <c r="G184" s="94" t="s">
        <v>2344</v>
      </c>
      <c r="H184" s="94" t="s">
        <v>580</v>
      </c>
      <c r="I184" s="94" t="s">
        <v>2383</v>
      </c>
      <c r="J184" s="94" t="s">
        <v>733</v>
      </c>
      <c r="K184" s="97">
        <v>0</v>
      </c>
    </row>
    <row r="185" spans="1:11" ht="14.6" x14ac:dyDescent="0.4">
      <c r="A185" s="94"/>
      <c r="B185" s="94"/>
      <c r="C185" s="94"/>
      <c r="D185" s="94"/>
      <c r="E185" s="94" t="s">
        <v>545</v>
      </c>
      <c r="F185" s="95">
        <v>44035</v>
      </c>
      <c r="G185" s="94" t="s">
        <v>2221</v>
      </c>
      <c r="H185" s="94" t="s">
        <v>582</v>
      </c>
      <c r="I185" s="94" t="s">
        <v>2231</v>
      </c>
      <c r="J185" s="94" t="s">
        <v>924</v>
      </c>
      <c r="K185" s="97">
        <v>60</v>
      </c>
    </row>
    <row r="186" spans="1:11" ht="14.6" x14ac:dyDescent="0.4">
      <c r="A186" s="94"/>
      <c r="B186" s="94"/>
      <c r="C186" s="94"/>
      <c r="D186" s="94"/>
      <c r="E186" s="94" t="s">
        <v>545</v>
      </c>
      <c r="F186" s="95">
        <v>44039</v>
      </c>
      <c r="G186" s="94" t="s">
        <v>2222</v>
      </c>
      <c r="H186" s="94" t="s">
        <v>2226</v>
      </c>
      <c r="I186" s="94" t="s">
        <v>2232</v>
      </c>
      <c r="J186" s="94" t="s">
        <v>924</v>
      </c>
      <c r="K186" s="97">
        <v>35.020000000000003</v>
      </c>
    </row>
    <row r="187" spans="1:11" ht="14.6" x14ac:dyDescent="0.4">
      <c r="A187" s="94"/>
      <c r="B187" s="94"/>
      <c r="C187" s="94"/>
      <c r="D187" s="94"/>
      <c r="E187" s="94" t="s">
        <v>544</v>
      </c>
      <c r="F187" s="95">
        <v>44047</v>
      </c>
      <c r="G187" s="94" t="s">
        <v>2223</v>
      </c>
      <c r="H187" s="94" t="s">
        <v>2003</v>
      </c>
      <c r="I187" s="94" t="s">
        <v>2022</v>
      </c>
      <c r="J187" s="94" t="s">
        <v>733</v>
      </c>
      <c r="K187" s="97">
        <v>750</v>
      </c>
    </row>
    <row r="188" spans="1:11" ht="14.6" x14ac:dyDescent="0.4">
      <c r="A188" s="94"/>
      <c r="B188" s="94"/>
      <c r="C188" s="94"/>
      <c r="D188" s="94"/>
      <c r="E188" s="94" t="s">
        <v>544</v>
      </c>
      <c r="F188" s="95">
        <v>44049</v>
      </c>
      <c r="G188" s="94" t="s">
        <v>2360</v>
      </c>
      <c r="H188" s="94" t="s">
        <v>2376</v>
      </c>
      <c r="I188" s="94" t="s">
        <v>2384</v>
      </c>
      <c r="J188" s="94" t="s">
        <v>733</v>
      </c>
      <c r="K188" s="97">
        <v>3000</v>
      </c>
    </row>
    <row r="189" spans="1:11" ht="14.6" x14ac:dyDescent="0.4">
      <c r="A189" s="94"/>
      <c r="B189" s="94"/>
      <c r="C189" s="94"/>
      <c r="D189" s="94"/>
      <c r="E189" s="94" t="s">
        <v>545</v>
      </c>
      <c r="F189" s="95">
        <v>44049</v>
      </c>
      <c r="G189" s="94" t="s">
        <v>2361</v>
      </c>
      <c r="H189" s="94" t="s">
        <v>815</v>
      </c>
      <c r="I189" s="94" t="s">
        <v>2385</v>
      </c>
      <c r="J189" s="94" t="s">
        <v>924</v>
      </c>
      <c r="K189" s="97">
        <v>100</v>
      </c>
    </row>
    <row r="190" spans="1:11" ht="14.6" x14ac:dyDescent="0.4">
      <c r="A190" s="94"/>
      <c r="B190" s="94"/>
      <c r="C190" s="94"/>
      <c r="D190" s="94"/>
      <c r="E190" s="94" t="s">
        <v>545</v>
      </c>
      <c r="F190" s="95">
        <v>44053</v>
      </c>
      <c r="G190" s="94" t="s">
        <v>2362</v>
      </c>
      <c r="H190" s="94" t="s">
        <v>2377</v>
      </c>
      <c r="I190" s="94" t="s">
        <v>2386</v>
      </c>
      <c r="J190" s="94" t="s">
        <v>923</v>
      </c>
      <c r="K190" s="97">
        <v>50</v>
      </c>
    </row>
    <row r="191" spans="1:11" ht="14.6" x14ac:dyDescent="0.4">
      <c r="A191" s="94"/>
      <c r="B191" s="94"/>
      <c r="C191" s="94"/>
      <c r="D191" s="94"/>
      <c r="E191" s="94" t="s">
        <v>544</v>
      </c>
      <c r="F191" s="95">
        <v>44061</v>
      </c>
      <c r="G191" s="94" t="s">
        <v>2363</v>
      </c>
      <c r="H191" s="94" t="s">
        <v>813</v>
      </c>
      <c r="I191" s="94" t="s">
        <v>2387</v>
      </c>
      <c r="J191" s="94" t="s">
        <v>733</v>
      </c>
      <c r="K191" s="97">
        <v>45</v>
      </c>
    </row>
    <row r="192" spans="1:11" ht="14.6" x14ac:dyDescent="0.4">
      <c r="A192" s="94"/>
      <c r="B192" s="94"/>
      <c r="C192" s="94"/>
      <c r="D192" s="94"/>
      <c r="E192" s="94" t="s">
        <v>544</v>
      </c>
      <c r="F192" s="95">
        <v>44061</v>
      </c>
      <c r="G192" s="94" t="s">
        <v>2364</v>
      </c>
      <c r="H192" s="94" t="s">
        <v>813</v>
      </c>
      <c r="I192" s="94" t="s">
        <v>2388</v>
      </c>
      <c r="J192" s="94" t="s">
        <v>733</v>
      </c>
      <c r="K192" s="97">
        <v>45</v>
      </c>
    </row>
    <row r="193" spans="1:11" ht="14.6" x14ac:dyDescent="0.4">
      <c r="A193" s="94"/>
      <c r="B193" s="94"/>
      <c r="C193" s="94"/>
      <c r="D193" s="94"/>
      <c r="E193" s="94" t="s">
        <v>544</v>
      </c>
      <c r="F193" s="95">
        <v>44061</v>
      </c>
      <c r="G193" s="94" t="s">
        <v>2365</v>
      </c>
      <c r="H193" s="94" t="s">
        <v>813</v>
      </c>
      <c r="I193" s="94" t="s">
        <v>2389</v>
      </c>
      <c r="J193" s="94" t="s">
        <v>733</v>
      </c>
      <c r="K193" s="97">
        <v>45</v>
      </c>
    </row>
    <row r="194" spans="1:11" ht="14.6" x14ac:dyDescent="0.4">
      <c r="A194" s="94"/>
      <c r="B194" s="94"/>
      <c r="C194" s="94"/>
      <c r="D194" s="94"/>
      <c r="E194" s="94" t="s">
        <v>544</v>
      </c>
      <c r="F194" s="95">
        <v>44061</v>
      </c>
      <c r="G194" s="94" t="s">
        <v>767</v>
      </c>
      <c r="H194" s="94" t="s">
        <v>822</v>
      </c>
      <c r="I194" s="94" t="s">
        <v>2390</v>
      </c>
      <c r="J194" s="94" t="s">
        <v>733</v>
      </c>
      <c r="K194" s="97">
        <v>250</v>
      </c>
    </row>
    <row r="195" spans="1:11" ht="14.6" x14ac:dyDescent="0.4">
      <c r="A195" s="94"/>
      <c r="B195" s="94"/>
      <c r="C195" s="94"/>
      <c r="D195" s="94"/>
      <c r="E195" s="94" t="s">
        <v>544</v>
      </c>
      <c r="F195" s="95">
        <v>44061</v>
      </c>
      <c r="G195" s="94" t="s">
        <v>2366</v>
      </c>
      <c r="H195" s="94" t="s">
        <v>813</v>
      </c>
      <c r="I195" s="94" t="s">
        <v>2391</v>
      </c>
      <c r="J195" s="94" t="s">
        <v>733</v>
      </c>
      <c r="K195" s="97">
        <v>45</v>
      </c>
    </row>
    <row r="196" spans="1:11" ht="14.6" x14ac:dyDescent="0.4">
      <c r="A196" s="94"/>
      <c r="B196" s="94"/>
      <c r="C196" s="94"/>
      <c r="D196" s="94"/>
      <c r="E196" s="94" t="s">
        <v>545</v>
      </c>
      <c r="F196" s="95">
        <v>44062</v>
      </c>
      <c r="G196" s="94" t="s">
        <v>2593</v>
      </c>
      <c r="H196" s="94" t="s">
        <v>709</v>
      </c>
      <c r="I196" s="94" t="s">
        <v>2629</v>
      </c>
      <c r="J196" s="94" t="s">
        <v>924</v>
      </c>
      <c r="K196" s="97">
        <v>269.27</v>
      </c>
    </row>
    <row r="197" spans="1:11" ht="14.6" x14ac:dyDescent="0.4">
      <c r="A197" s="94"/>
      <c r="B197" s="94"/>
      <c r="C197" s="94"/>
      <c r="D197" s="94"/>
      <c r="E197" s="94" t="s">
        <v>545</v>
      </c>
      <c r="F197" s="95">
        <v>44062</v>
      </c>
      <c r="G197" s="94" t="s">
        <v>2594</v>
      </c>
      <c r="H197" s="94" t="s">
        <v>709</v>
      </c>
      <c r="I197" s="94" t="s">
        <v>2629</v>
      </c>
      <c r="J197" s="94" t="s">
        <v>924</v>
      </c>
      <c r="K197" s="97">
        <v>49.17</v>
      </c>
    </row>
    <row r="198" spans="1:11" ht="14.6" x14ac:dyDescent="0.4">
      <c r="A198" s="94"/>
      <c r="B198" s="94"/>
      <c r="C198" s="94"/>
      <c r="D198" s="94"/>
      <c r="E198" s="94" t="s">
        <v>738</v>
      </c>
      <c r="F198" s="95">
        <v>44067</v>
      </c>
      <c r="G198" s="94" t="s">
        <v>2595</v>
      </c>
      <c r="H198" s="94" t="s">
        <v>824</v>
      </c>
      <c r="I198" s="94" t="s">
        <v>2630</v>
      </c>
      <c r="J198" s="94" t="s">
        <v>923</v>
      </c>
      <c r="K198" s="97">
        <v>-570</v>
      </c>
    </row>
    <row r="199" spans="1:11" ht="14.6" x14ac:dyDescent="0.4">
      <c r="A199" s="94"/>
      <c r="B199" s="94"/>
      <c r="C199" s="94"/>
      <c r="D199" s="94"/>
      <c r="E199" s="94" t="s">
        <v>545</v>
      </c>
      <c r="F199" s="95">
        <v>44067</v>
      </c>
      <c r="G199" s="94" t="s">
        <v>2596</v>
      </c>
      <c r="H199" s="94" t="s">
        <v>2226</v>
      </c>
      <c r="I199" s="94" t="s">
        <v>2629</v>
      </c>
      <c r="J199" s="94" t="s">
        <v>924</v>
      </c>
      <c r="K199" s="97">
        <v>163.16999999999999</v>
      </c>
    </row>
    <row r="200" spans="1:11" ht="14.6" x14ac:dyDescent="0.4">
      <c r="A200" s="94"/>
      <c r="B200" s="94"/>
      <c r="C200" s="94"/>
      <c r="D200" s="94"/>
      <c r="E200" s="94" t="s">
        <v>545</v>
      </c>
      <c r="F200" s="95">
        <v>44068</v>
      </c>
      <c r="G200" s="94" t="s">
        <v>2597</v>
      </c>
      <c r="H200" s="94" t="s">
        <v>811</v>
      </c>
      <c r="I200" s="94" t="s">
        <v>2631</v>
      </c>
      <c r="J200" s="94" t="s">
        <v>924</v>
      </c>
      <c r="K200" s="97">
        <v>100</v>
      </c>
    </row>
    <row r="201" spans="1:11" ht="14.6" x14ac:dyDescent="0.4">
      <c r="A201" s="94"/>
      <c r="B201" s="94"/>
      <c r="C201" s="94"/>
      <c r="D201" s="94"/>
      <c r="E201" s="94" t="s">
        <v>545</v>
      </c>
      <c r="F201" s="95">
        <v>44068</v>
      </c>
      <c r="G201" s="94" t="s">
        <v>2598</v>
      </c>
      <c r="H201" s="94" t="s">
        <v>811</v>
      </c>
      <c r="I201" s="94" t="s">
        <v>2632</v>
      </c>
      <c r="J201" s="94" t="s">
        <v>924</v>
      </c>
      <c r="K201" s="97">
        <v>50</v>
      </c>
    </row>
    <row r="202" spans="1:11" ht="14.6" x14ac:dyDescent="0.4">
      <c r="A202" s="94"/>
      <c r="B202" s="94"/>
      <c r="C202" s="94"/>
      <c r="D202" s="94"/>
      <c r="E202" s="94" t="s">
        <v>545</v>
      </c>
      <c r="F202" s="95">
        <v>44068</v>
      </c>
      <c r="G202" s="94" t="s">
        <v>2599</v>
      </c>
      <c r="H202" s="94" t="s">
        <v>811</v>
      </c>
      <c r="I202" s="94" t="s">
        <v>2633</v>
      </c>
      <c r="J202" s="94" t="s">
        <v>924</v>
      </c>
      <c r="K202" s="97">
        <v>50</v>
      </c>
    </row>
    <row r="203" spans="1:11" ht="14.6" x14ac:dyDescent="0.4">
      <c r="A203" s="94"/>
      <c r="B203" s="94"/>
      <c r="C203" s="94"/>
      <c r="D203" s="94"/>
      <c r="E203" s="94" t="s">
        <v>545</v>
      </c>
      <c r="F203" s="95">
        <v>44068</v>
      </c>
      <c r="G203" s="94" t="s">
        <v>2600</v>
      </c>
      <c r="H203" s="94" t="s">
        <v>2622</v>
      </c>
      <c r="I203" s="94" t="s">
        <v>2629</v>
      </c>
      <c r="J203" s="94" t="s">
        <v>924</v>
      </c>
      <c r="K203" s="97">
        <v>238.83</v>
      </c>
    </row>
    <row r="204" spans="1:11" ht="14.6" x14ac:dyDescent="0.4">
      <c r="A204" s="94"/>
      <c r="B204" s="94"/>
      <c r="C204" s="94"/>
      <c r="D204" s="94"/>
      <c r="E204" s="94" t="s">
        <v>545</v>
      </c>
      <c r="F204" s="95">
        <v>44068</v>
      </c>
      <c r="G204" s="94" t="s">
        <v>2601</v>
      </c>
      <c r="H204" s="94" t="s">
        <v>824</v>
      </c>
      <c r="I204" s="94" t="s">
        <v>2634</v>
      </c>
      <c r="J204" s="94" t="s">
        <v>924</v>
      </c>
      <c r="K204" s="97">
        <v>165</v>
      </c>
    </row>
    <row r="205" spans="1:11" ht="14.6" x14ac:dyDescent="0.4">
      <c r="A205" s="94"/>
      <c r="B205" s="94"/>
      <c r="C205" s="94"/>
      <c r="D205" s="94"/>
      <c r="E205" s="94" t="s">
        <v>544</v>
      </c>
      <c r="F205" s="95">
        <v>44069</v>
      </c>
      <c r="G205" s="94" t="s">
        <v>2484</v>
      </c>
      <c r="H205" s="94" t="s">
        <v>1713</v>
      </c>
      <c r="I205" s="94" t="s">
        <v>2485</v>
      </c>
      <c r="J205" s="94" t="s">
        <v>733</v>
      </c>
      <c r="K205" s="97">
        <v>54.08</v>
      </c>
    </row>
    <row r="206" spans="1:11" ht="14.6" x14ac:dyDescent="0.4">
      <c r="A206" s="94"/>
      <c r="B206" s="94"/>
      <c r="C206" s="94"/>
      <c r="D206" s="94"/>
      <c r="E206" s="94" t="s">
        <v>545</v>
      </c>
      <c r="F206" s="95">
        <v>44069</v>
      </c>
      <c r="G206" s="94" t="s">
        <v>2602</v>
      </c>
      <c r="H206" s="94" t="s">
        <v>2623</v>
      </c>
      <c r="I206" s="94" t="s">
        <v>2635</v>
      </c>
      <c r="J206" s="94" t="s">
        <v>923</v>
      </c>
      <c r="K206" s="97">
        <v>203.02</v>
      </c>
    </row>
    <row r="207" spans="1:11" ht="14.6" x14ac:dyDescent="0.4">
      <c r="A207" s="94"/>
      <c r="B207" s="94"/>
      <c r="C207" s="94"/>
      <c r="D207" s="94"/>
      <c r="E207" s="94" t="s">
        <v>544</v>
      </c>
      <c r="F207" s="95">
        <v>44070</v>
      </c>
      <c r="G207" s="94" t="s">
        <v>1337</v>
      </c>
      <c r="H207" s="94" t="s">
        <v>2378</v>
      </c>
      <c r="I207" s="94" t="s">
        <v>2392</v>
      </c>
      <c r="J207" s="94" t="s">
        <v>733</v>
      </c>
      <c r="K207" s="97">
        <v>4489</v>
      </c>
    </row>
    <row r="208" spans="1:11" ht="14.6" x14ac:dyDescent="0.4">
      <c r="A208" s="94"/>
      <c r="B208" s="94"/>
      <c r="C208" s="94"/>
      <c r="D208" s="94"/>
      <c r="E208" s="94" t="s">
        <v>544</v>
      </c>
      <c r="F208" s="95">
        <v>44070</v>
      </c>
      <c r="G208" s="94" t="s">
        <v>2367</v>
      </c>
      <c r="H208" s="94" t="s">
        <v>811</v>
      </c>
      <c r="I208" s="94" t="s">
        <v>2393</v>
      </c>
      <c r="J208" s="94" t="s">
        <v>733</v>
      </c>
      <c r="K208" s="97">
        <v>350</v>
      </c>
    </row>
    <row r="209" spans="1:11" ht="14.6" x14ac:dyDescent="0.4">
      <c r="A209" s="94"/>
      <c r="B209" s="94"/>
      <c r="C209" s="94"/>
      <c r="D209" s="94"/>
      <c r="E209" s="94" t="s">
        <v>544</v>
      </c>
      <c r="F209" s="95">
        <v>44070</v>
      </c>
      <c r="G209" s="94" t="s">
        <v>2367</v>
      </c>
      <c r="H209" s="94" t="s">
        <v>811</v>
      </c>
      <c r="I209" s="94" t="s">
        <v>2394</v>
      </c>
      <c r="J209" s="94" t="s">
        <v>733</v>
      </c>
      <c r="K209" s="97">
        <v>310</v>
      </c>
    </row>
    <row r="210" spans="1:11" ht="14.6" x14ac:dyDescent="0.4">
      <c r="A210" s="94"/>
      <c r="B210" s="94"/>
      <c r="C210" s="94"/>
      <c r="D210" s="94"/>
      <c r="E210" s="94" t="s">
        <v>544</v>
      </c>
      <c r="F210" s="95">
        <v>44070</v>
      </c>
      <c r="G210" s="94" t="s">
        <v>1337</v>
      </c>
      <c r="H210" s="94" t="s">
        <v>834</v>
      </c>
      <c r="I210" s="94" t="s">
        <v>2395</v>
      </c>
      <c r="J210" s="94" t="s">
        <v>733</v>
      </c>
      <c r="K210" s="97">
        <v>40.880000000000003</v>
      </c>
    </row>
    <row r="211" spans="1:11" ht="14.6" x14ac:dyDescent="0.4">
      <c r="A211" s="94"/>
      <c r="B211" s="94"/>
      <c r="C211" s="94"/>
      <c r="D211" s="94"/>
      <c r="E211" s="94" t="s">
        <v>545</v>
      </c>
      <c r="F211" s="95">
        <v>44070</v>
      </c>
      <c r="G211" s="94" t="s">
        <v>2603</v>
      </c>
      <c r="H211" s="94" t="s">
        <v>2622</v>
      </c>
      <c r="I211" s="94" t="s">
        <v>2636</v>
      </c>
      <c r="J211" s="94" t="s">
        <v>923</v>
      </c>
      <c r="K211" s="97">
        <v>46</v>
      </c>
    </row>
    <row r="212" spans="1:11" ht="14.6" x14ac:dyDescent="0.4">
      <c r="A212" s="94"/>
      <c r="B212" s="94"/>
      <c r="C212" s="94"/>
      <c r="D212" s="94"/>
      <c r="E212" s="94" t="s">
        <v>545</v>
      </c>
      <c r="F212" s="95">
        <v>44070</v>
      </c>
      <c r="G212" s="94" t="s">
        <v>2604</v>
      </c>
      <c r="H212" s="94" t="s">
        <v>2624</v>
      </c>
      <c r="I212" s="94" t="s">
        <v>2637</v>
      </c>
      <c r="J212" s="94" t="s">
        <v>924</v>
      </c>
      <c r="K212" s="97">
        <v>71</v>
      </c>
    </row>
    <row r="213" spans="1:11" ht="14.6" x14ac:dyDescent="0.4">
      <c r="A213" s="94"/>
      <c r="B213" s="94"/>
      <c r="C213" s="94"/>
      <c r="D213" s="94"/>
      <c r="E213" s="94" t="s">
        <v>544</v>
      </c>
      <c r="F213" s="95">
        <v>44074</v>
      </c>
      <c r="G213" s="94" t="s">
        <v>1332</v>
      </c>
      <c r="H213" s="94" t="s">
        <v>824</v>
      </c>
      <c r="I213" s="94" t="s">
        <v>2396</v>
      </c>
      <c r="J213" s="94" t="s">
        <v>733</v>
      </c>
      <c r="K213" s="97">
        <v>330</v>
      </c>
    </row>
    <row r="214" spans="1:11" ht="14.6" x14ac:dyDescent="0.4">
      <c r="A214" s="94"/>
      <c r="B214" s="94"/>
      <c r="C214" s="94"/>
      <c r="D214" s="94"/>
      <c r="E214" s="94" t="s">
        <v>545</v>
      </c>
      <c r="F214" s="95">
        <v>44074</v>
      </c>
      <c r="G214" s="94" t="s">
        <v>2605</v>
      </c>
      <c r="H214" s="94" t="s">
        <v>2625</v>
      </c>
      <c r="I214" s="94" t="s">
        <v>2638</v>
      </c>
      <c r="J214" s="94" t="s">
        <v>924</v>
      </c>
      <c r="K214" s="97">
        <v>25.97</v>
      </c>
    </row>
    <row r="215" spans="1:11" ht="14.6" x14ac:dyDescent="0.4">
      <c r="A215" s="94"/>
      <c r="B215" s="94"/>
      <c r="C215" s="94"/>
      <c r="D215" s="94"/>
      <c r="E215" s="94" t="s">
        <v>1314</v>
      </c>
      <c r="F215" s="95">
        <v>44075</v>
      </c>
      <c r="G215" s="94" t="s">
        <v>2368</v>
      </c>
      <c r="H215" s="94" t="s">
        <v>2379</v>
      </c>
      <c r="I215" s="94" t="s">
        <v>2431</v>
      </c>
      <c r="J215" s="94" t="s">
        <v>1379</v>
      </c>
      <c r="K215" s="97">
        <v>-51</v>
      </c>
    </row>
    <row r="216" spans="1:11" ht="14.6" x14ac:dyDescent="0.4">
      <c r="A216" s="94"/>
      <c r="B216" s="94"/>
      <c r="C216" s="94"/>
      <c r="D216" s="94"/>
      <c r="E216" s="94" t="s">
        <v>545</v>
      </c>
      <c r="F216" s="95">
        <v>44076</v>
      </c>
      <c r="G216" s="94" t="s">
        <v>2606</v>
      </c>
      <c r="H216" s="94" t="s">
        <v>1070</v>
      </c>
      <c r="I216" s="94" t="s">
        <v>2639</v>
      </c>
      <c r="J216" s="94" t="s">
        <v>924</v>
      </c>
      <c r="K216" s="97">
        <v>25</v>
      </c>
    </row>
    <row r="217" spans="1:11" ht="14.6" x14ac:dyDescent="0.4">
      <c r="A217" s="94"/>
      <c r="B217" s="94"/>
      <c r="C217" s="94"/>
      <c r="D217" s="94"/>
      <c r="E217" s="94" t="s">
        <v>544</v>
      </c>
      <c r="F217" s="95">
        <v>44077</v>
      </c>
      <c r="G217" s="94" t="s">
        <v>2369</v>
      </c>
      <c r="H217" s="94" t="s">
        <v>813</v>
      </c>
      <c r="I217" s="94" t="s">
        <v>2397</v>
      </c>
      <c r="J217" s="94" t="s">
        <v>733</v>
      </c>
      <c r="K217" s="97">
        <v>45</v>
      </c>
    </row>
    <row r="218" spans="1:11" ht="14.6" x14ac:dyDescent="0.4">
      <c r="A218" s="94"/>
      <c r="B218" s="94"/>
      <c r="C218" s="94"/>
      <c r="D218" s="94"/>
      <c r="E218" s="94" t="s">
        <v>1314</v>
      </c>
      <c r="F218" s="95">
        <v>44083</v>
      </c>
      <c r="G218" s="94" t="s">
        <v>2370</v>
      </c>
      <c r="H218" s="94" t="s">
        <v>2003</v>
      </c>
      <c r="I218" s="94" t="s">
        <v>2430</v>
      </c>
      <c r="J218" s="94" t="s">
        <v>1379</v>
      </c>
      <c r="K218" s="97">
        <v>-500</v>
      </c>
    </row>
    <row r="219" spans="1:11" ht="14.6" x14ac:dyDescent="0.4">
      <c r="A219" s="94"/>
      <c r="B219" s="94"/>
      <c r="C219" s="94"/>
      <c r="D219" s="94"/>
      <c r="E219" s="94" t="s">
        <v>544</v>
      </c>
      <c r="F219" s="95">
        <v>44088</v>
      </c>
      <c r="G219" s="94" t="s">
        <v>2371</v>
      </c>
      <c r="H219" s="94" t="s">
        <v>811</v>
      </c>
      <c r="I219" s="94" t="s">
        <v>2398</v>
      </c>
      <c r="J219" s="94" t="s">
        <v>733</v>
      </c>
      <c r="K219" s="97">
        <v>310</v>
      </c>
    </row>
    <row r="220" spans="1:11" ht="14.6" x14ac:dyDescent="0.4">
      <c r="A220" s="94"/>
      <c r="B220" s="94"/>
      <c r="C220" s="94"/>
      <c r="D220" s="94"/>
      <c r="E220" s="94" t="s">
        <v>544</v>
      </c>
      <c r="F220" s="95">
        <v>44089</v>
      </c>
      <c r="G220" s="94" t="s">
        <v>2372</v>
      </c>
      <c r="H220" s="94" t="s">
        <v>813</v>
      </c>
      <c r="I220" s="94" t="s">
        <v>2399</v>
      </c>
      <c r="J220" s="94" t="s">
        <v>733</v>
      </c>
      <c r="K220" s="97">
        <v>25</v>
      </c>
    </row>
    <row r="221" spans="1:11" ht="14.6" x14ac:dyDescent="0.4">
      <c r="A221" s="94"/>
      <c r="B221" s="94"/>
      <c r="C221" s="94"/>
      <c r="D221" s="94"/>
      <c r="E221" s="94" t="s">
        <v>544</v>
      </c>
      <c r="F221" s="95">
        <v>44089</v>
      </c>
      <c r="G221" s="94" t="s">
        <v>805</v>
      </c>
      <c r="H221" s="94" t="s">
        <v>2380</v>
      </c>
      <c r="I221" s="94" t="s">
        <v>2400</v>
      </c>
      <c r="J221" s="94" t="s">
        <v>733</v>
      </c>
      <c r="K221" s="97">
        <v>20</v>
      </c>
    </row>
    <row r="222" spans="1:11" ht="14.6" x14ac:dyDescent="0.4">
      <c r="A222" s="94"/>
      <c r="B222" s="94"/>
      <c r="C222" s="94"/>
      <c r="D222" s="94"/>
      <c r="E222" s="94" t="s">
        <v>544</v>
      </c>
      <c r="F222" s="95">
        <v>44089</v>
      </c>
      <c r="G222" s="94" t="s">
        <v>805</v>
      </c>
      <c r="H222" s="94" t="s">
        <v>2380</v>
      </c>
      <c r="I222" s="94" t="s">
        <v>2401</v>
      </c>
      <c r="J222" s="94" t="s">
        <v>733</v>
      </c>
      <c r="K222" s="97">
        <v>20</v>
      </c>
    </row>
    <row r="223" spans="1:11" ht="14.6" x14ac:dyDescent="0.4">
      <c r="A223" s="94"/>
      <c r="B223" s="94"/>
      <c r="C223" s="94"/>
      <c r="D223" s="94"/>
      <c r="E223" s="94" t="s">
        <v>544</v>
      </c>
      <c r="F223" s="95">
        <v>44089</v>
      </c>
      <c r="G223" s="94" t="s">
        <v>805</v>
      </c>
      <c r="H223" s="94" t="s">
        <v>2380</v>
      </c>
      <c r="I223" s="94" t="s">
        <v>2402</v>
      </c>
      <c r="J223" s="94" t="s">
        <v>733</v>
      </c>
      <c r="K223" s="97">
        <v>20</v>
      </c>
    </row>
    <row r="224" spans="1:11" ht="14.6" x14ac:dyDescent="0.4">
      <c r="A224" s="94"/>
      <c r="B224" s="94"/>
      <c r="C224" s="94"/>
      <c r="D224" s="94"/>
      <c r="E224" s="94" t="s">
        <v>544</v>
      </c>
      <c r="F224" s="95">
        <v>44089</v>
      </c>
      <c r="G224" s="94" t="s">
        <v>805</v>
      </c>
      <c r="H224" s="94" t="s">
        <v>2380</v>
      </c>
      <c r="I224" s="94" t="s">
        <v>2403</v>
      </c>
      <c r="J224" s="94" t="s">
        <v>733</v>
      </c>
      <c r="K224" s="97">
        <v>20</v>
      </c>
    </row>
    <row r="225" spans="1:11" ht="14.6" x14ac:dyDescent="0.4">
      <c r="A225" s="94"/>
      <c r="B225" s="94"/>
      <c r="C225" s="94"/>
      <c r="D225" s="94"/>
      <c r="E225" s="94" t="s">
        <v>544</v>
      </c>
      <c r="F225" s="95">
        <v>44089</v>
      </c>
      <c r="G225" s="94" t="s">
        <v>805</v>
      </c>
      <c r="H225" s="94" t="s">
        <v>2380</v>
      </c>
      <c r="I225" s="94" t="s">
        <v>2404</v>
      </c>
      <c r="J225" s="94" t="s">
        <v>733</v>
      </c>
      <c r="K225" s="97">
        <v>20</v>
      </c>
    </row>
    <row r="226" spans="1:11" ht="14.6" x14ac:dyDescent="0.4">
      <c r="A226" s="94"/>
      <c r="B226" s="94"/>
      <c r="C226" s="94"/>
      <c r="D226" s="94"/>
      <c r="E226" s="94" t="s">
        <v>544</v>
      </c>
      <c r="F226" s="95">
        <v>44089</v>
      </c>
      <c r="G226" s="94" t="s">
        <v>805</v>
      </c>
      <c r="H226" s="94" t="s">
        <v>2380</v>
      </c>
      <c r="I226" s="94" t="s">
        <v>2405</v>
      </c>
      <c r="J226" s="94" t="s">
        <v>733</v>
      </c>
      <c r="K226" s="97">
        <v>20</v>
      </c>
    </row>
    <row r="227" spans="1:11" ht="14.6" x14ac:dyDescent="0.4">
      <c r="A227" s="94"/>
      <c r="B227" s="94"/>
      <c r="C227" s="94"/>
      <c r="D227" s="94"/>
      <c r="E227" s="94" t="s">
        <v>544</v>
      </c>
      <c r="F227" s="95">
        <v>44089</v>
      </c>
      <c r="G227" s="94" t="s">
        <v>805</v>
      </c>
      <c r="H227" s="94" t="s">
        <v>2380</v>
      </c>
      <c r="I227" s="94" t="s">
        <v>2406</v>
      </c>
      <c r="J227" s="94" t="s">
        <v>733</v>
      </c>
      <c r="K227" s="97">
        <v>20</v>
      </c>
    </row>
    <row r="228" spans="1:11" ht="14.6" x14ac:dyDescent="0.4">
      <c r="A228" s="94"/>
      <c r="B228" s="94"/>
      <c r="C228" s="94"/>
      <c r="D228" s="94"/>
      <c r="E228" s="94" t="s">
        <v>544</v>
      </c>
      <c r="F228" s="95">
        <v>44089</v>
      </c>
      <c r="G228" s="94" t="s">
        <v>805</v>
      </c>
      <c r="H228" s="94" t="s">
        <v>2380</v>
      </c>
      <c r="I228" s="94" t="s">
        <v>2407</v>
      </c>
      <c r="J228" s="94" t="s">
        <v>733</v>
      </c>
      <c r="K228" s="97">
        <v>20</v>
      </c>
    </row>
    <row r="229" spans="1:11" ht="14.6" x14ac:dyDescent="0.4">
      <c r="A229" s="94"/>
      <c r="B229" s="94"/>
      <c r="C229" s="94"/>
      <c r="D229" s="94"/>
      <c r="E229" s="94" t="s">
        <v>544</v>
      </c>
      <c r="F229" s="95">
        <v>44089</v>
      </c>
      <c r="G229" s="94" t="s">
        <v>805</v>
      </c>
      <c r="H229" s="94" t="s">
        <v>2380</v>
      </c>
      <c r="I229" s="94" t="s">
        <v>2408</v>
      </c>
      <c r="J229" s="94" t="s">
        <v>733</v>
      </c>
      <c r="K229" s="97">
        <v>20</v>
      </c>
    </row>
    <row r="230" spans="1:11" ht="14.6" x14ac:dyDescent="0.4">
      <c r="A230" s="94"/>
      <c r="B230" s="94"/>
      <c r="C230" s="94"/>
      <c r="D230" s="94"/>
      <c r="E230" s="94" t="s">
        <v>544</v>
      </c>
      <c r="F230" s="95">
        <v>44089</v>
      </c>
      <c r="G230" s="94" t="s">
        <v>805</v>
      </c>
      <c r="H230" s="94" t="s">
        <v>2380</v>
      </c>
      <c r="I230" s="94" t="s">
        <v>2409</v>
      </c>
      <c r="J230" s="94" t="s">
        <v>733</v>
      </c>
      <c r="K230" s="97">
        <v>20</v>
      </c>
    </row>
    <row r="231" spans="1:11" ht="14.6" x14ac:dyDescent="0.4">
      <c r="A231" s="94"/>
      <c r="B231" s="94"/>
      <c r="C231" s="94"/>
      <c r="D231" s="94"/>
      <c r="E231" s="94" t="s">
        <v>544</v>
      </c>
      <c r="F231" s="95">
        <v>44089</v>
      </c>
      <c r="G231" s="94" t="s">
        <v>805</v>
      </c>
      <c r="H231" s="94" t="s">
        <v>2380</v>
      </c>
      <c r="I231" s="94" t="s">
        <v>2410</v>
      </c>
      <c r="J231" s="94" t="s">
        <v>733</v>
      </c>
      <c r="K231" s="97">
        <v>20</v>
      </c>
    </row>
    <row r="232" spans="1:11" ht="14.6" x14ac:dyDescent="0.4">
      <c r="A232" s="94"/>
      <c r="B232" s="94"/>
      <c r="C232" s="94"/>
      <c r="D232" s="94"/>
      <c r="E232" s="94" t="s">
        <v>544</v>
      </c>
      <c r="F232" s="95">
        <v>44089</v>
      </c>
      <c r="G232" s="94" t="s">
        <v>805</v>
      </c>
      <c r="H232" s="94" t="s">
        <v>2380</v>
      </c>
      <c r="I232" s="94" t="s">
        <v>2411</v>
      </c>
      <c r="J232" s="94" t="s">
        <v>733</v>
      </c>
      <c r="K232" s="97">
        <v>20</v>
      </c>
    </row>
    <row r="233" spans="1:11" ht="14.6" x14ac:dyDescent="0.4">
      <c r="A233" s="94"/>
      <c r="B233" s="94"/>
      <c r="C233" s="94"/>
      <c r="D233" s="94"/>
      <c r="E233" s="94" t="s">
        <v>544</v>
      </c>
      <c r="F233" s="95">
        <v>44089</v>
      </c>
      <c r="G233" s="94" t="s">
        <v>805</v>
      </c>
      <c r="H233" s="94" t="s">
        <v>2380</v>
      </c>
      <c r="I233" s="94" t="s">
        <v>2412</v>
      </c>
      <c r="J233" s="94" t="s">
        <v>733</v>
      </c>
      <c r="K233" s="97">
        <v>20</v>
      </c>
    </row>
    <row r="234" spans="1:11" ht="14.6" x14ac:dyDescent="0.4">
      <c r="A234" s="94"/>
      <c r="B234" s="94"/>
      <c r="C234" s="94"/>
      <c r="D234" s="94"/>
      <c r="E234" s="94" t="s">
        <v>544</v>
      </c>
      <c r="F234" s="95">
        <v>44089</v>
      </c>
      <c r="G234" s="94" t="s">
        <v>805</v>
      </c>
      <c r="H234" s="94" t="s">
        <v>2380</v>
      </c>
      <c r="I234" s="94" t="s">
        <v>2413</v>
      </c>
      <c r="J234" s="94" t="s">
        <v>733</v>
      </c>
      <c r="K234" s="97">
        <v>20</v>
      </c>
    </row>
    <row r="235" spans="1:11" ht="14.6" x14ac:dyDescent="0.4">
      <c r="A235" s="94"/>
      <c r="B235" s="94"/>
      <c r="C235" s="94"/>
      <c r="D235" s="94"/>
      <c r="E235" s="94" t="s">
        <v>544</v>
      </c>
      <c r="F235" s="95">
        <v>44089</v>
      </c>
      <c r="G235" s="94" t="s">
        <v>805</v>
      </c>
      <c r="H235" s="94" t="s">
        <v>2380</v>
      </c>
      <c r="I235" s="94" t="s">
        <v>2414</v>
      </c>
      <c r="J235" s="94" t="s">
        <v>733</v>
      </c>
      <c r="K235" s="97">
        <v>20</v>
      </c>
    </row>
    <row r="236" spans="1:11" ht="14.6" x14ac:dyDescent="0.4">
      <c r="A236" s="94"/>
      <c r="B236" s="94"/>
      <c r="C236" s="94"/>
      <c r="D236" s="94"/>
      <c r="E236" s="94" t="s">
        <v>544</v>
      </c>
      <c r="F236" s="95">
        <v>44089</v>
      </c>
      <c r="G236" s="94" t="s">
        <v>2373</v>
      </c>
      <c r="H236" s="94" t="s">
        <v>811</v>
      </c>
      <c r="I236" s="94" t="s">
        <v>2415</v>
      </c>
      <c r="J236" s="94" t="s">
        <v>733</v>
      </c>
      <c r="K236" s="97">
        <v>235</v>
      </c>
    </row>
    <row r="237" spans="1:11" ht="14.6" x14ac:dyDescent="0.4">
      <c r="A237" s="94"/>
      <c r="B237" s="94"/>
      <c r="C237" s="94"/>
      <c r="D237" s="94"/>
      <c r="E237" s="94" t="s">
        <v>544</v>
      </c>
      <c r="F237" s="95">
        <v>44089</v>
      </c>
      <c r="G237" s="94" t="s">
        <v>2373</v>
      </c>
      <c r="H237" s="94" t="s">
        <v>811</v>
      </c>
      <c r="I237" s="94" t="s">
        <v>2416</v>
      </c>
      <c r="J237" s="94" t="s">
        <v>733</v>
      </c>
      <c r="K237" s="97">
        <v>235</v>
      </c>
    </row>
    <row r="238" spans="1:11" ht="14.6" x14ac:dyDescent="0.4">
      <c r="A238" s="94"/>
      <c r="B238" s="94"/>
      <c r="C238" s="94"/>
      <c r="D238" s="94"/>
      <c r="E238" s="94" t="s">
        <v>544</v>
      </c>
      <c r="F238" s="95">
        <v>44089</v>
      </c>
      <c r="G238" s="94" t="s">
        <v>2373</v>
      </c>
      <c r="H238" s="94" t="s">
        <v>811</v>
      </c>
      <c r="I238" s="94" t="s">
        <v>2417</v>
      </c>
      <c r="J238" s="94" t="s">
        <v>733</v>
      </c>
      <c r="K238" s="97">
        <v>235</v>
      </c>
    </row>
    <row r="239" spans="1:11" ht="14.6" x14ac:dyDescent="0.4">
      <c r="A239" s="94"/>
      <c r="B239" s="94"/>
      <c r="C239" s="94"/>
      <c r="D239" s="94"/>
      <c r="E239" s="94" t="s">
        <v>544</v>
      </c>
      <c r="F239" s="95">
        <v>44089</v>
      </c>
      <c r="G239" s="94" t="s">
        <v>2373</v>
      </c>
      <c r="H239" s="94" t="s">
        <v>811</v>
      </c>
      <c r="I239" s="94" t="s">
        <v>2418</v>
      </c>
      <c r="J239" s="94" t="s">
        <v>733</v>
      </c>
      <c r="K239" s="97">
        <v>235</v>
      </c>
    </row>
    <row r="240" spans="1:11" ht="14.6" x14ac:dyDescent="0.4">
      <c r="A240" s="94"/>
      <c r="B240" s="94"/>
      <c r="C240" s="94"/>
      <c r="D240" s="94"/>
      <c r="E240" s="94" t="s">
        <v>544</v>
      </c>
      <c r="F240" s="95">
        <v>44089</v>
      </c>
      <c r="G240" s="94" t="s">
        <v>2373</v>
      </c>
      <c r="H240" s="94" t="s">
        <v>811</v>
      </c>
      <c r="I240" s="94" t="s">
        <v>2419</v>
      </c>
      <c r="J240" s="94" t="s">
        <v>733</v>
      </c>
      <c r="K240" s="97">
        <v>150</v>
      </c>
    </row>
    <row r="241" spans="1:11" ht="14.6" x14ac:dyDescent="0.4">
      <c r="A241" s="94"/>
      <c r="B241" s="94"/>
      <c r="C241" s="94"/>
      <c r="D241" s="94"/>
      <c r="E241" s="94" t="s">
        <v>544</v>
      </c>
      <c r="F241" s="95">
        <v>44089</v>
      </c>
      <c r="G241" s="94" t="s">
        <v>2373</v>
      </c>
      <c r="H241" s="94" t="s">
        <v>811</v>
      </c>
      <c r="I241" s="94" t="s">
        <v>2420</v>
      </c>
      <c r="J241" s="94" t="s">
        <v>733</v>
      </c>
      <c r="K241" s="97">
        <v>150</v>
      </c>
    </row>
    <row r="242" spans="1:11" ht="14.6" x14ac:dyDescent="0.4">
      <c r="A242" s="94"/>
      <c r="B242" s="94"/>
      <c r="C242" s="94"/>
      <c r="D242" s="94"/>
      <c r="E242" s="94" t="s">
        <v>544</v>
      </c>
      <c r="F242" s="95">
        <v>44089</v>
      </c>
      <c r="G242" s="94" t="s">
        <v>2373</v>
      </c>
      <c r="H242" s="94" t="s">
        <v>811</v>
      </c>
      <c r="I242" s="94" t="s">
        <v>2421</v>
      </c>
      <c r="J242" s="94" t="s">
        <v>733</v>
      </c>
      <c r="K242" s="97">
        <v>150</v>
      </c>
    </row>
    <row r="243" spans="1:11" ht="14.6" x14ac:dyDescent="0.4">
      <c r="A243" s="94"/>
      <c r="B243" s="94"/>
      <c r="C243" s="94"/>
      <c r="D243" s="94"/>
      <c r="E243" s="94" t="s">
        <v>544</v>
      </c>
      <c r="F243" s="95">
        <v>44089</v>
      </c>
      <c r="G243" s="94" t="s">
        <v>2373</v>
      </c>
      <c r="H243" s="94" t="s">
        <v>811</v>
      </c>
      <c r="I243" s="94" t="s">
        <v>2422</v>
      </c>
      <c r="J243" s="94" t="s">
        <v>733</v>
      </c>
      <c r="K243" s="97">
        <v>150</v>
      </c>
    </row>
    <row r="244" spans="1:11" ht="14.6" x14ac:dyDescent="0.4">
      <c r="A244" s="94"/>
      <c r="B244" s="94"/>
      <c r="C244" s="94"/>
      <c r="D244" s="94"/>
      <c r="E244" s="94" t="s">
        <v>544</v>
      </c>
      <c r="F244" s="95">
        <v>44089</v>
      </c>
      <c r="G244" s="94" t="s">
        <v>2373</v>
      </c>
      <c r="H244" s="94" t="s">
        <v>811</v>
      </c>
      <c r="I244" s="94" t="s">
        <v>2423</v>
      </c>
      <c r="J244" s="94" t="s">
        <v>733</v>
      </c>
      <c r="K244" s="97">
        <v>150</v>
      </c>
    </row>
    <row r="245" spans="1:11" ht="14.6" x14ac:dyDescent="0.4">
      <c r="A245" s="94"/>
      <c r="B245" s="94"/>
      <c r="C245" s="94"/>
      <c r="D245" s="94"/>
      <c r="E245" s="94" t="s">
        <v>544</v>
      </c>
      <c r="F245" s="95">
        <v>44089</v>
      </c>
      <c r="G245" s="94" t="s">
        <v>2373</v>
      </c>
      <c r="H245" s="94" t="s">
        <v>811</v>
      </c>
      <c r="I245" s="94" t="s">
        <v>2424</v>
      </c>
      <c r="J245" s="94" t="s">
        <v>733</v>
      </c>
      <c r="K245" s="97">
        <v>75</v>
      </c>
    </row>
    <row r="246" spans="1:11" ht="14.6" x14ac:dyDescent="0.4">
      <c r="A246" s="94"/>
      <c r="B246" s="94"/>
      <c r="C246" s="94"/>
      <c r="D246" s="94"/>
      <c r="E246" s="94" t="s">
        <v>544</v>
      </c>
      <c r="F246" s="95">
        <v>44089</v>
      </c>
      <c r="G246" s="94" t="s">
        <v>2373</v>
      </c>
      <c r="H246" s="94" t="s">
        <v>811</v>
      </c>
      <c r="I246" s="94" t="s">
        <v>2425</v>
      </c>
      <c r="J246" s="94" t="s">
        <v>733</v>
      </c>
      <c r="K246" s="97">
        <v>150</v>
      </c>
    </row>
    <row r="247" spans="1:11" ht="14.6" x14ac:dyDescent="0.4">
      <c r="A247" s="94"/>
      <c r="B247" s="94"/>
      <c r="C247" s="94"/>
      <c r="D247" s="94"/>
      <c r="E247" s="94" t="s">
        <v>544</v>
      </c>
      <c r="F247" s="95">
        <v>44089</v>
      </c>
      <c r="G247" s="94" t="s">
        <v>2373</v>
      </c>
      <c r="H247" s="94" t="s">
        <v>811</v>
      </c>
      <c r="I247" s="94" t="s">
        <v>2426</v>
      </c>
      <c r="J247" s="94" t="s">
        <v>733</v>
      </c>
      <c r="K247" s="97">
        <v>350</v>
      </c>
    </row>
    <row r="248" spans="1:11" ht="14.6" x14ac:dyDescent="0.4">
      <c r="A248" s="94"/>
      <c r="B248" s="94"/>
      <c r="C248" s="94"/>
      <c r="D248" s="94"/>
      <c r="E248" s="94" t="s">
        <v>544</v>
      </c>
      <c r="F248" s="95">
        <v>44089</v>
      </c>
      <c r="G248" s="94" t="s">
        <v>2373</v>
      </c>
      <c r="H248" s="94" t="s">
        <v>811</v>
      </c>
      <c r="I248" s="94" t="s">
        <v>2427</v>
      </c>
      <c r="J248" s="94" t="s">
        <v>733</v>
      </c>
      <c r="K248" s="97">
        <v>310</v>
      </c>
    </row>
    <row r="249" spans="1:11" ht="14.6" x14ac:dyDescent="0.4">
      <c r="A249" s="94"/>
      <c r="B249" s="94"/>
      <c r="C249" s="94"/>
      <c r="D249" s="94"/>
      <c r="E249" s="94" t="s">
        <v>544</v>
      </c>
      <c r="F249" s="95">
        <v>44089</v>
      </c>
      <c r="G249" s="94" t="s">
        <v>2374</v>
      </c>
      <c r="H249" s="94" t="s">
        <v>813</v>
      </c>
      <c r="I249" s="94" t="s">
        <v>2428</v>
      </c>
      <c r="J249" s="94" t="s">
        <v>733</v>
      </c>
      <c r="K249" s="97">
        <v>45</v>
      </c>
    </row>
    <row r="250" spans="1:11" ht="14.6" x14ac:dyDescent="0.4">
      <c r="A250" s="94"/>
      <c r="B250" s="94"/>
      <c r="C250" s="94"/>
      <c r="D250" s="94"/>
      <c r="E250" s="94" t="s">
        <v>1314</v>
      </c>
      <c r="F250" s="95">
        <v>44090</v>
      </c>
      <c r="G250" s="94" t="s">
        <v>2375</v>
      </c>
      <c r="H250" s="94" t="s">
        <v>815</v>
      </c>
      <c r="I250" s="94" t="s">
        <v>2429</v>
      </c>
      <c r="J250" s="94" t="s">
        <v>1379</v>
      </c>
      <c r="K250" s="97">
        <v>-3225</v>
      </c>
    </row>
    <row r="251" spans="1:11" ht="14.6" x14ac:dyDescent="0.4">
      <c r="A251" s="94"/>
      <c r="B251" s="94"/>
      <c r="C251" s="94"/>
      <c r="D251" s="94"/>
      <c r="E251" s="94" t="s">
        <v>544</v>
      </c>
      <c r="F251" s="95">
        <v>44095</v>
      </c>
      <c r="G251" s="94" t="s">
        <v>2273</v>
      </c>
      <c r="H251" s="94" t="s">
        <v>2626</v>
      </c>
      <c r="I251" s="94" t="s">
        <v>2395</v>
      </c>
      <c r="J251" s="94" t="s">
        <v>733</v>
      </c>
      <c r="K251" s="97">
        <v>40.81</v>
      </c>
    </row>
    <row r="252" spans="1:11" ht="14.6" x14ac:dyDescent="0.4">
      <c r="A252" s="94"/>
      <c r="B252" s="94"/>
      <c r="C252" s="94"/>
      <c r="D252" s="94"/>
      <c r="E252" s="94" t="s">
        <v>544</v>
      </c>
      <c r="F252" s="95">
        <v>44095</v>
      </c>
      <c r="G252" s="94" t="s">
        <v>2607</v>
      </c>
      <c r="H252" s="94" t="s">
        <v>811</v>
      </c>
      <c r="I252" s="94" t="s">
        <v>2640</v>
      </c>
      <c r="J252" s="94" t="s">
        <v>733</v>
      </c>
      <c r="K252" s="97">
        <v>150</v>
      </c>
    </row>
    <row r="253" spans="1:11" ht="14.6" x14ac:dyDescent="0.4">
      <c r="A253" s="94"/>
      <c r="B253" s="94"/>
      <c r="C253" s="94"/>
      <c r="D253" s="94"/>
      <c r="E253" s="94" t="s">
        <v>544</v>
      </c>
      <c r="F253" s="95">
        <v>44095</v>
      </c>
      <c r="G253" s="94" t="s">
        <v>2607</v>
      </c>
      <c r="H253" s="94" t="s">
        <v>811</v>
      </c>
      <c r="I253" s="94" t="s">
        <v>2641</v>
      </c>
      <c r="J253" s="94" t="s">
        <v>733</v>
      </c>
      <c r="K253" s="97">
        <v>150</v>
      </c>
    </row>
    <row r="254" spans="1:11" ht="14.6" x14ac:dyDescent="0.4">
      <c r="A254" s="94"/>
      <c r="B254" s="94"/>
      <c r="C254" s="94"/>
      <c r="D254" s="94"/>
      <c r="E254" s="94" t="s">
        <v>544</v>
      </c>
      <c r="F254" s="95">
        <v>44095</v>
      </c>
      <c r="G254" s="94" t="s">
        <v>2607</v>
      </c>
      <c r="H254" s="94" t="s">
        <v>811</v>
      </c>
      <c r="I254" s="94" t="s">
        <v>2642</v>
      </c>
      <c r="J254" s="94" t="s">
        <v>733</v>
      </c>
      <c r="K254" s="97">
        <v>150</v>
      </c>
    </row>
    <row r="255" spans="1:11" ht="14.6" x14ac:dyDescent="0.4">
      <c r="A255" s="94"/>
      <c r="B255" s="94"/>
      <c r="C255" s="94"/>
      <c r="D255" s="94"/>
      <c r="E255" s="94" t="s">
        <v>544</v>
      </c>
      <c r="F255" s="95">
        <v>44095</v>
      </c>
      <c r="G255" s="94" t="s">
        <v>2607</v>
      </c>
      <c r="H255" s="94" t="s">
        <v>811</v>
      </c>
      <c r="I255" s="94" t="s">
        <v>2643</v>
      </c>
      <c r="J255" s="94" t="s">
        <v>733</v>
      </c>
      <c r="K255" s="97">
        <v>150</v>
      </c>
    </row>
    <row r="256" spans="1:11" ht="14.6" x14ac:dyDescent="0.4">
      <c r="A256" s="94"/>
      <c r="B256" s="94"/>
      <c r="C256" s="94"/>
      <c r="D256" s="94"/>
      <c r="E256" s="94" t="s">
        <v>544</v>
      </c>
      <c r="F256" s="95">
        <v>44095</v>
      </c>
      <c r="G256" s="94" t="s">
        <v>2607</v>
      </c>
      <c r="H256" s="94" t="s">
        <v>811</v>
      </c>
      <c r="I256" s="94" t="s">
        <v>2644</v>
      </c>
      <c r="J256" s="94" t="s">
        <v>733</v>
      </c>
      <c r="K256" s="97">
        <v>150</v>
      </c>
    </row>
    <row r="257" spans="1:11" ht="14.6" x14ac:dyDescent="0.4">
      <c r="A257" s="94"/>
      <c r="B257" s="94"/>
      <c r="C257" s="94"/>
      <c r="D257" s="94"/>
      <c r="E257" s="94" t="s">
        <v>545</v>
      </c>
      <c r="F257" s="95">
        <v>44095</v>
      </c>
      <c r="G257" s="94" t="s">
        <v>2608</v>
      </c>
      <c r="H257" s="94" t="s">
        <v>811</v>
      </c>
      <c r="I257" s="94" t="s">
        <v>2645</v>
      </c>
      <c r="J257" s="94" t="s">
        <v>924</v>
      </c>
      <c r="K257" s="97">
        <v>100</v>
      </c>
    </row>
    <row r="258" spans="1:11" ht="14.6" x14ac:dyDescent="0.4">
      <c r="A258" s="94"/>
      <c r="B258" s="94"/>
      <c r="C258" s="94"/>
      <c r="D258" s="94"/>
      <c r="E258" s="94" t="s">
        <v>545</v>
      </c>
      <c r="F258" s="95">
        <v>44095</v>
      </c>
      <c r="G258" s="94" t="s">
        <v>2609</v>
      </c>
      <c r="H258" s="94" t="s">
        <v>811</v>
      </c>
      <c r="I258" s="94" t="s">
        <v>2646</v>
      </c>
      <c r="J258" s="94" t="s">
        <v>924</v>
      </c>
      <c r="K258" s="97">
        <v>50</v>
      </c>
    </row>
    <row r="259" spans="1:11" ht="14.6" x14ac:dyDescent="0.4">
      <c r="A259" s="94"/>
      <c r="B259" s="94"/>
      <c r="C259" s="94"/>
      <c r="D259" s="94"/>
      <c r="E259" s="94" t="s">
        <v>545</v>
      </c>
      <c r="F259" s="95">
        <v>44095</v>
      </c>
      <c r="G259" s="94" t="s">
        <v>2610</v>
      </c>
      <c r="H259" s="94" t="s">
        <v>824</v>
      </c>
      <c r="I259" s="94" t="s">
        <v>2647</v>
      </c>
      <c r="J259" s="94" t="s">
        <v>924</v>
      </c>
      <c r="K259" s="97">
        <v>165</v>
      </c>
    </row>
    <row r="260" spans="1:11" ht="14.6" x14ac:dyDescent="0.4">
      <c r="A260" s="94"/>
      <c r="B260" s="94"/>
      <c r="C260" s="94"/>
      <c r="D260" s="94"/>
      <c r="E260" s="94" t="s">
        <v>544</v>
      </c>
      <c r="F260" s="95">
        <v>44096</v>
      </c>
      <c r="G260" s="94" t="s">
        <v>2611</v>
      </c>
      <c r="H260" s="94" t="s">
        <v>1713</v>
      </c>
      <c r="I260" s="94" t="s">
        <v>2648</v>
      </c>
      <c r="J260" s="94" t="s">
        <v>733</v>
      </c>
      <c r="K260" s="97">
        <v>103.37</v>
      </c>
    </row>
    <row r="261" spans="1:11" ht="14.6" x14ac:dyDescent="0.4">
      <c r="A261" s="94"/>
      <c r="B261" s="94"/>
      <c r="C261" s="94"/>
      <c r="D261" s="94"/>
      <c r="E261" s="94" t="s">
        <v>544</v>
      </c>
      <c r="F261" s="95">
        <v>44096</v>
      </c>
      <c r="G261" s="94" t="s">
        <v>2273</v>
      </c>
      <c r="H261" s="94" t="s">
        <v>2627</v>
      </c>
      <c r="I261" s="94" t="s">
        <v>2649</v>
      </c>
      <c r="J261" s="94" t="s">
        <v>733</v>
      </c>
      <c r="K261" s="97">
        <v>39.869999999999997</v>
      </c>
    </row>
    <row r="262" spans="1:11" ht="14.6" x14ac:dyDescent="0.4">
      <c r="A262" s="94"/>
      <c r="B262" s="94"/>
      <c r="C262" s="94"/>
      <c r="D262" s="94"/>
      <c r="E262" s="94" t="s">
        <v>544</v>
      </c>
      <c r="F262" s="95">
        <v>44097</v>
      </c>
      <c r="G262" s="94" t="s">
        <v>2273</v>
      </c>
      <c r="H262" s="94" t="s">
        <v>2379</v>
      </c>
      <c r="I262" s="94" t="s">
        <v>2650</v>
      </c>
      <c r="J262" s="94" t="s">
        <v>733</v>
      </c>
      <c r="K262" s="97">
        <v>46.2</v>
      </c>
    </row>
    <row r="263" spans="1:11" ht="14.6" x14ac:dyDescent="0.4">
      <c r="A263" s="94"/>
      <c r="B263" s="94"/>
      <c r="C263" s="94"/>
      <c r="D263" s="94"/>
      <c r="E263" s="94" t="s">
        <v>545</v>
      </c>
      <c r="F263" s="95">
        <v>44097</v>
      </c>
      <c r="G263" s="94" t="s">
        <v>2612</v>
      </c>
      <c r="H263" s="94" t="s">
        <v>2226</v>
      </c>
      <c r="I263" s="94" t="s">
        <v>2651</v>
      </c>
      <c r="J263" s="94" t="s">
        <v>924</v>
      </c>
      <c r="K263" s="97">
        <v>184.32</v>
      </c>
    </row>
    <row r="264" spans="1:11" ht="14.6" x14ac:dyDescent="0.4">
      <c r="A264" s="94"/>
      <c r="B264" s="94"/>
      <c r="C264" s="94"/>
      <c r="D264" s="94"/>
      <c r="E264" s="94" t="s">
        <v>545</v>
      </c>
      <c r="F264" s="95">
        <v>44098</v>
      </c>
      <c r="G264" s="94" t="s">
        <v>2804</v>
      </c>
      <c r="H264" s="94" t="s">
        <v>815</v>
      </c>
      <c r="I264" s="94" t="s">
        <v>2850</v>
      </c>
      <c r="J264" s="94" t="s">
        <v>924</v>
      </c>
      <c r="K264" s="97">
        <v>150</v>
      </c>
    </row>
    <row r="265" spans="1:11" ht="14.6" x14ac:dyDescent="0.4">
      <c r="A265" s="94"/>
      <c r="B265" s="94"/>
      <c r="C265" s="94"/>
      <c r="D265" s="94"/>
      <c r="E265" s="94" t="s">
        <v>544</v>
      </c>
      <c r="F265" s="95">
        <v>44103</v>
      </c>
      <c r="G265" s="94" t="s">
        <v>2613</v>
      </c>
      <c r="H265" s="94" t="s">
        <v>813</v>
      </c>
      <c r="I265" s="94" t="s">
        <v>2652</v>
      </c>
      <c r="J265" s="94" t="s">
        <v>733</v>
      </c>
      <c r="K265" s="97">
        <v>45</v>
      </c>
    </row>
    <row r="266" spans="1:11" ht="14.6" x14ac:dyDescent="0.4">
      <c r="A266" s="94"/>
      <c r="B266" s="94"/>
      <c r="C266" s="94"/>
      <c r="D266" s="94"/>
      <c r="E266" s="94" t="s">
        <v>544</v>
      </c>
      <c r="F266" s="95">
        <v>44103</v>
      </c>
      <c r="G266" s="94" t="s">
        <v>2614</v>
      </c>
      <c r="H266" s="94" t="s">
        <v>813</v>
      </c>
      <c r="I266" s="94" t="s">
        <v>2653</v>
      </c>
      <c r="J266" s="94" t="s">
        <v>733</v>
      </c>
      <c r="K266" s="97">
        <v>45</v>
      </c>
    </row>
    <row r="267" spans="1:11" ht="14.6" x14ac:dyDescent="0.4">
      <c r="A267" s="94"/>
      <c r="B267" s="94"/>
      <c r="C267" s="94"/>
      <c r="D267" s="94"/>
      <c r="E267" s="94" t="s">
        <v>544</v>
      </c>
      <c r="F267" s="95">
        <v>44105</v>
      </c>
      <c r="G267" s="94" t="s">
        <v>2273</v>
      </c>
      <c r="H267" s="94" t="s">
        <v>2837</v>
      </c>
      <c r="I267" s="94" t="s">
        <v>2851</v>
      </c>
      <c r="J267" s="94" t="s">
        <v>733</v>
      </c>
      <c r="K267" s="97">
        <v>25.15</v>
      </c>
    </row>
    <row r="268" spans="1:11" ht="14.6" x14ac:dyDescent="0.4">
      <c r="A268" s="94"/>
      <c r="B268" s="94"/>
      <c r="C268" s="94"/>
      <c r="D268" s="94"/>
      <c r="E268" s="94" t="s">
        <v>545</v>
      </c>
      <c r="F268" s="95">
        <v>44105</v>
      </c>
      <c r="G268" s="94" t="s">
        <v>2805</v>
      </c>
      <c r="H268" s="94" t="s">
        <v>824</v>
      </c>
      <c r="I268" s="94" t="s">
        <v>2852</v>
      </c>
      <c r="J268" s="94" t="s">
        <v>923</v>
      </c>
      <c r="K268" s="97">
        <v>90</v>
      </c>
    </row>
    <row r="269" spans="1:11" ht="14.6" x14ac:dyDescent="0.4">
      <c r="A269" s="94"/>
      <c r="B269" s="94"/>
      <c r="C269" s="94"/>
      <c r="D269" s="94"/>
      <c r="E269" s="94" t="s">
        <v>545</v>
      </c>
      <c r="F269" s="95">
        <v>44105</v>
      </c>
      <c r="G269" s="94" t="s">
        <v>2806</v>
      </c>
      <c r="H269" s="94" t="s">
        <v>824</v>
      </c>
      <c r="I269" s="94" t="s">
        <v>2853</v>
      </c>
      <c r="J269" s="94" t="s">
        <v>923</v>
      </c>
      <c r="K269" s="97">
        <v>90</v>
      </c>
    </row>
    <row r="270" spans="1:11" ht="14.6" x14ac:dyDescent="0.4">
      <c r="A270" s="94"/>
      <c r="B270" s="94"/>
      <c r="C270" s="94"/>
      <c r="D270" s="94"/>
      <c r="E270" s="94" t="s">
        <v>545</v>
      </c>
      <c r="F270" s="95">
        <v>44105</v>
      </c>
      <c r="G270" s="94" t="s">
        <v>2807</v>
      </c>
      <c r="H270" s="94" t="s">
        <v>824</v>
      </c>
      <c r="I270" s="94" t="s">
        <v>2854</v>
      </c>
      <c r="J270" s="94" t="s">
        <v>923</v>
      </c>
      <c r="K270" s="97">
        <v>90</v>
      </c>
    </row>
    <row r="271" spans="1:11" ht="14.6" x14ac:dyDescent="0.4">
      <c r="A271" s="94"/>
      <c r="B271" s="94"/>
      <c r="C271" s="94"/>
      <c r="D271" s="94"/>
      <c r="E271" s="94" t="s">
        <v>545</v>
      </c>
      <c r="F271" s="95">
        <v>44105</v>
      </c>
      <c r="G271" s="94" t="s">
        <v>2808</v>
      </c>
      <c r="H271" s="94" t="s">
        <v>824</v>
      </c>
      <c r="I271" s="94" t="s">
        <v>2855</v>
      </c>
      <c r="J271" s="94" t="s">
        <v>923</v>
      </c>
      <c r="K271" s="97">
        <v>90</v>
      </c>
    </row>
    <row r="272" spans="1:11" ht="14.6" x14ac:dyDescent="0.4">
      <c r="A272" s="94"/>
      <c r="B272" s="94"/>
      <c r="C272" s="94"/>
      <c r="D272" s="94"/>
      <c r="E272" s="94" t="s">
        <v>545</v>
      </c>
      <c r="F272" s="95">
        <v>44105</v>
      </c>
      <c r="G272" s="94" t="s">
        <v>2809</v>
      </c>
      <c r="H272" s="94" t="s">
        <v>824</v>
      </c>
      <c r="I272" s="94" t="s">
        <v>2856</v>
      </c>
      <c r="J272" s="94" t="s">
        <v>923</v>
      </c>
      <c r="K272" s="97">
        <v>90</v>
      </c>
    </row>
    <row r="273" spans="1:11" ht="14.6" x14ac:dyDescent="0.4">
      <c r="A273" s="94"/>
      <c r="B273" s="94"/>
      <c r="C273" s="94"/>
      <c r="D273" s="94"/>
      <c r="E273" s="94" t="s">
        <v>545</v>
      </c>
      <c r="F273" s="95">
        <v>44105</v>
      </c>
      <c r="G273" s="94" t="s">
        <v>2810</v>
      </c>
      <c r="H273" s="94" t="s">
        <v>824</v>
      </c>
      <c r="I273" s="94" t="s">
        <v>2857</v>
      </c>
      <c r="J273" s="94" t="s">
        <v>923</v>
      </c>
      <c r="K273" s="97">
        <v>90</v>
      </c>
    </row>
    <row r="274" spans="1:11" ht="14.6" x14ac:dyDescent="0.4">
      <c r="A274" s="94"/>
      <c r="B274" s="94"/>
      <c r="C274" s="94"/>
      <c r="D274" s="94"/>
      <c r="E274" s="94" t="s">
        <v>545</v>
      </c>
      <c r="F274" s="95">
        <v>44105</v>
      </c>
      <c r="G274" s="94" t="s">
        <v>2811</v>
      </c>
      <c r="H274" s="94" t="s">
        <v>824</v>
      </c>
      <c r="I274" s="94" t="s">
        <v>2858</v>
      </c>
      <c r="J274" s="94" t="s">
        <v>923</v>
      </c>
      <c r="K274" s="97">
        <v>90</v>
      </c>
    </row>
    <row r="275" spans="1:11" ht="14.6" x14ac:dyDescent="0.4">
      <c r="A275" s="94"/>
      <c r="B275" s="94"/>
      <c r="C275" s="94"/>
      <c r="D275" s="94"/>
      <c r="E275" s="94" t="s">
        <v>545</v>
      </c>
      <c r="F275" s="95">
        <v>44105</v>
      </c>
      <c r="G275" s="94" t="s">
        <v>2812</v>
      </c>
      <c r="H275" s="94" t="s">
        <v>824</v>
      </c>
      <c r="I275" s="94" t="s">
        <v>2859</v>
      </c>
      <c r="J275" s="94" t="s">
        <v>923</v>
      </c>
      <c r="K275" s="97">
        <v>90</v>
      </c>
    </row>
    <row r="276" spans="1:11" ht="14.6" x14ac:dyDescent="0.4">
      <c r="A276" s="94"/>
      <c r="B276" s="94"/>
      <c r="C276" s="94"/>
      <c r="D276" s="94"/>
      <c r="E276" s="94" t="s">
        <v>545</v>
      </c>
      <c r="F276" s="95">
        <v>44105</v>
      </c>
      <c r="G276" s="94" t="s">
        <v>2813</v>
      </c>
      <c r="H276" s="94" t="s">
        <v>2838</v>
      </c>
      <c r="I276" s="94" t="s">
        <v>2860</v>
      </c>
      <c r="J276" s="94" t="s">
        <v>923</v>
      </c>
      <c r="K276" s="97">
        <v>156</v>
      </c>
    </row>
    <row r="277" spans="1:11" ht="14.6" x14ac:dyDescent="0.4">
      <c r="A277" s="94"/>
      <c r="B277" s="94"/>
      <c r="C277" s="94"/>
      <c r="D277" s="94"/>
      <c r="E277" s="94" t="s">
        <v>545</v>
      </c>
      <c r="F277" s="95">
        <v>44105</v>
      </c>
      <c r="G277" s="94" t="s">
        <v>2814</v>
      </c>
      <c r="H277" s="94" t="s">
        <v>811</v>
      </c>
      <c r="I277" s="94" t="s">
        <v>2861</v>
      </c>
      <c r="J277" s="94" t="s">
        <v>924</v>
      </c>
      <c r="K277" s="97">
        <v>30</v>
      </c>
    </row>
    <row r="278" spans="1:11" ht="14.6" x14ac:dyDescent="0.4">
      <c r="A278" s="94"/>
      <c r="B278" s="94"/>
      <c r="C278" s="94"/>
      <c r="D278" s="94"/>
      <c r="E278" s="94" t="s">
        <v>545</v>
      </c>
      <c r="F278" s="95">
        <v>44110</v>
      </c>
      <c r="G278" s="94" t="s">
        <v>2815</v>
      </c>
      <c r="H278" s="94" t="s">
        <v>811</v>
      </c>
      <c r="I278" s="94" t="s">
        <v>2862</v>
      </c>
      <c r="J278" s="94" t="s">
        <v>924</v>
      </c>
      <c r="K278" s="97">
        <v>100</v>
      </c>
    </row>
    <row r="279" spans="1:11" ht="14.6" x14ac:dyDescent="0.4">
      <c r="A279" s="94"/>
      <c r="B279" s="94"/>
      <c r="C279" s="94"/>
      <c r="D279" s="94"/>
      <c r="E279" s="94" t="s">
        <v>545</v>
      </c>
      <c r="F279" s="95">
        <v>44110</v>
      </c>
      <c r="G279" s="94" t="s">
        <v>2816</v>
      </c>
      <c r="H279" s="94" t="s">
        <v>811</v>
      </c>
      <c r="I279" s="94" t="s">
        <v>2863</v>
      </c>
      <c r="J279" s="94" t="s">
        <v>924</v>
      </c>
      <c r="K279" s="97">
        <v>50</v>
      </c>
    </row>
    <row r="280" spans="1:11" ht="14.6" x14ac:dyDescent="0.4">
      <c r="A280" s="94"/>
      <c r="B280" s="94"/>
      <c r="C280" s="94"/>
      <c r="D280" s="94"/>
      <c r="E280" s="94" t="s">
        <v>545</v>
      </c>
      <c r="F280" s="95">
        <v>44110</v>
      </c>
      <c r="G280" s="94" t="s">
        <v>2817</v>
      </c>
      <c r="H280" s="94" t="s">
        <v>811</v>
      </c>
      <c r="I280" s="94" t="s">
        <v>2864</v>
      </c>
      <c r="J280" s="94" t="s">
        <v>924</v>
      </c>
      <c r="K280" s="97">
        <v>100</v>
      </c>
    </row>
    <row r="281" spans="1:11" ht="14.6" x14ac:dyDescent="0.4">
      <c r="A281" s="94"/>
      <c r="B281" s="94"/>
      <c r="C281" s="94"/>
      <c r="D281" s="94"/>
      <c r="E281" s="94" t="s">
        <v>544</v>
      </c>
      <c r="F281" s="95">
        <v>44111</v>
      </c>
      <c r="G281" s="94" t="s">
        <v>2615</v>
      </c>
      <c r="H281" s="94" t="s">
        <v>811</v>
      </c>
      <c r="I281" s="94" t="s">
        <v>2654</v>
      </c>
      <c r="J281" s="94" t="s">
        <v>733</v>
      </c>
      <c r="K281" s="97">
        <v>150</v>
      </c>
    </row>
    <row r="282" spans="1:11" ht="14.6" x14ac:dyDescent="0.4">
      <c r="A282" s="94"/>
      <c r="B282" s="94"/>
      <c r="C282" s="94"/>
      <c r="D282" s="94"/>
      <c r="E282" s="94" t="s">
        <v>544</v>
      </c>
      <c r="F282" s="95">
        <v>44111</v>
      </c>
      <c r="G282" s="94" t="s">
        <v>2616</v>
      </c>
      <c r="H282" s="94" t="s">
        <v>811</v>
      </c>
      <c r="I282" s="94" t="s">
        <v>2655</v>
      </c>
      <c r="J282" s="94" t="s">
        <v>733</v>
      </c>
      <c r="K282" s="97">
        <v>235</v>
      </c>
    </row>
    <row r="283" spans="1:11" ht="14.6" x14ac:dyDescent="0.4">
      <c r="A283" s="94"/>
      <c r="B283" s="94"/>
      <c r="C283" s="94"/>
      <c r="D283" s="94"/>
      <c r="E283" s="94" t="s">
        <v>544</v>
      </c>
      <c r="F283" s="95">
        <v>44111</v>
      </c>
      <c r="G283" s="94" t="s">
        <v>2616</v>
      </c>
      <c r="H283" s="94" t="s">
        <v>811</v>
      </c>
      <c r="I283" s="94" t="s">
        <v>2656</v>
      </c>
      <c r="J283" s="94" t="s">
        <v>733</v>
      </c>
      <c r="K283" s="97">
        <v>235</v>
      </c>
    </row>
    <row r="284" spans="1:11" ht="14.6" x14ac:dyDescent="0.4">
      <c r="A284" s="94"/>
      <c r="B284" s="94"/>
      <c r="C284" s="94"/>
      <c r="D284" s="94"/>
      <c r="E284" s="94" t="s">
        <v>544</v>
      </c>
      <c r="F284" s="95">
        <v>44111</v>
      </c>
      <c r="G284" s="94" t="s">
        <v>2616</v>
      </c>
      <c r="H284" s="94" t="s">
        <v>811</v>
      </c>
      <c r="I284" s="94" t="s">
        <v>2657</v>
      </c>
      <c r="J284" s="94" t="s">
        <v>733</v>
      </c>
      <c r="K284" s="97">
        <v>150</v>
      </c>
    </row>
    <row r="285" spans="1:11" ht="14.6" x14ac:dyDescent="0.4">
      <c r="A285" s="94"/>
      <c r="B285" s="94"/>
      <c r="C285" s="94"/>
      <c r="D285" s="94"/>
      <c r="E285" s="94" t="s">
        <v>544</v>
      </c>
      <c r="F285" s="95">
        <v>44112</v>
      </c>
      <c r="G285" s="94" t="s">
        <v>2617</v>
      </c>
      <c r="H285" s="94" t="s">
        <v>2628</v>
      </c>
      <c r="I285" s="94" t="s">
        <v>2658</v>
      </c>
      <c r="J285" s="94" t="s">
        <v>733</v>
      </c>
      <c r="K285" s="97">
        <v>595</v>
      </c>
    </row>
    <row r="286" spans="1:11" ht="14.6" x14ac:dyDescent="0.4">
      <c r="A286" s="94"/>
      <c r="B286" s="94"/>
      <c r="C286" s="94"/>
      <c r="D286" s="94"/>
      <c r="E286" s="94" t="s">
        <v>544</v>
      </c>
      <c r="F286" s="95">
        <v>44113</v>
      </c>
      <c r="G286" s="94" t="s">
        <v>2618</v>
      </c>
      <c r="H286" s="94" t="s">
        <v>811</v>
      </c>
      <c r="I286" s="94" t="s">
        <v>2659</v>
      </c>
      <c r="J286" s="94" t="s">
        <v>733</v>
      </c>
      <c r="K286" s="97">
        <v>310</v>
      </c>
    </row>
    <row r="287" spans="1:11" ht="14.6" x14ac:dyDescent="0.4">
      <c r="A287" s="94"/>
      <c r="B287" s="94"/>
      <c r="C287" s="94"/>
      <c r="D287" s="94"/>
      <c r="E287" s="94" t="s">
        <v>545</v>
      </c>
      <c r="F287" s="95">
        <v>44113</v>
      </c>
      <c r="G287" s="94" t="s">
        <v>2818</v>
      </c>
      <c r="H287" s="94" t="s">
        <v>2839</v>
      </c>
      <c r="I287" s="94" t="s">
        <v>2865</v>
      </c>
      <c r="J287" s="94" t="s">
        <v>923</v>
      </c>
      <c r="K287" s="97">
        <v>41</v>
      </c>
    </row>
    <row r="288" spans="1:11" ht="14.6" x14ac:dyDescent="0.4">
      <c r="A288" s="94"/>
      <c r="B288" s="94"/>
      <c r="C288" s="94"/>
      <c r="D288" s="94"/>
      <c r="E288" s="94" t="s">
        <v>545</v>
      </c>
      <c r="F288" s="95">
        <v>44116</v>
      </c>
      <c r="G288" s="94" t="s">
        <v>2819</v>
      </c>
      <c r="H288" s="94" t="s">
        <v>2840</v>
      </c>
      <c r="I288" s="94" t="s">
        <v>2866</v>
      </c>
      <c r="J288" s="94" t="s">
        <v>923</v>
      </c>
      <c r="K288" s="97">
        <v>9.5</v>
      </c>
    </row>
    <row r="289" spans="1:11" ht="14.6" x14ac:dyDescent="0.4">
      <c r="A289" s="94"/>
      <c r="B289" s="94"/>
      <c r="C289" s="94"/>
      <c r="D289" s="94"/>
      <c r="E289" s="94" t="s">
        <v>544</v>
      </c>
      <c r="F289" s="95">
        <v>44117</v>
      </c>
      <c r="G289" s="94" t="s">
        <v>2619</v>
      </c>
      <c r="H289" s="94" t="s">
        <v>813</v>
      </c>
      <c r="I289" s="94" t="s">
        <v>2660</v>
      </c>
      <c r="J289" s="94" t="s">
        <v>733</v>
      </c>
      <c r="K289" s="97">
        <v>45</v>
      </c>
    </row>
    <row r="290" spans="1:11" ht="14.6" x14ac:dyDescent="0.4">
      <c r="A290" s="94"/>
      <c r="B290" s="94"/>
      <c r="C290" s="94"/>
      <c r="D290" s="94"/>
      <c r="E290" s="94" t="s">
        <v>544</v>
      </c>
      <c r="F290" s="95">
        <v>44117</v>
      </c>
      <c r="G290" s="94" t="s">
        <v>2620</v>
      </c>
      <c r="H290" s="94" t="s">
        <v>813</v>
      </c>
      <c r="I290" s="94" t="s">
        <v>2661</v>
      </c>
      <c r="J290" s="94" t="s">
        <v>733</v>
      </c>
      <c r="K290" s="97">
        <v>45</v>
      </c>
    </row>
    <row r="291" spans="1:11" ht="14.6" x14ac:dyDescent="0.4">
      <c r="A291" s="94"/>
      <c r="B291" s="94"/>
      <c r="C291" s="94"/>
      <c r="D291" s="94"/>
      <c r="E291" s="94" t="s">
        <v>544</v>
      </c>
      <c r="F291" s="95">
        <v>44117</v>
      </c>
      <c r="G291" s="94" t="s">
        <v>2621</v>
      </c>
      <c r="H291" s="94" t="s">
        <v>813</v>
      </c>
      <c r="I291" s="94" t="s">
        <v>2662</v>
      </c>
      <c r="J291" s="94" t="s">
        <v>733</v>
      </c>
      <c r="K291" s="97">
        <v>45</v>
      </c>
    </row>
    <row r="292" spans="1:11" ht="14.6" x14ac:dyDescent="0.4">
      <c r="A292" s="94"/>
      <c r="B292" s="94"/>
      <c r="C292" s="94"/>
      <c r="D292" s="94"/>
      <c r="E292" s="94" t="s">
        <v>545</v>
      </c>
      <c r="F292" s="95">
        <v>44119</v>
      </c>
      <c r="G292" s="94" t="s">
        <v>2820</v>
      </c>
      <c r="H292" s="94" t="s">
        <v>2841</v>
      </c>
      <c r="I292" s="94" t="s">
        <v>2867</v>
      </c>
      <c r="J292" s="94" t="s">
        <v>923</v>
      </c>
      <c r="K292" s="97">
        <v>18</v>
      </c>
    </row>
    <row r="293" spans="1:11" ht="14.6" x14ac:dyDescent="0.4">
      <c r="A293" s="94"/>
      <c r="B293" s="94"/>
      <c r="C293" s="94"/>
      <c r="D293" s="94"/>
      <c r="E293" s="94" t="s">
        <v>545</v>
      </c>
      <c r="F293" s="95">
        <v>44119</v>
      </c>
      <c r="G293" s="94" t="s">
        <v>2821</v>
      </c>
      <c r="H293" s="94" t="s">
        <v>2842</v>
      </c>
      <c r="I293" s="94" t="s">
        <v>2868</v>
      </c>
      <c r="J293" s="94" t="s">
        <v>923</v>
      </c>
      <c r="K293" s="97">
        <v>14</v>
      </c>
    </row>
    <row r="294" spans="1:11" ht="14.6" x14ac:dyDescent="0.4">
      <c r="A294" s="94"/>
      <c r="B294" s="94"/>
      <c r="C294" s="94"/>
      <c r="D294" s="94"/>
      <c r="E294" s="94" t="s">
        <v>545</v>
      </c>
      <c r="F294" s="95">
        <v>44120</v>
      </c>
      <c r="G294" s="94" t="s">
        <v>2822</v>
      </c>
      <c r="H294" s="94" t="s">
        <v>2843</v>
      </c>
      <c r="I294" s="94" t="s">
        <v>2868</v>
      </c>
      <c r="J294" s="94" t="s">
        <v>923</v>
      </c>
      <c r="K294" s="97">
        <v>17.22</v>
      </c>
    </row>
    <row r="295" spans="1:11" ht="14.6" x14ac:dyDescent="0.4">
      <c r="A295" s="94"/>
      <c r="B295" s="94"/>
      <c r="C295" s="94"/>
      <c r="D295" s="94"/>
      <c r="E295" s="94" t="s">
        <v>545</v>
      </c>
      <c r="F295" s="95">
        <v>44121</v>
      </c>
      <c r="G295" s="94" t="s">
        <v>2823</v>
      </c>
      <c r="H295" s="94" t="s">
        <v>2844</v>
      </c>
      <c r="I295" s="94" t="s">
        <v>2868</v>
      </c>
      <c r="J295" s="94" t="s">
        <v>923</v>
      </c>
      <c r="K295" s="97">
        <v>21</v>
      </c>
    </row>
    <row r="296" spans="1:11" ht="14.6" x14ac:dyDescent="0.4">
      <c r="A296" s="94"/>
      <c r="B296" s="94"/>
      <c r="C296" s="94"/>
      <c r="D296" s="94"/>
      <c r="E296" s="94" t="s">
        <v>545</v>
      </c>
      <c r="F296" s="95">
        <v>44122</v>
      </c>
      <c r="G296" s="94" t="s">
        <v>2824</v>
      </c>
      <c r="H296" s="94" t="s">
        <v>2845</v>
      </c>
      <c r="I296" s="94" t="s">
        <v>2869</v>
      </c>
      <c r="J296" s="94" t="s">
        <v>923</v>
      </c>
      <c r="K296" s="97">
        <v>9.2799999999999994</v>
      </c>
    </row>
    <row r="297" spans="1:11" ht="14.6" x14ac:dyDescent="0.4">
      <c r="A297" s="94"/>
      <c r="B297" s="94"/>
      <c r="C297" s="94"/>
      <c r="D297" s="94"/>
      <c r="E297" s="94" t="s">
        <v>545</v>
      </c>
      <c r="F297" s="95">
        <v>44122</v>
      </c>
      <c r="G297" s="94" t="s">
        <v>2825</v>
      </c>
      <c r="H297" s="94" t="s">
        <v>832</v>
      </c>
      <c r="I297" s="94" t="s">
        <v>2870</v>
      </c>
      <c r="J297" s="94" t="s">
        <v>923</v>
      </c>
      <c r="K297" s="97">
        <v>30</v>
      </c>
    </row>
    <row r="298" spans="1:11" ht="14.6" x14ac:dyDescent="0.4">
      <c r="A298" s="94"/>
      <c r="B298" s="94"/>
      <c r="C298" s="94"/>
      <c r="D298" s="94"/>
      <c r="E298" s="94" t="s">
        <v>545</v>
      </c>
      <c r="F298" s="95">
        <v>44122</v>
      </c>
      <c r="G298" s="94" t="s">
        <v>3111</v>
      </c>
      <c r="H298" s="94" t="s">
        <v>830</v>
      </c>
      <c r="I298" s="94" t="s">
        <v>3153</v>
      </c>
      <c r="J298" s="94" t="s">
        <v>923</v>
      </c>
      <c r="K298" s="97">
        <v>59.5</v>
      </c>
    </row>
    <row r="299" spans="1:11" ht="14.6" x14ac:dyDescent="0.4">
      <c r="A299" s="94"/>
      <c r="B299" s="94"/>
      <c r="C299" s="94"/>
      <c r="D299" s="94"/>
      <c r="E299" s="94" t="s">
        <v>545</v>
      </c>
      <c r="F299" s="95">
        <v>44123</v>
      </c>
      <c r="G299" s="94" t="s">
        <v>2826</v>
      </c>
      <c r="H299" s="94" t="s">
        <v>2625</v>
      </c>
      <c r="I299" s="94" t="s">
        <v>2871</v>
      </c>
      <c r="J299" s="94" t="s">
        <v>924</v>
      </c>
      <c r="K299" s="97">
        <v>21.64</v>
      </c>
    </row>
    <row r="300" spans="1:11" ht="14.6" x14ac:dyDescent="0.4">
      <c r="A300" s="94"/>
      <c r="B300" s="94"/>
      <c r="C300" s="94"/>
      <c r="D300" s="94"/>
      <c r="E300" s="94" t="s">
        <v>545</v>
      </c>
      <c r="F300" s="95">
        <v>44123</v>
      </c>
      <c r="G300" s="94" t="s">
        <v>2827</v>
      </c>
      <c r="H300" s="94" t="s">
        <v>2625</v>
      </c>
      <c r="I300" s="94" t="s">
        <v>2872</v>
      </c>
      <c r="J300" s="94" t="s">
        <v>924</v>
      </c>
      <c r="K300" s="97">
        <v>19.47</v>
      </c>
    </row>
    <row r="301" spans="1:11" ht="14.6" x14ac:dyDescent="0.4">
      <c r="A301" s="94"/>
      <c r="B301" s="94"/>
      <c r="C301" s="94"/>
      <c r="D301" s="94"/>
      <c r="E301" s="94" t="s">
        <v>545</v>
      </c>
      <c r="F301" s="95">
        <v>44123</v>
      </c>
      <c r="G301" s="94" t="s">
        <v>2828</v>
      </c>
      <c r="H301" s="94" t="s">
        <v>811</v>
      </c>
      <c r="I301" s="94" t="s">
        <v>2873</v>
      </c>
      <c r="J301" s="94" t="s">
        <v>924</v>
      </c>
      <c r="K301" s="97">
        <v>100</v>
      </c>
    </row>
    <row r="302" spans="1:11" ht="14.6" x14ac:dyDescent="0.4">
      <c r="A302" s="94"/>
      <c r="B302" s="94"/>
      <c r="C302" s="94"/>
      <c r="D302" s="94"/>
      <c r="E302" s="94" t="s">
        <v>545</v>
      </c>
      <c r="F302" s="95">
        <v>44123</v>
      </c>
      <c r="G302" s="94" t="s">
        <v>2829</v>
      </c>
      <c r="H302" s="94" t="s">
        <v>811</v>
      </c>
      <c r="I302" s="94" t="s">
        <v>2874</v>
      </c>
      <c r="J302" s="94" t="s">
        <v>924</v>
      </c>
      <c r="K302" s="97">
        <v>50</v>
      </c>
    </row>
    <row r="303" spans="1:11" ht="14.6" x14ac:dyDescent="0.4">
      <c r="A303" s="94"/>
      <c r="B303" s="94"/>
      <c r="C303" s="94"/>
      <c r="D303" s="94"/>
      <c r="E303" s="94" t="s">
        <v>544</v>
      </c>
      <c r="F303" s="95">
        <v>44124</v>
      </c>
      <c r="G303" s="94" t="s">
        <v>2273</v>
      </c>
      <c r="H303" s="94" t="s">
        <v>2846</v>
      </c>
      <c r="I303" s="94" t="s">
        <v>2875</v>
      </c>
      <c r="J303" s="94" t="s">
        <v>733</v>
      </c>
      <c r="K303" s="97">
        <v>28.9</v>
      </c>
    </row>
    <row r="304" spans="1:11" ht="14.6" x14ac:dyDescent="0.4">
      <c r="A304" s="94"/>
      <c r="B304" s="94"/>
      <c r="C304" s="94"/>
      <c r="D304" s="94"/>
      <c r="E304" s="94" t="s">
        <v>545</v>
      </c>
      <c r="F304" s="95">
        <v>44124</v>
      </c>
      <c r="G304" s="94" t="s">
        <v>3112</v>
      </c>
      <c r="H304" s="94" t="s">
        <v>3139</v>
      </c>
      <c r="I304" s="94" t="s">
        <v>3154</v>
      </c>
      <c r="J304" s="94" t="s">
        <v>924</v>
      </c>
      <c r="K304" s="97">
        <v>670</v>
      </c>
    </row>
    <row r="305" spans="1:11" ht="14.6" x14ac:dyDescent="0.4">
      <c r="A305" s="94"/>
      <c r="B305" s="94"/>
      <c r="C305" s="94"/>
      <c r="D305" s="94"/>
      <c r="E305" s="94" t="s">
        <v>544</v>
      </c>
      <c r="F305" s="95">
        <v>44125</v>
      </c>
      <c r="G305" s="94" t="s">
        <v>2830</v>
      </c>
      <c r="H305" s="94" t="s">
        <v>811</v>
      </c>
      <c r="I305" s="94" t="s">
        <v>2876</v>
      </c>
      <c r="J305" s="94" t="s">
        <v>733</v>
      </c>
      <c r="K305" s="97">
        <v>150</v>
      </c>
    </row>
    <row r="306" spans="1:11" ht="14.6" x14ac:dyDescent="0.4">
      <c r="A306" s="94"/>
      <c r="B306" s="94"/>
      <c r="C306" s="94"/>
      <c r="D306" s="94"/>
      <c r="E306" s="94" t="s">
        <v>544</v>
      </c>
      <c r="F306" s="95">
        <v>44125</v>
      </c>
      <c r="G306" s="94" t="s">
        <v>2830</v>
      </c>
      <c r="H306" s="94" t="s">
        <v>811</v>
      </c>
      <c r="I306" s="94" t="s">
        <v>2877</v>
      </c>
      <c r="J306" s="94" t="s">
        <v>733</v>
      </c>
      <c r="K306" s="97">
        <v>150</v>
      </c>
    </row>
    <row r="307" spans="1:11" ht="14.6" x14ac:dyDescent="0.4">
      <c r="A307" s="94"/>
      <c r="B307" s="94"/>
      <c r="C307" s="94"/>
      <c r="D307" s="94"/>
      <c r="E307" s="94" t="s">
        <v>544</v>
      </c>
      <c r="F307" s="95">
        <v>44125</v>
      </c>
      <c r="G307" s="94" t="s">
        <v>2830</v>
      </c>
      <c r="H307" s="94" t="s">
        <v>811</v>
      </c>
      <c r="I307" s="94" t="s">
        <v>2878</v>
      </c>
      <c r="J307" s="94" t="s">
        <v>733</v>
      </c>
      <c r="K307" s="97">
        <v>150</v>
      </c>
    </row>
    <row r="308" spans="1:11" ht="14.6" x14ac:dyDescent="0.4">
      <c r="A308" s="94"/>
      <c r="B308" s="94"/>
      <c r="C308" s="94"/>
      <c r="D308" s="94"/>
      <c r="E308" s="94" t="s">
        <v>545</v>
      </c>
      <c r="F308" s="95">
        <v>44125</v>
      </c>
      <c r="G308" s="94" t="s">
        <v>2831</v>
      </c>
      <c r="H308" s="94" t="s">
        <v>824</v>
      </c>
      <c r="I308" s="94" t="s">
        <v>2879</v>
      </c>
      <c r="J308" s="94" t="s">
        <v>924</v>
      </c>
      <c r="K308" s="97">
        <v>165</v>
      </c>
    </row>
    <row r="309" spans="1:11" ht="14.6" x14ac:dyDescent="0.4">
      <c r="A309" s="94"/>
      <c r="B309" s="94"/>
      <c r="C309" s="94"/>
      <c r="D309" s="94"/>
      <c r="E309" s="94" t="s">
        <v>544</v>
      </c>
      <c r="F309" s="95">
        <v>44130</v>
      </c>
      <c r="G309" s="94" t="s">
        <v>2832</v>
      </c>
      <c r="H309" s="94" t="s">
        <v>2847</v>
      </c>
      <c r="I309" s="94" t="s">
        <v>2880</v>
      </c>
      <c r="J309" s="94" t="s">
        <v>733</v>
      </c>
      <c r="K309" s="97">
        <v>522</v>
      </c>
    </row>
    <row r="310" spans="1:11" ht="14.6" x14ac:dyDescent="0.4">
      <c r="A310" s="94"/>
      <c r="B310" s="94"/>
      <c r="C310" s="94"/>
      <c r="D310" s="94"/>
      <c r="E310" s="94" t="s">
        <v>544</v>
      </c>
      <c r="F310" s="95">
        <v>44130</v>
      </c>
      <c r="G310" s="94" t="s">
        <v>2833</v>
      </c>
      <c r="H310" s="94" t="s">
        <v>810</v>
      </c>
      <c r="I310" s="94" t="s">
        <v>2881</v>
      </c>
      <c r="J310" s="94" t="s">
        <v>733</v>
      </c>
      <c r="K310" s="97">
        <v>150</v>
      </c>
    </row>
    <row r="311" spans="1:11" ht="14.6" x14ac:dyDescent="0.4">
      <c r="A311" s="94"/>
      <c r="B311" s="94"/>
      <c r="C311" s="94"/>
      <c r="D311" s="94"/>
      <c r="E311" s="94" t="s">
        <v>545</v>
      </c>
      <c r="F311" s="95">
        <v>44130</v>
      </c>
      <c r="G311" s="94" t="s">
        <v>3113</v>
      </c>
      <c r="H311" s="94" t="s">
        <v>3140</v>
      </c>
      <c r="I311" s="94" t="s">
        <v>3155</v>
      </c>
      <c r="J311" s="94" t="s">
        <v>924</v>
      </c>
      <c r="K311" s="97">
        <v>3825</v>
      </c>
    </row>
    <row r="312" spans="1:11" ht="14.6" x14ac:dyDescent="0.4">
      <c r="A312" s="94"/>
      <c r="B312" s="94"/>
      <c r="C312" s="94"/>
      <c r="D312" s="94"/>
      <c r="E312" s="94" t="s">
        <v>545</v>
      </c>
      <c r="F312" s="95">
        <v>44131</v>
      </c>
      <c r="G312" s="94" t="s">
        <v>2834</v>
      </c>
      <c r="H312" s="94" t="s">
        <v>815</v>
      </c>
      <c r="I312" s="94" t="s">
        <v>2882</v>
      </c>
      <c r="J312" s="94" t="s">
        <v>924</v>
      </c>
      <c r="K312" s="97">
        <v>299</v>
      </c>
    </row>
    <row r="313" spans="1:11" ht="14.6" x14ac:dyDescent="0.4">
      <c r="A313" s="94"/>
      <c r="B313" s="94"/>
      <c r="C313" s="94"/>
      <c r="D313" s="94"/>
      <c r="E313" s="94" t="s">
        <v>545</v>
      </c>
      <c r="F313" s="95">
        <v>44131</v>
      </c>
      <c r="G313" s="94" t="s">
        <v>3114</v>
      </c>
      <c r="H313" s="94" t="s">
        <v>815</v>
      </c>
      <c r="I313" s="94" t="s">
        <v>3156</v>
      </c>
      <c r="J313" s="94" t="s">
        <v>924</v>
      </c>
      <c r="K313" s="97">
        <v>299</v>
      </c>
    </row>
    <row r="314" spans="1:11" ht="14.6" x14ac:dyDescent="0.4">
      <c r="A314" s="94"/>
      <c r="B314" s="94"/>
      <c r="C314" s="94"/>
      <c r="D314" s="94"/>
      <c r="E314" s="94" t="s">
        <v>545</v>
      </c>
      <c r="F314" s="95">
        <v>44132</v>
      </c>
      <c r="G314" s="94" t="s">
        <v>3115</v>
      </c>
      <c r="H314" s="94" t="s">
        <v>3141</v>
      </c>
      <c r="I314" s="94" t="s">
        <v>3157</v>
      </c>
      <c r="J314" s="94" t="s">
        <v>924</v>
      </c>
      <c r="K314" s="97">
        <v>0</v>
      </c>
    </row>
    <row r="315" spans="1:11" ht="14.6" x14ac:dyDescent="0.4">
      <c r="A315" s="94"/>
      <c r="B315" s="94"/>
      <c r="C315" s="94"/>
      <c r="D315" s="94"/>
      <c r="E315" s="94" t="s">
        <v>545</v>
      </c>
      <c r="F315" s="95">
        <v>44132</v>
      </c>
      <c r="G315" s="94" t="s">
        <v>3115</v>
      </c>
      <c r="H315" s="94" t="s">
        <v>3141</v>
      </c>
      <c r="I315" s="94" t="s">
        <v>3158</v>
      </c>
      <c r="J315" s="94" t="s">
        <v>924</v>
      </c>
      <c r="K315" s="97">
        <v>83.93</v>
      </c>
    </row>
    <row r="316" spans="1:11" ht="14.6" x14ac:dyDescent="0.4">
      <c r="A316" s="94"/>
      <c r="B316" s="94"/>
      <c r="C316" s="94"/>
      <c r="D316" s="94"/>
      <c r="E316" s="94" t="s">
        <v>545</v>
      </c>
      <c r="F316" s="95">
        <v>44132</v>
      </c>
      <c r="G316" s="94" t="s">
        <v>3115</v>
      </c>
      <c r="H316" s="94" t="s">
        <v>3141</v>
      </c>
      <c r="I316" s="94" t="s">
        <v>3159</v>
      </c>
      <c r="J316" s="94" t="s">
        <v>924</v>
      </c>
      <c r="K316" s="97">
        <v>41.97</v>
      </c>
    </row>
    <row r="317" spans="1:11" ht="14.6" x14ac:dyDescent="0.4">
      <c r="A317" s="94"/>
      <c r="B317" s="94"/>
      <c r="C317" s="94"/>
      <c r="D317" s="94"/>
      <c r="E317" s="94" t="s">
        <v>544</v>
      </c>
      <c r="F317" s="95">
        <v>44133</v>
      </c>
      <c r="G317" s="94" t="s">
        <v>2835</v>
      </c>
      <c r="H317" s="94" t="s">
        <v>811</v>
      </c>
      <c r="I317" s="94" t="s">
        <v>2883</v>
      </c>
      <c r="J317" s="94" t="s">
        <v>733</v>
      </c>
      <c r="K317" s="97">
        <v>150</v>
      </c>
    </row>
    <row r="318" spans="1:11" ht="15" customHeight="1" x14ac:dyDescent="0.4">
      <c r="A318" s="94"/>
      <c r="B318" s="94"/>
      <c r="C318" s="94"/>
      <c r="D318" s="94"/>
      <c r="E318" s="94" t="s">
        <v>544</v>
      </c>
      <c r="F318" s="95">
        <v>44139</v>
      </c>
      <c r="G318" s="94" t="s">
        <v>2617</v>
      </c>
      <c r="H318" s="94" t="s">
        <v>2848</v>
      </c>
      <c r="I318" s="94" t="s">
        <v>2884</v>
      </c>
      <c r="J318" s="94" t="s">
        <v>733</v>
      </c>
      <c r="K318" s="97">
        <v>33.4</v>
      </c>
    </row>
    <row r="319" spans="1:11" ht="15" customHeight="1" x14ac:dyDescent="0.4">
      <c r="A319" s="94"/>
      <c r="B319" s="94"/>
      <c r="C319" s="94"/>
      <c r="D319" s="94"/>
      <c r="E319" s="94" t="s">
        <v>545</v>
      </c>
      <c r="F319" s="95">
        <v>44139</v>
      </c>
      <c r="G319" s="94" t="s">
        <v>3116</v>
      </c>
      <c r="H319" s="94" t="s">
        <v>811</v>
      </c>
      <c r="I319" s="94" t="s">
        <v>3160</v>
      </c>
      <c r="J319" s="94" t="s">
        <v>924</v>
      </c>
      <c r="K319" s="97">
        <v>50</v>
      </c>
    </row>
    <row r="320" spans="1:11" ht="15" customHeight="1" x14ac:dyDescent="0.4">
      <c r="A320" s="94"/>
      <c r="B320" s="94"/>
      <c r="C320" s="94"/>
      <c r="D320" s="94"/>
      <c r="E320" s="94" t="s">
        <v>545</v>
      </c>
      <c r="F320" s="95">
        <v>44139</v>
      </c>
      <c r="G320" s="94" t="s">
        <v>3117</v>
      </c>
      <c r="H320" s="94" t="s">
        <v>811</v>
      </c>
      <c r="I320" s="94" t="s">
        <v>3161</v>
      </c>
      <c r="J320" s="94" t="s">
        <v>924</v>
      </c>
      <c r="K320" s="97">
        <v>100</v>
      </c>
    </row>
    <row r="321" spans="1:11" ht="15" customHeight="1" x14ac:dyDescent="0.4">
      <c r="A321" s="94"/>
      <c r="B321" s="94"/>
      <c r="C321" s="94"/>
      <c r="D321" s="94"/>
      <c r="E321" s="94" t="s">
        <v>545</v>
      </c>
      <c r="F321" s="95">
        <v>44140</v>
      </c>
      <c r="G321" s="94" t="s">
        <v>3118</v>
      </c>
      <c r="H321" s="94" t="s">
        <v>824</v>
      </c>
      <c r="I321" s="94" t="s">
        <v>3162</v>
      </c>
      <c r="J321" s="94" t="s">
        <v>924</v>
      </c>
      <c r="K321" s="97">
        <v>165</v>
      </c>
    </row>
    <row r="322" spans="1:11" ht="15" customHeight="1" x14ac:dyDescent="0.4">
      <c r="A322" s="94"/>
      <c r="B322" s="94"/>
      <c r="C322" s="94"/>
      <c r="D322" s="94"/>
      <c r="E322" s="94" t="s">
        <v>544</v>
      </c>
      <c r="F322" s="95">
        <v>44144</v>
      </c>
      <c r="G322" s="94" t="s">
        <v>2617</v>
      </c>
      <c r="H322" s="94" t="s">
        <v>2849</v>
      </c>
      <c r="I322" s="94" t="s">
        <v>2885</v>
      </c>
      <c r="J322" s="94" t="s">
        <v>733</v>
      </c>
      <c r="K322" s="97">
        <v>45.22</v>
      </c>
    </row>
    <row r="323" spans="1:11" ht="15" customHeight="1" x14ac:dyDescent="0.4">
      <c r="A323" s="94"/>
      <c r="B323" s="94"/>
      <c r="C323" s="94"/>
      <c r="D323" s="94"/>
      <c r="E323" s="94" t="s">
        <v>544</v>
      </c>
      <c r="F323" s="95">
        <v>44145</v>
      </c>
      <c r="G323" s="94" t="s">
        <v>2836</v>
      </c>
      <c r="H323" s="94" t="s">
        <v>813</v>
      </c>
      <c r="I323" s="94" t="s">
        <v>2886</v>
      </c>
      <c r="J323" s="94" t="s">
        <v>733</v>
      </c>
      <c r="K323" s="97">
        <v>100</v>
      </c>
    </row>
    <row r="324" spans="1:11" ht="15" customHeight="1" x14ac:dyDescent="0.4">
      <c r="A324" s="94"/>
      <c r="B324" s="94"/>
      <c r="C324" s="94"/>
      <c r="D324" s="94"/>
      <c r="E324" s="94" t="s">
        <v>544</v>
      </c>
      <c r="F324" s="95">
        <v>44145</v>
      </c>
      <c r="G324" s="94" t="s">
        <v>3119</v>
      </c>
      <c r="H324" s="94" t="s">
        <v>818</v>
      </c>
      <c r="I324" s="94" t="s">
        <v>864</v>
      </c>
      <c r="J324" s="94" t="s">
        <v>733</v>
      </c>
      <c r="K324" s="97">
        <v>167</v>
      </c>
    </row>
    <row r="325" spans="1:11" ht="15" customHeight="1" x14ac:dyDescent="0.4">
      <c r="A325" s="94"/>
      <c r="B325" s="94"/>
      <c r="C325" s="94"/>
      <c r="D325" s="94"/>
      <c r="E325" s="94" t="s">
        <v>544</v>
      </c>
      <c r="F325" s="95">
        <v>44152</v>
      </c>
      <c r="G325" s="94" t="s">
        <v>3120</v>
      </c>
      <c r="H325" s="94" t="s">
        <v>811</v>
      </c>
      <c r="I325" s="94" t="s">
        <v>3163</v>
      </c>
      <c r="J325" s="94" t="s">
        <v>733</v>
      </c>
      <c r="K325" s="97">
        <v>350</v>
      </c>
    </row>
    <row r="326" spans="1:11" ht="15" customHeight="1" x14ac:dyDescent="0.4">
      <c r="A326" s="94"/>
      <c r="B326" s="94"/>
      <c r="C326" s="94"/>
      <c r="D326" s="94"/>
      <c r="E326" s="94" t="s">
        <v>544</v>
      </c>
      <c r="F326" s="95">
        <v>44152</v>
      </c>
      <c r="G326" s="94" t="s">
        <v>3120</v>
      </c>
      <c r="H326" s="94" t="s">
        <v>811</v>
      </c>
      <c r="I326" s="94" t="s">
        <v>3164</v>
      </c>
      <c r="J326" s="94" t="s">
        <v>733</v>
      </c>
      <c r="K326" s="97">
        <v>350</v>
      </c>
    </row>
    <row r="327" spans="1:11" ht="15" customHeight="1" x14ac:dyDescent="0.4">
      <c r="A327" s="94"/>
      <c r="B327" s="94"/>
      <c r="C327" s="94"/>
      <c r="D327" s="94"/>
      <c r="E327" s="94" t="s">
        <v>544</v>
      </c>
      <c r="F327" s="95">
        <v>44152</v>
      </c>
      <c r="G327" s="94" t="s">
        <v>2832</v>
      </c>
      <c r="H327" s="94" t="s">
        <v>3142</v>
      </c>
      <c r="I327" s="94" t="s">
        <v>3165</v>
      </c>
      <c r="J327" s="94" t="s">
        <v>733</v>
      </c>
      <c r="K327" s="97">
        <v>12.97</v>
      </c>
    </row>
    <row r="328" spans="1:11" ht="15" customHeight="1" x14ac:dyDescent="0.4">
      <c r="A328" s="94"/>
      <c r="B328" s="94"/>
      <c r="C328" s="94"/>
      <c r="D328" s="94"/>
      <c r="E328" s="94" t="s">
        <v>544</v>
      </c>
      <c r="F328" s="95">
        <v>44153</v>
      </c>
      <c r="G328" s="94" t="s">
        <v>2832</v>
      </c>
      <c r="H328" s="94" t="s">
        <v>1913</v>
      </c>
      <c r="I328" s="94" t="s">
        <v>3166</v>
      </c>
      <c r="J328" s="94" t="s">
        <v>733</v>
      </c>
      <c r="K328" s="97">
        <v>15</v>
      </c>
    </row>
    <row r="329" spans="1:11" ht="15" customHeight="1" x14ac:dyDescent="0.4">
      <c r="A329" s="94"/>
      <c r="B329" s="94"/>
      <c r="C329" s="94"/>
      <c r="D329" s="94"/>
      <c r="E329" s="94" t="s">
        <v>544</v>
      </c>
      <c r="F329" s="95">
        <v>44153</v>
      </c>
      <c r="G329" s="94" t="s">
        <v>2617</v>
      </c>
      <c r="H329" s="94" t="s">
        <v>2846</v>
      </c>
      <c r="I329" s="94" t="s">
        <v>2875</v>
      </c>
      <c r="J329" s="94" t="s">
        <v>733</v>
      </c>
      <c r="K329" s="97">
        <v>30</v>
      </c>
    </row>
    <row r="330" spans="1:11" ht="15" customHeight="1" x14ac:dyDescent="0.4">
      <c r="A330" s="94"/>
      <c r="B330" s="94"/>
      <c r="C330" s="94"/>
      <c r="D330" s="94"/>
      <c r="E330" s="94" t="s">
        <v>545</v>
      </c>
      <c r="F330" s="95">
        <v>44153</v>
      </c>
      <c r="G330" s="94" t="s">
        <v>3121</v>
      </c>
      <c r="H330" s="94" t="s">
        <v>815</v>
      </c>
      <c r="I330" s="94" t="s">
        <v>3167</v>
      </c>
      <c r="J330" s="94" t="s">
        <v>924</v>
      </c>
      <c r="K330" s="97">
        <v>50</v>
      </c>
    </row>
    <row r="331" spans="1:11" ht="15" customHeight="1" x14ac:dyDescent="0.4">
      <c r="A331" s="94"/>
      <c r="B331" s="94"/>
      <c r="C331" s="94"/>
      <c r="D331" s="94"/>
      <c r="E331" s="94" t="s">
        <v>545</v>
      </c>
      <c r="F331" s="95">
        <v>44154</v>
      </c>
      <c r="G331" s="94" t="s">
        <v>3122</v>
      </c>
      <c r="H331" s="94" t="s">
        <v>2624</v>
      </c>
      <c r="I331" s="94" t="s">
        <v>3168</v>
      </c>
      <c r="J331" s="94" t="s">
        <v>924</v>
      </c>
      <c r="K331" s="97">
        <v>71</v>
      </c>
    </row>
    <row r="332" spans="1:11" ht="15" customHeight="1" x14ac:dyDescent="0.4">
      <c r="A332" s="94"/>
      <c r="B332" s="94"/>
      <c r="C332" s="94"/>
      <c r="D332" s="94"/>
      <c r="E332" s="94" t="s">
        <v>545</v>
      </c>
      <c r="F332" s="95">
        <v>44154</v>
      </c>
      <c r="G332" s="94" t="s">
        <v>3123</v>
      </c>
      <c r="H332" s="94" t="s">
        <v>2624</v>
      </c>
      <c r="I332" s="94" t="s">
        <v>3169</v>
      </c>
      <c r="J332" s="94" t="s">
        <v>924</v>
      </c>
      <c r="K332" s="97">
        <v>71</v>
      </c>
    </row>
    <row r="333" spans="1:11" ht="15" customHeight="1" x14ac:dyDescent="0.4">
      <c r="A333" s="94"/>
      <c r="B333" s="94"/>
      <c r="C333" s="94"/>
      <c r="D333" s="94"/>
      <c r="E333" s="94" t="s">
        <v>544</v>
      </c>
      <c r="F333" s="95">
        <v>44155</v>
      </c>
      <c r="G333" s="94" t="s">
        <v>2832</v>
      </c>
      <c r="H333" s="94" t="s">
        <v>3143</v>
      </c>
      <c r="I333" s="94" t="s">
        <v>2884</v>
      </c>
      <c r="J333" s="94" t="s">
        <v>733</v>
      </c>
      <c r="K333" s="97">
        <v>49.69</v>
      </c>
    </row>
    <row r="334" spans="1:11" ht="15" customHeight="1" x14ac:dyDescent="0.4">
      <c r="A334" s="94"/>
      <c r="B334" s="94"/>
      <c r="C334" s="94"/>
      <c r="D334" s="94"/>
      <c r="E334" s="94" t="s">
        <v>544</v>
      </c>
      <c r="F334" s="95">
        <v>44155</v>
      </c>
      <c r="G334" s="94" t="s">
        <v>3124</v>
      </c>
      <c r="H334" s="94" t="s">
        <v>811</v>
      </c>
      <c r="I334" s="94" t="s">
        <v>3170</v>
      </c>
      <c r="J334" s="94" t="s">
        <v>733</v>
      </c>
      <c r="K334" s="97">
        <v>550</v>
      </c>
    </row>
    <row r="335" spans="1:11" ht="15" customHeight="1" x14ac:dyDescent="0.4">
      <c r="A335" s="94"/>
      <c r="B335" s="94"/>
      <c r="C335" s="94"/>
      <c r="D335" s="94"/>
      <c r="E335" s="94" t="s">
        <v>544</v>
      </c>
      <c r="F335" s="95">
        <v>44155</v>
      </c>
      <c r="G335" s="94" t="s">
        <v>3125</v>
      </c>
      <c r="H335" s="94" t="s">
        <v>811</v>
      </c>
      <c r="I335" s="94" t="s">
        <v>3171</v>
      </c>
      <c r="J335" s="94" t="s">
        <v>733</v>
      </c>
      <c r="K335" s="97">
        <v>310</v>
      </c>
    </row>
    <row r="336" spans="1:11" ht="15" customHeight="1" x14ac:dyDescent="0.4">
      <c r="A336" s="94"/>
      <c r="B336" s="94"/>
      <c r="C336" s="94"/>
      <c r="D336" s="94"/>
      <c r="E336" s="94" t="s">
        <v>544</v>
      </c>
      <c r="F336" s="95">
        <v>44158</v>
      </c>
      <c r="G336" s="94" t="s">
        <v>2832</v>
      </c>
      <c r="H336" s="94" t="s">
        <v>1713</v>
      </c>
      <c r="I336" s="94" t="s">
        <v>3172</v>
      </c>
      <c r="J336" s="94" t="s">
        <v>733</v>
      </c>
      <c r="K336" s="97">
        <v>56.42</v>
      </c>
    </row>
    <row r="337" spans="1:11" ht="15" customHeight="1" x14ac:dyDescent="0.4">
      <c r="A337" s="94"/>
      <c r="B337" s="94"/>
      <c r="C337" s="94"/>
      <c r="D337" s="94"/>
      <c r="E337" s="94" t="s">
        <v>544</v>
      </c>
      <c r="F337" s="95">
        <v>44158</v>
      </c>
      <c r="G337" s="94" t="s">
        <v>3126</v>
      </c>
      <c r="H337" s="94" t="s">
        <v>811</v>
      </c>
      <c r="I337" s="94" t="s">
        <v>3173</v>
      </c>
      <c r="J337" s="94" t="s">
        <v>733</v>
      </c>
      <c r="K337" s="97">
        <v>310</v>
      </c>
    </row>
    <row r="338" spans="1:11" ht="15" customHeight="1" x14ac:dyDescent="0.4">
      <c r="A338" s="94"/>
      <c r="B338" s="94"/>
      <c r="C338" s="94"/>
      <c r="D338" s="94"/>
      <c r="E338" s="94" t="s">
        <v>545</v>
      </c>
      <c r="F338" s="95">
        <v>44158</v>
      </c>
      <c r="G338" s="94" t="s">
        <v>3127</v>
      </c>
      <c r="H338" s="94" t="s">
        <v>3144</v>
      </c>
      <c r="I338" s="94" t="s">
        <v>3174</v>
      </c>
      <c r="J338" s="94" t="s">
        <v>924</v>
      </c>
      <c r="K338" s="97">
        <v>100</v>
      </c>
    </row>
    <row r="339" spans="1:11" ht="15" customHeight="1" x14ac:dyDescent="0.4">
      <c r="A339" s="94"/>
      <c r="B339" s="94"/>
      <c r="C339" s="94"/>
      <c r="D339" s="94"/>
      <c r="E339" s="94" t="s">
        <v>544</v>
      </c>
      <c r="F339" s="95">
        <v>44159</v>
      </c>
      <c r="G339" s="94" t="s">
        <v>3128</v>
      </c>
      <c r="H339" s="94" t="s">
        <v>3145</v>
      </c>
      <c r="I339" s="94" t="s">
        <v>3175</v>
      </c>
      <c r="J339" s="94" t="s">
        <v>733</v>
      </c>
      <c r="K339" s="97">
        <v>99</v>
      </c>
    </row>
    <row r="340" spans="1:11" ht="15" customHeight="1" x14ac:dyDescent="0.4">
      <c r="A340" s="94"/>
      <c r="B340" s="94"/>
      <c r="C340" s="94"/>
      <c r="D340" s="94"/>
      <c r="E340" s="94" t="s">
        <v>544</v>
      </c>
      <c r="F340" s="95">
        <v>44159</v>
      </c>
      <c r="G340" s="94" t="s">
        <v>3128</v>
      </c>
      <c r="H340" s="94" t="s">
        <v>3145</v>
      </c>
      <c r="I340" s="94" t="s">
        <v>3176</v>
      </c>
      <c r="J340" s="94" t="s">
        <v>733</v>
      </c>
      <c r="K340" s="97">
        <v>0</v>
      </c>
    </row>
    <row r="341" spans="1:11" ht="15" customHeight="1" x14ac:dyDescent="0.4">
      <c r="A341" s="94"/>
      <c r="B341" s="94"/>
      <c r="C341" s="94"/>
      <c r="D341" s="94"/>
      <c r="E341" s="94" t="s">
        <v>544</v>
      </c>
      <c r="F341" s="95">
        <v>44159</v>
      </c>
      <c r="G341" s="94" t="s">
        <v>3128</v>
      </c>
      <c r="H341" s="94" t="s">
        <v>3145</v>
      </c>
      <c r="I341" s="94" t="s">
        <v>3177</v>
      </c>
      <c r="J341" s="94" t="s">
        <v>733</v>
      </c>
      <c r="K341" s="97">
        <v>99</v>
      </c>
    </row>
    <row r="342" spans="1:11" ht="15" customHeight="1" x14ac:dyDescent="0.4">
      <c r="A342" s="94"/>
      <c r="B342" s="94"/>
      <c r="C342" s="94"/>
      <c r="D342" s="94"/>
      <c r="E342" s="94" t="s">
        <v>544</v>
      </c>
      <c r="F342" s="95">
        <v>44159</v>
      </c>
      <c r="G342" s="94" t="s">
        <v>3128</v>
      </c>
      <c r="H342" s="94" t="s">
        <v>3145</v>
      </c>
      <c r="I342" s="94" t="s">
        <v>3178</v>
      </c>
      <c r="J342" s="94" t="s">
        <v>733</v>
      </c>
      <c r="K342" s="97">
        <v>99</v>
      </c>
    </row>
    <row r="343" spans="1:11" ht="15" customHeight="1" x14ac:dyDescent="0.4">
      <c r="A343" s="94"/>
      <c r="B343" s="94"/>
      <c r="C343" s="94"/>
      <c r="D343" s="94"/>
      <c r="E343" s="94" t="s">
        <v>544</v>
      </c>
      <c r="F343" s="95">
        <v>44159</v>
      </c>
      <c r="G343" s="94" t="s">
        <v>3128</v>
      </c>
      <c r="H343" s="94" t="s">
        <v>3145</v>
      </c>
      <c r="I343" s="94" t="s">
        <v>3179</v>
      </c>
      <c r="J343" s="94" t="s">
        <v>733</v>
      </c>
      <c r="K343" s="97">
        <v>99</v>
      </c>
    </row>
    <row r="344" spans="1:11" ht="15" customHeight="1" x14ac:dyDescent="0.4">
      <c r="A344" s="94"/>
      <c r="B344" s="94"/>
      <c r="C344" s="94"/>
      <c r="D344" s="94"/>
      <c r="E344" s="94" t="s">
        <v>544</v>
      </c>
      <c r="F344" s="95">
        <v>44159</v>
      </c>
      <c r="G344" s="94" t="s">
        <v>3128</v>
      </c>
      <c r="H344" s="94" t="s">
        <v>3145</v>
      </c>
      <c r="I344" s="94" t="s">
        <v>3180</v>
      </c>
      <c r="J344" s="94" t="s">
        <v>733</v>
      </c>
      <c r="K344" s="97">
        <v>99</v>
      </c>
    </row>
    <row r="345" spans="1:11" ht="15" customHeight="1" x14ac:dyDescent="0.4">
      <c r="A345" s="94"/>
      <c r="B345" s="94"/>
      <c r="C345" s="94"/>
      <c r="D345" s="94"/>
      <c r="E345" s="94" t="s">
        <v>544</v>
      </c>
      <c r="F345" s="95">
        <v>44159</v>
      </c>
      <c r="G345" s="94" t="s">
        <v>3128</v>
      </c>
      <c r="H345" s="94" t="s">
        <v>3145</v>
      </c>
      <c r="I345" s="94" t="s">
        <v>3181</v>
      </c>
      <c r="J345" s="94" t="s">
        <v>733</v>
      </c>
      <c r="K345" s="97">
        <v>99</v>
      </c>
    </row>
    <row r="346" spans="1:11" ht="15" customHeight="1" x14ac:dyDescent="0.4">
      <c r="A346" s="94"/>
      <c r="B346" s="94"/>
      <c r="C346" s="94"/>
      <c r="D346" s="94"/>
      <c r="E346" s="94" t="s">
        <v>544</v>
      </c>
      <c r="F346" s="95">
        <v>44159</v>
      </c>
      <c r="G346" s="94" t="s">
        <v>3128</v>
      </c>
      <c r="H346" s="94" t="s">
        <v>3145</v>
      </c>
      <c r="I346" s="94" t="s">
        <v>3182</v>
      </c>
      <c r="J346" s="94" t="s">
        <v>733</v>
      </c>
      <c r="K346" s="97">
        <v>99</v>
      </c>
    </row>
    <row r="347" spans="1:11" ht="15" customHeight="1" x14ac:dyDescent="0.4">
      <c r="A347" s="94"/>
      <c r="B347" s="94"/>
      <c r="C347" s="94"/>
      <c r="D347" s="94"/>
      <c r="E347" s="94" t="s">
        <v>544</v>
      </c>
      <c r="F347" s="95">
        <v>44159</v>
      </c>
      <c r="G347" s="94" t="s">
        <v>3128</v>
      </c>
      <c r="H347" s="94" t="s">
        <v>3145</v>
      </c>
      <c r="I347" s="94" t="s">
        <v>3183</v>
      </c>
      <c r="J347" s="94" t="s">
        <v>733</v>
      </c>
      <c r="K347" s="97">
        <v>99</v>
      </c>
    </row>
    <row r="348" spans="1:11" ht="15" customHeight="1" x14ac:dyDescent="0.4">
      <c r="A348" s="94"/>
      <c r="B348" s="94"/>
      <c r="C348" s="94"/>
      <c r="D348" s="94"/>
      <c r="E348" s="94" t="s">
        <v>544</v>
      </c>
      <c r="F348" s="95">
        <v>44165</v>
      </c>
      <c r="G348" s="94" t="s">
        <v>2832</v>
      </c>
      <c r="H348" s="94" t="s">
        <v>2837</v>
      </c>
      <c r="I348" s="94" t="s">
        <v>2851</v>
      </c>
      <c r="J348" s="94" t="s">
        <v>733</v>
      </c>
      <c r="K348" s="97">
        <v>60</v>
      </c>
    </row>
    <row r="349" spans="1:11" ht="15" customHeight="1" x14ac:dyDescent="0.4">
      <c r="A349" s="94"/>
      <c r="B349" s="94"/>
      <c r="C349" s="94"/>
      <c r="D349" s="94"/>
      <c r="E349" s="94" t="s">
        <v>544</v>
      </c>
      <c r="F349" s="95">
        <v>44170</v>
      </c>
      <c r="G349" s="94" t="s">
        <v>3128</v>
      </c>
      <c r="H349" s="94" t="s">
        <v>835</v>
      </c>
      <c r="I349" s="94" t="s">
        <v>3184</v>
      </c>
      <c r="J349" s="94" t="s">
        <v>733</v>
      </c>
      <c r="K349" s="97">
        <v>1869</v>
      </c>
    </row>
    <row r="350" spans="1:11" ht="15" customHeight="1" x14ac:dyDescent="0.4">
      <c r="A350" s="94"/>
      <c r="B350" s="94"/>
      <c r="C350" s="94"/>
      <c r="D350" s="94"/>
      <c r="E350" s="94" t="s">
        <v>545</v>
      </c>
      <c r="F350" s="95">
        <v>44172</v>
      </c>
      <c r="G350" s="94" t="s">
        <v>3129</v>
      </c>
      <c r="H350" s="94" t="s">
        <v>811</v>
      </c>
      <c r="I350" s="94" t="s">
        <v>3185</v>
      </c>
      <c r="J350" s="94" t="s">
        <v>923</v>
      </c>
      <c r="K350" s="97">
        <v>100</v>
      </c>
    </row>
    <row r="351" spans="1:11" ht="15" customHeight="1" x14ac:dyDescent="0.4">
      <c r="A351" s="94"/>
      <c r="B351" s="94"/>
      <c r="C351" s="94"/>
      <c r="D351" s="94"/>
      <c r="E351" s="94" t="s">
        <v>545</v>
      </c>
      <c r="F351" s="95">
        <v>44172</v>
      </c>
      <c r="G351" s="94" t="s">
        <v>3130</v>
      </c>
      <c r="H351" s="94" t="s">
        <v>2847</v>
      </c>
      <c r="I351" s="94" t="s">
        <v>3186</v>
      </c>
      <c r="J351" s="94" t="s">
        <v>924</v>
      </c>
      <c r="K351" s="97">
        <v>315</v>
      </c>
    </row>
    <row r="352" spans="1:11" ht="15" customHeight="1" x14ac:dyDescent="0.4">
      <c r="A352" s="94"/>
      <c r="B352" s="94"/>
      <c r="C352" s="94"/>
      <c r="D352" s="94"/>
      <c r="E352" s="94" t="s">
        <v>544</v>
      </c>
      <c r="F352" s="95">
        <v>44175</v>
      </c>
      <c r="G352" s="94" t="s">
        <v>3128</v>
      </c>
      <c r="H352" s="94" t="s">
        <v>3146</v>
      </c>
      <c r="I352" s="94" t="s">
        <v>3166</v>
      </c>
      <c r="J352" s="94" t="s">
        <v>733</v>
      </c>
      <c r="K352" s="97">
        <v>25.82</v>
      </c>
    </row>
    <row r="353" spans="1:11" ht="15" customHeight="1" x14ac:dyDescent="0.4">
      <c r="A353" s="94"/>
      <c r="B353" s="94"/>
      <c r="C353" s="94"/>
      <c r="D353" s="94"/>
      <c r="E353" s="94" t="s">
        <v>544</v>
      </c>
      <c r="F353" s="95">
        <v>44175</v>
      </c>
      <c r="G353" s="94" t="s">
        <v>3128</v>
      </c>
      <c r="H353" s="94" t="s">
        <v>2846</v>
      </c>
      <c r="I353" s="94" t="s">
        <v>2875</v>
      </c>
      <c r="J353" s="94" t="s">
        <v>733</v>
      </c>
      <c r="K353" s="97">
        <v>45</v>
      </c>
    </row>
    <row r="354" spans="1:11" ht="15" customHeight="1" x14ac:dyDescent="0.4">
      <c r="A354" s="94"/>
      <c r="B354" s="94"/>
      <c r="C354" s="94"/>
      <c r="D354" s="94"/>
      <c r="E354" s="94" t="s">
        <v>1314</v>
      </c>
      <c r="F354" s="95">
        <v>44175</v>
      </c>
      <c r="G354" s="94" t="s">
        <v>3131</v>
      </c>
      <c r="H354" s="94" t="s">
        <v>2733</v>
      </c>
      <c r="I354" s="94" t="s">
        <v>3187</v>
      </c>
      <c r="J354" s="94" t="s">
        <v>1379</v>
      </c>
      <c r="K354" s="97">
        <v>-15</v>
      </c>
    </row>
    <row r="355" spans="1:11" ht="15" customHeight="1" x14ac:dyDescent="0.4">
      <c r="A355" s="94"/>
      <c r="B355" s="94"/>
      <c r="C355" s="94"/>
      <c r="D355" s="94"/>
      <c r="E355" s="94" t="s">
        <v>1314</v>
      </c>
      <c r="F355" s="95">
        <v>44175</v>
      </c>
      <c r="G355" s="94" t="s">
        <v>3132</v>
      </c>
      <c r="H355" s="94" t="s">
        <v>3147</v>
      </c>
      <c r="I355" s="94" t="s">
        <v>3187</v>
      </c>
      <c r="J355" s="94" t="s">
        <v>1379</v>
      </c>
      <c r="K355" s="97">
        <v>-15</v>
      </c>
    </row>
    <row r="356" spans="1:11" ht="15" customHeight="1" x14ac:dyDescent="0.4">
      <c r="A356" s="94"/>
      <c r="B356" s="94"/>
      <c r="C356" s="94"/>
      <c r="D356" s="94"/>
      <c r="E356" s="94" t="s">
        <v>1314</v>
      </c>
      <c r="F356" s="95">
        <v>44175</v>
      </c>
      <c r="G356" s="94"/>
      <c r="H356" s="94" t="s">
        <v>3148</v>
      </c>
      <c r="I356" s="94" t="s">
        <v>3187</v>
      </c>
      <c r="J356" s="94" t="s">
        <v>1379</v>
      </c>
      <c r="K356" s="97">
        <v>-195</v>
      </c>
    </row>
    <row r="357" spans="1:11" ht="15" customHeight="1" x14ac:dyDescent="0.4">
      <c r="A357" s="94"/>
      <c r="B357" s="94"/>
      <c r="C357" s="94"/>
      <c r="D357" s="94"/>
      <c r="E357" s="94" t="s">
        <v>544</v>
      </c>
      <c r="F357" s="95">
        <v>44176</v>
      </c>
      <c r="G357" s="94" t="s">
        <v>3128</v>
      </c>
      <c r="H357" s="94" t="s">
        <v>2378</v>
      </c>
      <c r="I357" s="94" t="s">
        <v>2392</v>
      </c>
      <c r="J357" s="94" t="s">
        <v>733</v>
      </c>
      <c r="K357" s="97">
        <v>4489</v>
      </c>
    </row>
    <row r="358" spans="1:11" ht="15" customHeight="1" x14ac:dyDescent="0.4">
      <c r="A358" s="94"/>
      <c r="B358" s="94"/>
      <c r="C358" s="94"/>
      <c r="D358" s="94"/>
      <c r="E358" s="94" t="s">
        <v>544</v>
      </c>
      <c r="F358" s="95">
        <v>44179</v>
      </c>
      <c r="G358" s="94" t="s">
        <v>3128</v>
      </c>
      <c r="H358" s="94" t="s">
        <v>3149</v>
      </c>
      <c r="I358" s="94" t="s">
        <v>3191</v>
      </c>
      <c r="J358" s="94" t="s">
        <v>733</v>
      </c>
      <c r="K358" s="97">
        <v>31.39</v>
      </c>
    </row>
    <row r="359" spans="1:11" ht="15" customHeight="1" x14ac:dyDescent="0.4">
      <c r="A359" s="94"/>
      <c r="B359" s="94"/>
      <c r="C359" s="94"/>
      <c r="D359" s="94"/>
      <c r="E359" s="94" t="s">
        <v>544</v>
      </c>
      <c r="F359" s="95">
        <v>44181</v>
      </c>
      <c r="G359" s="94" t="s">
        <v>3133</v>
      </c>
      <c r="H359" s="94" t="s">
        <v>3150</v>
      </c>
      <c r="I359" s="94" t="s">
        <v>3188</v>
      </c>
      <c r="J359" s="94" t="s">
        <v>733</v>
      </c>
      <c r="K359" s="97">
        <v>18.59</v>
      </c>
    </row>
    <row r="360" spans="1:11" ht="15" customHeight="1" x14ac:dyDescent="0.4">
      <c r="A360" s="94"/>
      <c r="B360" s="94"/>
      <c r="C360" s="94"/>
      <c r="D360" s="94"/>
      <c r="E360" s="94" t="s">
        <v>545</v>
      </c>
      <c r="F360" s="95">
        <v>44181</v>
      </c>
      <c r="G360" s="94" t="s">
        <v>3134</v>
      </c>
      <c r="H360" s="94" t="s">
        <v>811</v>
      </c>
      <c r="I360" s="94" t="s">
        <v>3189</v>
      </c>
      <c r="J360" s="94" t="s">
        <v>923</v>
      </c>
      <c r="K360" s="97">
        <v>100</v>
      </c>
    </row>
    <row r="361" spans="1:11" ht="15" customHeight="1" x14ac:dyDescent="0.4">
      <c r="A361" s="94"/>
      <c r="B361" s="94"/>
      <c r="C361" s="94"/>
      <c r="D361" s="94"/>
      <c r="E361" s="94" t="s">
        <v>545</v>
      </c>
      <c r="F361" s="95">
        <v>44181</v>
      </c>
      <c r="G361" s="94" t="s">
        <v>3135</v>
      </c>
      <c r="H361" s="94" t="s">
        <v>811</v>
      </c>
      <c r="I361" s="94" t="s">
        <v>3190</v>
      </c>
      <c r="J361" s="94" t="s">
        <v>923</v>
      </c>
      <c r="K361" s="97">
        <v>50</v>
      </c>
    </row>
    <row r="362" spans="1:11" ht="15" customHeight="1" x14ac:dyDescent="0.4">
      <c r="A362" s="94"/>
      <c r="B362" s="94"/>
      <c r="C362" s="94"/>
      <c r="D362" s="94"/>
      <c r="E362" s="94" t="s">
        <v>544</v>
      </c>
      <c r="F362" s="95">
        <v>44182</v>
      </c>
      <c r="G362" s="94" t="s">
        <v>2617</v>
      </c>
      <c r="H362" s="94" t="s">
        <v>3151</v>
      </c>
      <c r="I362" s="94" t="s">
        <v>3191</v>
      </c>
      <c r="J362" s="94" t="s">
        <v>733</v>
      </c>
      <c r="K362" s="97">
        <v>39.53</v>
      </c>
    </row>
    <row r="363" spans="1:11" ht="15" customHeight="1" x14ac:dyDescent="0.4">
      <c r="A363" s="94"/>
      <c r="B363" s="94"/>
      <c r="C363" s="94"/>
      <c r="D363" s="94"/>
      <c r="E363" s="94" t="s">
        <v>544</v>
      </c>
      <c r="F363" s="95">
        <v>44183</v>
      </c>
      <c r="G363" s="94" t="s">
        <v>3128</v>
      </c>
      <c r="H363" s="94" t="s">
        <v>3152</v>
      </c>
      <c r="I363" s="94" t="s">
        <v>3192</v>
      </c>
      <c r="J363" s="94" t="s">
        <v>733</v>
      </c>
      <c r="K363" s="97">
        <v>15</v>
      </c>
    </row>
    <row r="364" spans="1:11" ht="15" customHeight="1" x14ac:dyDescent="0.4">
      <c r="A364" s="94"/>
      <c r="B364" s="94"/>
      <c r="C364" s="94"/>
      <c r="D364" s="94"/>
      <c r="E364" s="94" t="s">
        <v>545</v>
      </c>
      <c r="F364" s="95">
        <v>44186</v>
      </c>
      <c r="G364" s="94" t="s">
        <v>3136</v>
      </c>
      <c r="H364" s="94" t="s">
        <v>813</v>
      </c>
      <c r="I364" s="94" t="s">
        <v>3193</v>
      </c>
      <c r="J364" s="94" t="s">
        <v>923</v>
      </c>
      <c r="K364" s="97">
        <v>45</v>
      </c>
    </row>
    <row r="365" spans="1:11" ht="15" customHeight="1" x14ac:dyDescent="0.4">
      <c r="A365" s="94"/>
      <c r="B365" s="94"/>
      <c r="C365" s="94"/>
      <c r="D365" s="94"/>
      <c r="E365" s="94" t="s">
        <v>545</v>
      </c>
      <c r="F365" s="95">
        <v>44188</v>
      </c>
      <c r="G365" s="94" t="s">
        <v>3137</v>
      </c>
      <c r="H365" s="94" t="s">
        <v>811</v>
      </c>
      <c r="I365" s="94" t="s">
        <v>3194</v>
      </c>
      <c r="J365" s="94" t="s">
        <v>923</v>
      </c>
      <c r="K365" s="97">
        <v>100</v>
      </c>
    </row>
    <row r="366" spans="1:11" ht="15" customHeight="1" thickBot="1" x14ac:dyDescent="0.45">
      <c r="A366" s="94"/>
      <c r="B366" s="94"/>
      <c r="C366" s="94"/>
      <c r="D366" s="94"/>
      <c r="E366" s="94" t="s">
        <v>544</v>
      </c>
      <c r="F366" s="95">
        <v>44193</v>
      </c>
      <c r="G366" s="94" t="s">
        <v>3138</v>
      </c>
      <c r="H366" s="94" t="s">
        <v>818</v>
      </c>
      <c r="I366" s="94" t="s">
        <v>864</v>
      </c>
      <c r="J366" s="94" t="s">
        <v>733</v>
      </c>
      <c r="K366" s="756">
        <v>180</v>
      </c>
    </row>
    <row r="367" spans="1:11" ht="15" customHeight="1" thickBot="1" x14ac:dyDescent="0.45">
      <c r="A367" s="94"/>
      <c r="B367" s="94"/>
      <c r="C367" s="94" t="s">
        <v>736</v>
      </c>
      <c r="D367" s="94"/>
      <c r="E367" s="94"/>
      <c r="F367" s="95"/>
      <c r="G367" s="94"/>
      <c r="H367" s="94"/>
      <c r="I367" s="94"/>
      <c r="J367" s="94"/>
      <c r="K367" s="757">
        <f>ROUND(SUM(K3:K366),5)</f>
        <v>67543.759999999995</v>
      </c>
    </row>
    <row r="368" spans="1:11" ht="15" customHeight="1" thickBot="1" x14ac:dyDescent="0.45">
      <c r="A368" s="94"/>
      <c r="B368" s="94" t="s">
        <v>737</v>
      </c>
      <c r="C368" s="94"/>
      <c r="D368" s="94"/>
      <c r="E368" s="94"/>
      <c r="F368" s="95"/>
      <c r="G368" s="94"/>
      <c r="H368" s="94"/>
      <c r="I368" s="94"/>
      <c r="J368" s="94"/>
      <c r="K368" s="757">
        <f>K367</f>
        <v>67543.759999999995</v>
      </c>
    </row>
    <row r="369" spans="1:11" ht="15" customHeight="1" thickBot="1" x14ac:dyDescent="0.45">
      <c r="A369" s="94" t="s">
        <v>98</v>
      </c>
      <c r="B369" s="94"/>
      <c r="C369" s="94"/>
      <c r="D369" s="94"/>
      <c r="E369" s="94"/>
      <c r="F369" s="95"/>
      <c r="G369" s="94"/>
      <c r="H369" s="94"/>
      <c r="I369" s="94"/>
      <c r="J369" s="94"/>
      <c r="K369" s="758">
        <f>K368</f>
        <v>67543.759999999995</v>
      </c>
    </row>
    <row r="370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3:27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430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4301" r:id="rId4" name="FILTER"/>
      </mc:Fallback>
    </mc:AlternateContent>
    <mc:AlternateContent xmlns:mc="http://schemas.openxmlformats.org/markup-compatibility/2006">
      <mc:Choice Requires="x14">
        <control shapeId="5430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4302" r:id="rId6" name="HEADER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4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33.8437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11.3828125" style="760" bestFit="1" customWidth="1"/>
    <col min="8" max="8" width="25.15234375" style="760" bestFit="1" customWidth="1"/>
    <col min="9" max="9" width="30.69140625" style="760" customWidth="1"/>
    <col min="10" max="10" width="22.3046875" style="760" bestFit="1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936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43837</v>
      </c>
      <c r="G4" s="94" t="s">
        <v>938</v>
      </c>
      <c r="H4" s="94" t="s">
        <v>943</v>
      </c>
      <c r="I4" s="94" t="s">
        <v>946</v>
      </c>
      <c r="J4" s="94" t="s">
        <v>733</v>
      </c>
      <c r="K4" s="97">
        <v>345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43843</v>
      </c>
      <c r="G5" s="94" t="s">
        <v>939</v>
      </c>
      <c r="H5" s="94" t="s">
        <v>944</v>
      </c>
      <c r="I5" s="94" t="s">
        <v>947</v>
      </c>
      <c r="J5" s="94" t="s">
        <v>733</v>
      </c>
      <c r="K5" s="97">
        <v>1292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43843</v>
      </c>
      <c r="G6" s="94" t="s">
        <v>939</v>
      </c>
      <c r="H6" s="94" t="s">
        <v>944</v>
      </c>
      <c r="I6" s="94" t="s">
        <v>948</v>
      </c>
      <c r="J6" s="94" t="s">
        <v>733</v>
      </c>
      <c r="K6" s="97">
        <v>1287.06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43859</v>
      </c>
      <c r="G7" s="94" t="s">
        <v>940</v>
      </c>
      <c r="H7" s="94" t="s">
        <v>945</v>
      </c>
      <c r="I7" s="94" t="s">
        <v>949</v>
      </c>
      <c r="J7" s="94" t="s">
        <v>733</v>
      </c>
      <c r="K7" s="97">
        <v>1209.81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43871</v>
      </c>
      <c r="G8" s="94" t="s">
        <v>941</v>
      </c>
      <c r="H8" s="94" t="s">
        <v>943</v>
      </c>
      <c r="I8" s="94" t="s">
        <v>946</v>
      </c>
      <c r="J8" s="94" t="s">
        <v>733</v>
      </c>
      <c r="K8" s="97">
        <v>345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43872</v>
      </c>
      <c r="G9" s="94" t="s">
        <v>942</v>
      </c>
      <c r="H9" s="94" t="s">
        <v>944</v>
      </c>
      <c r="I9" s="94" t="s">
        <v>947</v>
      </c>
      <c r="J9" s="94" t="s">
        <v>733</v>
      </c>
      <c r="K9" s="97">
        <v>1292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43899</v>
      </c>
      <c r="G10" s="94" t="s">
        <v>1384</v>
      </c>
      <c r="H10" s="94" t="s">
        <v>943</v>
      </c>
      <c r="I10" s="94" t="s">
        <v>946</v>
      </c>
      <c r="J10" s="94" t="s">
        <v>733</v>
      </c>
      <c r="K10" s="97">
        <v>345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43901</v>
      </c>
      <c r="G11" s="94" t="s">
        <v>1385</v>
      </c>
      <c r="H11" s="94" t="s">
        <v>1388</v>
      </c>
      <c r="I11" s="94" t="s">
        <v>1389</v>
      </c>
      <c r="J11" s="94" t="s">
        <v>733</v>
      </c>
      <c r="K11" s="97">
        <v>1168.6199999999999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43903</v>
      </c>
      <c r="G12" s="94" t="s">
        <v>1386</v>
      </c>
      <c r="H12" s="94" t="s">
        <v>944</v>
      </c>
      <c r="I12" s="94" t="s">
        <v>947</v>
      </c>
      <c r="J12" s="94" t="s">
        <v>733</v>
      </c>
      <c r="K12" s="97">
        <v>1292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43929</v>
      </c>
      <c r="G13" s="94" t="s">
        <v>1387</v>
      </c>
      <c r="H13" s="94" t="s">
        <v>943</v>
      </c>
      <c r="I13" s="94" t="s">
        <v>946</v>
      </c>
      <c r="J13" s="94" t="s">
        <v>733</v>
      </c>
      <c r="K13" s="97">
        <v>345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43934</v>
      </c>
      <c r="G14" s="94" t="s">
        <v>1627</v>
      </c>
      <c r="H14" s="94" t="s">
        <v>944</v>
      </c>
      <c r="I14" s="94" t="s">
        <v>947</v>
      </c>
      <c r="J14" s="94" t="s">
        <v>733</v>
      </c>
      <c r="K14" s="97">
        <v>1292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43951</v>
      </c>
      <c r="G15" s="94" t="s">
        <v>1628</v>
      </c>
      <c r="H15" s="94" t="s">
        <v>1388</v>
      </c>
      <c r="I15" s="94" t="s">
        <v>2890</v>
      </c>
      <c r="J15" s="94" t="s">
        <v>733</v>
      </c>
      <c r="K15" s="97">
        <v>1209.81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43958</v>
      </c>
      <c r="G16" s="94" t="s">
        <v>1629</v>
      </c>
      <c r="H16" s="94" t="s">
        <v>943</v>
      </c>
      <c r="I16" s="94" t="s">
        <v>946</v>
      </c>
      <c r="J16" s="94" t="s">
        <v>733</v>
      </c>
      <c r="K16" s="97">
        <v>345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43964</v>
      </c>
      <c r="G17" s="94" t="s">
        <v>1630</v>
      </c>
      <c r="H17" s="94" t="s">
        <v>944</v>
      </c>
      <c r="I17" s="94" t="s">
        <v>947</v>
      </c>
      <c r="J17" s="94" t="s">
        <v>733</v>
      </c>
      <c r="K17" s="97">
        <v>1292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43990</v>
      </c>
      <c r="G18" s="94" t="s">
        <v>1827</v>
      </c>
      <c r="H18" s="94" t="s">
        <v>943</v>
      </c>
      <c r="I18" s="94" t="s">
        <v>946</v>
      </c>
      <c r="J18" s="94" t="s">
        <v>733</v>
      </c>
      <c r="K18" s="97">
        <v>345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43993</v>
      </c>
      <c r="G19" s="94" t="s">
        <v>2027</v>
      </c>
      <c r="H19" s="94" t="s">
        <v>1388</v>
      </c>
      <c r="I19" s="94" t="s">
        <v>1389</v>
      </c>
      <c r="J19" s="94" t="s">
        <v>733</v>
      </c>
      <c r="K19" s="97">
        <v>1168.6199999999999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43994</v>
      </c>
      <c r="G20" s="94" t="s">
        <v>2028</v>
      </c>
      <c r="H20" s="94" t="s">
        <v>944</v>
      </c>
      <c r="I20" s="94" t="s">
        <v>947</v>
      </c>
      <c r="J20" s="94" t="s">
        <v>733</v>
      </c>
      <c r="K20" s="97">
        <v>1292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44019</v>
      </c>
      <c r="G21" s="94" t="s">
        <v>2029</v>
      </c>
      <c r="H21" s="94" t="s">
        <v>943</v>
      </c>
      <c r="I21" s="94" t="s">
        <v>946</v>
      </c>
      <c r="J21" s="94" t="s">
        <v>733</v>
      </c>
      <c r="K21" s="97">
        <v>345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44025</v>
      </c>
      <c r="G22" s="94" t="s">
        <v>2030</v>
      </c>
      <c r="H22" s="94" t="s">
        <v>944</v>
      </c>
      <c r="I22" s="94" t="s">
        <v>947</v>
      </c>
      <c r="J22" s="94" t="s">
        <v>733</v>
      </c>
      <c r="K22" s="97">
        <v>1292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44043</v>
      </c>
      <c r="G23" s="94" t="s">
        <v>2233</v>
      </c>
      <c r="H23" s="94" t="s">
        <v>1388</v>
      </c>
      <c r="I23" s="94" t="s">
        <v>2890</v>
      </c>
      <c r="J23" s="94" t="s">
        <v>733</v>
      </c>
      <c r="K23" s="97">
        <v>1209.81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44050</v>
      </c>
      <c r="G24" s="94" t="s">
        <v>2432</v>
      </c>
      <c r="H24" s="94" t="s">
        <v>943</v>
      </c>
      <c r="I24" s="94" t="s">
        <v>946</v>
      </c>
      <c r="J24" s="94" t="s">
        <v>733</v>
      </c>
      <c r="K24" s="97">
        <v>345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44056</v>
      </c>
      <c r="G25" s="94" t="s">
        <v>2433</v>
      </c>
      <c r="H25" s="94" t="s">
        <v>944</v>
      </c>
      <c r="I25" s="94" t="s">
        <v>947</v>
      </c>
      <c r="J25" s="94" t="s">
        <v>733</v>
      </c>
      <c r="K25" s="97">
        <v>1292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44081</v>
      </c>
      <c r="G26" s="94" t="s">
        <v>2434</v>
      </c>
      <c r="H26" s="94" t="s">
        <v>943</v>
      </c>
      <c r="I26" s="94" t="s">
        <v>946</v>
      </c>
      <c r="J26" s="94" t="s">
        <v>733</v>
      </c>
      <c r="K26" s="97">
        <v>345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44081</v>
      </c>
      <c r="G27" s="94" t="s">
        <v>2434</v>
      </c>
      <c r="H27" s="94" t="s">
        <v>943</v>
      </c>
      <c r="I27" s="94" t="s">
        <v>2435</v>
      </c>
      <c r="J27" s="94" t="s">
        <v>733</v>
      </c>
      <c r="K27" s="97">
        <v>465.56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44085</v>
      </c>
      <c r="G28" s="94" t="s">
        <v>2663</v>
      </c>
      <c r="H28" s="94" t="s">
        <v>1388</v>
      </c>
      <c r="I28" s="94" t="s">
        <v>2031</v>
      </c>
      <c r="J28" s="94" t="s">
        <v>733</v>
      </c>
      <c r="K28" s="97">
        <v>1429.47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44088</v>
      </c>
      <c r="G29" s="94" t="s">
        <v>2664</v>
      </c>
      <c r="H29" s="94" t="s">
        <v>944</v>
      </c>
      <c r="I29" s="94" t="s">
        <v>947</v>
      </c>
      <c r="J29" s="94" t="s">
        <v>733</v>
      </c>
      <c r="K29" s="97">
        <v>1292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44111</v>
      </c>
      <c r="G30" s="94" t="s">
        <v>2665</v>
      </c>
      <c r="H30" s="94" t="s">
        <v>943</v>
      </c>
      <c r="I30" s="94" t="s">
        <v>946</v>
      </c>
      <c r="J30" s="94" t="s">
        <v>733</v>
      </c>
      <c r="K30" s="97">
        <v>345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44117</v>
      </c>
      <c r="G31" s="94" t="s">
        <v>2887</v>
      </c>
      <c r="H31" s="94" t="s">
        <v>944</v>
      </c>
      <c r="I31" s="94" t="s">
        <v>947</v>
      </c>
      <c r="J31" s="94" t="s">
        <v>733</v>
      </c>
      <c r="K31" s="97">
        <v>1292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44134</v>
      </c>
      <c r="G32" s="94" t="s">
        <v>2888</v>
      </c>
      <c r="H32" s="94" t="s">
        <v>1388</v>
      </c>
      <c r="I32" s="94" t="s">
        <v>2890</v>
      </c>
      <c r="J32" s="94" t="s">
        <v>733</v>
      </c>
      <c r="K32" s="97">
        <v>1209.81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44144</v>
      </c>
      <c r="G33" s="94" t="s">
        <v>2889</v>
      </c>
      <c r="H33" s="94" t="s">
        <v>943</v>
      </c>
      <c r="I33" s="94" t="s">
        <v>946</v>
      </c>
      <c r="J33" s="94" t="s">
        <v>733</v>
      </c>
      <c r="K33" s="97">
        <v>345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44147</v>
      </c>
      <c r="G34" s="94" t="s">
        <v>3195</v>
      </c>
      <c r="H34" s="94" t="s">
        <v>944</v>
      </c>
      <c r="I34" s="94" t="s">
        <v>947</v>
      </c>
      <c r="J34" s="94" t="s">
        <v>733</v>
      </c>
      <c r="K34" s="97">
        <v>1292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44173</v>
      </c>
      <c r="G35" s="94" t="s">
        <v>3196</v>
      </c>
      <c r="H35" s="94" t="s">
        <v>943</v>
      </c>
      <c r="I35" s="94" t="s">
        <v>946</v>
      </c>
      <c r="J35" s="94" t="s">
        <v>733</v>
      </c>
      <c r="K35" s="97">
        <v>345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44177</v>
      </c>
      <c r="G36" s="94" t="s">
        <v>3197</v>
      </c>
      <c r="H36" s="94" t="s">
        <v>1388</v>
      </c>
      <c r="I36" s="94" t="s">
        <v>2031</v>
      </c>
      <c r="J36" s="94" t="s">
        <v>733</v>
      </c>
      <c r="K36" s="97">
        <v>1429.47</v>
      </c>
    </row>
    <row r="37" spans="1:11" thickBot="1" x14ac:dyDescent="0.45">
      <c r="A37" s="94"/>
      <c r="B37" s="94"/>
      <c r="C37" s="94"/>
      <c r="D37" s="94"/>
      <c r="E37" s="94" t="s">
        <v>544</v>
      </c>
      <c r="F37" s="95">
        <v>44179</v>
      </c>
      <c r="G37" s="94" t="s">
        <v>3198</v>
      </c>
      <c r="H37" s="94" t="s">
        <v>944</v>
      </c>
      <c r="I37" s="94" t="s">
        <v>947</v>
      </c>
      <c r="J37" s="94" t="s">
        <v>733</v>
      </c>
      <c r="K37" s="756">
        <v>1292</v>
      </c>
    </row>
    <row r="38" spans="1:11" ht="15" customHeight="1" thickBot="1" x14ac:dyDescent="0.45">
      <c r="A38" s="94"/>
      <c r="B38" s="94"/>
      <c r="C38" s="94" t="s">
        <v>937</v>
      </c>
      <c r="D38" s="94"/>
      <c r="E38" s="94"/>
      <c r="F38" s="95"/>
      <c r="G38" s="94"/>
      <c r="H38" s="94"/>
      <c r="I38" s="94"/>
      <c r="J38" s="94"/>
      <c r="K38" s="757">
        <f>ROUND(SUM(K3:K37),5)</f>
        <v>31432.04</v>
      </c>
    </row>
    <row r="39" spans="1:11" ht="15" customHeight="1" thickBot="1" x14ac:dyDescent="0.45">
      <c r="A39" s="94"/>
      <c r="B39" s="94" t="s">
        <v>737</v>
      </c>
      <c r="C39" s="94"/>
      <c r="D39" s="94"/>
      <c r="E39" s="94"/>
      <c r="F39" s="95"/>
      <c r="G39" s="94"/>
      <c r="H39" s="94"/>
      <c r="I39" s="94"/>
      <c r="J39" s="94"/>
      <c r="K39" s="757">
        <f>K38</f>
        <v>31432.04</v>
      </c>
    </row>
    <row r="40" spans="1:11" ht="15" customHeight="1" thickBot="1" x14ac:dyDescent="0.45">
      <c r="A40" s="94" t="s">
        <v>98</v>
      </c>
      <c r="B40" s="94"/>
      <c r="C40" s="94"/>
      <c r="D40" s="94"/>
      <c r="E40" s="94"/>
      <c r="F40" s="95"/>
      <c r="G40" s="94"/>
      <c r="H40" s="94"/>
      <c r="I40" s="94"/>
      <c r="J40" s="94"/>
      <c r="K40" s="758">
        <f>K39</f>
        <v>31432.04</v>
      </c>
    </row>
    <row r="41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3:30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531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5315" r:id="rId4" name="FILTER"/>
      </mc:Fallback>
    </mc:AlternateContent>
    <mc:AlternateContent xmlns:mc="http://schemas.openxmlformats.org/markup-compatibility/2006">
      <mc:Choice Requires="x14">
        <control shapeId="5531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5316" r:id="rId6" name="HEADER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K135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5.38281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21.3828125" style="760" bestFit="1" customWidth="1"/>
    <col min="8" max="8" width="23.84375" style="760" bestFit="1" customWidth="1"/>
    <col min="9" max="9" width="30.69140625" style="760" customWidth="1"/>
    <col min="10" max="10" width="27.3828125" style="760" bestFit="1" customWidth="1"/>
    <col min="11" max="11" width="10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479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951</v>
      </c>
      <c r="H4" s="94" t="s">
        <v>259</v>
      </c>
      <c r="I4" s="94" t="s">
        <v>980</v>
      </c>
      <c r="J4" s="94" t="s">
        <v>733</v>
      </c>
      <c r="K4" s="97">
        <v>1465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952</v>
      </c>
      <c r="H5" s="94" t="s">
        <v>973</v>
      </c>
      <c r="I5" s="94" t="s">
        <v>981</v>
      </c>
      <c r="J5" s="94" t="s">
        <v>733</v>
      </c>
      <c r="K5" s="97">
        <v>419.95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43834</v>
      </c>
      <c r="G6" s="94" t="s">
        <v>953</v>
      </c>
      <c r="H6" s="94" t="s">
        <v>974</v>
      </c>
      <c r="I6" s="94" t="s">
        <v>982</v>
      </c>
      <c r="J6" s="94" t="s">
        <v>733</v>
      </c>
      <c r="K6" s="97">
        <v>119.64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43837</v>
      </c>
      <c r="G7" s="94" t="s">
        <v>954</v>
      </c>
      <c r="H7" s="94" t="s">
        <v>975</v>
      </c>
      <c r="I7" s="94" t="s">
        <v>983</v>
      </c>
      <c r="J7" s="94" t="s">
        <v>733</v>
      </c>
      <c r="K7" s="97">
        <v>770.3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43840</v>
      </c>
      <c r="G8" s="94" t="s">
        <v>955</v>
      </c>
      <c r="H8" s="94" t="s">
        <v>975</v>
      </c>
      <c r="I8" s="94" t="s">
        <v>983</v>
      </c>
      <c r="J8" s="94" t="s">
        <v>733</v>
      </c>
      <c r="K8" s="97">
        <v>2285.98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43840</v>
      </c>
      <c r="G9" s="94" t="s">
        <v>956</v>
      </c>
      <c r="H9" s="94" t="s">
        <v>976</v>
      </c>
      <c r="I9" s="94" t="s">
        <v>984</v>
      </c>
      <c r="J9" s="94" t="s">
        <v>733</v>
      </c>
      <c r="K9" s="97">
        <v>76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43849</v>
      </c>
      <c r="G10" s="94" t="s">
        <v>957</v>
      </c>
      <c r="H10" s="94" t="s">
        <v>974</v>
      </c>
      <c r="I10" s="94" t="s">
        <v>985</v>
      </c>
      <c r="J10" s="94" t="s">
        <v>733</v>
      </c>
      <c r="K10" s="97">
        <v>314.39999999999998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43849</v>
      </c>
      <c r="G11" s="94" t="s">
        <v>958</v>
      </c>
      <c r="H11" s="94" t="s">
        <v>977</v>
      </c>
      <c r="I11" s="94" t="s">
        <v>986</v>
      </c>
      <c r="J11" s="94" t="s">
        <v>733</v>
      </c>
      <c r="K11" s="97">
        <v>2046.87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43850</v>
      </c>
      <c r="G12" s="94" t="s">
        <v>959</v>
      </c>
      <c r="H12" s="94" t="s">
        <v>259</v>
      </c>
      <c r="I12" s="94" t="s">
        <v>987</v>
      </c>
      <c r="J12" s="94" t="s">
        <v>733</v>
      </c>
      <c r="K12" s="97">
        <v>1465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43858</v>
      </c>
      <c r="G13" s="94" t="s">
        <v>960</v>
      </c>
      <c r="H13" s="94" t="s">
        <v>974</v>
      </c>
      <c r="I13" s="94" t="s">
        <v>985</v>
      </c>
      <c r="J13" s="94" t="s">
        <v>733</v>
      </c>
      <c r="K13" s="97">
        <v>857.69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43860</v>
      </c>
      <c r="G14" s="94" t="s">
        <v>961</v>
      </c>
      <c r="H14" s="94" t="s">
        <v>978</v>
      </c>
      <c r="I14" s="94" t="s">
        <v>988</v>
      </c>
      <c r="J14" s="94" t="s">
        <v>733</v>
      </c>
      <c r="K14" s="97">
        <v>5853.95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43860</v>
      </c>
      <c r="G15" s="94" t="s">
        <v>962</v>
      </c>
      <c r="H15" s="94" t="s">
        <v>978</v>
      </c>
      <c r="I15" s="94" t="s">
        <v>989</v>
      </c>
      <c r="J15" s="94" t="s">
        <v>733</v>
      </c>
      <c r="K15" s="97">
        <v>237.64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43862</v>
      </c>
      <c r="G16" s="94" t="s">
        <v>963</v>
      </c>
      <c r="H16" s="94" t="s">
        <v>979</v>
      </c>
      <c r="I16" s="94" t="s">
        <v>2451</v>
      </c>
      <c r="J16" s="94" t="s">
        <v>733</v>
      </c>
      <c r="K16" s="97">
        <v>196.64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43865</v>
      </c>
      <c r="G17" s="94" t="s">
        <v>964</v>
      </c>
      <c r="H17" s="94" t="s">
        <v>974</v>
      </c>
      <c r="I17" s="94" t="s">
        <v>982</v>
      </c>
      <c r="J17" s="94" t="s">
        <v>733</v>
      </c>
      <c r="K17" s="97">
        <v>119.64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43866</v>
      </c>
      <c r="G18" s="94" t="s">
        <v>965</v>
      </c>
      <c r="H18" s="94" t="s">
        <v>973</v>
      </c>
      <c r="I18" s="94" t="s">
        <v>981</v>
      </c>
      <c r="J18" s="94" t="s">
        <v>733</v>
      </c>
      <c r="K18" s="97">
        <v>419.95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43868</v>
      </c>
      <c r="G19" s="94" t="s">
        <v>966</v>
      </c>
      <c r="H19" s="94" t="s">
        <v>975</v>
      </c>
      <c r="I19" s="94" t="s">
        <v>983</v>
      </c>
      <c r="J19" s="94" t="s">
        <v>733</v>
      </c>
      <c r="K19" s="97">
        <v>770.3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43871</v>
      </c>
      <c r="G20" s="94" t="s">
        <v>967</v>
      </c>
      <c r="H20" s="94" t="s">
        <v>975</v>
      </c>
      <c r="I20" s="94" t="s">
        <v>983</v>
      </c>
      <c r="J20" s="94" t="s">
        <v>733</v>
      </c>
      <c r="K20" s="97">
        <v>2285.98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43871</v>
      </c>
      <c r="G21" s="94" t="s">
        <v>968</v>
      </c>
      <c r="H21" s="94" t="s">
        <v>976</v>
      </c>
      <c r="I21" s="94" t="s">
        <v>984</v>
      </c>
      <c r="J21" s="94" t="s">
        <v>733</v>
      </c>
      <c r="K21" s="97">
        <v>75.98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43880</v>
      </c>
      <c r="G22" s="94" t="s">
        <v>969</v>
      </c>
      <c r="H22" s="94" t="s">
        <v>977</v>
      </c>
      <c r="I22" s="94" t="s">
        <v>986</v>
      </c>
      <c r="J22" s="94" t="s">
        <v>733</v>
      </c>
      <c r="K22" s="97">
        <v>1454.87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43880</v>
      </c>
      <c r="G23" s="94" t="s">
        <v>970</v>
      </c>
      <c r="H23" s="94" t="s">
        <v>974</v>
      </c>
      <c r="I23" s="94" t="s">
        <v>985</v>
      </c>
      <c r="J23" s="94" t="s">
        <v>733</v>
      </c>
      <c r="K23" s="97">
        <v>314.39999999999998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43881</v>
      </c>
      <c r="G24" s="94" t="s">
        <v>971</v>
      </c>
      <c r="H24" s="94" t="s">
        <v>259</v>
      </c>
      <c r="I24" s="94" t="s">
        <v>987</v>
      </c>
      <c r="J24" s="94" t="s">
        <v>733</v>
      </c>
      <c r="K24" s="97">
        <v>1465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43889</v>
      </c>
      <c r="G25" s="94" t="s">
        <v>972</v>
      </c>
      <c r="H25" s="94" t="s">
        <v>974</v>
      </c>
      <c r="I25" s="94" t="s">
        <v>985</v>
      </c>
      <c r="J25" s="94" t="s">
        <v>733</v>
      </c>
      <c r="K25" s="97">
        <v>857.69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43891</v>
      </c>
      <c r="G26" s="94" t="s">
        <v>1390</v>
      </c>
      <c r="H26" s="94" t="s">
        <v>979</v>
      </c>
      <c r="I26" s="94" t="s">
        <v>2452</v>
      </c>
      <c r="J26" s="94" t="s">
        <v>733</v>
      </c>
      <c r="K26" s="97">
        <v>115.36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43892</v>
      </c>
      <c r="G27" s="94" t="s">
        <v>970</v>
      </c>
      <c r="H27" s="94" t="s">
        <v>978</v>
      </c>
      <c r="I27" s="94" t="s">
        <v>989</v>
      </c>
      <c r="J27" s="94" t="s">
        <v>733</v>
      </c>
      <c r="K27" s="97">
        <v>237.64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43892</v>
      </c>
      <c r="G28" s="94" t="s">
        <v>1391</v>
      </c>
      <c r="H28" s="94" t="s">
        <v>978</v>
      </c>
      <c r="I28" s="94" t="s">
        <v>988</v>
      </c>
      <c r="J28" s="94" t="s">
        <v>733</v>
      </c>
      <c r="K28" s="97">
        <v>6114.28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43894</v>
      </c>
      <c r="G29" s="94" t="s">
        <v>740</v>
      </c>
      <c r="H29" s="94" t="s">
        <v>973</v>
      </c>
      <c r="I29" s="94" t="s">
        <v>981</v>
      </c>
      <c r="J29" s="94" t="s">
        <v>733</v>
      </c>
      <c r="K29" s="97">
        <v>422.77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43894</v>
      </c>
      <c r="G30" s="94" t="s">
        <v>1392</v>
      </c>
      <c r="H30" s="94" t="s">
        <v>974</v>
      </c>
      <c r="I30" s="94" t="s">
        <v>982</v>
      </c>
      <c r="J30" s="94" t="s">
        <v>733</v>
      </c>
      <c r="K30" s="97">
        <v>119.64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43897</v>
      </c>
      <c r="G31" s="94" t="s">
        <v>1393</v>
      </c>
      <c r="H31" s="94" t="s">
        <v>975</v>
      </c>
      <c r="I31" s="94" t="s">
        <v>983</v>
      </c>
      <c r="J31" s="94" t="s">
        <v>733</v>
      </c>
      <c r="K31" s="97">
        <v>795.75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43900</v>
      </c>
      <c r="G32" s="94" t="s">
        <v>1394</v>
      </c>
      <c r="H32" s="94" t="s">
        <v>975</v>
      </c>
      <c r="I32" s="94" t="s">
        <v>983</v>
      </c>
      <c r="J32" s="94" t="s">
        <v>733</v>
      </c>
      <c r="K32" s="97">
        <v>2285.98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43909</v>
      </c>
      <c r="G33" s="94" t="s">
        <v>1395</v>
      </c>
      <c r="H33" s="94" t="s">
        <v>974</v>
      </c>
      <c r="I33" s="94" t="s">
        <v>985</v>
      </c>
      <c r="J33" s="94" t="s">
        <v>733</v>
      </c>
      <c r="K33" s="97">
        <v>314.39999999999998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43909</v>
      </c>
      <c r="G34" s="94" t="s">
        <v>1396</v>
      </c>
      <c r="H34" s="94" t="s">
        <v>977</v>
      </c>
      <c r="I34" s="94" t="s">
        <v>986</v>
      </c>
      <c r="J34" s="94" t="s">
        <v>733</v>
      </c>
      <c r="K34" s="97">
        <v>1100.75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43910</v>
      </c>
      <c r="G35" s="94" t="s">
        <v>1397</v>
      </c>
      <c r="H35" s="94" t="s">
        <v>259</v>
      </c>
      <c r="I35" s="94" t="s">
        <v>987</v>
      </c>
      <c r="J35" s="94" t="s">
        <v>733</v>
      </c>
      <c r="K35" s="97">
        <v>1465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43914</v>
      </c>
      <c r="G36" s="94" t="s">
        <v>1398</v>
      </c>
      <c r="H36" s="94" t="s">
        <v>976</v>
      </c>
      <c r="I36" s="94" t="s">
        <v>984</v>
      </c>
      <c r="J36" s="94" t="s">
        <v>733</v>
      </c>
      <c r="K36" s="97">
        <v>75.98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43918</v>
      </c>
      <c r="G37" s="94" t="s">
        <v>1399</v>
      </c>
      <c r="H37" s="94" t="s">
        <v>974</v>
      </c>
      <c r="I37" s="94" t="s">
        <v>985</v>
      </c>
      <c r="J37" s="94" t="s">
        <v>733</v>
      </c>
      <c r="K37" s="97">
        <v>857.69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43921</v>
      </c>
      <c r="G38" s="94" t="s">
        <v>1395</v>
      </c>
      <c r="H38" s="94" t="s">
        <v>978</v>
      </c>
      <c r="I38" s="94" t="s">
        <v>988</v>
      </c>
      <c r="J38" s="94" t="s">
        <v>733</v>
      </c>
      <c r="K38" s="97">
        <v>5403.61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43921</v>
      </c>
      <c r="G39" s="94" t="s">
        <v>1395</v>
      </c>
      <c r="H39" s="94" t="s">
        <v>978</v>
      </c>
      <c r="I39" s="94" t="s">
        <v>989</v>
      </c>
      <c r="J39" s="94" t="s">
        <v>733</v>
      </c>
      <c r="K39" s="97">
        <v>237.64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43922</v>
      </c>
      <c r="G40" s="94" t="s">
        <v>1400</v>
      </c>
      <c r="H40" s="94" t="s">
        <v>979</v>
      </c>
      <c r="I40" s="94" t="s">
        <v>2453</v>
      </c>
      <c r="J40" s="94" t="s">
        <v>733</v>
      </c>
      <c r="K40" s="97">
        <v>160.49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43925</v>
      </c>
      <c r="G41" s="94" t="s">
        <v>1631</v>
      </c>
      <c r="H41" s="94" t="s">
        <v>974</v>
      </c>
      <c r="I41" s="94" t="s">
        <v>982</v>
      </c>
      <c r="J41" s="94" t="s">
        <v>733</v>
      </c>
      <c r="K41" s="97">
        <v>119.18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43928</v>
      </c>
      <c r="G42" s="94" t="s">
        <v>1632</v>
      </c>
      <c r="H42" s="94" t="s">
        <v>975</v>
      </c>
      <c r="I42" s="94" t="s">
        <v>983</v>
      </c>
      <c r="J42" s="94" t="s">
        <v>733</v>
      </c>
      <c r="K42" s="97">
        <v>795.75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43931</v>
      </c>
      <c r="G43" s="94" t="s">
        <v>1401</v>
      </c>
      <c r="H43" s="94" t="s">
        <v>973</v>
      </c>
      <c r="I43" s="94" t="s">
        <v>981</v>
      </c>
      <c r="J43" s="94" t="s">
        <v>733</v>
      </c>
      <c r="K43" s="97">
        <v>446.12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43931</v>
      </c>
      <c r="G44" s="94" t="s">
        <v>1633</v>
      </c>
      <c r="H44" s="94" t="s">
        <v>976</v>
      </c>
      <c r="I44" s="94" t="s">
        <v>984</v>
      </c>
      <c r="J44" s="94" t="s">
        <v>733</v>
      </c>
      <c r="K44" s="97">
        <v>75.98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43931</v>
      </c>
      <c r="G45" s="94" t="s">
        <v>1634</v>
      </c>
      <c r="H45" s="94" t="s">
        <v>975</v>
      </c>
      <c r="I45" s="94" t="s">
        <v>983</v>
      </c>
      <c r="J45" s="94" t="s">
        <v>733</v>
      </c>
      <c r="K45" s="97">
        <v>2543.1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43940</v>
      </c>
      <c r="G46" s="94" t="s">
        <v>1635</v>
      </c>
      <c r="H46" s="94" t="s">
        <v>974</v>
      </c>
      <c r="I46" s="94" t="s">
        <v>985</v>
      </c>
      <c r="J46" s="94" t="s">
        <v>733</v>
      </c>
      <c r="K46" s="97">
        <v>312.95999999999998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43940</v>
      </c>
      <c r="G47" s="94" t="s">
        <v>1636</v>
      </c>
      <c r="H47" s="94" t="s">
        <v>977</v>
      </c>
      <c r="I47" s="94" t="s">
        <v>986</v>
      </c>
      <c r="J47" s="94" t="s">
        <v>733</v>
      </c>
      <c r="K47" s="97">
        <v>3503.08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43941</v>
      </c>
      <c r="G48" s="94" t="s">
        <v>1637</v>
      </c>
      <c r="H48" s="94" t="s">
        <v>259</v>
      </c>
      <c r="I48" s="94" t="s">
        <v>987</v>
      </c>
      <c r="J48" s="94" t="s">
        <v>733</v>
      </c>
      <c r="K48" s="97">
        <v>1465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43946</v>
      </c>
      <c r="G49" s="94" t="s">
        <v>1638</v>
      </c>
      <c r="H49" s="94" t="s">
        <v>973</v>
      </c>
      <c r="I49" s="94" t="s">
        <v>981</v>
      </c>
      <c r="J49" s="94" t="s">
        <v>733</v>
      </c>
      <c r="K49" s="97">
        <v>446.12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43949</v>
      </c>
      <c r="G50" s="94" t="s">
        <v>1639</v>
      </c>
      <c r="H50" s="94" t="s">
        <v>974</v>
      </c>
      <c r="I50" s="94" t="s">
        <v>985</v>
      </c>
      <c r="J50" s="94" t="s">
        <v>733</v>
      </c>
      <c r="K50" s="97">
        <v>856.41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43950</v>
      </c>
      <c r="G51" s="94" t="s">
        <v>1635</v>
      </c>
      <c r="H51" s="94" t="s">
        <v>978</v>
      </c>
      <c r="I51" s="94" t="s">
        <v>989</v>
      </c>
      <c r="J51" s="94" t="s">
        <v>733</v>
      </c>
      <c r="K51" s="97">
        <v>237.64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43950</v>
      </c>
      <c r="G52" s="94" t="s">
        <v>1640</v>
      </c>
      <c r="H52" s="94" t="s">
        <v>978</v>
      </c>
      <c r="I52" s="94" t="s">
        <v>988</v>
      </c>
      <c r="J52" s="94" t="s">
        <v>733</v>
      </c>
      <c r="K52" s="97">
        <v>4902.28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43952</v>
      </c>
      <c r="G53" s="94" t="s">
        <v>1641</v>
      </c>
      <c r="H53" s="94" t="s">
        <v>979</v>
      </c>
      <c r="I53" s="94" t="s">
        <v>2454</v>
      </c>
      <c r="J53" s="94" t="s">
        <v>733</v>
      </c>
      <c r="K53" s="97">
        <v>138.07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43955</v>
      </c>
      <c r="G54" s="94" t="s">
        <v>1642</v>
      </c>
      <c r="H54" s="94" t="s">
        <v>974</v>
      </c>
      <c r="I54" s="94" t="s">
        <v>982</v>
      </c>
      <c r="J54" s="94" t="s">
        <v>733</v>
      </c>
      <c r="K54" s="97">
        <v>128.18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43961</v>
      </c>
      <c r="G55" s="94" t="s">
        <v>1643</v>
      </c>
      <c r="H55" s="94" t="s">
        <v>976</v>
      </c>
      <c r="I55" s="94" t="s">
        <v>984</v>
      </c>
      <c r="J55" s="94" t="s">
        <v>733</v>
      </c>
      <c r="K55" s="97">
        <v>75.98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43961</v>
      </c>
      <c r="G56" s="94" t="s">
        <v>1644</v>
      </c>
      <c r="H56" s="94" t="s">
        <v>975</v>
      </c>
      <c r="I56" s="94" t="s">
        <v>983</v>
      </c>
      <c r="J56" s="94" t="s">
        <v>733</v>
      </c>
      <c r="K56" s="97">
        <v>6016.49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43970</v>
      </c>
      <c r="G57" s="94" t="s">
        <v>1828</v>
      </c>
      <c r="H57" s="94" t="s">
        <v>977</v>
      </c>
      <c r="I57" s="94" t="s">
        <v>986</v>
      </c>
      <c r="J57" s="94" t="s">
        <v>733</v>
      </c>
      <c r="K57" s="97">
        <v>2379.3200000000002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43971</v>
      </c>
      <c r="G58" s="94" t="s">
        <v>1645</v>
      </c>
      <c r="H58" s="94" t="s">
        <v>259</v>
      </c>
      <c r="I58" s="94" t="s">
        <v>987</v>
      </c>
      <c r="J58" s="94" t="s">
        <v>733</v>
      </c>
      <c r="K58" s="97">
        <v>1465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43972</v>
      </c>
      <c r="G59" s="94" t="s">
        <v>1964</v>
      </c>
      <c r="H59" s="94" t="s">
        <v>1969</v>
      </c>
      <c r="I59" s="94" t="s">
        <v>982</v>
      </c>
      <c r="J59" s="94" t="s">
        <v>733</v>
      </c>
      <c r="K59" s="97">
        <v>2637.85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43975</v>
      </c>
      <c r="G60" s="94" t="s">
        <v>1646</v>
      </c>
      <c r="H60" s="94" t="s">
        <v>975</v>
      </c>
      <c r="I60" s="94" t="s">
        <v>983</v>
      </c>
      <c r="J60" s="94" t="s">
        <v>733</v>
      </c>
      <c r="K60" s="97">
        <v>795.75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43979</v>
      </c>
      <c r="G61" s="94" t="s">
        <v>1829</v>
      </c>
      <c r="H61" s="94" t="s">
        <v>974</v>
      </c>
      <c r="I61" s="94" t="s">
        <v>985</v>
      </c>
      <c r="J61" s="94" t="s">
        <v>733</v>
      </c>
      <c r="K61" s="97">
        <v>891.41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43980</v>
      </c>
      <c r="G62" s="94" t="s">
        <v>1830</v>
      </c>
      <c r="H62" s="94" t="s">
        <v>978</v>
      </c>
      <c r="I62" s="94" t="s">
        <v>988</v>
      </c>
      <c r="J62" s="94" t="s">
        <v>733</v>
      </c>
      <c r="K62" s="97">
        <v>5216.8500000000004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43980</v>
      </c>
      <c r="G63" s="94" t="s">
        <v>1831</v>
      </c>
      <c r="H63" s="94" t="s">
        <v>978</v>
      </c>
      <c r="I63" s="94" t="s">
        <v>989</v>
      </c>
      <c r="J63" s="94" t="s">
        <v>733</v>
      </c>
      <c r="K63" s="97">
        <v>237.64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43982</v>
      </c>
      <c r="G64" s="94" t="s">
        <v>1832</v>
      </c>
      <c r="H64" s="94" t="s">
        <v>979</v>
      </c>
      <c r="I64" s="94" t="s">
        <v>2455</v>
      </c>
      <c r="J64" s="94" t="s">
        <v>733</v>
      </c>
      <c r="K64" s="97">
        <v>356.29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43983</v>
      </c>
      <c r="G65" s="94" t="s">
        <v>1830</v>
      </c>
      <c r="H65" s="94" t="s">
        <v>974</v>
      </c>
      <c r="I65" s="94" t="s">
        <v>985</v>
      </c>
      <c r="J65" s="94" t="s">
        <v>733</v>
      </c>
      <c r="K65" s="97">
        <v>347.38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43983</v>
      </c>
      <c r="G66" s="94" t="s">
        <v>1833</v>
      </c>
      <c r="H66" s="94" t="s">
        <v>973</v>
      </c>
      <c r="I66" s="94" t="s">
        <v>981</v>
      </c>
      <c r="J66" s="94" t="s">
        <v>733</v>
      </c>
      <c r="K66" s="97">
        <v>423.35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43986</v>
      </c>
      <c r="G67" s="94" t="s">
        <v>1834</v>
      </c>
      <c r="H67" s="94" t="s">
        <v>974</v>
      </c>
      <c r="I67" s="94" t="s">
        <v>982</v>
      </c>
      <c r="J67" s="94" t="s">
        <v>733</v>
      </c>
      <c r="K67" s="97">
        <v>119.18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43989</v>
      </c>
      <c r="G68" s="94" t="s">
        <v>2032</v>
      </c>
      <c r="H68" s="94" t="s">
        <v>975</v>
      </c>
      <c r="I68" s="94" t="s">
        <v>983</v>
      </c>
      <c r="J68" s="94" t="s">
        <v>733</v>
      </c>
      <c r="K68" s="97">
        <v>795.75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43992</v>
      </c>
      <c r="G69" s="94" t="s">
        <v>2033</v>
      </c>
      <c r="H69" s="94" t="s">
        <v>975</v>
      </c>
      <c r="I69" s="94" t="s">
        <v>983</v>
      </c>
      <c r="J69" s="94" t="s">
        <v>733</v>
      </c>
      <c r="K69" s="97">
        <v>3920.9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43992</v>
      </c>
      <c r="G70" s="94" t="s">
        <v>2034</v>
      </c>
      <c r="H70" s="94" t="s">
        <v>976</v>
      </c>
      <c r="I70" s="94" t="s">
        <v>984</v>
      </c>
      <c r="J70" s="94" t="s">
        <v>733</v>
      </c>
      <c r="K70" s="97">
        <v>75.98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44001</v>
      </c>
      <c r="G71" s="94" t="s">
        <v>2035</v>
      </c>
      <c r="H71" s="94" t="s">
        <v>977</v>
      </c>
      <c r="I71" s="94" t="s">
        <v>986</v>
      </c>
      <c r="J71" s="94" t="s">
        <v>733</v>
      </c>
      <c r="K71" s="97">
        <v>1745.24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44001</v>
      </c>
      <c r="G72" s="94" t="s">
        <v>1989</v>
      </c>
      <c r="H72" s="94" t="s">
        <v>978</v>
      </c>
      <c r="I72" s="94" t="s">
        <v>988</v>
      </c>
      <c r="J72" s="94" t="s">
        <v>733</v>
      </c>
      <c r="K72" s="97">
        <v>6350.64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44001</v>
      </c>
      <c r="G73" s="94" t="s">
        <v>2036</v>
      </c>
      <c r="H73" s="94" t="s">
        <v>978</v>
      </c>
      <c r="I73" s="94" t="s">
        <v>989</v>
      </c>
      <c r="J73" s="94" t="s">
        <v>733</v>
      </c>
      <c r="K73" s="97">
        <v>237.64</v>
      </c>
    </row>
    <row r="74" spans="1:11" ht="14.6" x14ac:dyDescent="0.4">
      <c r="A74" s="94"/>
      <c r="B74" s="94"/>
      <c r="C74" s="94"/>
      <c r="D74" s="94"/>
      <c r="E74" s="94" t="s">
        <v>544</v>
      </c>
      <c r="F74" s="95">
        <v>44002</v>
      </c>
      <c r="G74" s="94" t="s">
        <v>2037</v>
      </c>
      <c r="H74" s="94" t="s">
        <v>259</v>
      </c>
      <c r="I74" s="94" t="s">
        <v>987</v>
      </c>
      <c r="J74" s="94" t="s">
        <v>733</v>
      </c>
      <c r="K74" s="97">
        <v>1465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44006</v>
      </c>
      <c r="G75" s="94" t="s">
        <v>2038</v>
      </c>
      <c r="H75" s="94" t="s">
        <v>1969</v>
      </c>
      <c r="I75" s="94" t="s">
        <v>2046</v>
      </c>
      <c r="J75" s="94" t="s">
        <v>733</v>
      </c>
      <c r="K75" s="97">
        <v>3500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44008</v>
      </c>
      <c r="G76" s="94" t="s">
        <v>2039</v>
      </c>
      <c r="H76" s="94" t="s">
        <v>973</v>
      </c>
      <c r="I76" s="94" t="s">
        <v>981</v>
      </c>
      <c r="J76" s="94" t="s">
        <v>733</v>
      </c>
      <c r="K76" s="97">
        <v>446.12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44013</v>
      </c>
      <c r="G77" s="94" t="s">
        <v>2040</v>
      </c>
      <c r="H77" s="94" t="s">
        <v>1969</v>
      </c>
      <c r="I77" s="94" t="s">
        <v>985</v>
      </c>
      <c r="J77" s="94" t="s">
        <v>733</v>
      </c>
      <c r="K77" s="97">
        <v>622.54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44013</v>
      </c>
      <c r="G78" s="94" t="s">
        <v>2041</v>
      </c>
      <c r="H78" s="94" t="s">
        <v>979</v>
      </c>
      <c r="I78" s="94" t="s">
        <v>2456</v>
      </c>
      <c r="J78" s="94" t="s">
        <v>733</v>
      </c>
      <c r="K78" s="97">
        <v>40.85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44022</v>
      </c>
      <c r="G79" s="94" t="s">
        <v>2042</v>
      </c>
      <c r="H79" s="94" t="s">
        <v>975</v>
      </c>
      <c r="I79" s="94" t="s">
        <v>983</v>
      </c>
      <c r="J79" s="94" t="s">
        <v>733</v>
      </c>
      <c r="K79" s="97">
        <v>4271.13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44022</v>
      </c>
      <c r="G80" s="94" t="s">
        <v>2043</v>
      </c>
      <c r="H80" s="94" t="s">
        <v>976</v>
      </c>
      <c r="I80" s="94" t="s">
        <v>984</v>
      </c>
      <c r="J80" s="94" t="s">
        <v>733</v>
      </c>
      <c r="K80" s="97">
        <v>75.98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44031</v>
      </c>
      <c r="G81" s="94" t="s">
        <v>2234</v>
      </c>
      <c r="H81" s="94" t="s">
        <v>977</v>
      </c>
      <c r="I81" s="94" t="s">
        <v>986</v>
      </c>
      <c r="J81" s="94" t="s">
        <v>733</v>
      </c>
      <c r="K81" s="97">
        <v>1733.84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44032</v>
      </c>
      <c r="G82" s="94" t="s">
        <v>2044</v>
      </c>
      <c r="H82" s="94" t="s">
        <v>259</v>
      </c>
      <c r="I82" s="94" t="s">
        <v>987</v>
      </c>
      <c r="J82" s="94" t="s">
        <v>733</v>
      </c>
      <c r="K82" s="97">
        <v>1465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44033</v>
      </c>
      <c r="G83" s="94" t="s">
        <v>2045</v>
      </c>
      <c r="H83" s="94" t="s">
        <v>975</v>
      </c>
      <c r="I83" s="94" t="s">
        <v>983</v>
      </c>
      <c r="J83" s="94" t="s">
        <v>733</v>
      </c>
      <c r="K83" s="97">
        <v>800.51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44034</v>
      </c>
      <c r="G84" s="94" t="s">
        <v>1968</v>
      </c>
      <c r="H84" s="94" t="s">
        <v>1969</v>
      </c>
      <c r="I84" s="94" t="s">
        <v>982</v>
      </c>
      <c r="J84" s="94" t="s">
        <v>733</v>
      </c>
      <c r="K84" s="97">
        <v>2685.31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44038</v>
      </c>
      <c r="G85" s="94" t="s">
        <v>2235</v>
      </c>
      <c r="H85" s="94" t="s">
        <v>973</v>
      </c>
      <c r="I85" s="94" t="s">
        <v>981</v>
      </c>
      <c r="J85" s="94" t="s">
        <v>733</v>
      </c>
      <c r="K85" s="97">
        <v>446.12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44041</v>
      </c>
      <c r="G86" s="94" t="s">
        <v>2436</v>
      </c>
      <c r="H86" s="94" t="s">
        <v>978</v>
      </c>
      <c r="I86" s="94" t="s">
        <v>988</v>
      </c>
      <c r="J86" s="94" t="s">
        <v>733</v>
      </c>
      <c r="K86" s="97">
        <v>6287.32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44041</v>
      </c>
      <c r="G87" s="94" t="s">
        <v>2437</v>
      </c>
      <c r="H87" s="94" t="s">
        <v>978</v>
      </c>
      <c r="I87" s="94" t="s">
        <v>989</v>
      </c>
      <c r="J87" s="94" t="s">
        <v>733</v>
      </c>
      <c r="K87" s="97">
        <v>237.64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44044</v>
      </c>
      <c r="G88" s="94" t="s">
        <v>2438</v>
      </c>
      <c r="H88" s="94" t="s">
        <v>979</v>
      </c>
      <c r="I88" s="94" t="s">
        <v>2457</v>
      </c>
      <c r="J88" s="94" t="s">
        <v>733</v>
      </c>
      <c r="K88" s="97">
        <v>57.24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44050</v>
      </c>
      <c r="G89" s="94" t="s">
        <v>2439</v>
      </c>
      <c r="H89" s="94" t="s">
        <v>975</v>
      </c>
      <c r="I89" s="94" t="s">
        <v>983</v>
      </c>
      <c r="J89" s="94" t="s">
        <v>733</v>
      </c>
      <c r="K89" s="97">
        <v>800.51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44053</v>
      </c>
      <c r="G90" s="94" t="s">
        <v>2440</v>
      </c>
      <c r="H90" s="94" t="s">
        <v>975</v>
      </c>
      <c r="I90" s="94" t="s">
        <v>983</v>
      </c>
      <c r="J90" s="94" t="s">
        <v>733</v>
      </c>
      <c r="K90" s="97">
        <v>4271.13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44061</v>
      </c>
      <c r="G91" s="94" t="s">
        <v>2441</v>
      </c>
      <c r="H91" s="94" t="s">
        <v>1969</v>
      </c>
      <c r="I91" s="94" t="s">
        <v>982</v>
      </c>
      <c r="J91" s="94" t="s">
        <v>733</v>
      </c>
      <c r="K91" s="97">
        <v>2757.15</v>
      </c>
    </row>
    <row r="92" spans="1:11" ht="14.6" x14ac:dyDescent="0.4">
      <c r="A92" s="94"/>
      <c r="B92" s="94"/>
      <c r="C92" s="94"/>
      <c r="D92" s="94"/>
      <c r="E92" s="94" t="s">
        <v>544</v>
      </c>
      <c r="F92" s="95">
        <v>44062</v>
      </c>
      <c r="G92" s="94" t="s">
        <v>2442</v>
      </c>
      <c r="H92" s="94" t="s">
        <v>974</v>
      </c>
      <c r="I92" s="94" t="s">
        <v>982</v>
      </c>
      <c r="J92" s="94" t="s">
        <v>733</v>
      </c>
      <c r="K92" s="97">
        <v>28.69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44062</v>
      </c>
      <c r="G93" s="94" t="s">
        <v>2443</v>
      </c>
      <c r="H93" s="94" t="s">
        <v>977</v>
      </c>
      <c r="I93" s="94" t="s">
        <v>986</v>
      </c>
      <c r="J93" s="94" t="s">
        <v>733</v>
      </c>
      <c r="K93" s="97">
        <v>2299.31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44063</v>
      </c>
      <c r="G94" s="94" t="s">
        <v>2444</v>
      </c>
      <c r="H94" s="94" t="s">
        <v>259</v>
      </c>
      <c r="I94" s="94" t="s">
        <v>987</v>
      </c>
      <c r="J94" s="94" t="s">
        <v>733</v>
      </c>
      <c r="K94" s="97">
        <v>1465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44069</v>
      </c>
      <c r="G95" s="94" t="s">
        <v>2445</v>
      </c>
      <c r="H95" s="94" t="s">
        <v>973</v>
      </c>
      <c r="I95" s="94" t="s">
        <v>981</v>
      </c>
      <c r="J95" s="94" t="s">
        <v>733</v>
      </c>
      <c r="K95" s="97">
        <v>446.12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44074</v>
      </c>
      <c r="G96" s="94" t="s">
        <v>2442</v>
      </c>
      <c r="H96" s="94" t="s">
        <v>978</v>
      </c>
      <c r="I96" s="94" t="s">
        <v>988</v>
      </c>
      <c r="J96" s="94" t="s">
        <v>733</v>
      </c>
      <c r="K96" s="97">
        <v>6513.01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44074</v>
      </c>
      <c r="G97" s="94" t="s">
        <v>2446</v>
      </c>
      <c r="H97" s="94" t="s">
        <v>978</v>
      </c>
      <c r="I97" s="94" t="s">
        <v>989</v>
      </c>
      <c r="J97" s="94" t="s">
        <v>733</v>
      </c>
      <c r="K97" s="97">
        <v>237.64</v>
      </c>
    </row>
    <row r="98" spans="1:11" ht="14.6" x14ac:dyDescent="0.4">
      <c r="A98" s="94"/>
      <c r="B98" s="94"/>
      <c r="C98" s="94"/>
      <c r="D98" s="94"/>
      <c r="E98" s="94" t="s">
        <v>544</v>
      </c>
      <c r="F98" s="95">
        <v>44075</v>
      </c>
      <c r="G98" s="94" t="s">
        <v>2447</v>
      </c>
      <c r="H98" s="94" t="s">
        <v>979</v>
      </c>
      <c r="I98" s="94" t="s">
        <v>2458</v>
      </c>
      <c r="J98" s="94" t="s">
        <v>733</v>
      </c>
      <c r="K98" s="97">
        <v>36.42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44081</v>
      </c>
      <c r="G99" s="94" t="s">
        <v>2448</v>
      </c>
      <c r="H99" s="94" t="s">
        <v>975</v>
      </c>
      <c r="I99" s="94" t="s">
        <v>983</v>
      </c>
      <c r="J99" s="94" t="s">
        <v>733</v>
      </c>
      <c r="K99" s="97">
        <v>800.51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44084</v>
      </c>
      <c r="G100" s="94" t="s">
        <v>2666</v>
      </c>
      <c r="H100" s="94" t="s">
        <v>975</v>
      </c>
      <c r="I100" s="94" t="s">
        <v>983</v>
      </c>
      <c r="J100" s="94" t="s">
        <v>733</v>
      </c>
      <c r="K100" s="97">
        <v>4271.13</v>
      </c>
    </row>
    <row r="101" spans="1:11" ht="14.6" x14ac:dyDescent="0.4">
      <c r="A101" s="94"/>
      <c r="B101" s="94"/>
      <c r="C101" s="94"/>
      <c r="D101" s="94"/>
      <c r="E101" s="94" t="s">
        <v>545</v>
      </c>
      <c r="F101" s="95">
        <v>44088</v>
      </c>
      <c r="G101" s="94" t="s">
        <v>2449</v>
      </c>
      <c r="H101" s="94" t="s">
        <v>2450</v>
      </c>
      <c r="I101" s="94" t="s">
        <v>2459</v>
      </c>
      <c r="J101" s="94" t="s">
        <v>924</v>
      </c>
      <c r="K101" s="97">
        <v>15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44099</v>
      </c>
      <c r="G102" s="94" t="s">
        <v>2667</v>
      </c>
      <c r="H102" s="94" t="s">
        <v>1969</v>
      </c>
      <c r="I102" s="94" t="s">
        <v>982</v>
      </c>
      <c r="J102" s="94" t="s">
        <v>733</v>
      </c>
      <c r="K102" s="97">
        <v>82.72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44100</v>
      </c>
      <c r="G103" s="94" t="s">
        <v>2668</v>
      </c>
      <c r="H103" s="94" t="s">
        <v>973</v>
      </c>
      <c r="I103" s="94" t="s">
        <v>981</v>
      </c>
      <c r="J103" s="94" t="s">
        <v>733</v>
      </c>
      <c r="K103" s="97">
        <v>435.35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44102</v>
      </c>
      <c r="G104" s="94" t="s">
        <v>2669</v>
      </c>
      <c r="H104" s="94" t="s">
        <v>259</v>
      </c>
      <c r="I104" s="94" t="s">
        <v>987</v>
      </c>
      <c r="J104" s="94" t="s">
        <v>733</v>
      </c>
      <c r="K104" s="97">
        <v>1465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44103</v>
      </c>
      <c r="G105" s="94" t="s">
        <v>2670</v>
      </c>
      <c r="H105" s="94" t="s">
        <v>977</v>
      </c>
      <c r="I105" s="94" t="s">
        <v>986</v>
      </c>
      <c r="J105" s="94" t="s">
        <v>733</v>
      </c>
      <c r="K105" s="97">
        <v>2632.9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44103</v>
      </c>
      <c r="G106" s="94" t="s">
        <v>2671</v>
      </c>
      <c r="H106" s="94" t="s">
        <v>978</v>
      </c>
      <c r="I106" s="94" t="s">
        <v>988</v>
      </c>
      <c r="J106" s="94" t="s">
        <v>733</v>
      </c>
      <c r="K106" s="97">
        <v>5986.25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44103</v>
      </c>
      <c r="G107" s="94" t="s">
        <v>2672</v>
      </c>
      <c r="H107" s="94" t="s">
        <v>978</v>
      </c>
      <c r="I107" s="94" t="s">
        <v>989</v>
      </c>
      <c r="J107" s="94" t="s">
        <v>733</v>
      </c>
      <c r="K107" s="97">
        <v>237.64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44105</v>
      </c>
      <c r="G108" s="94" t="s">
        <v>2673</v>
      </c>
      <c r="H108" s="94" t="s">
        <v>979</v>
      </c>
      <c r="I108" s="94" t="s">
        <v>2674</v>
      </c>
      <c r="J108" s="94" t="s">
        <v>733</v>
      </c>
      <c r="K108" s="97">
        <v>28.17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44111</v>
      </c>
      <c r="G109" s="94" t="s">
        <v>2891</v>
      </c>
      <c r="H109" s="94" t="s">
        <v>975</v>
      </c>
      <c r="I109" s="94" t="s">
        <v>983</v>
      </c>
      <c r="J109" s="94" t="s">
        <v>733</v>
      </c>
      <c r="K109" s="97">
        <v>800.51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44114</v>
      </c>
      <c r="G110" s="94" t="s">
        <v>2892</v>
      </c>
      <c r="H110" s="94" t="s">
        <v>975</v>
      </c>
      <c r="I110" s="94" t="s">
        <v>983</v>
      </c>
      <c r="J110" s="94" t="s">
        <v>733</v>
      </c>
      <c r="K110" s="97">
        <v>4276.1499999999996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44122</v>
      </c>
      <c r="G111" s="94" t="s">
        <v>2893</v>
      </c>
      <c r="H111" s="94" t="s">
        <v>1969</v>
      </c>
      <c r="I111" s="94" t="s">
        <v>982</v>
      </c>
      <c r="J111" s="94" t="s">
        <v>733</v>
      </c>
      <c r="K111" s="97">
        <v>2722.7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44123</v>
      </c>
      <c r="G112" s="94" t="s">
        <v>2894</v>
      </c>
      <c r="H112" s="94" t="s">
        <v>977</v>
      </c>
      <c r="I112" s="94" t="s">
        <v>986</v>
      </c>
      <c r="J112" s="94" t="s">
        <v>733</v>
      </c>
      <c r="K112" s="97">
        <v>2694.3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44124</v>
      </c>
      <c r="G113" s="94" t="s">
        <v>2895</v>
      </c>
      <c r="H113" s="94" t="s">
        <v>259</v>
      </c>
      <c r="I113" s="94" t="s">
        <v>987</v>
      </c>
      <c r="J113" s="94" t="s">
        <v>733</v>
      </c>
      <c r="K113" s="97">
        <v>1465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44130</v>
      </c>
      <c r="G114" s="94" t="s">
        <v>2896</v>
      </c>
      <c r="H114" s="94" t="s">
        <v>973</v>
      </c>
      <c r="I114" s="94" t="s">
        <v>981</v>
      </c>
      <c r="J114" s="94" t="s">
        <v>733</v>
      </c>
      <c r="K114" s="97">
        <v>435.35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44133</v>
      </c>
      <c r="G115" s="94" t="s">
        <v>2756</v>
      </c>
      <c r="H115" s="94" t="s">
        <v>978</v>
      </c>
      <c r="I115" s="94" t="s">
        <v>988</v>
      </c>
      <c r="J115" s="94" t="s">
        <v>733</v>
      </c>
      <c r="K115" s="97">
        <v>5214.88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44133</v>
      </c>
      <c r="G116" s="94" t="s">
        <v>2756</v>
      </c>
      <c r="H116" s="94" t="s">
        <v>978</v>
      </c>
      <c r="I116" s="94" t="s">
        <v>989</v>
      </c>
      <c r="J116" s="94" t="s">
        <v>733</v>
      </c>
      <c r="K116" s="97">
        <v>237.64</v>
      </c>
    </row>
    <row r="117" spans="1:11" ht="14.6" x14ac:dyDescent="0.4">
      <c r="A117" s="94"/>
      <c r="B117" s="94"/>
      <c r="C117" s="94"/>
      <c r="D117" s="94"/>
      <c r="E117" s="94" t="s">
        <v>544</v>
      </c>
      <c r="F117" s="95">
        <v>44136</v>
      </c>
      <c r="G117" s="94" t="s">
        <v>2897</v>
      </c>
      <c r="H117" s="94" t="s">
        <v>979</v>
      </c>
      <c r="I117" s="94" t="s">
        <v>2898</v>
      </c>
      <c r="J117" s="94" t="s">
        <v>733</v>
      </c>
      <c r="K117" s="97">
        <v>22.72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44142</v>
      </c>
      <c r="G118" s="94" t="s">
        <v>3199</v>
      </c>
      <c r="H118" s="94" t="s">
        <v>975</v>
      </c>
      <c r="I118" s="94" t="s">
        <v>983</v>
      </c>
      <c r="J118" s="94" t="s">
        <v>733</v>
      </c>
      <c r="K118" s="97">
        <v>800.51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44145</v>
      </c>
      <c r="G119" s="94" t="s">
        <v>3200</v>
      </c>
      <c r="H119" s="94" t="s">
        <v>975</v>
      </c>
      <c r="I119" s="94" t="s">
        <v>983</v>
      </c>
      <c r="J119" s="94" t="s">
        <v>733</v>
      </c>
      <c r="K119" s="97">
        <v>4276.1499999999996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44153</v>
      </c>
      <c r="G120" s="94" t="s">
        <v>3201</v>
      </c>
      <c r="H120" s="94" t="s">
        <v>1969</v>
      </c>
      <c r="I120" s="94" t="s">
        <v>982</v>
      </c>
      <c r="J120" s="94" t="s">
        <v>733</v>
      </c>
      <c r="K120" s="97">
        <v>2722.7</v>
      </c>
    </row>
    <row r="121" spans="1:11" ht="14.6" x14ac:dyDescent="0.4">
      <c r="A121" s="94"/>
      <c r="B121" s="94"/>
      <c r="C121" s="94"/>
      <c r="D121" s="94"/>
      <c r="E121" s="94" t="s">
        <v>544</v>
      </c>
      <c r="F121" s="95">
        <v>44154</v>
      </c>
      <c r="G121" s="94" t="s">
        <v>3202</v>
      </c>
      <c r="H121" s="94" t="s">
        <v>977</v>
      </c>
      <c r="I121" s="94" t="s">
        <v>986</v>
      </c>
      <c r="J121" s="94" t="s">
        <v>733</v>
      </c>
      <c r="K121" s="97">
        <v>3079.89</v>
      </c>
    </row>
    <row r="122" spans="1:11" ht="15" customHeight="1" x14ac:dyDescent="0.4">
      <c r="A122" s="94"/>
      <c r="B122" s="94"/>
      <c r="C122" s="94"/>
      <c r="D122" s="94"/>
      <c r="E122" s="94" t="s">
        <v>544</v>
      </c>
      <c r="F122" s="95">
        <v>44155</v>
      </c>
      <c r="G122" s="94" t="s">
        <v>3203</v>
      </c>
      <c r="H122" s="94" t="s">
        <v>259</v>
      </c>
      <c r="I122" s="94" t="s">
        <v>987</v>
      </c>
      <c r="J122" s="94" t="s">
        <v>733</v>
      </c>
      <c r="K122" s="97">
        <v>1465</v>
      </c>
    </row>
    <row r="123" spans="1:11" ht="15" customHeight="1" x14ac:dyDescent="0.4">
      <c r="A123" s="94"/>
      <c r="B123" s="94"/>
      <c r="C123" s="94"/>
      <c r="D123" s="94"/>
      <c r="E123" s="94" t="s">
        <v>544</v>
      </c>
      <c r="F123" s="95">
        <v>44155</v>
      </c>
      <c r="G123" s="94" t="s">
        <v>3204</v>
      </c>
      <c r="H123" s="94" t="s">
        <v>973</v>
      </c>
      <c r="I123" s="94" t="s">
        <v>981</v>
      </c>
      <c r="J123" s="94" t="s">
        <v>733</v>
      </c>
      <c r="K123" s="97">
        <v>435.35</v>
      </c>
    </row>
    <row r="124" spans="1:11" ht="15" customHeight="1" x14ac:dyDescent="0.4">
      <c r="A124" s="94"/>
      <c r="B124" s="94"/>
      <c r="C124" s="94"/>
      <c r="D124" s="94"/>
      <c r="E124" s="94" t="s">
        <v>544</v>
      </c>
      <c r="F124" s="95">
        <v>44169</v>
      </c>
      <c r="G124" s="94" t="s">
        <v>957</v>
      </c>
      <c r="H124" s="94" t="s">
        <v>978</v>
      </c>
      <c r="I124" s="94" t="s">
        <v>988</v>
      </c>
      <c r="J124" s="94" t="s">
        <v>733</v>
      </c>
      <c r="K124" s="97">
        <v>5055.9399999999996</v>
      </c>
    </row>
    <row r="125" spans="1:11" ht="15" customHeight="1" x14ac:dyDescent="0.4">
      <c r="A125" s="94"/>
      <c r="B125" s="94"/>
      <c r="C125" s="94"/>
      <c r="D125" s="94"/>
      <c r="E125" s="94" t="s">
        <v>544</v>
      </c>
      <c r="F125" s="95">
        <v>44169</v>
      </c>
      <c r="G125" s="94" t="s">
        <v>957</v>
      </c>
      <c r="H125" s="94" t="s">
        <v>978</v>
      </c>
      <c r="I125" s="94" t="s">
        <v>989</v>
      </c>
      <c r="J125" s="94" t="s">
        <v>733</v>
      </c>
      <c r="K125" s="97">
        <v>237.64</v>
      </c>
    </row>
    <row r="126" spans="1:11" ht="15" customHeight="1" x14ac:dyDescent="0.4">
      <c r="A126" s="94"/>
      <c r="B126" s="94"/>
      <c r="C126" s="94"/>
      <c r="D126" s="94"/>
      <c r="E126" s="94" t="s">
        <v>544</v>
      </c>
      <c r="F126" s="95">
        <v>44172</v>
      </c>
      <c r="G126" s="94" t="s">
        <v>3205</v>
      </c>
      <c r="H126" s="94" t="s">
        <v>975</v>
      </c>
      <c r="I126" s="94" t="s">
        <v>983</v>
      </c>
      <c r="J126" s="94" t="s">
        <v>733</v>
      </c>
      <c r="K126" s="97">
        <v>804.33</v>
      </c>
    </row>
    <row r="127" spans="1:11" ht="15" customHeight="1" x14ac:dyDescent="0.4">
      <c r="A127" s="94"/>
      <c r="B127" s="94"/>
      <c r="C127" s="94"/>
      <c r="D127" s="94"/>
      <c r="E127" s="94" t="s">
        <v>544</v>
      </c>
      <c r="F127" s="95">
        <v>44175</v>
      </c>
      <c r="G127" s="94" t="s">
        <v>3206</v>
      </c>
      <c r="H127" s="94" t="s">
        <v>975</v>
      </c>
      <c r="I127" s="94" t="s">
        <v>983</v>
      </c>
      <c r="J127" s="94" t="s">
        <v>733</v>
      </c>
      <c r="K127" s="97">
        <v>4345.2299999999996</v>
      </c>
    </row>
    <row r="128" spans="1:11" ht="15" customHeight="1" x14ac:dyDescent="0.4">
      <c r="A128" s="94"/>
      <c r="B128" s="94"/>
      <c r="C128" s="94"/>
      <c r="D128" s="94"/>
      <c r="E128" s="94" t="s">
        <v>544</v>
      </c>
      <c r="F128" s="95">
        <v>44181</v>
      </c>
      <c r="G128" s="94" t="s">
        <v>3207</v>
      </c>
      <c r="H128" s="94" t="s">
        <v>1969</v>
      </c>
      <c r="I128" s="94" t="s">
        <v>982</v>
      </c>
      <c r="J128" s="94" t="s">
        <v>733</v>
      </c>
      <c r="K128" s="97">
        <v>2722.7</v>
      </c>
    </row>
    <row r="129" spans="1:11" ht="15" customHeight="1" x14ac:dyDescent="0.4">
      <c r="A129" s="94"/>
      <c r="B129" s="94"/>
      <c r="C129" s="94"/>
      <c r="D129" s="94"/>
      <c r="E129" s="94" t="s">
        <v>544</v>
      </c>
      <c r="F129" s="95">
        <v>44184</v>
      </c>
      <c r="G129" s="94" t="s">
        <v>3208</v>
      </c>
      <c r="H129" s="94" t="s">
        <v>977</v>
      </c>
      <c r="I129" s="94" t="s">
        <v>986</v>
      </c>
      <c r="J129" s="94" t="s">
        <v>733</v>
      </c>
      <c r="K129" s="97">
        <v>3043.4</v>
      </c>
    </row>
    <row r="130" spans="1:11" ht="15" customHeight="1" x14ac:dyDescent="0.4">
      <c r="A130" s="94"/>
      <c r="B130" s="94"/>
      <c r="C130" s="94"/>
      <c r="D130" s="94"/>
      <c r="E130" s="94" t="s">
        <v>544</v>
      </c>
      <c r="F130" s="95">
        <v>44194</v>
      </c>
      <c r="G130" s="94" t="s">
        <v>3209</v>
      </c>
      <c r="H130" s="94" t="s">
        <v>978</v>
      </c>
      <c r="I130" s="94" t="s">
        <v>989</v>
      </c>
      <c r="J130" s="94" t="s">
        <v>733</v>
      </c>
      <c r="K130" s="97">
        <v>237.64</v>
      </c>
    </row>
    <row r="131" spans="1:11" ht="15" customHeight="1" thickBot="1" x14ac:dyDescent="0.45">
      <c r="A131" s="94"/>
      <c r="B131" s="94"/>
      <c r="C131" s="94"/>
      <c r="D131" s="94"/>
      <c r="E131" s="94" t="s">
        <v>544</v>
      </c>
      <c r="F131" s="95">
        <v>44196</v>
      </c>
      <c r="G131" s="94" t="s">
        <v>3210</v>
      </c>
      <c r="H131" s="94" t="s">
        <v>978</v>
      </c>
      <c r="I131" s="94" t="s">
        <v>988</v>
      </c>
      <c r="J131" s="94" t="s">
        <v>733</v>
      </c>
      <c r="K131" s="756">
        <v>4903.59</v>
      </c>
    </row>
    <row r="132" spans="1:11" ht="15" customHeight="1" thickBot="1" x14ac:dyDescent="0.45">
      <c r="A132" s="94"/>
      <c r="B132" s="94"/>
      <c r="C132" s="94" t="s">
        <v>950</v>
      </c>
      <c r="D132" s="94"/>
      <c r="E132" s="94"/>
      <c r="F132" s="95"/>
      <c r="G132" s="94"/>
      <c r="H132" s="94"/>
      <c r="I132" s="94"/>
      <c r="J132" s="94"/>
      <c r="K132" s="757">
        <f>ROUND(SUM(K3:K131),5)</f>
        <v>204581.93</v>
      </c>
    </row>
    <row r="133" spans="1:11" ht="15" customHeight="1" thickBot="1" x14ac:dyDescent="0.45">
      <c r="A133" s="94"/>
      <c r="B133" s="94" t="s">
        <v>737</v>
      </c>
      <c r="C133" s="94"/>
      <c r="D133" s="94"/>
      <c r="E133" s="94"/>
      <c r="F133" s="95"/>
      <c r="G133" s="94"/>
      <c r="H133" s="94"/>
      <c r="I133" s="94"/>
      <c r="J133" s="94"/>
      <c r="K133" s="757">
        <f>K132</f>
        <v>204581.93</v>
      </c>
    </row>
    <row r="134" spans="1:11" ht="15" customHeight="1" thickBot="1" x14ac:dyDescent="0.45">
      <c r="A134" s="94" t="s">
        <v>98</v>
      </c>
      <c r="B134" s="94"/>
      <c r="C134" s="94"/>
      <c r="D134" s="94"/>
      <c r="E134" s="94"/>
      <c r="F134" s="95"/>
      <c r="G134" s="94"/>
      <c r="H134" s="94"/>
      <c r="I134" s="94"/>
      <c r="J134" s="94"/>
      <c r="K134" s="758">
        <f>K133</f>
        <v>204581.93</v>
      </c>
    </row>
    <row r="135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3:32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633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6339" r:id="rId4" name="FILTER"/>
      </mc:Fallback>
    </mc:AlternateContent>
    <mc:AlternateContent xmlns:mc="http://schemas.openxmlformats.org/markup-compatibility/2006">
      <mc:Choice Requires="x14">
        <control shapeId="5634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6340" r:id="rId6" name="HEADER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M160"/>
  <sheetViews>
    <sheetView workbookViewId="0">
      <pane xSplit="3" ySplit="1" topLeftCell="D124" activePane="bottomRight" state="frozenSplit"/>
      <selection pane="topRight" activeCell="D1" sqref="D1"/>
      <selection pane="bottomLeft" activeCell="A2" sqref="A2"/>
      <selection pane="bottomRight" activeCell="M158" sqref="M158"/>
    </sheetView>
  </sheetViews>
  <sheetFormatPr defaultColWidth="14.3828125" defaultRowHeight="15" customHeight="1" x14ac:dyDescent="0.4"/>
  <cols>
    <col min="1" max="2" width="3" style="760" customWidth="1"/>
    <col min="3" max="3" width="39.535156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8" style="760" bestFit="1" customWidth="1"/>
    <col min="8" max="10" width="30.69140625" style="760" customWidth="1"/>
    <col min="11" max="11" width="10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480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43831</v>
      </c>
      <c r="G4" s="94" t="s">
        <v>993</v>
      </c>
      <c r="H4" s="94" t="s">
        <v>1007</v>
      </c>
      <c r="I4" s="94" t="s">
        <v>1013</v>
      </c>
      <c r="J4" s="94" t="s">
        <v>733</v>
      </c>
      <c r="K4" s="97">
        <v>1104.17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43831</v>
      </c>
      <c r="G5" s="94" t="s">
        <v>994</v>
      </c>
      <c r="H5" s="94" t="s">
        <v>1008</v>
      </c>
      <c r="I5" s="94" t="s">
        <v>1014</v>
      </c>
      <c r="J5" s="94" t="s">
        <v>733</v>
      </c>
      <c r="K5" s="97">
        <v>813.75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43831</v>
      </c>
      <c r="G6" s="94" t="s">
        <v>995</v>
      </c>
      <c r="H6" s="94" t="s">
        <v>698</v>
      </c>
      <c r="I6" s="94" t="s">
        <v>1015</v>
      </c>
      <c r="J6" s="94" t="s">
        <v>733</v>
      </c>
      <c r="K6" s="97">
        <v>2179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43832</v>
      </c>
      <c r="G7" s="94" t="s">
        <v>996</v>
      </c>
      <c r="H7" s="94" t="s">
        <v>1009</v>
      </c>
      <c r="I7" s="94" t="s">
        <v>1016</v>
      </c>
      <c r="J7" s="94" t="s">
        <v>733</v>
      </c>
      <c r="K7" s="97">
        <v>105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43846</v>
      </c>
      <c r="G8" s="94" t="s">
        <v>701</v>
      </c>
      <c r="H8" s="94" t="s">
        <v>580</v>
      </c>
      <c r="I8" s="94" t="s">
        <v>1017</v>
      </c>
      <c r="J8" s="94" t="s">
        <v>733</v>
      </c>
      <c r="K8" s="97">
        <v>19.95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43846</v>
      </c>
      <c r="G9" s="94" t="s">
        <v>701</v>
      </c>
      <c r="H9" s="94" t="s">
        <v>580</v>
      </c>
      <c r="I9" s="94" t="s">
        <v>1018</v>
      </c>
      <c r="J9" s="94" t="s">
        <v>733</v>
      </c>
      <c r="K9" s="97">
        <v>10.19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43851</v>
      </c>
      <c r="G10" s="94" t="s">
        <v>997</v>
      </c>
      <c r="H10" s="94" t="s">
        <v>1010</v>
      </c>
      <c r="I10" s="94" t="s">
        <v>1019</v>
      </c>
      <c r="J10" s="94" t="s">
        <v>733</v>
      </c>
      <c r="K10" s="97">
        <v>278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43853</v>
      </c>
      <c r="G11" s="94" t="s">
        <v>998</v>
      </c>
      <c r="H11" s="94" t="s">
        <v>698</v>
      </c>
      <c r="I11" s="94" t="s">
        <v>1015</v>
      </c>
      <c r="J11" s="94" t="s">
        <v>733</v>
      </c>
      <c r="K11" s="97">
        <v>2179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43861</v>
      </c>
      <c r="G12" s="94" t="s">
        <v>999</v>
      </c>
      <c r="H12" s="94" t="s">
        <v>1011</v>
      </c>
      <c r="I12" s="94" t="s">
        <v>1020</v>
      </c>
      <c r="J12" s="94" t="s">
        <v>733</v>
      </c>
      <c r="K12" s="97">
        <v>250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43862</v>
      </c>
      <c r="G13" s="94" t="s">
        <v>1000</v>
      </c>
      <c r="H13" s="94" t="s">
        <v>1007</v>
      </c>
      <c r="I13" s="94" t="s">
        <v>1013</v>
      </c>
      <c r="J13" s="94" t="s">
        <v>733</v>
      </c>
      <c r="K13" s="97">
        <v>1104.17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43862</v>
      </c>
      <c r="G14" s="94" t="s">
        <v>1001</v>
      </c>
      <c r="H14" s="94" t="s">
        <v>1008</v>
      </c>
      <c r="I14" s="94" t="s">
        <v>1021</v>
      </c>
      <c r="J14" s="94" t="s">
        <v>733</v>
      </c>
      <c r="K14" s="97">
        <v>813.75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43871</v>
      </c>
      <c r="G15" s="94" t="s">
        <v>1002</v>
      </c>
      <c r="H15" s="94" t="s">
        <v>1012</v>
      </c>
      <c r="I15" s="94" t="s">
        <v>1022</v>
      </c>
      <c r="J15" s="94" t="s">
        <v>733</v>
      </c>
      <c r="K15" s="97">
        <v>289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43884</v>
      </c>
      <c r="G16" s="94" t="s">
        <v>707</v>
      </c>
      <c r="H16" s="94" t="s">
        <v>712</v>
      </c>
      <c r="I16" s="94" t="s">
        <v>1023</v>
      </c>
      <c r="J16" s="94" t="s">
        <v>733</v>
      </c>
      <c r="K16" s="97">
        <v>85.9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43890</v>
      </c>
      <c r="G17" s="94" t="s">
        <v>1003</v>
      </c>
      <c r="H17" s="94" t="s">
        <v>1011</v>
      </c>
      <c r="I17" s="94" t="s">
        <v>1024</v>
      </c>
      <c r="J17" s="94" t="s">
        <v>733</v>
      </c>
      <c r="K17" s="97">
        <v>41.52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43890</v>
      </c>
      <c r="G18" s="94" t="s">
        <v>1003</v>
      </c>
      <c r="H18" s="94" t="s">
        <v>1011</v>
      </c>
      <c r="I18" s="94" t="s">
        <v>1020</v>
      </c>
      <c r="J18" s="94" t="s">
        <v>733</v>
      </c>
      <c r="K18" s="97">
        <v>250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43891</v>
      </c>
      <c r="G19" s="94" t="s">
        <v>1004</v>
      </c>
      <c r="H19" s="94" t="s">
        <v>698</v>
      </c>
      <c r="I19" s="94" t="s">
        <v>1025</v>
      </c>
      <c r="J19" s="94" t="s">
        <v>733</v>
      </c>
      <c r="K19" s="97">
        <v>2179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43891</v>
      </c>
      <c r="G20" s="94" t="s">
        <v>1005</v>
      </c>
      <c r="H20" s="94" t="s">
        <v>1007</v>
      </c>
      <c r="I20" s="94" t="s">
        <v>1013</v>
      </c>
      <c r="J20" s="94" t="s">
        <v>733</v>
      </c>
      <c r="K20" s="97">
        <v>1104.17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43891</v>
      </c>
      <c r="G21" s="94" t="s">
        <v>1402</v>
      </c>
      <c r="H21" s="94" t="s">
        <v>1008</v>
      </c>
      <c r="I21" s="94" t="s">
        <v>1021</v>
      </c>
      <c r="J21" s="94" t="s">
        <v>733</v>
      </c>
      <c r="K21" s="97">
        <v>813.75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43892</v>
      </c>
      <c r="G22" s="94" t="s">
        <v>1006</v>
      </c>
      <c r="H22" s="94" t="s">
        <v>1012</v>
      </c>
      <c r="I22" s="94" t="s">
        <v>1022</v>
      </c>
      <c r="J22" s="94" t="s">
        <v>733</v>
      </c>
      <c r="K22" s="97">
        <v>364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43895</v>
      </c>
      <c r="G23" s="94" t="s">
        <v>1403</v>
      </c>
      <c r="H23" s="94" t="s">
        <v>1009</v>
      </c>
      <c r="I23" s="94" t="s">
        <v>1016</v>
      </c>
      <c r="J23" s="94" t="s">
        <v>733</v>
      </c>
      <c r="K23" s="97">
        <v>105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43900</v>
      </c>
      <c r="G24" s="94" t="s">
        <v>1404</v>
      </c>
      <c r="H24" s="94" t="s">
        <v>1415</v>
      </c>
      <c r="I24" s="94" t="s">
        <v>1418</v>
      </c>
      <c r="J24" s="94" t="s">
        <v>733</v>
      </c>
      <c r="K24" s="97">
        <v>150</v>
      </c>
    </row>
    <row r="25" spans="1:11" ht="14.6" x14ac:dyDescent="0.4">
      <c r="A25" s="94"/>
      <c r="B25" s="94"/>
      <c r="C25" s="94"/>
      <c r="D25" s="94"/>
      <c r="E25" s="94" t="s">
        <v>545</v>
      </c>
      <c r="F25" s="95">
        <v>43906</v>
      </c>
      <c r="G25" s="94" t="s">
        <v>1405</v>
      </c>
      <c r="H25" s="94" t="s">
        <v>582</v>
      </c>
      <c r="I25" s="94" t="s">
        <v>1419</v>
      </c>
      <c r="J25" s="94" t="s">
        <v>927</v>
      </c>
      <c r="K25" s="97">
        <v>86.92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43907</v>
      </c>
      <c r="G26" s="94" t="s">
        <v>1406</v>
      </c>
      <c r="H26" s="94" t="s">
        <v>1010</v>
      </c>
      <c r="I26" s="94" t="s">
        <v>1019</v>
      </c>
      <c r="J26" s="94" t="s">
        <v>733</v>
      </c>
      <c r="K26" s="97">
        <v>133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43908</v>
      </c>
      <c r="G27" s="94" t="s">
        <v>1407</v>
      </c>
      <c r="H27" s="94" t="s">
        <v>1012</v>
      </c>
      <c r="I27" s="94" t="s">
        <v>1022</v>
      </c>
      <c r="J27" s="94" t="s">
        <v>733</v>
      </c>
      <c r="K27" s="97">
        <v>414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43917</v>
      </c>
      <c r="G28" s="94" t="s">
        <v>1408</v>
      </c>
      <c r="H28" s="94" t="s">
        <v>1008</v>
      </c>
      <c r="I28" s="94" t="s">
        <v>1420</v>
      </c>
      <c r="J28" s="94" t="s">
        <v>733</v>
      </c>
      <c r="K28" s="97">
        <v>65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43921</v>
      </c>
      <c r="G29" s="94" t="s">
        <v>1409</v>
      </c>
      <c r="H29" s="94" t="s">
        <v>1011</v>
      </c>
      <c r="I29" s="94" t="s">
        <v>1024</v>
      </c>
      <c r="J29" s="94" t="s">
        <v>733</v>
      </c>
      <c r="K29" s="97">
        <v>41.52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43921</v>
      </c>
      <c r="G30" s="94" t="s">
        <v>1409</v>
      </c>
      <c r="H30" s="94" t="s">
        <v>1011</v>
      </c>
      <c r="I30" s="94" t="s">
        <v>1020</v>
      </c>
      <c r="J30" s="94" t="s">
        <v>733</v>
      </c>
      <c r="K30" s="97">
        <v>250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43921</v>
      </c>
      <c r="G31" s="94" t="s">
        <v>1409</v>
      </c>
      <c r="H31" s="94" t="s">
        <v>1011</v>
      </c>
      <c r="I31" s="94" t="s">
        <v>1421</v>
      </c>
      <c r="J31" s="94" t="s">
        <v>733</v>
      </c>
      <c r="K31" s="97">
        <v>269.92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43921</v>
      </c>
      <c r="G32" s="94" t="s">
        <v>1410</v>
      </c>
      <c r="H32" s="94" t="s">
        <v>1416</v>
      </c>
      <c r="I32" s="94" t="s">
        <v>1422</v>
      </c>
      <c r="J32" s="94" t="s">
        <v>733</v>
      </c>
      <c r="K32" s="97">
        <v>149</v>
      </c>
    </row>
    <row r="33" spans="1:12" ht="14.6" x14ac:dyDescent="0.4">
      <c r="A33" s="94"/>
      <c r="B33" s="94"/>
      <c r="C33" s="94"/>
      <c r="D33" s="94"/>
      <c r="E33" s="94" t="s">
        <v>544</v>
      </c>
      <c r="F33" s="95">
        <v>43921</v>
      </c>
      <c r="G33" s="94" t="s">
        <v>1410</v>
      </c>
      <c r="H33" s="94" t="s">
        <v>1416</v>
      </c>
      <c r="I33" s="94" t="s">
        <v>1423</v>
      </c>
      <c r="J33" s="94" t="s">
        <v>733</v>
      </c>
      <c r="K33" s="97">
        <v>10.5</v>
      </c>
    </row>
    <row r="34" spans="1:12" ht="14.6" x14ac:dyDescent="0.4">
      <c r="A34" s="94"/>
      <c r="B34" s="94"/>
      <c r="C34" s="94"/>
      <c r="D34" s="94"/>
      <c r="E34" s="94" t="s">
        <v>544</v>
      </c>
      <c r="F34" s="95">
        <v>43921</v>
      </c>
      <c r="G34" s="94" t="s">
        <v>1410</v>
      </c>
      <c r="H34" s="94" t="s">
        <v>1416</v>
      </c>
      <c r="I34" s="94" t="s">
        <v>1424</v>
      </c>
      <c r="J34" s="94" t="s">
        <v>733</v>
      </c>
      <c r="K34" s="97">
        <v>21</v>
      </c>
    </row>
    <row r="35" spans="1:12" ht="14.6" x14ac:dyDescent="0.4">
      <c r="A35" s="94"/>
      <c r="B35" s="94"/>
      <c r="C35" s="94"/>
      <c r="D35" s="94"/>
      <c r="E35" s="94" t="s">
        <v>544</v>
      </c>
      <c r="F35" s="95">
        <v>43921</v>
      </c>
      <c r="G35" s="94" t="s">
        <v>1410</v>
      </c>
      <c r="H35" s="94" t="s">
        <v>1416</v>
      </c>
      <c r="I35" s="94" t="s">
        <v>1425</v>
      </c>
      <c r="J35" s="94" t="s">
        <v>733</v>
      </c>
      <c r="K35" s="97">
        <v>12</v>
      </c>
    </row>
    <row r="36" spans="1:12" ht="14.6" x14ac:dyDescent="0.4">
      <c r="A36" s="94"/>
      <c r="B36" s="94"/>
      <c r="C36" s="94"/>
      <c r="D36" s="94"/>
      <c r="E36" s="94" t="s">
        <v>544</v>
      </c>
      <c r="F36" s="95">
        <v>43921</v>
      </c>
      <c r="G36" s="94" t="s">
        <v>1410</v>
      </c>
      <c r="H36" s="94" t="s">
        <v>1416</v>
      </c>
      <c r="I36" s="94" t="s">
        <v>1426</v>
      </c>
      <c r="J36" s="94" t="s">
        <v>733</v>
      </c>
      <c r="K36" s="97">
        <v>760</v>
      </c>
    </row>
    <row r="37" spans="1:12" ht="14.6" x14ac:dyDescent="0.4">
      <c r="A37" s="94"/>
      <c r="B37" s="94"/>
      <c r="C37" s="94"/>
      <c r="D37" s="94"/>
      <c r="E37" s="94" t="s">
        <v>544</v>
      </c>
      <c r="F37" s="95">
        <v>43922</v>
      </c>
      <c r="G37" s="94" t="s">
        <v>1411</v>
      </c>
      <c r="H37" s="94" t="s">
        <v>698</v>
      </c>
      <c r="I37" s="94" t="s">
        <v>1427</v>
      </c>
      <c r="J37" s="94" t="s">
        <v>733</v>
      </c>
      <c r="K37" s="97">
        <v>2179</v>
      </c>
    </row>
    <row r="38" spans="1:12" ht="14.6" x14ac:dyDescent="0.4">
      <c r="A38" s="94"/>
      <c r="B38" s="94"/>
      <c r="C38" s="94"/>
      <c r="D38" s="94"/>
      <c r="E38" s="94" t="s">
        <v>544</v>
      </c>
      <c r="F38" s="95">
        <v>43922</v>
      </c>
      <c r="G38" s="94" t="s">
        <v>1412</v>
      </c>
      <c r="H38" s="94" t="s">
        <v>1007</v>
      </c>
      <c r="I38" s="94" t="s">
        <v>1013</v>
      </c>
      <c r="J38" s="94" t="s">
        <v>733</v>
      </c>
      <c r="K38" s="97">
        <v>1104.17</v>
      </c>
    </row>
    <row r="39" spans="1:12" ht="14.6" x14ac:dyDescent="0.4">
      <c r="A39" s="94"/>
      <c r="B39" s="94"/>
      <c r="C39" s="94"/>
      <c r="D39" s="94"/>
      <c r="E39" s="94" t="s">
        <v>544</v>
      </c>
      <c r="F39" s="95">
        <v>43922</v>
      </c>
      <c r="G39" s="94" t="s">
        <v>1413</v>
      </c>
      <c r="H39" s="94" t="s">
        <v>1008</v>
      </c>
      <c r="I39" s="94" t="s">
        <v>1021</v>
      </c>
      <c r="J39" s="94" t="s">
        <v>733</v>
      </c>
      <c r="K39" s="97">
        <v>813.75</v>
      </c>
    </row>
    <row r="40" spans="1:12" ht="14.6" x14ac:dyDescent="0.4">
      <c r="A40" s="94"/>
      <c r="B40" s="94"/>
      <c r="C40" s="94"/>
      <c r="D40" s="94"/>
      <c r="E40" s="94" t="s">
        <v>545</v>
      </c>
      <c r="F40" s="95">
        <v>43927</v>
      </c>
      <c r="G40" s="94" t="s">
        <v>1647</v>
      </c>
      <c r="H40" s="94" t="s">
        <v>1663</v>
      </c>
      <c r="I40" s="94" t="s">
        <v>1673</v>
      </c>
      <c r="J40" s="94" t="s">
        <v>924</v>
      </c>
      <c r="K40" s="97">
        <v>316</v>
      </c>
    </row>
    <row r="41" spans="1:12" ht="14.6" x14ac:dyDescent="0.4">
      <c r="A41" s="94"/>
      <c r="B41" s="94"/>
      <c r="C41" s="94"/>
      <c r="D41" s="94"/>
      <c r="E41" s="94" t="s">
        <v>544</v>
      </c>
      <c r="F41" s="95">
        <v>43930</v>
      </c>
      <c r="G41" s="94" t="s">
        <v>1414</v>
      </c>
      <c r="H41" s="94" t="s">
        <v>1417</v>
      </c>
      <c r="I41" s="94" t="s">
        <v>1428</v>
      </c>
      <c r="J41" s="94" t="s">
        <v>733</v>
      </c>
      <c r="L41" s="97">
        <v>14500</v>
      </c>
    </row>
    <row r="42" spans="1:12" ht="14.6" x14ac:dyDescent="0.4">
      <c r="A42" s="94"/>
      <c r="B42" s="94"/>
      <c r="C42" s="94"/>
      <c r="D42" s="94"/>
      <c r="E42" s="94" t="s">
        <v>544</v>
      </c>
      <c r="F42" s="95">
        <v>43938</v>
      </c>
      <c r="G42" s="94" t="s">
        <v>1648</v>
      </c>
      <c r="H42" s="94" t="s">
        <v>1417</v>
      </c>
      <c r="I42" s="94" t="s">
        <v>1665</v>
      </c>
      <c r="J42" s="94" t="s">
        <v>733</v>
      </c>
      <c r="L42" s="97">
        <v>4075</v>
      </c>
    </row>
    <row r="43" spans="1:12" ht="14.6" x14ac:dyDescent="0.4">
      <c r="A43" s="94"/>
      <c r="B43" s="94"/>
      <c r="C43" s="94"/>
      <c r="D43" s="94"/>
      <c r="E43" s="94" t="s">
        <v>544</v>
      </c>
      <c r="F43" s="95">
        <v>43938</v>
      </c>
      <c r="G43" s="94" t="s">
        <v>1649</v>
      </c>
      <c r="H43" s="94" t="s">
        <v>1417</v>
      </c>
      <c r="I43" s="94" t="s">
        <v>1665</v>
      </c>
      <c r="J43" s="94" t="s">
        <v>733</v>
      </c>
      <c r="L43" s="97">
        <v>31425</v>
      </c>
    </row>
    <row r="44" spans="1:12" ht="14.6" x14ac:dyDescent="0.4">
      <c r="A44" s="94"/>
      <c r="B44" s="94"/>
      <c r="C44" s="94"/>
      <c r="D44" s="94"/>
      <c r="E44" s="94" t="s">
        <v>544</v>
      </c>
      <c r="F44" s="95">
        <v>43938</v>
      </c>
      <c r="G44" s="94" t="s">
        <v>1648</v>
      </c>
      <c r="H44" s="94" t="s">
        <v>1417</v>
      </c>
      <c r="I44" s="94" t="s">
        <v>1666</v>
      </c>
      <c r="J44" s="94" t="s">
        <v>733</v>
      </c>
      <c r="K44" s="97">
        <v>5900</v>
      </c>
    </row>
    <row r="45" spans="1:12" ht="14.6" x14ac:dyDescent="0.4">
      <c r="A45" s="94"/>
      <c r="B45" s="94"/>
      <c r="C45" s="94"/>
      <c r="D45" s="94"/>
      <c r="E45" s="94" t="s">
        <v>544</v>
      </c>
      <c r="F45" s="95">
        <v>43941</v>
      </c>
      <c r="G45" s="94" t="s">
        <v>1650</v>
      </c>
      <c r="H45" s="94" t="s">
        <v>583</v>
      </c>
      <c r="I45" s="94" t="s">
        <v>2060</v>
      </c>
      <c r="J45" s="94" t="s">
        <v>733</v>
      </c>
      <c r="K45" s="97">
        <v>891.17</v>
      </c>
    </row>
    <row r="46" spans="1:12" ht="14.6" x14ac:dyDescent="0.4">
      <c r="A46" s="94"/>
      <c r="B46" s="94"/>
      <c r="C46" s="94"/>
      <c r="D46" s="94"/>
      <c r="E46" s="94" t="s">
        <v>544</v>
      </c>
      <c r="F46" s="95">
        <v>43944</v>
      </c>
      <c r="G46" s="94" t="s">
        <v>1651</v>
      </c>
      <c r="H46" s="94" t="s">
        <v>1663</v>
      </c>
      <c r="I46" s="94" t="s">
        <v>1667</v>
      </c>
      <c r="J46" s="94" t="s">
        <v>733</v>
      </c>
      <c r="K46" s="97">
        <v>316.27</v>
      </c>
    </row>
    <row r="47" spans="1:12" ht="14.6" x14ac:dyDescent="0.4">
      <c r="A47" s="94"/>
      <c r="B47" s="94"/>
      <c r="C47" s="94"/>
      <c r="D47" s="94"/>
      <c r="E47" s="94" t="s">
        <v>544</v>
      </c>
      <c r="F47" s="95">
        <v>43951</v>
      </c>
      <c r="G47" s="94" t="s">
        <v>1652</v>
      </c>
      <c r="H47" s="94" t="s">
        <v>1011</v>
      </c>
      <c r="I47" s="94" t="s">
        <v>1668</v>
      </c>
      <c r="J47" s="94" t="s">
        <v>733</v>
      </c>
      <c r="K47" s="97">
        <v>25.01</v>
      </c>
    </row>
    <row r="48" spans="1:12" ht="14.6" x14ac:dyDescent="0.4">
      <c r="A48" s="94"/>
      <c r="B48" s="94"/>
      <c r="C48" s="94"/>
      <c r="D48" s="94"/>
      <c r="E48" s="94" t="s">
        <v>544</v>
      </c>
      <c r="F48" s="95">
        <v>43951</v>
      </c>
      <c r="G48" s="94" t="s">
        <v>1652</v>
      </c>
      <c r="H48" s="94" t="s">
        <v>1011</v>
      </c>
      <c r="I48" s="94" t="s">
        <v>1020</v>
      </c>
      <c r="J48" s="94" t="s">
        <v>733</v>
      </c>
      <c r="K48" s="97">
        <v>250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43951</v>
      </c>
      <c r="G49" s="94" t="s">
        <v>1653</v>
      </c>
      <c r="H49" s="94" t="s">
        <v>1007</v>
      </c>
      <c r="I49" s="94" t="s">
        <v>1669</v>
      </c>
      <c r="J49" s="94" t="s">
        <v>733</v>
      </c>
      <c r="K49" s="97">
        <v>440.6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43952</v>
      </c>
      <c r="G50" s="94" t="s">
        <v>1654</v>
      </c>
      <c r="H50" s="94" t="s">
        <v>698</v>
      </c>
      <c r="I50" s="94" t="s">
        <v>1670</v>
      </c>
      <c r="J50" s="94" t="s">
        <v>733</v>
      </c>
      <c r="K50" s="97">
        <v>2179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43952</v>
      </c>
      <c r="G51" s="94" t="s">
        <v>1655</v>
      </c>
      <c r="H51" s="94" t="s">
        <v>1007</v>
      </c>
      <c r="I51" s="94" t="s">
        <v>1013</v>
      </c>
      <c r="J51" s="94" t="s">
        <v>733</v>
      </c>
      <c r="K51" s="97">
        <v>1104.17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43952</v>
      </c>
      <c r="G52" s="94" t="s">
        <v>1656</v>
      </c>
      <c r="H52" s="94" t="s">
        <v>1008</v>
      </c>
      <c r="I52" s="94" t="s">
        <v>1021</v>
      </c>
      <c r="J52" s="94" t="s">
        <v>733</v>
      </c>
      <c r="K52" s="97">
        <v>813.75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43964</v>
      </c>
      <c r="G53" s="94" t="s">
        <v>1657</v>
      </c>
      <c r="H53" s="94" t="s">
        <v>1417</v>
      </c>
      <c r="I53" s="94" t="s">
        <v>1671</v>
      </c>
      <c r="J53" s="94" t="s">
        <v>733</v>
      </c>
      <c r="K53" s="97">
        <v>12450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43966</v>
      </c>
      <c r="G54" s="94" t="s">
        <v>1658</v>
      </c>
      <c r="H54" s="94" t="s">
        <v>1010</v>
      </c>
      <c r="I54" s="94" t="s">
        <v>1019</v>
      </c>
      <c r="J54" s="94" t="s">
        <v>733</v>
      </c>
      <c r="K54" s="97">
        <v>133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43966</v>
      </c>
      <c r="G55" s="94" t="s">
        <v>1659</v>
      </c>
      <c r="H55" s="94" t="s">
        <v>1012</v>
      </c>
      <c r="I55" s="94" t="s">
        <v>1022</v>
      </c>
      <c r="J55" s="94" t="s">
        <v>733</v>
      </c>
      <c r="K55" s="97">
        <v>165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43966</v>
      </c>
      <c r="G56" s="94" t="s">
        <v>1660</v>
      </c>
      <c r="H56" s="94" t="s">
        <v>1012</v>
      </c>
      <c r="I56" s="94" t="s">
        <v>1022</v>
      </c>
      <c r="J56" s="94" t="s">
        <v>733</v>
      </c>
      <c r="K56" s="97">
        <v>204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43966</v>
      </c>
      <c r="G57" s="94" t="s">
        <v>1661</v>
      </c>
      <c r="H57" s="94" t="s">
        <v>1012</v>
      </c>
      <c r="I57" s="94" t="s">
        <v>1022</v>
      </c>
      <c r="J57" s="94" t="s">
        <v>733</v>
      </c>
      <c r="K57" s="97">
        <v>204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43970</v>
      </c>
      <c r="G58" s="94" t="s">
        <v>1662</v>
      </c>
      <c r="H58" s="94" t="s">
        <v>1664</v>
      </c>
      <c r="I58" s="94" t="s">
        <v>1672</v>
      </c>
      <c r="J58" s="94" t="s">
        <v>733</v>
      </c>
      <c r="K58" s="97">
        <v>192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43980</v>
      </c>
      <c r="G59" s="94" t="s">
        <v>1835</v>
      </c>
      <c r="H59" s="94" t="s">
        <v>583</v>
      </c>
      <c r="I59" s="94" t="s">
        <v>2061</v>
      </c>
      <c r="J59" s="94" t="s">
        <v>733</v>
      </c>
      <c r="K59" s="97">
        <v>509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43980</v>
      </c>
      <c r="G60" s="94" t="s">
        <v>1836</v>
      </c>
      <c r="H60" s="94" t="s">
        <v>1012</v>
      </c>
      <c r="I60" s="94" t="s">
        <v>1022</v>
      </c>
      <c r="J60" s="94" t="s">
        <v>733</v>
      </c>
      <c r="K60" s="97">
        <v>414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43980</v>
      </c>
      <c r="G61" s="94" t="s">
        <v>1837</v>
      </c>
      <c r="H61" s="94" t="s">
        <v>1416</v>
      </c>
      <c r="I61" s="94" t="s">
        <v>1846</v>
      </c>
      <c r="J61" s="94" t="s">
        <v>733</v>
      </c>
      <c r="K61" s="97">
        <v>625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43982</v>
      </c>
      <c r="G62" s="94" t="s">
        <v>1838</v>
      </c>
      <c r="H62" s="94" t="s">
        <v>1011</v>
      </c>
      <c r="I62" s="94" t="s">
        <v>1024</v>
      </c>
      <c r="J62" s="94" t="s">
        <v>733</v>
      </c>
      <c r="K62" s="97">
        <v>41.52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43982</v>
      </c>
      <c r="G63" s="94" t="s">
        <v>1838</v>
      </c>
      <c r="H63" s="94" t="s">
        <v>1011</v>
      </c>
      <c r="I63" s="94" t="s">
        <v>1020</v>
      </c>
      <c r="J63" s="94" t="s">
        <v>733</v>
      </c>
      <c r="K63" s="97">
        <v>250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43982</v>
      </c>
      <c r="G64" s="94" t="s">
        <v>1839</v>
      </c>
      <c r="H64" s="94" t="s">
        <v>1007</v>
      </c>
      <c r="I64" s="94" t="s">
        <v>1669</v>
      </c>
      <c r="J64" s="94" t="s">
        <v>733</v>
      </c>
      <c r="K64" s="97">
        <v>335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43983</v>
      </c>
      <c r="G65" s="94" t="s">
        <v>1840</v>
      </c>
      <c r="H65" s="94" t="s">
        <v>698</v>
      </c>
      <c r="I65" s="94" t="s">
        <v>1847</v>
      </c>
      <c r="J65" s="94" t="s">
        <v>733</v>
      </c>
      <c r="K65" s="97">
        <v>2179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43983</v>
      </c>
      <c r="G66" s="94" t="s">
        <v>1841</v>
      </c>
      <c r="H66" s="94" t="s">
        <v>1844</v>
      </c>
      <c r="I66" s="94" t="s">
        <v>1848</v>
      </c>
      <c r="J66" s="94" t="s">
        <v>733</v>
      </c>
      <c r="K66" s="97">
        <v>3656.77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43983</v>
      </c>
      <c r="G67" s="94" t="s">
        <v>1841</v>
      </c>
      <c r="H67" s="94" t="s">
        <v>1844</v>
      </c>
      <c r="I67" s="94" t="s">
        <v>1849</v>
      </c>
      <c r="J67" s="94" t="s">
        <v>733</v>
      </c>
      <c r="K67" s="97">
        <v>-109.7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43983</v>
      </c>
      <c r="G68" s="94" t="s">
        <v>1842</v>
      </c>
      <c r="H68" s="94" t="s">
        <v>1007</v>
      </c>
      <c r="I68" s="94" t="s">
        <v>1013</v>
      </c>
      <c r="J68" s="94" t="s">
        <v>733</v>
      </c>
      <c r="K68" s="97">
        <v>1104.17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43983</v>
      </c>
      <c r="G69" s="94" t="s">
        <v>1843</v>
      </c>
      <c r="H69" s="94" t="s">
        <v>1845</v>
      </c>
      <c r="I69" s="94" t="s">
        <v>1850</v>
      </c>
      <c r="J69" s="94" t="s">
        <v>733</v>
      </c>
      <c r="K69" s="97">
        <v>105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43983</v>
      </c>
      <c r="G70" s="94" t="s">
        <v>2047</v>
      </c>
      <c r="H70" s="94" t="s">
        <v>1008</v>
      </c>
      <c r="I70" s="94" t="s">
        <v>1021</v>
      </c>
      <c r="J70" s="94" t="s">
        <v>733</v>
      </c>
      <c r="K70" s="97">
        <v>813.75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43992</v>
      </c>
      <c r="G71" s="94" t="s">
        <v>2048</v>
      </c>
      <c r="H71" s="94" t="s">
        <v>2058</v>
      </c>
      <c r="I71" s="94" t="s">
        <v>2062</v>
      </c>
      <c r="J71" s="94" t="s">
        <v>733</v>
      </c>
      <c r="K71" s="97">
        <v>1937.68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43993</v>
      </c>
      <c r="G72" s="94" t="s">
        <v>2049</v>
      </c>
      <c r="H72" s="94" t="s">
        <v>1007</v>
      </c>
      <c r="I72" s="94" t="s">
        <v>1669</v>
      </c>
      <c r="J72" s="94" t="s">
        <v>733</v>
      </c>
      <c r="K72" s="97">
        <v>657.08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43997</v>
      </c>
      <c r="G73" s="94" t="s">
        <v>1638</v>
      </c>
      <c r="H73" s="94" t="s">
        <v>2059</v>
      </c>
      <c r="I73" s="94" t="s">
        <v>2063</v>
      </c>
      <c r="J73" s="94" t="s">
        <v>733</v>
      </c>
      <c r="K73" s="97">
        <v>1926</v>
      </c>
    </row>
    <row r="74" spans="1:11" ht="14.6" x14ac:dyDescent="0.4">
      <c r="A74" s="94"/>
      <c r="B74" s="94"/>
      <c r="C74" s="94"/>
      <c r="D74" s="94"/>
      <c r="E74" s="94" t="s">
        <v>544</v>
      </c>
      <c r="F74" s="95">
        <v>44007</v>
      </c>
      <c r="G74" s="94" t="s">
        <v>2050</v>
      </c>
      <c r="H74" s="94" t="s">
        <v>1012</v>
      </c>
      <c r="I74" s="94" t="s">
        <v>2064</v>
      </c>
      <c r="J74" s="94" t="s">
        <v>733</v>
      </c>
      <c r="K74" s="97">
        <v>234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44012</v>
      </c>
      <c r="G75" s="94" t="s">
        <v>2051</v>
      </c>
      <c r="H75" s="94" t="s">
        <v>1012</v>
      </c>
      <c r="I75" s="94" t="s">
        <v>2064</v>
      </c>
      <c r="J75" s="94" t="s">
        <v>733</v>
      </c>
      <c r="K75" s="97">
        <v>525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44012</v>
      </c>
      <c r="G76" s="94" t="s">
        <v>2052</v>
      </c>
      <c r="H76" s="94" t="s">
        <v>1011</v>
      </c>
      <c r="I76" s="94" t="s">
        <v>1024</v>
      </c>
      <c r="J76" s="94" t="s">
        <v>733</v>
      </c>
      <c r="K76" s="97">
        <v>41.52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44012</v>
      </c>
      <c r="G77" s="94" t="s">
        <v>2052</v>
      </c>
      <c r="H77" s="94" t="s">
        <v>1011</v>
      </c>
      <c r="I77" s="94" t="s">
        <v>1020</v>
      </c>
      <c r="J77" s="94" t="s">
        <v>733</v>
      </c>
      <c r="K77" s="97">
        <v>250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44013</v>
      </c>
      <c r="G78" s="94" t="s">
        <v>2053</v>
      </c>
      <c r="H78" s="94" t="s">
        <v>698</v>
      </c>
      <c r="I78" s="94" t="s">
        <v>2065</v>
      </c>
      <c r="J78" s="94" t="s">
        <v>733</v>
      </c>
      <c r="K78" s="97">
        <v>2179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44013</v>
      </c>
      <c r="G79" s="94" t="s">
        <v>2054</v>
      </c>
      <c r="H79" s="94" t="s">
        <v>1008</v>
      </c>
      <c r="I79" s="94" t="s">
        <v>2066</v>
      </c>
      <c r="J79" s="94" t="s">
        <v>733</v>
      </c>
      <c r="K79" s="97">
        <v>813.75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44013</v>
      </c>
      <c r="G80" s="94" t="s">
        <v>2055</v>
      </c>
      <c r="H80" s="94" t="s">
        <v>1007</v>
      </c>
      <c r="I80" s="94" t="s">
        <v>1013</v>
      </c>
      <c r="J80" s="94" t="s">
        <v>733</v>
      </c>
      <c r="K80" s="97">
        <v>1104.17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44015</v>
      </c>
      <c r="G81" s="94" t="s">
        <v>2236</v>
      </c>
      <c r="H81" s="94" t="s">
        <v>1008</v>
      </c>
      <c r="I81" s="94" t="s">
        <v>1420</v>
      </c>
      <c r="J81" s="94" t="s">
        <v>733</v>
      </c>
      <c r="K81" s="97">
        <v>65.83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44020</v>
      </c>
      <c r="G82" s="94" t="s">
        <v>2056</v>
      </c>
      <c r="H82" s="94" t="s">
        <v>1007</v>
      </c>
      <c r="I82" s="94" t="s">
        <v>1669</v>
      </c>
      <c r="J82" s="94" t="s">
        <v>733</v>
      </c>
      <c r="K82" s="97">
        <v>455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44028</v>
      </c>
      <c r="G83" s="94" t="s">
        <v>2057</v>
      </c>
      <c r="H83" s="94" t="s">
        <v>1010</v>
      </c>
      <c r="I83" s="94" t="s">
        <v>1019</v>
      </c>
      <c r="J83" s="94" t="s">
        <v>733</v>
      </c>
      <c r="K83" s="97">
        <v>180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44043</v>
      </c>
      <c r="G84" s="94" t="s">
        <v>2237</v>
      </c>
      <c r="H84" s="94" t="s">
        <v>1011</v>
      </c>
      <c r="I84" s="94" t="s">
        <v>1020</v>
      </c>
      <c r="J84" s="94" t="s">
        <v>733</v>
      </c>
      <c r="K84" s="97">
        <v>250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44044</v>
      </c>
      <c r="G85" s="94" t="s">
        <v>2238</v>
      </c>
      <c r="H85" s="94" t="s">
        <v>698</v>
      </c>
      <c r="I85" s="94" t="s">
        <v>2065</v>
      </c>
      <c r="J85" s="94" t="s">
        <v>733</v>
      </c>
      <c r="K85" s="97">
        <v>2179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44044</v>
      </c>
      <c r="G86" s="94" t="s">
        <v>2239</v>
      </c>
      <c r="H86" s="94" t="s">
        <v>1007</v>
      </c>
      <c r="I86" s="94" t="s">
        <v>1013</v>
      </c>
      <c r="J86" s="94" t="s">
        <v>733</v>
      </c>
      <c r="K86" s="97">
        <v>1104.17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44044</v>
      </c>
      <c r="G87" s="94" t="s">
        <v>2240</v>
      </c>
      <c r="H87" s="94" t="s">
        <v>1008</v>
      </c>
      <c r="I87" s="94" t="s">
        <v>2066</v>
      </c>
      <c r="J87" s="94" t="s">
        <v>733</v>
      </c>
      <c r="K87" s="97">
        <v>813.75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44050</v>
      </c>
      <c r="G88" s="94" t="s">
        <v>2273</v>
      </c>
      <c r="H88" s="94" t="s">
        <v>1844</v>
      </c>
      <c r="I88" s="94" t="s">
        <v>2472</v>
      </c>
      <c r="J88" s="94" t="s">
        <v>733</v>
      </c>
      <c r="K88" s="97">
        <v>205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44062</v>
      </c>
      <c r="G89" s="94" t="s">
        <v>2675</v>
      </c>
      <c r="H89" s="94" t="s">
        <v>1008</v>
      </c>
      <c r="I89" s="94" t="s">
        <v>2691</v>
      </c>
      <c r="J89" s="94" t="s">
        <v>733</v>
      </c>
      <c r="K89" s="97">
        <v>87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44063</v>
      </c>
      <c r="G90" s="94" t="s">
        <v>2460</v>
      </c>
      <c r="H90" s="94" t="s">
        <v>1845</v>
      </c>
      <c r="I90" s="94" t="s">
        <v>2473</v>
      </c>
      <c r="J90" s="94" t="s">
        <v>733</v>
      </c>
      <c r="K90" s="97">
        <v>0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44071</v>
      </c>
      <c r="G91" s="94" t="s">
        <v>2461</v>
      </c>
      <c r="H91" s="94" t="s">
        <v>1007</v>
      </c>
      <c r="I91" s="94" t="s">
        <v>1669</v>
      </c>
      <c r="J91" s="94" t="s">
        <v>733</v>
      </c>
      <c r="K91" s="97">
        <v>2324.4899999999998</v>
      </c>
    </row>
    <row r="92" spans="1:11" ht="14.6" x14ac:dyDescent="0.4">
      <c r="A92" s="94"/>
      <c r="B92" s="94"/>
      <c r="C92" s="94"/>
      <c r="D92" s="94"/>
      <c r="E92" s="94" t="s">
        <v>544</v>
      </c>
      <c r="F92" s="95">
        <v>44071</v>
      </c>
      <c r="G92" s="94" t="s">
        <v>2462</v>
      </c>
      <c r="H92" s="94" t="s">
        <v>2470</v>
      </c>
      <c r="I92" s="94" t="s">
        <v>2474</v>
      </c>
      <c r="J92" s="94" t="s">
        <v>733</v>
      </c>
      <c r="K92" s="97">
        <v>416.62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44074</v>
      </c>
      <c r="G93" s="94" t="s">
        <v>2463</v>
      </c>
      <c r="H93" s="94" t="s">
        <v>1011</v>
      </c>
      <c r="I93" s="94" t="s">
        <v>2475</v>
      </c>
      <c r="J93" s="94" t="s">
        <v>733</v>
      </c>
      <c r="K93" s="97">
        <v>115.68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44074</v>
      </c>
      <c r="G94" s="94" t="s">
        <v>2463</v>
      </c>
      <c r="H94" s="94" t="s">
        <v>1011</v>
      </c>
      <c r="I94" s="94" t="s">
        <v>1020</v>
      </c>
      <c r="J94" s="94" t="s">
        <v>733</v>
      </c>
      <c r="K94" s="97">
        <v>250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44074</v>
      </c>
      <c r="G95" s="94" t="s">
        <v>2464</v>
      </c>
      <c r="H95" s="94" t="s">
        <v>1012</v>
      </c>
      <c r="I95" s="94" t="s">
        <v>2064</v>
      </c>
      <c r="J95" s="94" t="s">
        <v>733</v>
      </c>
      <c r="K95" s="97">
        <v>529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44075</v>
      </c>
      <c r="G96" s="94" t="s">
        <v>2465</v>
      </c>
      <c r="H96" s="94" t="s">
        <v>698</v>
      </c>
      <c r="I96" s="94" t="s">
        <v>2476</v>
      </c>
      <c r="J96" s="94" t="s">
        <v>733</v>
      </c>
      <c r="K96" s="97">
        <v>2179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44075</v>
      </c>
      <c r="G97" s="94" t="s">
        <v>2676</v>
      </c>
      <c r="H97" s="94" t="s">
        <v>1008</v>
      </c>
      <c r="I97" s="94" t="s">
        <v>2066</v>
      </c>
      <c r="J97" s="94" t="s">
        <v>733</v>
      </c>
      <c r="K97" s="97">
        <v>813.75</v>
      </c>
    </row>
    <row r="98" spans="1:11" ht="14.6" x14ac:dyDescent="0.4">
      <c r="A98" s="94"/>
      <c r="B98" s="94"/>
      <c r="C98" s="94"/>
      <c r="D98" s="94"/>
      <c r="E98" s="94" t="s">
        <v>545</v>
      </c>
      <c r="F98" s="95">
        <v>44075</v>
      </c>
      <c r="G98" s="94" t="s">
        <v>2677</v>
      </c>
      <c r="H98" s="94" t="s">
        <v>1459</v>
      </c>
      <c r="I98" s="94" t="s">
        <v>2692</v>
      </c>
      <c r="J98" s="94" t="s">
        <v>924</v>
      </c>
      <c r="K98" s="97">
        <v>3.24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44077</v>
      </c>
      <c r="G99" s="94" t="s">
        <v>2466</v>
      </c>
      <c r="H99" s="94" t="s">
        <v>2471</v>
      </c>
      <c r="I99" s="94" t="s">
        <v>2477</v>
      </c>
      <c r="J99" s="94" t="s">
        <v>733</v>
      </c>
      <c r="K99" s="97">
        <v>159.9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44078</v>
      </c>
      <c r="G100" s="94" t="s">
        <v>2467</v>
      </c>
      <c r="H100" s="94" t="s">
        <v>1010</v>
      </c>
      <c r="I100" s="94" t="s">
        <v>1019</v>
      </c>
      <c r="J100" s="94" t="s">
        <v>733</v>
      </c>
      <c r="K100" s="97">
        <v>45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44082</v>
      </c>
      <c r="G101" s="94" t="s">
        <v>2468</v>
      </c>
      <c r="H101" s="94" t="s">
        <v>1007</v>
      </c>
      <c r="I101" s="94" t="s">
        <v>1669</v>
      </c>
      <c r="J101" s="94" t="s">
        <v>733</v>
      </c>
      <c r="K101" s="97">
        <v>395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44088</v>
      </c>
      <c r="G102" s="94" t="s">
        <v>2678</v>
      </c>
      <c r="H102" s="94" t="s">
        <v>1012</v>
      </c>
      <c r="I102" s="94" t="s">
        <v>2064</v>
      </c>
      <c r="J102" s="94" t="s">
        <v>733</v>
      </c>
      <c r="K102" s="97">
        <v>369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44089</v>
      </c>
      <c r="G103" s="94" t="s">
        <v>2469</v>
      </c>
      <c r="H103" s="94" t="s">
        <v>1010</v>
      </c>
      <c r="I103" s="94" t="s">
        <v>1019</v>
      </c>
      <c r="J103" s="94" t="s">
        <v>733</v>
      </c>
      <c r="K103" s="97">
        <v>135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44096</v>
      </c>
      <c r="G104" s="94" t="s">
        <v>2679</v>
      </c>
      <c r="H104" s="94" t="s">
        <v>1012</v>
      </c>
      <c r="I104" s="94" t="s">
        <v>2064</v>
      </c>
      <c r="J104" s="94" t="s">
        <v>733</v>
      </c>
      <c r="K104" s="97">
        <v>264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44097</v>
      </c>
      <c r="G105" s="94" t="s">
        <v>2680</v>
      </c>
      <c r="H105" s="94" t="s">
        <v>1007</v>
      </c>
      <c r="I105" s="94" t="s">
        <v>1013</v>
      </c>
      <c r="J105" s="94" t="s">
        <v>733</v>
      </c>
      <c r="K105" s="97">
        <v>1104.1300000000001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44098</v>
      </c>
      <c r="G106" s="94" t="s">
        <v>2681</v>
      </c>
      <c r="H106" s="94" t="s">
        <v>1416</v>
      </c>
      <c r="I106" s="94" t="s">
        <v>2693</v>
      </c>
      <c r="J106" s="94" t="s">
        <v>733</v>
      </c>
      <c r="K106" s="97">
        <v>410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44104</v>
      </c>
      <c r="G107" s="94" t="s">
        <v>2682</v>
      </c>
      <c r="H107" s="94" t="s">
        <v>1011</v>
      </c>
      <c r="I107" s="94" t="s">
        <v>2694</v>
      </c>
      <c r="J107" s="94" t="s">
        <v>733</v>
      </c>
      <c r="K107" s="97">
        <v>41.52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44104</v>
      </c>
      <c r="G108" s="94" t="s">
        <v>2682</v>
      </c>
      <c r="H108" s="94" t="s">
        <v>1011</v>
      </c>
      <c r="I108" s="94" t="s">
        <v>1020</v>
      </c>
      <c r="J108" s="94" t="s">
        <v>733</v>
      </c>
      <c r="K108" s="97">
        <v>250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44105</v>
      </c>
      <c r="G109" s="94" t="s">
        <v>2683</v>
      </c>
      <c r="H109" s="94" t="s">
        <v>2470</v>
      </c>
      <c r="I109" s="94" t="s">
        <v>2474</v>
      </c>
      <c r="J109" s="94" t="s">
        <v>733</v>
      </c>
      <c r="K109" s="97">
        <v>142.88999999999999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44105</v>
      </c>
      <c r="G110" s="94" t="s">
        <v>2684</v>
      </c>
      <c r="H110" s="94" t="s">
        <v>698</v>
      </c>
      <c r="I110" s="94" t="s">
        <v>2476</v>
      </c>
      <c r="J110" s="94" t="s">
        <v>733</v>
      </c>
      <c r="K110" s="97">
        <v>2179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44105</v>
      </c>
      <c r="G111" s="94" t="s">
        <v>2685</v>
      </c>
      <c r="H111" s="94" t="s">
        <v>1007</v>
      </c>
      <c r="I111" s="94" t="s">
        <v>1013</v>
      </c>
      <c r="J111" s="94" t="s">
        <v>733</v>
      </c>
      <c r="K111" s="97">
        <v>1104.17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44105</v>
      </c>
      <c r="G112" s="94" t="s">
        <v>2686</v>
      </c>
      <c r="H112" s="94" t="s">
        <v>1008</v>
      </c>
      <c r="I112" s="94" t="s">
        <v>2066</v>
      </c>
      <c r="J112" s="94" t="s">
        <v>733</v>
      </c>
      <c r="K112" s="97">
        <v>813.75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44105</v>
      </c>
      <c r="G113" s="94" t="s">
        <v>2899</v>
      </c>
      <c r="H113" s="94" t="s">
        <v>1007</v>
      </c>
      <c r="I113" s="94" t="s">
        <v>1669</v>
      </c>
      <c r="J113" s="94" t="s">
        <v>733</v>
      </c>
      <c r="K113" s="97">
        <v>855.06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44106</v>
      </c>
      <c r="G114" s="94" t="s">
        <v>2687</v>
      </c>
      <c r="H114" s="94" t="s">
        <v>1008</v>
      </c>
      <c r="I114" s="94" t="s">
        <v>2695</v>
      </c>
      <c r="J114" s="94" t="s">
        <v>733</v>
      </c>
      <c r="K114" s="97">
        <v>827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44111</v>
      </c>
      <c r="G115" s="94" t="s">
        <v>2688</v>
      </c>
      <c r="H115" s="94" t="s">
        <v>698</v>
      </c>
      <c r="I115" s="94" t="s">
        <v>2696</v>
      </c>
      <c r="J115" s="94" t="s">
        <v>733</v>
      </c>
      <c r="K115" s="97">
        <v>576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44113</v>
      </c>
      <c r="G116" s="94" t="s">
        <v>2689</v>
      </c>
      <c r="H116" s="94" t="s">
        <v>1012</v>
      </c>
      <c r="I116" s="94" t="s">
        <v>2064</v>
      </c>
      <c r="J116" s="94" t="s">
        <v>733</v>
      </c>
      <c r="K116" s="97">
        <v>234</v>
      </c>
    </row>
    <row r="117" spans="1:11" ht="14.6" x14ac:dyDescent="0.4">
      <c r="A117" s="94"/>
      <c r="B117" s="94"/>
      <c r="C117" s="94"/>
      <c r="D117" s="94"/>
      <c r="E117" s="94" t="s">
        <v>544</v>
      </c>
      <c r="F117" s="95">
        <v>44113</v>
      </c>
      <c r="G117" s="94" t="s">
        <v>2690</v>
      </c>
      <c r="H117" s="94" t="s">
        <v>1012</v>
      </c>
      <c r="I117" s="94" t="s">
        <v>2064</v>
      </c>
      <c r="J117" s="94" t="s">
        <v>733</v>
      </c>
      <c r="K117" s="97">
        <v>689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44123</v>
      </c>
      <c r="G118" s="94" t="s">
        <v>2617</v>
      </c>
      <c r="H118" s="94" t="s">
        <v>2059</v>
      </c>
      <c r="I118" s="94" t="s">
        <v>2907</v>
      </c>
      <c r="J118" s="94" t="s">
        <v>733</v>
      </c>
      <c r="K118" s="97">
        <v>3213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44131</v>
      </c>
      <c r="G119" s="94" t="s">
        <v>2900</v>
      </c>
      <c r="H119" s="94" t="s">
        <v>1008</v>
      </c>
      <c r="I119" s="94" t="s">
        <v>2908</v>
      </c>
      <c r="J119" s="94" t="s">
        <v>733</v>
      </c>
      <c r="K119" s="97">
        <v>335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44132</v>
      </c>
      <c r="G120" s="94" t="s">
        <v>2779</v>
      </c>
      <c r="H120" s="94" t="s">
        <v>1558</v>
      </c>
      <c r="I120" s="94" t="s">
        <v>2909</v>
      </c>
      <c r="J120" s="94" t="s">
        <v>733</v>
      </c>
      <c r="K120" s="97">
        <v>48</v>
      </c>
    </row>
    <row r="121" spans="1:11" ht="14.6" x14ac:dyDescent="0.4">
      <c r="A121" s="94"/>
      <c r="B121" s="94"/>
      <c r="C121" s="94"/>
      <c r="D121" s="94"/>
      <c r="E121" s="94" t="s">
        <v>544</v>
      </c>
      <c r="F121" s="95">
        <v>44132</v>
      </c>
      <c r="G121" s="94" t="s">
        <v>2779</v>
      </c>
      <c r="H121" s="94" t="s">
        <v>1558</v>
      </c>
      <c r="I121" s="94" t="s">
        <v>2910</v>
      </c>
      <c r="J121" s="94" t="s">
        <v>733</v>
      </c>
      <c r="K121" s="97">
        <v>10</v>
      </c>
    </row>
    <row r="122" spans="1:11" ht="14.6" x14ac:dyDescent="0.4">
      <c r="A122" s="94"/>
      <c r="B122" s="94"/>
      <c r="C122" s="94"/>
      <c r="D122" s="94"/>
      <c r="E122" s="94" t="s">
        <v>544</v>
      </c>
      <c r="F122" s="95">
        <v>44135</v>
      </c>
      <c r="G122" s="94" t="s">
        <v>2901</v>
      </c>
      <c r="H122" s="94" t="s">
        <v>1007</v>
      </c>
      <c r="I122" s="94" t="s">
        <v>1669</v>
      </c>
      <c r="J122" s="94" t="s">
        <v>733</v>
      </c>
      <c r="K122" s="97">
        <v>812.45</v>
      </c>
    </row>
    <row r="123" spans="1:11" ht="14.6" x14ac:dyDescent="0.4">
      <c r="A123" s="94"/>
      <c r="B123" s="94"/>
      <c r="C123" s="94"/>
      <c r="D123" s="94"/>
      <c r="E123" s="94" t="s">
        <v>544</v>
      </c>
      <c r="F123" s="95">
        <v>44135</v>
      </c>
      <c r="G123" s="94" t="s">
        <v>2902</v>
      </c>
      <c r="H123" s="94" t="s">
        <v>1011</v>
      </c>
      <c r="I123" s="94" t="s">
        <v>2694</v>
      </c>
      <c r="J123" s="94" t="s">
        <v>733</v>
      </c>
      <c r="K123" s="97">
        <v>41.52</v>
      </c>
    </row>
    <row r="124" spans="1:11" ht="14.6" x14ac:dyDescent="0.4">
      <c r="A124" s="94"/>
      <c r="B124" s="94"/>
      <c r="C124" s="94"/>
      <c r="D124" s="94"/>
      <c r="E124" s="94" t="s">
        <v>544</v>
      </c>
      <c r="F124" s="95">
        <v>44135</v>
      </c>
      <c r="G124" s="94" t="s">
        <v>2902</v>
      </c>
      <c r="H124" s="94" t="s">
        <v>1011</v>
      </c>
      <c r="I124" s="94" t="s">
        <v>1020</v>
      </c>
      <c r="J124" s="94" t="s">
        <v>733</v>
      </c>
      <c r="K124" s="97">
        <v>250</v>
      </c>
    </row>
    <row r="125" spans="1:11" ht="14.6" x14ac:dyDescent="0.4">
      <c r="A125" s="94"/>
      <c r="B125" s="94"/>
      <c r="C125" s="94"/>
      <c r="D125" s="94"/>
      <c r="E125" s="94" t="s">
        <v>544</v>
      </c>
      <c r="F125" s="95">
        <v>44136</v>
      </c>
      <c r="G125" s="94" t="s">
        <v>2903</v>
      </c>
      <c r="H125" s="94" t="s">
        <v>698</v>
      </c>
      <c r="I125" s="94" t="s">
        <v>2476</v>
      </c>
      <c r="J125" s="94" t="s">
        <v>733</v>
      </c>
      <c r="K125" s="97">
        <v>2179</v>
      </c>
    </row>
    <row r="126" spans="1:11" ht="14.6" x14ac:dyDescent="0.4">
      <c r="A126" s="94"/>
      <c r="B126" s="94"/>
      <c r="C126" s="94"/>
      <c r="D126" s="94"/>
      <c r="E126" s="94" t="s">
        <v>544</v>
      </c>
      <c r="F126" s="95">
        <v>44136</v>
      </c>
      <c r="G126" s="94" t="s">
        <v>2904</v>
      </c>
      <c r="H126" s="94" t="s">
        <v>1007</v>
      </c>
      <c r="I126" s="94" t="s">
        <v>1013</v>
      </c>
      <c r="J126" s="94" t="s">
        <v>733</v>
      </c>
      <c r="K126" s="97">
        <v>1104.17</v>
      </c>
    </row>
    <row r="127" spans="1:11" ht="14.6" x14ac:dyDescent="0.4">
      <c r="A127" s="94"/>
      <c r="B127" s="94"/>
      <c r="C127" s="94"/>
      <c r="D127" s="94"/>
      <c r="E127" s="94" t="s">
        <v>544</v>
      </c>
      <c r="F127" s="95">
        <v>44136</v>
      </c>
      <c r="G127" s="94" t="s">
        <v>2905</v>
      </c>
      <c r="H127" s="94" t="s">
        <v>1008</v>
      </c>
      <c r="I127" s="94" t="s">
        <v>2066</v>
      </c>
      <c r="J127" s="94" t="s">
        <v>733</v>
      </c>
      <c r="K127" s="97">
        <v>813.75</v>
      </c>
    </row>
    <row r="128" spans="1:11" ht="14.6" x14ac:dyDescent="0.4">
      <c r="A128" s="94"/>
      <c r="B128" s="94"/>
      <c r="C128" s="94"/>
      <c r="D128" s="94"/>
      <c r="E128" s="94" t="s">
        <v>544</v>
      </c>
      <c r="F128" s="95">
        <v>44141</v>
      </c>
      <c r="G128" s="94" t="s">
        <v>3211</v>
      </c>
      <c r="H128" s="94" t="s">
        <v>1007</v>
      </c>
      <c r="I128" s="94" t="s">
        <v>1669</v>
      </c>
      <c r="J128" s="94" t="s">
        <v>733</v>
      </c>
      <c r="K128" s="97">
        <v>575</v>
      </c>
    </row>
    <row r="129" spans="1:11" ht="14.6" x14ac:dyDescent="0.4">
      <c r="A129" s="94"/>
      <c r="B129" s="94"/>
      <c r="C129" s="94"/>
      <c r="D129" s="94"/>
      <c r="E129" s="94" t="s">
        <v>544</v>
      </c>
      <c r="F129" s="95">
        <v>44141</v>
      </c>
      <c r="G129" s="94" t="s">
        <v>3212</v>
      </c>
      <c r="H129" s="94" t="s">
        <v>1007</v>
      </c>
      <c r="I129" s="94" t="s">
        <v>1669</v>
      </c>
      <c r="J129" s="94" t="s">
        <v>733</v>
      </c>
      <c r="K129" s="97">
        <v>335</v>
      </c>
    </row>
    <row r="130" spans="1:11" ht="14.6" x14ac:dyDescent="0.4">
      <c r="A130" s="94"/>
      <c r="B130" s="94"/>
      <c r="C130" s="94"/>
      <c r="D130" s="94"/>
      <c r="E130" s="94" t="s">
        <v>544</v>
      </c>
      <c r="F130" s="95">
        <v>44145</v>
      </c>
      <c r="G130" s="94" t="s">
        <v>2906</v>
      </c>
      <c r="H130" s="94" t="s">
        <v>583</v>
      </c>
      <c r="I130" s="94" t="s">
        <v>2911</v>
      </c>
      <c r="J130" s="94" t="s">
        <v>733</v>
      </c>
      <c r="K130" s="97">
        <v>583.20000000000005</v>
      </c>
    </row>
    <row r="131" spans="1:11" ht="14.6" x14ac:dyDescent="0.4">
      <c r="A131" s="94"/>
      <c r="B131" s="94"/>
      <c r="C131" s="94"/>
      <c r="D131" s="94"/>
      <c r="E131" s="94" t="s">
        <v>544</v>
      </c>
      <c r="F131" s="95">
        <v>44145</v>
      </c>
      <c r="G131" s="94" t="s">
        <v>2832</v>
      </c>
      <c r="H131" s="94" t="s">
        <v>813</v>
      </c>
      <c r="I131" s="94" t="s">
        <v>2912</v>
      </c>
      <c r="J131" s="94" t="s">
        <v>733</v>
      </c>
      <c r="K131" s="97">
        <v>20</v>
      </c>
    </row>
    <row r="132" spans="1:11" ht="14.6" x14ac:dyDescent="0.4">
      <c r="A132" s="94"/>
      <c r="B132" s="94"/>
      <c r="C132" s="94"/>
      <c r="D132" s="94"/>
      <c r="E132" s="94" t="s">
        <v>544</v>
      </c>
      <c r="F132" s="95">
        <v>44146</v>
      </c>
      <c r="G132" s="94" t="s">
        <v>3213</v>
      </c>
      <c r="H132" s="94" t="s">
        <v>1007</v>
      </c>
      <c r="I132" s="94" t="s">
        <v>1669</v>
      </c>
      <c r="J132" s="94" t="s">
        <v>733</v>
      </c>
      <c r="K132" s="97">
        <v>815</v>
      </c>
    </row>
    <row r="133" spans="1:11" ht="14.6" x14ac:dyDescent="0.4">
      <c r="A133" s="94"/>
      <c r="B133" s="94"/>
      <c r="C133" s="94"/>
      <c r="D133" s="94"/>
      <c r="E133" s="94" t="s">
        <v>544</v>
      </c>
      <c r="F133" s="95">
        <v>44148</v>
      </c>
      <c r="G133" s="94" t="s">
        <v>3214</v>
      </c>
      <c r="H133" s="94" t="s">
        <v>1010</v>
      </c>
      <c r="I133" s="94" t="s">
        <v>1019</v>
      </c>
      <c r="J133" s="94" t="s">
        <v>733</v>
      </c>
      <c r="K133" s="97">
        <v>135</v>
      </c>
    </row>
    <row r="134" spans="1:11" ht="15" customHeight="1" x14ac:dyDescent="0.4">
      <c r="A134" s="94"/>
      <c r="B134" s="94"/>
      <c r="C134" s="94"/>
      <c r="D134" s="94"/>
      <c r="E134" s="94" t="s">
        <v>544</v>
      </c>
      <c r="F134" s="95">
        <v>44153</v>
      </c>
      <c r="G134" s="94" t="s">
        <v>3215</v>
      </c>
      <c r="H134" s="94" t="s">
        <v>1844</v>
      </c>
      <c r="I134" s="94" t="s">
        <v>2472</v>
      </c>
      <c r="J134" s="94" t="s">
        <v>733</v>
      </c>
      <c r="K134" s="97">
        <v>205</v>
      </c>
    </row>
    <row r="135" spans="1:11" ht="15" customHeight="1" x14ac:dyDescent="0.4">
      <c r="A135" s="94"/>
      <c r="B135" s="94"/>
      <c r="C135" s="94"/>
      <c r="D135" s="94"/>
      <c r="E135" s="94" t="s">
        <v>544</v>
      </c>
      <c r="F135" s="95">
        <v>44154</v>
      </c>
      <c r="G135" s="94" t="s">
        <v>3216</v>
      </c>
      <c r="H135" s="94" t="s">
        <v>1008</v>
      </c>
      <c r="I135" s="94" t="s">
        <v>3234</v>
      </c>
      <c r="J135" s="94" t="s">
        <v>733</v>
      </c>
      <c r="K135" s="97">
        <v>97</v>
      </c>
    </row>
    <row r="136" spans="1:11" ht="15" customHeight="1" x14ac:dyDescent="0.4">
      <c r="A136" s="94"/>
      <c r="B136" s="94"/>
      <c r="C136" s="94"/>
      <c r="D136" s="94"/>
      <c r="E136" s="94" t="s">
        <v>544</v>
      </c>
      <c r="F136" s="95">
        <v>44155</v>
      </c>
      <c r="G136" s="94" t="s">
        <v>3217</v>
      </c>
      <c r="H136" s="94" t="s">
        <v>1010</v>
      </c>
      <c r="I136" s="94" t="s">
        <v>3235</v>
      </c>
      <c r="J136" s="94" t="s">
        <v>733</v>
      </c>
      <c r="K136" s="97">
        <v>45</v>
      </c>
    </row>
    <row r="137" spans="1:11" ht="15" customHeight="1" x14ac:dyDescent="0.4">
      <c r="A137" s="94"/>
      <c r="B137" s="94"/>
      <c r="C137" s="94"/>
      <c r="D137" s="94"/>
      <c r="E137" s="94" t="s">
        <v>544</v>
      </c>
      <c r="F137" s="95">
        <v>44160</v>
      </c>
      <c r="G137" s="94" t="s">
        <v>2832</v>
      </c>
      <c r="H137" s="94" t="s">
        <v>1417</v>
      </c>
      <c r="I137" s="94" t="s">
        <v>3236</v>
      </c>
      <c r="J137" s="94" t="s">
        <v>733</v>
      </c>
      <c r="K137" s="97">
        <v>325</v>
      </c>
    </row>
    <row r="138" spans="1:11" ht="15" customHeight="1" x14ac:dyDescent="0.4">
      <c r="A138" s="94"/>
      <c r="B138" s="94"/>
      <c r="C138" s="94"/>
      <c r="D138" s="94"/>
      <c r="E138" s="94" t="s">
        <v>544</v>
      </c>
      <c r="F138" s="95">
        <v>44165</v>
      </c>
      <c r="G138" s="94" t="s">
        <v>3031</v>
      </c>
      <c r="H138" s="94" t="s">
        <v>1558</v>
      </c>
      <c r="I138" s="94" t="s">
        <v>3237</v>
      </c>
      <c r="J138" s="94" t="s">
        <v>733</v>
      </c>
      <c r="K138" s="97">
        <v>14</v>
      </c>
    </row>
    <row r="139" spans="1:11" ht="15" customHeight="1" x14ac:dyDescent="0.4">
      <c r="A139" s="94"/>
      <c r="B139" s="94"/>
      <c r="C139" s="94"/>
      <c r="D139" s="94"/>
      <c r="E139" s="94" t="s">
        <v>544</v>
      </c>
      <c r="F139" s="95">
        <v>44165</v>
      </c>
      <c r="G139" s="94" t="s">
        <v>3031</v>
      </c>
      <c r="H139" s="94" t="s">
        <v>1558</v>
      </c>
      <c r="I139" s="94" t="s">
        <v>3238</v>
      </c>
      <c r="J139" s="94" t="s">
        <v>733</v>
      </c>
      <c r="K139" s="97">
        <v>148.5</v>
      </c>
    </row>
    <row r="140" spans="1:11" ht="15" customHeight="1" x14ac:dyDescent="0.4">
      <c r="A140" s="94"/>
      <c r="B140" s="94"/>
      <c r="C140" s="94"/>
      <c r="D140" s="94"/>
      <c r="E140" s="94" t="s">
        <v>544</v>
      </c>
      <c r="F140" s="95">
        <v>44165</v>
      </c>
      <c r="G140" s="94" t="s">
        <v>3218</v>
      </c>
      <c r="H140" s="94" t="s">
        <v>1011</v>
      </c>
      <c r="I140" s="94" t="s">
        <v>2694</v>
      </c>
      <c r="J140" s="94" t="s">
        <v>733</v>
      </c>
      <c r="K140" s="97">
        <v>41.52</v>
      </c>
    </row>
    <row r="141" spans="1:11" ht="15" customHeight="1" x14ac:dyDescent="0.4">
      <c r="A141" s="94"/>
      <c r="B141" s="94"/>
      <c r="C141" s="94"/>
      <c r="D141" s="94"/>
      <c r="E141" s="94" t="s">
        <v>544</v>
      </c>
      <c r="F141" s="95">
        <v>44165</v>
      </c>
      <c r="G141" s="94" t="s">
        <v>3218</v>
      </c>
      <c r="H141" s="94" t="s">
        <v>1011</v>
      </c>
      <c r="I141" s="94" t="s">
        <v>1020</v>
      </c>
      <c r="J141" s="94" t="s">
        <v>733</v>
      </c>
      <c r="K141" s="97">
        <v>250</v>
      </c>
    </row>
    <row r="142" spans="1:11" ht="15" customHeight="1" x14ac:dyDescent="0.4">
      <c r="A142" s="94"/>
      <c r="B142" s="94"/>
      <c r="C142" s="94"/>
      <c r="D142" s="94"/>
      <c r="E142" s="94" t="s">
        <v>544</v>
      </c>
      <c r="F142" s="95">
        <v>44166</v>
      </c>
      <c r="G142" s="94" t="s">
        <v>3219</v>
      </c>
      <c r="H142" s="94" t="s">
        <v>698</v>
      </c>
      <c r="I142" s="94" t="s">
        <v>2476</v>
      </c>
      <c r="J142" s="94" t="s">
        <v>733</v>
      </c>
      <c r="K142" s="97">
        <v>2179</v>
      </c>
    </row>
    <row r="143" spans="1:11" ht="15" customHeight="1" x14ac:dyDescent="0.4">
      <c r="A143" s="94"/>
      <c r="B143" s="94"/>
      <c r="C143" s="94"/>
      <c r="D143" s="94"/>
      <c r="E143" s="94" t="s">
        <v>544</v>
      </c>
      <c r="F143" s="95">
        <v>44166</v>
      </c>
      <c r="G143" s="94" t="s">
        <v>3220</v>
      </c>
      <c r="H143" s="94" t="s">
        <v>1007</v>
      </c>
      <c r="I143" s="94" t="s">
        <v>1013</v>
      </c>
      <c r="J143" s="94" t="s">
        <v>733</v>
      </c>
      <c r="K143" s="97">
        <v>1104.17</v>
      </c>
    </row>
    <row r="144" spans="1:11" ht="15" customHeight="1" x14ac:dyDescent="0.4">
      <c r="A144" s="94"/>
      <c r="B144" s="94"/>
      <c r="C144" s="94"/>
      <c r="D144" s="94"/>
      <c r="E144" s="94" t="s">
        <v>544</v>
      </c>
      <c r="F144" s="95">
        <v>44166</v>
      </c>
      <c r="G144" s="94" t="s">
        <v>3221</v>
      </c>
      <c r="H144" s="94" t="s">
        <v>1845</v>
      </c>
      <c r="I144" s="94" t="s">
        <v>1850</v>
      </c>
      <c r="J144" s="94" t="s">
        <v>733</v>
      </c>
      <c r="K144" s="97">
        <v>105</v>
      </c>
    </row>
    <row r="145" spans="1:13" ht="15" customHeight="1" x14ac:dyDescent="0.4">
      <c r="A145" s="94"/>
      <c r="B145" s="94"/>
      <c r="C145" s="94"/>
      <c r="D145" s="94"/>
      <c r="E145" s="94" t="s">
        <v>544</v>
      </c>
      <c r="F145" s="95">
        <v>44166</v>
      </c>
      <c r="G145" s="94" t="s">
        <v>3222</v>
      </c>
      <c r="H145" s="94" t="s">
        <v>1008</v>
      </c>
      <c r="I145" s="94" t="s">
        <v>2066</v>
      </c>
      <c r="J145" s="94" t="s">
        <v>733</v>
      </c>
      <c r="K145" s="97">
        <v>813.75</v>
      </c>
    </row>
    <row r="146" spans="1:13" ht="15" customHeight="1" x14ac:dyDescent="0.4">
      <c r="A146" s="94"/>
      <c r="B146" s="94"/>
      <c r="C146" s="94"/>
      <c r="D146" s="94"/>
      <c r="E146" s="94" t="s">
        <v>544</v>
      </c>
      <c r="F146" s="95">
        <v>44169</v>
      </c>
      <c r="G146" s="94" t="s">
        <v>3223</v>
      </c>
      <c r="H146" s="94" t="s">
        <v>1010</v>
      </c>
      <c r="I146" s="94" t="s">
        <v>3235</v>
      </c>
      <c r="J146" s="94" t="s">
        <v>733</v>
      </c>
      <c r="K146" s="97">
        <v>45</v>
      </c>
    </row>
    <row r="147" spans="1:13" ht="15" customHeight="1" x14ac:dyDescent="0.4">
      <c r="A147" s="94"/>
      <c r="B147" s="94"/>
      <c r="C147" s="94"/>
      <c r="D147" s="94"/>
      <c r="E147" s="94" t="s">
        <v>545</v>
      </c>
      <c r="F147" s="95">
        <v>44172</v>
      </c>
      <c r="G147" s="94" t="s">
        <v>3224</v>
      </c>
      <c r="H147" s="94" t="s">
        <v>1459</v>
      </c>
      <c r="I147" s="94" t="s">
        <v>3239</v>
      </c>
      <c r="J147" s="94" t="s">
        <v>924</v>
      </c>
      <c r="K147" s="97">
        <v>5.39</v>
      </c>
    </row>
    <row r="148" spans="1:13" ht="15" customHeight="1" x14ac:dyDescent="0.4">
      <c r="A148" s="94"/>
      <c r="B148" s="94"/>
      <c r="C148" s="94"/>
      <c r="D148" s="94"/>
      <c r="E148" s="94" t="s">
        <v>544</v>
      </c>
      <c r="F148" s="95">
        <v>44173</v>
      </c>
      <c r="G148" s="94" t="s">
        <v>3225</v>
      </c>
      <c r="H148" s="94" t="s">
        <v>1010</v>
      </c>
      <c r="I148" s="94" t="s">
        <v>3235</v>
      </c>
      <c r="J148" s="94" t="s">
        <v>733</v>
      </c>
      <c r="K148" s="97">
        <v>45</v>
      </c>
    </row>
    <row r="149" spans="1:13" ht="15" customHeight="1" x14ac:dyDescent="0.4">
      <c r="A149" s="94"/>
      <c r="B149" s="94"/>
      <c r="C149" s="94"/>
      <c r="D149" s="94"/>
      <c r="E149" s="94" t="s">
        <v>544</v>
      </c>
      <c r="F149" s="95">
        <v>44176</v>
      </c>
      <c r="G149" s="94" t="s">
        <v>3226</v>
      </c>
      <c r="H149" s="94" t="s">
        <v>1012</v>
      </c>
      <c r="I149" s="94" t="s">
        <v>2064</v>
      </c>
      <c r="J149" s="94" t="s">
        <v>733</v>
      </c>
      <c r="K149" s="97">
        <v>204</v>
      </c>
    </row>
    <row r="150" spans="1:13" ht="15" customHeight="1" x14ac:dyDescent="0.4">
      <c r="A150" s="94"/>
      <c r="B150" s="94"/>
      <c r="C150" s="94"/>
      <c r="D150" s="94"/>
      <c r="E150" s="94" t="s">
        <v>544</v>
      </c>
      <c r="F150" s="95">
        <v>44180</v>
      </c>
      <c r="G150" s="94" t="s">
        <v>3227</v>
      </c>
      <c r="H150" s="94" t="s">
        <v>1007</v>
      </c>
      <c r="I150" s="94" t="s">
        <v>3240</v>
      </c>
      <c r="J150" s="94" t="s">
        <v>733</v>
      </c>
      <c r="L150" s="97">
        <v>14079.24</v>
      </c>
    </row>
    <row r="151" spans="1:13" ht="15" customHeight="1" x14ac:dyDescent="0.4">
      <c r="A151" s="94"/>
      <c r="B151" s="94"/>
      <c r="C151" s="94"/>
      <c r="D151" s="94"/>
      <c r="E151" s="94" t="s">
        <v>544</v>
      </c>
      <c r="F151" s="95">
        <v>44180</v>
      </c>
      <c r="G151" s="94" t="s">
        <v>3228</v>
      </c>
      <c r="H151" s="94" t="s">
        <v>1007</v>
      </c>
      <c r="I151" s="94" t="s">
        <v>3240</v>
      </c>
      <c r="J151" s="94" t="s">
        <v>733</v>
      </c>
      <c r="L151" s="97">
        <v>14097.44</v>
      </c>
    </row>
    <row r="152" spans="1:13" ht="15" customHeight="1" x14ac:dyDescent="0.4">
      <c r="A152" s="94"/>
      <c r="B152" s="94"/>
      <c r="C152" s="94"/>
      <c r="D152" s="94"/>
      <c r="E152" s="94" t="s">
        <v>544</v>
      </c>
      <c r="F152" s="95">
        <v>44181</v>
      </c>
      <c r="G152" s="94" t="s">
        <v>3058</v>
      </c>
      <c r="H152" s="94" t="s">
        <v>712</v>
      </c>
      <c r="I152" s="94" t="s">
        <v>3241</v>
      </c>
      <c r="J152" s="94" t="s">
        <v>733</v>
      </c>
      <c r="K152" s="97">
        <v>26</v>
      </c>
    </row>
    <row r="153" spans="1:13" ht="15" customHeight="1" x14ac:dyDescent="0.4">
      <c r="A153" s="94"/>
      <c r="B153" s="94"/>
      <c r="C153" s="94"/>
      <c r="D153" s="94"/>
      <c r="E153" s="94" t="s">
        <v>544</v>
      </c>
      <c r="F153" s="95">
        <v>44186</v>
      </c>
      <c r="G153" s="94" t="s">
        <v>3229</v>
      </c>
      <c r="H153" s="94" t="s">
        <v>1007</v>
      </c>
      <c r="I153" s="94" t="s">
        <v>1669</v>
      </c>
      <c r="J153" s="94" t="s">
        <v>733</v>
      </c>
      <c r="K153" s="97">
        <v>215</v>
      </c>
    </row>
    <row r="154" spans="1:13" ht="15" customHeight="1" x14ac:dyDescent="0.4">
      <c r="A154" s="94"/>
      <c r="B154" s="94"/>
      <c r="C154" s="94"/>
      <c r="D154" s="94"/>
      <c r="E154" s="94" t="s">
        <v>544</v>
      </c>
      <c r="F154" s="95">
        <v>44187</v>
      </c>
      <c r="G154" s="94" t="s">
        <v>3230</v>
      </c>
      <c r="H154" s="94" t="s">
        <v>1007</v>
      </c>
      <c r="I154" s="94" t="s">
        <v>1669</v>
      </c>
      <c r="J154" s="94" t="s">
        <v>733</v>
      </c>
      <c r="K154" s="97">
        <v>875</v>
      </c>
    </row>
    <row r="155" spans="1:13" ht="15" customHeight="1" x14ac:dyDescent="0.4">
      <c r="A155" s="94"/>
      <c r="B155" s="94"/>
      <c r="C155" s="94"/>
      <c r="D155" s="94"/>
      <c r="E155" s="94" t="s">
        <v>544</v>
      </c>
      <c r="F155" s="95">
        <v>44196</v>
      </c>
      <c r="G155" s="94" t="s">
        <v>3231</v>
      </c>
      <c r="H155" s="94" t="s">
        <v>1011</v>
      </c>
      <c r="I155" s="94" t="s">
        <v>1020</v>
      </c>
      <c r="J155" s="94" t="s">
        <v>733</v>
      </c>
      <c r="K155" s="97">
        <v>250</v>
      </c>
    </row>
    <row r="156" spans="1:13" ht="15" customHeight="1" thickBot="1" x14ac:dyDescent="0.45">
      <c r="A156" s="94"/>
      <c r="B156" s="94"/>
      <c r="C156" s="94"/>
      <c r="D156" s="94"/>
      <c r="E156" s="94" t="s">
        <v>544</v>
      </c>
      <c r="F156" s="95">
        <v>44196</v>
      </c>
      <c r="G156" s="94" t="s">
        <v>3232</v>
      </c>
      <c r="H156" s="94" t="s">
        <v>3233</v>
      </c>
      <c r="I156" s="94" t="s">
        <v>3242</v>
      </c>
      <c r="J156" s="94" t="s">
        <v>733</v>
      </c>
      <c r="K156" s="756">
        <v>3500</v>
      </c>
    </row>
    <row r="157" spans="1:13" ht="15" customHeight="1" thickBot="1" x14ac:dyDescent="0.45">
      <c r="A157" s="94"/>
      <c r="B157" s="94"/>
      <c r="C157" s="94" t="s">
        <v>992</v>
      </c>
      <c r="D157" s="94"/>
      <c r="E157" s="94"/>
      <c r="F157" s="95"/>
      <c r="G157" s="94"/>
      <c r="H157" s="94"/>
      <c r="I157" s="94"/>
      <c r="J157" s="94"/>
      <c r="K157" s="757">
        <f>ROUND(SUM(K3:K156),5)</f>
        <v>110054.15</v>
      </c>
      <c r="L157">
        <f>SUM(L4:L155)</f>
        <v>78176.679999999993</v>
      </c>
      <c r="M157" s="97">
        <f>SUM(K157:L157)</f>
        <v>188230.83</v>
      </c>
    </row>
    <row r="158" spans="1:13" ht="15" customHeight="1" thickBot="1" x14ac:dyDescent="0.45">
      <c r="A158" s="94"/>
      <c r="B158" s="94" t="s">
        <v>737</v>
      </c>
      <c r="C158" s="94"/>
      <c r="D158" s="94"/>
      <c r="E158" s="94"/>
      <c r="F158" s="95"/>
      <c r="G158" s="94"/>
      <c r="H158" s="94"/>
      <c r="I158" s="94"/>
      <c r="J158" s="94"/>
      <c r="K158" s="757">
        <f>K157</f>
        <v>110054.15</v>
      </c>
    </row>
    <row r="159" spans="1:13" ht="15" customHeight="1" thickBot="1" x14ac:dyDescent="0.45">
      <c r="A159" s="94" t="s">
        <v>98</v>
      </c>
      <c r="B159" s="94"/>
      <c r="C159" s="94"/>
      <c r="D159" s="94"/>
      <c r="E159" s="94"/>
      <c r="F159" s="95"/>
      <c r="G159" s="94"/>
      <c r="H159" s="94"/>
      <c r="I159" s="94"/>
      <c r="J159" s="94"/>
      <c r="K159" s="758">
        <f>K158</f>
        <v>110054.15</v>
      </c>
    </row>
    <row r="160" spans="1:13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3:33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736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7361" r:id="rId4" name="FILTER"/>
      </mc:Fallback>
    </mc:AlternateContent>
    <mc:AlternateContent xmlns:mc="http://schemas.openxmlformats.org/markup-compatibility/2006">
      <mc:Choice Requires="x14">
        <control shapeId="5736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7362" r:id="rId6" name="HEADER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3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5.382812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7.53515625" style="760" bestFit="1" customWidth="1"/>
    <col min="8" max="8" width="13.53515625" style="760" bestFit="1" customWidth="1"/>
    <col min="9" max="9" width="22.69140625" style="760" bestFit="1" customWidth="1"/>
    <col min="10" max="10" width="22.3046875" style="760" bestFit="1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481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43838</v>
      </c>
      <c r="G4" s="94" t="s">
        <v>759</v>
      </c>
      <c r="H4" s="94" t="s">
        <v>1027</v>
      </c>
      <c r="I4" s="94" t="s">
        <v>1028</v>
      </c>
      <c r="J4" s="94" t="s">
        <v>733</v>
      </c>
      <c r="K4" s="97">
        <v>700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43838</v>
      </c>
      <c r="G5" s="94" t="s">
        <v>759</v>
      </c>
      <c r="H5" s="94" t="s">
        <v>1027</v>
      </c>
      <c r="I5" s="94" t="s">
        <v>1029</v>
      </c>
      <c r="J5" s="94" t="s">
        <v>733</v>
      </c>
      <c r="K5" s="97">
        <v>150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43865</v>
      </c>
      <c r="G6" s="94" t="s">
        <v>806</v>
      </c>
      <c r="H6" s="94" t="s">
        <v>1027</v>
      </c>
      <c r="I6" s="94" t="s">
        <v>1028</v>
      </c>
      <c r="J6" s="94" t="s">
        <v>733</v>
      </c>
      <c r="K6" s="97">
        <v>700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43865</v>
      </c>
      <c r="G7" s="94" t="s">
        <v>806</v>
      </c>
      <c r="H7" s="94" t="s">
        <v>1027</v>
      </c>
      <c r="I7" s="94" t="s">
        <v>1029</v>
      </c>
      <c r="J7" s="94" t="s">
        <v>733</v>
      </c>
      <c r="K7" s="97">
        <v>150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43892</v>
      </c>
      <c r="G8" s="94" t="s">
        <v>740</v>
      </c>
      <c r="H8" s="94" t="s">
        <v>1027</v>
      </c>
      <c r="I8" s="94" t="s">
        <v>1028</v>
      </c>
      <c r="J8" s="94" t="s">
        <v>733</v>
      </c>
      <c r="K8" s="97">
        <v>700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43892</v>
      </c>
      <c r="G9" s="94" t="s">
        <v>740</v>
      </c>
      <c r="H9" s="94" t="s">
        <v>1027</v>
      </c>
      <c r="I9" s="94" t="s">
        <v>1029</v>
      </c>
      <c r="J9" s="94" t="s">
        <v>733</v>
      </c>
      <c r="K9" s="97">
        <v>150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43922</v>
      </c>
      <c r="G10" s="94" t="s">
        <v>1401</v>
      </c>
      <c r="H10" s="94" t="s">
        <v>1027</v>
      </c>
      <c r="I10" s="94" t="s">
        <v>1028</v>
      </c>
      <c r="J10" s="94" t="s">
        <v>733</v>
      </c>
      <c r="K10" s="97">
        <v>800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43922</v>
      </c>
      <c r="G11" s="94" t="s">
        <v>1401</v>
      </c>
      <c r="H11" s="94" t="s">
        <v>1027</v>
      </c>
      <c r="I11" s="94" t="s">
        <v>1029</v>
      </c>
      <c r="J11" s="94" t="s">
        <v>733</v>
      </c>
      <c r="K11" s="97">
        <v>150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43964</v>
      </c>
      <c r="G12" s="94" t="s">
        <v>1638</v>
      </c>
      <c r="H12" s="94" t="s">
        <v>1027</v>
      </c>
      <c r="I12" s="94" t="s">
        <v>1028</v>
      </c>
      <c r="J12" s="94" t="s">
        <v>733</v>
      </c>
      <c r="K12" s="97">
        <v>800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43964</v>
      </c>
      <c r="G13" s="94" t="s">
        <v>1638</v>
      </c>
      <c r="H13" s="94" t="s">
        <v>1027</v>
      </c>
      <c r="I13" s="94" t="s">
        <v>1029</v>
      </c>
      <c r="J13" s="94" t="s">
        <v>733</v>
      </c>
      <c r="K13" s="97">
        <v>150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43992</v>
      </c>
      <c r="G14" s="94" t="s">
        <v>1833</v>
      </c>
      <c r="H14" s="94" t="s">
        <v>1027</v>
      </c>
      <c r="I14" s="94" t="s">
        <v>1028</v>
      </c>
      <c r="J14" s="94" t="s">
        <v>733</v>
      </c>
      <c r="K14" s="97">
        <v>800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43992</v>
      </c>
      <c r="G15" s="94" t="s">
        <v>1833</v>
      </c>
      <c r="H15" s="94" t="s">
        <v>1027</v>
      </c>
      <c r="I15" s="94" t="s">
        <v>1029</v>
      </c>
      <c r="J15" s="94" t="s">
        <v>733</v>
      </c>
      <c r="K15" s="97">
        <v>150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44013</v>
      </c>
      <c r="G16" s="94" t="s">
        <v>1931</v>
      </c>
      <c r="H16" s="94" t="s">
        <v>1027</v>
      </c>
      <c r="I16" s="94" t="s">
        <v>1028</v>
      </c>
      <c r="J16" s="94" t="s">
        <v>733</v>
      </c>
      <c r="K16" s="97">
        <v>800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44013</v>
      </c>
      <c r="G17" s="94" t="s">
        <v>1931</v>
      </c>
      <c r="H17" s="94" t="s">
        <v>1027</v>
      </c>
      <c r="I17" s="94" t="s">
        <v>1029</v>
      </c>
      <c r="J17" s="94" t="s">
        <v>733</v>
      </c>
      <c r="K17" s="97">
        <v>150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44046</v>
      </c>
      <c r="G18" s="94" t="s">
        <v>1337</v>
      </c>
      <c r="H18" s="94" t="s">
        <v>1027</v>
      </c>
      <c r="I18" s="94" t="s">
        <v>1028</v>
      </c>
      <c r="J18" s="94" t="s">
        <v>733</v>
      </c>
      <c r="K18" s="97">
        <v>800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44046</v>
      </c>
      <c r="G19" s="94" t="s">
        <v>1337</v>
      </c>
      <c r="H19" s="94" t="s">
        <v>1027</v>
      </c>
      <c r="I19" s="94" t="s">
        <v>1029</v>
      </c>
      <c r="J19" s="94" t="s">
        <v>733</v>
      </c>
      <c r="K19" s="97">
        <v>150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44076</v>
      </c>
      <c r="G20" s="94" t="s">
        <v>2273</v>
      </c>
      <c r="H20" s="94" t="s">
        <v>1027</v>
      </c>
      <c r="I20" s="94" t="s">
        <v>1028</v>
      </c>
      <c r="J20" s="94" t="s">
        <v>733</v>
      </c>
      <c r="K20" s="97">
        <v>800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44076</v>
      </c>
      <c r="G21" s="94" t="s">
        <v>2273</v>
      </c>
      <c r="H21" s="94" t="s">
        <v>1027</v>
      </c>
      <c r="I21" s="94" t="s">
        <v>1029</v>
      </c>
      <c r="J21" s="94" t="s">
        <v>733</v>
      </c>
      <c r="K21" s="97">
        <v>150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44105</v>
      </c>
      <c r="G22" s="94" t="s">
        <v>2617</v>
      </c>
      <c r="H22" s="94" t="s">
        <v>1027</v>
      </c>
      <c r="I22" s="94" t="s">
        <v>1028</v>
      </c>
      <c r="J22" s="94" t="s">
        <v>733</v>
      </c>
      <c r="K22" s="97">
        <v>800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44105</v>
      </c>
      <c r="G23" s="94" t="s">
        <v>2617</v>
      </c>
      <c r="H23" s="94" t="s">
        <v>1027</v>
      </c>
      <c r="I23" s="94" t="s">
        <v>1029</v>
      </c>
      <c r="J23" s="94" t="s">
        <v>733</v>
      </c>
      <c r="K23" s="97">
        <v>150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44145</v>
      </c>
      <c r="G24" s="94" t="s">
        <v>2832</v>
      </c>
      <c r="H24" s="94" t="s">
        <v>1027</v>
      </c>
      <c r="I24" s="94" t="s">
        <v>1028</v>
      </c>
      <c r="J24" s="94" t="s">
        <v>733</v>
      </c>
      <c r="K24" s="97">
        <v>800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44145</v>
      </c>
      <c r="G25" s="94" t="s">
        <v>2832</v>
      </c>
      <c r="H25" s="94" t="s">
        <v>1027</v>
      </c>
      <c r="I25" s="94" t="s">
        <v>1029</v>
      </c>
      <c r="J25" s="94" t="s">
        <v>733</v>
      </c>
      <c r="K25" s="97">
        <v>150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44176</v>
      </c>
      <c r="G26" s="94" t="s">
        <v>3128</v>
      </c>
      <c r="H26" s="94" t="s">
        <v>1027</v>
      </c>
      <c r="I26" s="94" t="s">
        <v>1028</v>
      </c>
      <c r="J26" s="94" t="s">
        <v>733</v>
      </c>
      <c r="K26" s="97">
        <v>800</v>
      </c>
    </row>
    <row r="27" spans="1:11" thickBot="1" x14ac:dyDescent="0.45">
      <c r="A27" s="94"/>
      <c r="B27" s="94"/>
      <c r="C27" s="94"/>
      <c r="D27" s="94"/>
      <c r="E27" s="94" t="s">
        <v>544</v>
      </c>
      <c r="F27" s="95">
        <v>44176</v>
      </c>
      <c r="G27" s="94" t="s">
        <v>3128</v>
      </c>
      <c r="H27" s="94" t="s">
        <v>1027</v>
      </c>
      <c r="I27" s="94" t="s">
        <v>1029</v>
      </c>
      <c r="J27" s="94" t="s">
        <v>733</v>
      </c>
      <c r="K27" s="756">
        <v>150</v>
      </c>
    </row>
    <row r="28" spans="1:11" thickBot="1" x14ac:dyDescent="0.45">
      <c r="A28" s="94"/>
      <c r="B28" s="94"/>
      <c r="C28" s="94" t="s">
        <v>1026</v>
      </c>
      <c r="D28" s="94"/>
      <c r="E28" s="94"/>
      <c r="F28" s="95"/>
      <c r="G28" s="94"/>
      <c r="H28" s="94"/>
      <c r="I28" s="94"/>
      <c r="J28" s="94"/>
      <c r="K28" s="757">
        <f>ROUND(SUM(K3:K27),5)</f>
        <v>11100</v>
      </c>
    </row>
    <row r="29" spans="1:11" thickBot="1" x14ac:dyDescent="0.45">
      <c r="A29" s="94"/>
      <c r="B29" s="94" t="s">
        <v>737</v>
      </c>
      <c r="C29" s="94"/>
      <c r="D29" s="94"/>
      <c r="E29" s="94"/>
      <c r="F29" s="95"/>
      <c r="G29" s="94"/>
      <c r="H29" s="94"/>
      <c r="I29" s="94"/>
      <c r="J29" s="94"/>
      <c r="K29" s="757">
        <f>K28</f>
        <v>11100</v>
      </c>
    </row>
    <row r="30" spans="1:11" ht="15" customHeight="1" thickBot="1" x14ac:dyDescent="0.45">
      <c r="A30" s="94" t="s">
        <v>98</v>
      </c>
      <c r="B30" s="94"/>
      <c r="C30" s="94"/>
      <c r="D30" s="94"/>
      <c r="E30" s="94"/>
      <c r="F30" s="95"/>
      <c r="G30" s="94"/>
      <c r="H30" s="94"/>
      <c r="I30" s="94"/>
      <c r="J30" s="94"/>
      <c r="K30" s="758">
        <f>K29</f>
        <v>11100</v>
      </c>
    </row>
    <row r="31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3:35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838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8385" r:id="rId4" name="FILTER"/>
      </mc:Fallback>
    </mc:AlternateContent>
    <mc:AlternateContent xmlns:mc="http://schemas.openxmlformats.org/markup-compatibility/2006">
      <mc:Choice Requires="x14">
        <control shapeId="5838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8386" r:id="rId6" name="HEADER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K30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36.691406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6" style="760" bestFit="1" customWidth="1"/>
    <col min="8" max="8" width="23.3046875" style="760" bestFit="1" customWidth="1"/>
    <col min="9" max="9" width="30.69140625" style="760" customWidth="1"/>
    <col min="10" max="10" width="27.3828125" style="760" bestFit="1" customWidth="1"/>
    <col min="11" max="11" width="8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1030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545</v>
      </c>
      <c r="F4" s="95">
        <v>43838</v>
      </c>
      <c r="G4" s="94" t="s">
        <v>1032</v>
      </c>
      <c r="H4" s="94" t="s">
        <v>1036</v>
      </c>
      <c r="I4" s="94" t="s">
        <v>1039</v>
      </c>
      <c r="J4" s="94" t="s">
        <v>923</v>
      </c>
      <c r="K4" s="97">
        <v>53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43846</v>
      </c>
      <c r="G5" s="94" t="s">
        <v>1033</v>
      </c>
      <c r="H5" s="94" t="s">
        <v>581</v>
      </c>
      <c r="I5" s="94" t="s">
        <v>1040</v>
      </c>
      <c r="J5" s="94" t="s">
        <v>733</v>
      </c>
      <c r="K5" s="97">
        <v>21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43852</v>
      </c>
      <c r="G6" s="94" t="s">
        <v>773</v>
      </c>
      <c r="H6" s="94" t="s">
        <v>811</v>
      </c>
      <c r="I6" s="94" t="s">
        <v>1041</v>
      </c>
      <c r="J6" s="94" t="s">
        <v>733</v>
      </c>
      <c r="K6" s="97">
        <v>375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43852</v>
      </c>
      <c r="G7" s="94" t="s">
        <v>773</v>
      </c>
      <c r="H7" s="94" t="s">
        <v>811</v>
      </c>
      <c r="I7" s="94" t="s">
        <v>1042</v>
      </c>
      <c r="J7" s="94" t="s">
        <v>733</v>
      </c>
      <c r="K7" s="97">
        <v>375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43852</v>
      </c>
      <c r="G8" s="94" t="s">
        <v>773</v>
      </c>
      <c r="H8" s="94" t="s">
        <v>811</v>
      </c>
      <c r="I8" s="94" t="s">
        <v>1043</v>
      </c>
      <c r="J8" s="94" t="s">
        <v>733</v>
      </c>
      <c r="K8" s="97">
        <v>195</v>
      </c>
    </row>
    <row r="9" spans="1:11" ht="14.6" x14ac:dyDescent="0.4">
      <c r="A9" s="94"/>
      <c r="B9" s="94"/>
      <c r="C9" s="94"/>
      <c r="D9" s="94"/>
      <c r="E9" s="94" t="s">
        <v>545</v>
      </c>
      <c r="F9" s="95">
        <v>43857</v>
      </c>
      <c r="G9" s="94" t="s">
        <v>1034</v>
      </c>
      <c r="H9" s="94" t="s">
        <v>1037</v>
      </c>
      <c r="I9" s="94" t="s">
        <v>1044</v>
      </c>
      <c r="J9" s="94" t="s">
        <v>923</v>
      </c>
      <c r="K9" s="97">
        <v>54</v>
      </c>
    </row>
    <row r="10" spans="1:11" ht="14.6" x14ac:dyDescent="0.4">
      <c r="A10" s="94"/>
      <c r="B10" s="94"/>
      <c r="C10" s="94"/>
      <c r="D10" s="94"/>
      <c r="E10" s="94" t="s">
        <v>545</v>
      </c>
      <c r="F10" s="95">
        <v>43873</v>
      </c>
      <c r="G10" s="94" t="s">
        <v>1035</v>
      </c>
      <c r="H10" s="94" t="s">
        <v>1038</v>
      </c>
      <c r="I10" s="94" t="s">
        <v>1045</v>
      </c>
      <c r="J10" s="94" t="s">
        <v>923</v>
      </c>
      <c r="K10" s="97">
        <v>40</v>
      </c>
    </row>
    <row r="11" spans="1:11" ht="14.6" x14ac:dyDescent="0.4">
      <c r="A11" s="94"/>
      <c r="B11" s="94"/>
      <c r="C11" s="94"/>
      <c r="D11" s="94"/>
      <c r="E11" s="94" t="s">
        <v>545</v>
      </c>
      <c r="F11" s="95">
        <v>43887</v>
      </c>
      <c r="G11" s="94" t="s">
        <v>1429</v>
      </c>
      <c r="H11" s="94" t="s">
        <v>1342</v>
      </c>
      <c r="I11" s="94" t="s">
        <v>1434</v>
      </c>
      <c r="J11" s="94" t="s">
        <v>923</v>
      </c>
      <c r="K11" s="97">
        <v>785.43</v>
      </c>
    </row>
    <row r="12" spans="1:11" ht="14.6" x14ac:dyDescent="0.4">
      <c r="A12" s="94"/>
      <c r="B12" s="94"/>
      <c r="C12" s="94"/>
      <c r="D12" s="94"/>
      <c r="E12" s="94" t="s">
        <v>545</v>
      </c>
      <c r="F12" s="95">
        <v>43887</v>
      </c>
      <c r="G12" s="94" t="s">
        <v>1430</v>
      </c>
      <c r="H12" s="94" t="s">
        <v>1342</v>
      </c>
      <c r="I12" s="94" t="s">
        <v>1435</v>
      </c>
      <c r="J12" s="94" t="s">
        <v>923</v>
      </c>
      <c r="K12" s="97">
        <v>785.43</v>
      </c>
    </row>
    <row r="13" spans="1:11" ht="14.6" x14ac:dyDescent="0.4">
      <c r="A13" s="94"/>
      <c r="B13" s="94"/>
      <c r="C13" s="94"/>
      <c r="D13" s="94"/>
      <c r="E13" s="94" t="s">
        <v>545</v>
      </c>
      <c r="F13" s="95">
        <v>43902</v>
      </c>
      <c r="G13" s="94" t="s">
        <v>1431</v>
      </c>
      <c r="H13" s="94" t="s">
        <v>1433</v>
      </c>
      <c r="I13" s="94" t="s">
        <v>1436</v>
      </c>
      <c r="J13" s="94" t="s">
        <v>924</v>
      </c>
      <c r="K13" s="97">
        <v>95.65</v>
      </c>
    </row>
    <row r="14" spans="1:11" ht="14.6" x14ac:dyDescent="0.4">
      <c r="A14" s="94"/>
      <c r="B14" s="94"/>
      <c r="C14" s="94"/>
      <c r="D14" s="94"/>
      <c r="E14" s="94" t="s">
        <v>545</v>
      </c>
      <c r="F14" s="95">
        <v>43902</v>
      </c>
      <c r="G14" s="94" t="s">
        <v>1432</v>
      </c>
      <c r="H14" s="94" t="s">
        <v>709</v>
      </c>
      <c r="I14" s="94" t="s">
        <v>1436</v>
      </c>
      <c r="J14" s="94" t="s">
        <v>924</v>
      </c>
      <c r="K14" s="97">
        <v>4.0999999999999996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43944</v>
      </c>
      <c r="G15" s="94" t="s">
        <v>1674</v>
      </c>
      <c r="H15" s="94" t="s">
        <v>1676</v>
      </c>
      <c r="I15" s="94" t="s">
        <v>1678</v>
      </c>
      <c r="J15" s="94" t="s">
        <v>733</v>
      </c>
      <c r="K15" s="97">
        <v>585</v>
      </c>
    </row>
    <row r="16" spans="1:11" ht="14.6" x14ac:dyDescent="0.4">
      <c r="A16" s="94"/>
      <c r="B16" s="94"/>
      <c r="C16" s="94"/>
      <c r="D16" s="94"/>
      <c r="E16" s="94" t="s">
        <v>545</v>
      </c>
      <c r="F16" s="95">
        <v>43978</v>
      </c>
      <c r="G16" s="94" t="s">
        <v>1675</v>
      </c>
      <c r="H16" s="94" t="s">
        <v>1677</v>
      </c>
      <c r="I16" s="94" t="s">
        <v>1679</v>
      </c>
      <c r="J16" s="94" t="s">
        <v>924</v>
      </c>
      <c r="K16" s="97">
        <v>16.68</v>
      </c>
    </row>
    <row r="17" spans="1:11" ht="14.6" x14ac:dyDescent="0.4">
      <c r="A17" s="94"/>
      <c r="B17" s="94"/>
      <c r="C17" s="94"/>
      <c r="D17" s="94"/>
      <c r="E17" s="94" t="s">
        <v>545</v>
      </c>
      <c r="F17" s="95">
        <v>43978</v>
      </c>
      <c r="G17" s="94" t="s">
        <v>1675</v>
      </c>
      <c r="H17" s="94" t="s">
        <v>1677</v>
      </c>
      <c r="I17" s="94" t="s">
        <v>1680</v>
      </c>
      <c r="J17" s="94" t="s">
        <v>924</v>
      </c>
      <c r="K17" s="97">
        <v>20.7</v>
      </c>
    </row>
    <row r="18" spans="1:11" ht="14.6" x14ac:dyDescent="0.4">
      <c r="A18" s="94"/>
      <c r="B18" s="94"/>
      <c r="C18" s="94"/>
      <c r="D18" s="94"/>
      <c r="E18" s="94" t="s">
        <v>545</v>
      </c>
      <c r="F18" s="95">
        <v>43978</v>
      </c>
      <c r="G18" s="94" t="s">
        <v>1675</v>
      </c>
      <c r="H18" s="94" t="s">
        <v>1677</v>
      </c>
      <c r="I18" s="94" t="s">
        <v>1681</v>
      </c>
      <c r="J18" s="94" t="s">
        <v>924</v>
      </c>
      <c r="K18" s="97">
        <v>6.95</v>
      </c>
    </row>
    <row r="19" spans="1:11" ht="14.6" x14ac:dyDescent="0.4">
      <c r="A19" s="94"/>
      <c r="B19" s="94"/>
      <c r="C19" s="94"/>
      <c r="D19" s="94"/>
      <c r="E19" s="94" t="s">
        <v>545</v>
      </c>
      <c r="F19" s="95">
        <v>43978</v>
      </c>
      <c r="G19" s="94" t="s">
        <v>1675</v>
      </c>
      <c r="H19" s="94" t="s">
        <v>1677</v>
      </c>
      <c r="I19" s="94" t="s">
        <v>1682</v>
      </c>
      <c r="J19" s="94" t="s">
        <v>924</v>
      </c>
      <c r="K19" s="97">
        <v>-3.74</v>
      </c>
    </row>
    <row r="20" spans="1:11" ht="14.6" x14ac:dyDescent="0.4">
      <c r="A20" s="94"/>
      <c r="B20" s="94"/>
      <c r="C20" s="94"/>
      <c r="D20" s="94"/>
      <c r="E20" s="94" t="s">
        <v>545</v>
      </c>
      <c r="F20" s="95">
        <v>44127</v>
      </c>
      <c r="G20" s="94" t="s">
        <v>2913</v>
      </c>
      <c r="H20" s="94" t="s">
        <v>1037</v>
      </c>
      <c r="I20" s="94" t="s">
        <v>2916</v>
      </c>
      <c r="J20" s="94" t="s">
        <v>923</v>
      </c>
      <c r="K20" s="97">
        <v>54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44132</v>
      </c>
      <c r="G21" s="94" t="s">
        <v>2914</v>
      </c>
      <c r="H21" s="94" t="s">
        <v>580</v>
      </c>
      <c r="I21" s="94" t="s">
        <v>2917</v>
      </c>
      <c r="J21" s="94" t="s">
        <v>733</v>
      </c>
      <c r="K21" s="97">
        <v>89.95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44137</v>
      </c>
      <c r="G22" s="94" t="s">
        <v>2915</v>
      </c>
      <c r="H22" s="94" t="s">
        <v>1914</v>
      </c>
      <c r="I22" s="94" t="s">
        <v>2918</v>
      </c>
      <c r="J22" s="94" t="s">
        <v>733</v>
      </c>
      <c r="K22" s="97">
        <v>38</v>
      </c>
    </row>
    <row r="23" spans="1:11" ht="14.6" x14ac:dyDescent="0.4">
      <c r="A23" s="94"/>
      <c r="B23" s="94"/>
      <c r="C23" s="94"/>
      <c r="D23" s="94"/>
      <c r="E23" s="94" t="s">
        <v>545</v>
      </c>
      <c r="F23" s="95">
        <v>44140</v>
      </c>
      <c r="G23" s="94" t="s">
        <v>3243</v>
      </c>
      <c r="H23" s="94" t="s">
        <v>1036</v>
      </c>
      <c r="I23" s="94" t="s">
        <v>3246</v>
      </c>
      <c r="J23" s="94" t="s">
        <v>923</v>
      </c>
      <c r="K23" s="97">
        <v>67</v>
      </c>
    </row>
    <row r="24" spans="1:11" ht="14.6" x14ac:dyDescent="0.4">
      <c r="A24" s="94"/>
      <c r="B24" s="94"/>
      <c r="C24" s="94"/>
      <c r="D24" s="94"/>
      <c r="E24" s="94" t="s">
        <v>545</v>
      </c>
      <c r="F24" s="95">
        <v>44179</v>
      </c>
      <c r="G24" s="94" t="s">
        <v>3244</v>
      </c>
      <c r="H24" s="94" t="s">
        <v>1036</v>
      </c>
      <c r="I24" s="94" t="s">
        <v>3247</v>
      </c>
      <c r="J24" s="94" t="s">
        <v>923</v>
      </c>
      <c r="K24" s="97">
        <v>55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44181</v>
      </c>
      <c r="G25" s="94" t="s">
        <v>3133</v>
      </c>
      <c r="H25" s="94" t="s">
        <v>3150</v>
      </c>
      <c r="I25" s="94" t="s">
        <v>3248</v>
      </c>
      <c r="J25" s="94" t="s">
        <v>733</v>
      </c>
      <c r="K25" s="97">
        <v>25.73</v>
      </c>
    </row>
    <row r="26" spans="1:11" thickBot="1" x14ac:dyDescent="0.45">
      <c r="A26" s="94"/>
      <c r="B26" s="94"/>
      <c r="C26" s="94"/>
      <c r="D26" s="94"/>
      <c r="E26" s="94" t="s">
        <v>544</v>
      </c>
      <c r="F26" s="95">
        <v>44187</v>
      </c>
      <c r="G26" s="94" t="s">
        <v>806</v>
      </c>
      <c r="H26" s="94" t="s">
        <v>3245</v>
      </c>
      <c r="I26" s="94" t="s">
        <v>3249</v>
      </c>
      <c r="J26" s="94" t="s">
        <v>733</v>
      </c>
      <c r="K26" s="756">
        <v>195.5</v>
      </c>
    </row>
    <row r="27" spans="1:11" ht="15" customHeight="1" thickBot="1" x14ac:dyDescent="0.45">
      <c r="A27" s="94"/>
      <c r="B27" s="94"/>
      <c r="C27" s="94" t="s">
        <v>1031</v>
      </c>
      <c r="D27" s="94"/>
      <c r="E27" s="94"/>
      <c r="F27" s="95"/>
      <c r="G27" s="94"/>
      <c r="H27" s="94"/>
      <c r="I27" s="94"/>
      <c r="J27" s="94"/>
      <c r="K27" s="757">
        <f>ROUND(SUM(K3:K26),5)</f>
        <v>3934.38</v>
      </c>
    </row>
    <row r="28" spans="1:11" ht="15" customHeight="1" thickBot="1" x14ac:dyDescent="0.45">
      <c r="A28" s="94"/>
      <c r="B28" s="94" t="s">
        <v>737</v>
      </c>
      <c r="C28" s="94"/>
      <c r="D28" s="94"/>
      <c r="E28" s="94"/>
      <c r="F28" s="95"/>
      <c r="G28" s="94"/>
      <c r="H28" s="94"/>
      <c r="I28" s="94"/>
      <c r="J28" s="94"/>
      <c r="K28" s="757">
        <f>K27</f>
        <v>3934.38</v>
      </c>
    </row>
    <row r="29" spans="1:11" ht="15" customHeight="1" thickBot="1" x14ac:dyDescent="0.45">
      <c r="A29" s="94" t="s">
        <v>98</v>
      </c>
      <c r="B29" s="94"/>
      <c r="C29" s="94"/>
      <c r="D29" s="94"/>
      <c r="E29" s="94"/>
      <c r="F29" s="95"/>
      <c r="G29" s="94"/>
      <c r="H29" s="94"/>
      <c r="I29" s="94"/>
      <c r="J29" s="94"/>
      <c r="K29" s="758">
        <f>K28</f>
        <v>3934.38</v>
      </c>
    </row>
    <row r="30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3:36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940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9401" r:id="rId4" name="FILTER"/>
      </mc:Fallback>
    </mc:AlternateContent>
    <mc:AlternateContent xmlns:mc="http://schemas.openxmlformats.org/markup-compatibility/2006">
      <mc:Choice Requires="x14">
        <control shapeId="5940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9402" r:id="rId6" name="HEADER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K68"/>
  <sheetViews>
    <sheetView workbookViewId="0">
      <pane xSplit="3" ySplit="1" topLeftCell="D38" activePane="bottomRight" state="frozenSplit"/>
      <selection pane="topRight" activeCell="D1" sqref="D1"/>
      <selection pane="bottomLeft" activeCell="A2" sqref="A2"/>
      <selection pane="bottomRight" activeCell="N27" sqref="N27"/>
    </sheetView>
  </sheetViews>
  <sheetFormatPr defaultColWidth="14.3828125" defaultRowHeight="15" customHeight="1" x14ac:dyDescent="0.4"/>
  <cols>
    <col min="1" max="2" width="3" style="760" customWidth="1"/>
    <col min="3" max="3" width="25.38281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5.84375" style="760" bestFit="1" customWidth="1"/>
    <col min="8" max="8" width="28.84375" style="760" bestFit="1" customWidth="1"/>
    <col min="9" max="9" width="30.69140625" style="760" customWidth="1"/>
    <col min="10" max="10" width="27.3828125" style="760" bestFit="1" customWidth="1"/>
    <col min="11" max="11" width="9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482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781</v>
      </c>
      <c r="H4" s="94" t="s">
        <v>1065</v>
      </c>
      <c r="I4" s="94" t="s">
        <v>1081</v>
      </c>
      <c r="J4" s="94" t="s">
        <v>733</v>
      </c>
      <c r="K4" s="97">
        <v>1389.95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781</v>
      </c>
      <c r="H5" s="94" t="s">
        <v>1065</v>
      </c>
      <c r="I5" s="94" t="s">
        <v>1082</v>
      </c>
      <c r="J5" s="94" t="s">
        <v>733</v>
      </c>
      <c r="K5" s="97">
        <v>742.95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43832</v>
      </c>
      <c r="G6" s="94" t="s">
        <v>781</v>
      </c>
      <c r="H6" s="94" t="s">
        <v>1065</v>
      </c>
      <c r="I6" s="94" t="s">
        <v>1083</v>
      </c>
      <c r="J6" s="94" t="s">
        <v>733</v>
      </c>
      <c r="K6" s="97">
        <v>24.25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43832</v>
      </c>
      <c r="G7" s="94" t="s">
        <v>1047</v>
      </c>
      <c r="H7" s="94" t="s">
        <v>1066</v>
      </c>
      <c r="I7" s="94" t="s">
        <v>1084</v>
      </c>
      <c r="J7" s="94" t="s">
        <v>733</v>
      </c>
      <c r="K7" s="97">
        <v>3082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43837</v>
      </c>
      <c r="G8" s="94" t="s">
        <v>1048</v>
      </c>
      <c r="H8" s="94" t="s">
        <v>1067</v>
      </c>
      <c r="I8" s="94" t="s">
        <v>1085</v>
      </c>
      <c r="J8" s="94" t="s">
        <v>733</v>
      </c>
      <c r="K8" s="97">
        <v>32760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43850</v>
      </c>
      <c r="G9" s="94" t="s">
        <v>1049</v>
      </c>
      <c r="H9" s="94" t="s">
        <v>1068</v>
      </c>
      <c r="I9" s="94" t="s">
        <v>1086</v>
      </c>
      <c r="J9" s="94" t="s">
        <v>733</v>
      </c>
      <c r="K9" s="97">
        <v>550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43850</v>
      </c>
      <c r="G10" s="94" t="s">
        <v>1049</v>
      </c>
      <c r="H10" s="94" t="s">
        <v>1068</v>
      </c>
      <c r="I10" s="94" t="s">
        <v>1443</v>
      </c>
      <c r="J10" s="94" t="s">
        <v>733</v>
      </c>
      <c r="K10" s="97">
        <v>30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43861</v>
      </c>
      <c r="G11" s="94" t="s">
        <v>806</v>
      </c>
      <c r="H11" s="94" t="s">
        <v>1069</v>
      </c>
      <c r="I11" s="94" t="s">
        <v>1087</v>
      </c>
      <c r="J11" s="94" t="s">
        <v>733</v>
      </c>
      <c r="K11" s="97">
        <v>348.57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43863</v>
      </c>
      <c r="G12" s="94" t="s">
        <v>1050</v>
      </c>
      <c r="H12" s="94" t="s">
        <v>1066</v>
      </c>
      <c r="I12" s="94" t="s">
        <v>1084</v>
      </c>
      <c r="J12" s="94" t="s">
        <v>733</v>
      </c>
      <c r="K12" s="97">
        <v>3082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43865</v>
      </c>
      <c r="G13" s="94" t="s">
        <v>781</v>
      </c>
      <c r="H13" s="94" t="s">
        <v>1070</v>
      </c>
      <c r="I13" s="94" t="s">
        <v>1088</v>
      </c>
      <c r="J13" s="94" t="s">
        <v>733</v>
      </c>
      <c r="K13" s="97">
        <v>95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43865</v>
      </c>
      <c r="G14" s="94" t="s">
        <v>1051</v>
      </c>
      <c r="H14" s="94" t="s">
        <v>1071</v>
      </c>
      <c r="I14" s="94" t="s">
        <v>1089</v>
      </c>
      <c r="J14" s="94" t="s">
        <v>733</v>
      </c>
      <c r="K14" s="97">
        <v>150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43868</v>
      </c>
      <c r="G15" s="94" t="s">
        <v>1052</v>
      </c>
      <c r="H15" s="94" t="s">
        <v>1072</v>
      </c>
      <c r="I15" s="94" t="s">
        <v>1090</v>
      </c>
      <c r="J15" s="94" t="s">
        <v>733</v>
      </c>
      <c r="K15" s="97">
        <v>175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43868</v>
      </c>
      <c r="G16" s="94" t="s">
        <v>1052</v>
      </c>
      <c r="H16" s="94" t="s">
        <v>1072</v>
      </c>
      <c r="I16" s="94" t="s">
        <v>1091</v>
      </c>
      <c r="J16" s="94" t="s">
        <v>733</v>
      </c>
      <c r="K16" s="97">
        <v>150</v>
      </c>
    </row>
    <row r="17" spans="1:11" ht="14.6" x14ac:dyDescent="0.4">
      <c r="A17" s="94"/>
      <c r="B17" s="94"/>
      <c r="C17" s="94"/>
      <c r="D17" s="94"/>
      <c r="E17" s="94" t="s">
        <v>545</v>
      </c>
      <c r="F17" s="95">
        <v>43868</v>
      </c>
      <c r="G17" s="94" t="s">
        <v>1053</v>
      </c>
      <c r="H17" s="94" t="s">
        <v>1073</v>
      </c>
      <c r="I17" s="94" t="s">
        <v>1092</v>
      </c>
      <c r="J17" s="94" t="s">
        <v>924</v>
      </c>
      <c r="K17" s="97">
        <v>149.94999999999999</v>
      </c>
    </row>
    <row r="18" spans="1:11" ht="14.6" x14ac:dyDescent="0.4">
      <c r="A18" s="94"/>
      <c r="B18" s="94"/>
      <c r="C18" s="94"/>
      <c r="D18" s="94"/>
      <c r="E18" s="94" t="s">
        <v>545</v>
      </c>
      <c r="F18" s="95">
        <v>43868</v>
      </c>
      <c r="G18" s="94" t="s">
        <v>1054</v>
      </c>
      <c r="H18" s="94" t="s">
        <v>1074</v>
      </c>
      <c r="I18" s="94" t="s">
        <v>1093</v>
      </c>
      <c r="J18" s="94" t="s">
        <v>924</v>
      </c>
      <c r="K18" s="97">
        <v>89</v>
      </c>
    </row>
    <row r="19" spans="1:11" ht="14.6" x14ac:dyDescent="0.4">
      <c r="A19" s="94"/>
      <c r="B19" s="94"/>
      <c r="C19" s="94"/>
      <c r="D19" s="94"/>
      <c r="E19" s="94" t="s">
        <v>738</v>
      </c>
      <c r="F19" s="95">
        <v>43868</v>
      </c>
      <c r="G19" s="94" t="s">
        <v>1055</v>
      </c>
      <c r="H19" s="94" t="s">
        <v>1074</v>
      </c>
      <c r="I19" s="94" t="s">
        <v>1094</v>
      </c>
      <c r="J19" s="94" t="s">
        <v>924</v>
      </c>
      <c r="K19" s="97">
        <v>-86.12</v>
      </c>
    </row>
    <row r="20" spans="1:11" ht="14.6" x14ac:dyDescent="0.4">
      <c r="A20" s="94"/>
      <c r="B20" s="94"/>
      <c r="C20" s="94"/>
      <c r="D20" s="94"/>
      <c r="E20" s="94" t="s">
        <v>545</v>
      </c>
      <c r="F20" s="95">
        <v>43868</v>
      </c>
      <c r="G20" s="94" t="s">
        <v>1056</v>
      </c>
      <c r="H20" s="94" t="s">
        <v>1075</v>
      </c>
      <c r="I20" s="94" t="s">
        <v>1095</v>
      </c>
      <c r="J20" s="94" t="s">
        <v>924</v>
      </c>
      <c r="K20" s="97">
        <v>150</v>
      </c>
    </row>
    <row r="21" spans="1:11" ht="14.6" x14ac:dyDescent="0.4">
      <c r="A21" s="94"/>
      <c r="B21" s="94"/>
      <c r="C21" s="94"/>
      <c r="D21" s="94"/>
      <c r="E21" s="94" t="s">
        <v>545</v>
      </c>
      <c r="F21" s="95">
        <v>43871</v>
      </c>
      <c r="G21" s="94" t="s">
        <v>1057</v>
      </c>
      <c r="H21" s="94" t="s">
        <v>1076</v>
      </c>
      <c r="I21" s="94" t="s">
        <v>1096</v>
      </c>
      <c r="J21" s="94" t="s">
        <v>924</v>
      </c>
      <c r="K21" s="97">
        <v>719.45</v>
      </c>
    </row>
    <row r="22" spans="1:11" ht="14.6" x14ac:dyDescent="0.4">
      <c r="A22" s="94"/>
      <c r="B22" s="94"/>
      <c r="C22" s="94"/>
      <c r="D22" s="94"/>
      <c r="E22" s="94" t="s">
        <v>545</v>
      </c>
      <c r="F22" s="95">
        <v>43874</v>
      </c>
      <c r="G22" s="94" t="s">
        <v>1058</v>
      </c>
      <c r="H22" s="94" t="s">
        <v>1073</v>
      </c>
      <c r="I22" s="94" t="s">
        <v>1097</v>
      </c>
      <c r="J22" s="94" t="s">
        <v>924</v>
      </c>
      <c r="K22" s="97">
        <v>49.95</v>
      </c>
    </row>
    <row r="23" spans="1:11" ht="14.6" x14ac:dyDescent="0.4">
      <c r="A23" s="94"/>
      <c r="B23" s="94"/>
      <c r="C23" s="94"/>
      <c r="D23" s="94"/>
      <c r="E23" s="94" t="s">
        <v>545</v>
      </c>
      <c r="F23" s="95">
        <v>43874</v>
      </c>
      <c r="G23" s="94" t="s">
        <v>1059</v>
      </c>
      <c r="H23" s="94" t="s">
        <v>1073</v>
      </c>
      <c r="I23" s="94" t="s">
        <v>1098</v>
      </c>
      <c r="J23" s="94" t="s">
        <v>924</v>
      </c>
      <c r="K23" s="97">
        <v>27.95</v>
      </c>
    </row>
    <row r="24" spans="1:11" ht="14.6" x14ac:dyDescent="0.4">
      <c r="A24" s="94"/>
      <c r="B24" s="94"/>
      <c r="C24" s="94"/>
      <c r="D24" s="94"/>
      <c r="E24" s="94" t="s">
        <v>545</v>
      </c>
      <c r="F24" s="95">
        <v>43874</v>
      </c>
      <c r="G24" s="94" t="s">
        <v>1060</v>
      </c>
      <c r="H24" s="94" t="s">
        <v>1077</v>
      </c>
      <c r="I24" s="94" t="s">
        <v>1099</v>
      </c>
      <c r="J24" s="94" t="s">
        <v>924</v>
      </c>
      <c r="K24" s="97">
        <v>795</v>
      </c>
    </row>
    <row r="25" spans="1:11" ht="14.6" x14ac:dyDescent="0.4">
      <c r="A25" s="94"/>
      <c r="B25" s="94"/>
      <c r="C25" s="94"/>
      <c r="D25" s="94"/>
      <c r="E25" s="94" t="s">
        <v>545</v>
      </c>
      <c r="F25" s="95">
        <v>43874</v>
      </c>
      <c r="G25" s="94" t="s">
        <v>1061</v>
      </c>
      <c r="H25" s="94" t="s">
        <v>1078</v>
      </c>
      <c r="I25" s="94" t="s">
        <v>1100</v>
      </c>
      <c r="J25" s="94" t="s">
        <v>924</v>
      </c>
      <c r="K25" s="97">
        <v>545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43879</v>
      </c>
      <c r="G26" s="94" t="s">
        <v>1062</v>
      </c>
      <c r="H26" s="94" t="s">
        <v>1079</v>
      </c>
      <c r="I26" s="94" t="s">
        <v>1101</v>
      </c>
      <c r="J26" s="94" t="s">
        <v>733</v>
      </c>
      <c r="K26" s="97">
        <v>4900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43887</v>
      </c>
      <c r="G27" s="94" t="s">
        <v>1063</v>
      </c>
      <c r="H27" s="94" t="s">
        <v>1080</v>
      </c>
      <c r="I27" s="94" t="s">
        <v>1444</v>
      </c>
      <c r="J27" s="94" t="s">
        <v>733</v>
      </c>
      <c r="K27" s="97">
        <v>1350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43892</v>
      </c>
      <c r="G28" s="94" t="s">
        <v>1064</v>
      </c>
      <c r="H28" s="94" t="s">
        <v>1066</v>
      </c>
      <c r="I28" s="94" t="s">
        <v>1084</v>
      </c>
      <c r="J28" s="94" t="s">
        <v>733</v>
      </c>
      <c r="K28" s="97">
        <v>3082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43897</v>
      </c>
      <c r="G29" s="94" t="s">
        <v>1437</v>
      </c>
      <c r="H29" s="94" t="s">
        <v>1075</v>
      </c>
      <c r="I29" s="94" t="s">
        <v>1095</v>
      </c>
      <c r="J29" s="94" t="s">
        <v>733</v>
      </c>
      <c r="K29" s="97">
        <v>150</v>
      </c>
    </row>
    <row r="30" spans="1:11" ht="14.6" x14ac:dyDescent="0.4">
      <c r="A30" s="94"/>
      <c r="B30" s="94"/>
      <c r="C30" s="94"/>
      <c r="D30" s="94"/>
      <c r="E30" s="94" t="s">
        <v>545</v>
      </c>
      <c r="F30" s="95">
        <v>43907</v>
      </c>
      <c r="G30" s="94" t="s">
        <v>1438</v>
      </c>
      <c r="H30" s="94" t="s">
        <v>1441</v>
      </c>
      <c r="I30" s="94" t="s">
        <v>1442</v>
      </c>
      <c r="J30" s="94" t="s">
        <v>924</v>
      </c>
      <c r="K30" s="97">
        <v>200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43923</v>
      </c>
      <c r="G31" s="94" t="s">
        <v>1439</v>
      </c>
      <c r="H31" s="94" t="s">
        <v>1066</v>
      </c>
      <c r="I31" s="94" t="s">
        <v>1084</v>
      </c>
      <c r="J31" s="94" t="s">
        <v>733</v>
      </c>
      <c r="K31" s="97">
        <v>3082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43928</v>
      </c>
      <c r="G32" s="94" t="s">
        <v>1440</v>
      </c>
      <c r="H32" s="94" t="s">
        <v>1075</v>
      </c>
      <c r="I32" s="94" t="s">
        <v>1095</v>
      </c>
      <c r="J32" s="94" t="s">
        <v>733</v>
      </c>
      <c r="K32" s="97">
        <v>150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43953</v>
      </c>
      <c r="G33" s="94" t="s">
        <v>1683</v>
      </c>
      <c r="H33" s="94" t="s">
        <v>1066</v>
      </c>
      <c r="I33" s="94" t="s">
        <v>1084</v>
      </c>
      <c r="J33" s="94" t="s">
        <v>733</v>
      </c>
      <c r="K33" s="97">
        <v>3082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43958</v>
      </c>
      <c r="G34" s="94" t="s">
        <v>1684</v>
      </c>
      <c r="H34" s="94" t="s">
        <v>1075</v>
      </c>
      <c r="I34" s="94" t="s">
        <v>1095</v>
      </c>
      <c r="J34" s="94" t="s">
        <v>733</v>
      </c>
      <c r="K34" s="97">
        <v>150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43958</v>
      </c>
      <c r="G35" s="94" t="s">
        <v>1685</v>
      </c>
      <c r="H35" s="94" t="s">
        <v>1686</v>
      </c>
      <c r="I35" s="94" t="s">
        <v>1687</v>
      </c>
      <c r="J35" s="94" t="s">
        <v>733</v>
      </c>
      <c r="K35" s="97">
        <v>422.81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43982</v>
      </c>
      <c r="G36" s="94" t="s">
        <v>1638</v>
      </c>
      <c r="H36" s="94" t="s">
        <v>1069</v>
      </c>
      <c r="I36" s="94" t="s">
        <v>1853</v>
      </c>
      <c r="J36" s="94" t="s">
        <v>733</v>
      </c>
      <c r="K36" s="97">
        <v>409.5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43982</v>
      </c>
      <c r="G37" s="94" t="s">
        <v>2165</v>
      </c>
      <c r="H37" s="94" t="s">
        <v>2166</v>
      </c>
      <c r="I37" s="94" t="s">
        <v>2167</v>
      </c>
      <c r="J37" s="94" t="s">
        <v>733</v>
      </c>
      <c r="K37" s="97">
        <v>346.5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43983</v>
      </c>
      <c r="G38" s="94" t="s">
        <v>781</v>
      </c>
      <c r="H38" s="94" t="s">
        <v>1065</v>
      </c>
      <c r="I38" s="94" t="s">
        <v>1081</v>
      </c>
      <c r="J38" s="94" t="s">
        <v>733</v>
      </c>
      <c r="K38" s="97">
        <v>2779.9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43983</v>
      </c>
      <c r="G39" s="94" t="s">
        <v>781</v>
      </c>
      <c r="H39" s="94" t="s">
        <v>1065</v>
      </c>
      <c r="I39" s="94" t="s">
        <v>1854</v>
      </c>
      <c r="J39" s="94" t="s">
        <v>733</v>
      </c>
      <c r="K39" s="97">
        <v>1199.95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43983</v>
      </c>
      <c r="G40" s="94" t="s">
        <v>781</v>
      </c>
      <c r="H40" s="94" t="s">
        <v>1065</v>
      </c>
      <c r="I40" s="94" t="s">
        <v>1083</v>
      </c>
      <c r="J40" s="94" t="s">
        <v>733</v>
      </c>
      <c r="K40" s="97">
        <v>30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43985</v>
      </c>
      <c r="G41" s="94" t="s">
        <v>1851</v>
      </c>
      <c r="H41" s="94" t="s">
        <v>1066</v>
      </c>
      <c r="I41" s="94" t="s">
        <v>1084</v>
      </c>
      <c r="J41" s="94" t="s">
        <v>733</v>
      </c>
      <c r="K41" s="97">
        <v>3082</v>
      </c>
    </row>
    <row r="42" spans="1:11" ht="14.6" x14ac:dyDescent="0.4">
      <c r="A42" s="94"/>
      <c r="B42" s="94"/>
      <c r="C42" s="94"/>
      <c r="D42" s="94"/>
      <c r="E42" s="94" t="s">
        <v>545</v>
      </c>
      <c r="F42" s="95">
        <v>43985</v>
      </c>
      <c r="G42" s="94" t="s">
        <v>805</v>
      </c>
      <c r="H42" s="94" t="s">
        <v>1686</v>
      </c>
      <c r="I42" s="94" t="s">
        <v>2073</v>
      </c>
      <c r="J42" s="94" t="s">
        <v>924</v>
      </c>
      <c r="K42" s="97">
        <v>119.88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43989</v>
      </c>
      <c r="G43" s="94" t="s">
        <v>1852</v>
      </c>
      <c r="H43" s="94" t="s">
        <v>1075</v>
      </c>
      <c r="I43" s="94" t="s">
        <v>1095</v>
      </c>
      <c r="J43" s="94" t="s">
        <v>733</v>
      </c>
      <c r="K43" s="97">
        <v>150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44017</v>
      </c>
      <c r="G44" s="94" t="s">
        <v>2069</v>
      </c>
      <c r="H44" s="94" t="s">
        <v>1066</v>
      </c>
      <c r="I44" s="94" t="s">
        <v>1084</v>
      </c>
      <c r="J44" s="94" t="s">
        <v>733</v>
      </c>
      <c r="K44" s="97">
        <v>3082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44019</v>
      </c>
      <c r="G45" s="94" t="s">
        <v>2070</v>
      </c>
      <c r="H45" s="94" t="s">
        <v>1075</v>
      </c>
      <c r="I45" s="94" t="s">
        <v>1095</v>
      </c>
      <c r="J45" s="94" t="s">
        <v>733</v>
      </c>
      <c r="K45" s="97">
        <v>150</v>
      </c>
    </row>
    <row r="46" spans="1:11" ht="14.6" x14ac:dyDescent="0.4">
      <c r="A46" s="94"/>
      <c r="B46" s="94"/>
      <c r="C46" s="94"/>
      <c r="D46" s="94"/>
      <c r="E46" s="94" t="s">
        <v>545</v>
      </c>
      <c r="F46" s="95">
        <v>44019</v>
      </c>
      <c r="G46" s="94" t="s">
        <v>2071</v>
      </c>
      <c r="H46" s="94" t="s">
        <v>2072</v>
      </c>
      <c r="I46" s="94" t="s">
        <v>2074</v>
      </c>
      <c r="J46" s="94" t="s">
        <v>924</v>
      </c>
      <c r="K46" s="97">
        <v>141.94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44048</v>
      </c>
      <c r="G47" s="94" t="s">
        <v>2478</v>
      </c>
      <c r="H47" s="94" t="s">
        <v>1066</v>
      </c>
      <c r="I47" s="94" t="s">
        <v>1084</v>
      </c>
      <c r="J47" s="94" t="s">
        <v>733</v>
      </c>
      <c r="K47" s="97">
        <v>3082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44050</v>
      </c>
      <c r="G48" s="94" t="s">
        <v>2479</v>
      </c>
      <c r="H48" s="94" t="s">
        <v>1075</v>
      </c>
      <c r="I48" s="94" t="s">
        <v>1095</v>
      </c>
      <c r="J48" s="94" t="s">
        <v>733</v>
      </c>
      <c r="K48" s="97">
        <v>150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44074</v>
      </c>
      <c r="G49" s="94" t="s">
        <v>1337</v>
      </c>
      <c r="H49" s="94" t="s">
        <v>1069</v>
      </c>
      <c r="I49" s="94" t="s">
        <v>2482</v>
      </c>
      <c r="J49" s="94" t="s">
        <v>733</v>
      </c>
      <c r="K49" s="97">
        <v>409.5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44078</v>
      </c>
      <c r="G50" s="94" t="s">
        <v>2480</v>
      </c>
      <c r="H50" s="94" t="s">
        <v>1066</v>
      </c>
      <c r="I50" s="94" t="s">
        <v>1084</v>
      </c>
      <c r="J50" s="94" t="s">
        <v>733</v>
      </c>
      <c r="K50" s="97">
        <v>3082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44081</v>
      </c>
      <c r="G51" s="94" t="s">
        <v>2481</v>
      </c>
      <c r="H51" s="94" t="s">
        <v>1075</v>
      </c>
      <c r="I51" s="94" t="s">
        <v>1095</v>
      </c>
      <c r="J51" s="94" t="s">
        <v>733</v>
      </c>
      <c r="K51" s="97">
        <v>150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44083</v>
      </c>
      <c r="G52" s="94" t="s">
        <v>781</v>
      </c>
      <c r="H52" s="94" t="s">
        <v>1065</v>
      </c>
      <c r="I52" s="94" t="s">
        <v>2699</v>
      </c>
      <c r="J52" s="94" t="s">
        <v>733</v>
      </c>
      <c r="K52" s="97">
        <v>477.95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44104</v>
      </c>
      <c r="G53" s="94" t="s">
        <v>2539</v>
      </c>
      <c r="H53" s="94" t="s">
        <v>712</v>
      </c>
      <c r="I53" s="94" t="s">
        <v>2700</v>
      </c>
      <c r="J53" s="94" t="s">
        <v>733</v>
      </c>
      <c r="K53" s="97">
        <v>52.11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44104</v>
      </c>
      <c r="G54" s="94" t="s">
        <v>2539</v>
      </c>
      <c r="H54" s="94" t="s">
        <v>712</v>
      </c>
      <c r="I54" s="94" t="s">
        <v>2701</v>
      </c>
      <c r="J54" s="94" t="s">
        <v>733</v>
      </c>
      <c r="K54" s="97">
        <v>23.74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44104</v>
      </c>
      <c r="G55" s="94" t="s">
        <v>2539</v>
      </c>
      <c r="H55" s="94" t="s">
        <v>712</v>
      </c>
      <c r="I55" s="94" t="s">
        <v>2702</v>
      </c>
      <c r="J55" s="94" t="s">
        <v>733</v>
      </c>
      <c r="K55" s="97">
        <v>39.380000000000003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44108</v>
      </c>
      <c r="G56" s="94" t="s">
        <v>2697</v>
      </c>
      <c r="H56" s="94" t="s">
        <v>1066</v>
      </c>
      <c r="I56" s="94" t="s">
        <v>1084</v>
      </c>
      <c r="J56" s="94" t="s">
        <v>733</v>
      </c>
      <c r="K56" s="97">
        <v>3082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44111</v>
      </c>
      <c r="G57" s="94" t="s">
        <v>2698</v>
      </c>
      <c r="H57" s="94" t="s">
        <v>1075</v>
      </c>
      <c r="I57" s="94" t="s">
        <v>1095</v>
      </c>
      <c r="J57" s="94" t="s">
        <v>733</v>
      </c>
      <c r="K57" s="97">
        <v>150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44117</v>
      </c>
      <c r="G58" s="94" t="s">
        <v>2919</v>
      </c>
      <c r="H58" s="94" t="s">
        <v>2922</v>
      </c>
      <c r="I58" s="94" t="s">
        <v>1095</v>
      </c>
      <c r="J58" s="94" t="s">
        <v>733</v>
      </c>
      <c r="K58" s="97">
        <v>1786.05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44138</v>
      </c>
      <c r="G59" s="94" t="s">
        <v>2920</v>
      </c>
      <c r="H59" s="94" t="s">
        <v>1066</v>
      </c>
      <c r="I59" s="94" t="s">
        <v>1084</v>
      </c>
      <c r="J59" s="94" t="s">
        <v>733</v>
      </c>
      <c r="K59" s="97">
        <v>3082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44142</v>
      </c>
      <c r="G60" s="94" t="s">
        <v>2921</v>
      </c>
      <c r="H60" s="94" t="s">
        <v>1075</v>
      </c>
      <c r="I60" s="94" t="s">
        <v>1095</v>
      </c>
      <c r="J60" s="94" t="s">
        <v>733</v>
      </c>
      <c r="K60" s="97">
        <v>150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44165</v>
      </c>
      <c r="G61" s="94" t="s">
        <v>3250</v>
      </c>
      <c r="H61" s="94" t="s">
        <v>1069</v>
      </c>
      <c r="I61" s="94" t="s">
        <v>3254</v>
      </c>
      <c r="J61" s="94" t="s">
        <v>733</v>
      </c>
      <c r="K61" s="97">
        <v>47.5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44166</v>
      </c>
      <c r="G62" s="94" t="s">
        <v>3251</v>
      </c>
      <c r="H62" s="94" t="s">
        <v>1072</v>
      </c>
      <c r="I62" s="94" t="s">
        <v>1090</v>
      </c>
      <c r="J62" s="94" t="s">
        <v>733</v>
      </c>
      <c r="K62" s="97">
        <v>175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44169</v>
      </c>
      <c r="G63" s="94" t="s">
        <v>3252</v>
      </c>
      <c r="H63" s="94" t="s">
        <v>1066</v>
      </c>
      <c r="I63" s="94" t="s">
        <v>1084</v>
      </c>
      <c r="J63" s="94" t="s">
        <v>733</v>
      </c>
      <c r="K63" s="97">
        <v>3082</v>
      </c>
    </row>
    <row r="64" spans="1:11" thickBot="1" x14ac:dyDescent="0.45">
      <c r="A64" s="94"/>
      <c r="B64" s="94"/>
      <c r="C64" s="94"/>
      <c r="D64" s="94"/>
      <c r="E64" s="94" t="s">
        <v>544</v>
      </c>
      <c r="F64" s="95">
        <v>44172</v>
      </c>
      <c r="G64" s="94" t="s">
        <v>3253</v>
      </c>
      <c r="H64" s="94" t="s">
        <v>1075</v>
      </c>
      <c r="I64" s="94" t="s">
        <v>1095</v>
      </c>
      <c r="J64" s="94" t="s">
        <v>733</v>
      </c>
      <c r="K64" s="756">
        <v>150</v>
      </c>
    </row>
    <row r="65" spans="1:11" ht="15" customHeight="1" thickBot="1" x14ac:dyDescent="0.45">
      <c r="A65" s="94"/>
      <c r="B65" s="94"/>
      <c r="C65" s="94" t="s">
        <v>1046</v>
      </c>
      <c r="D65" s="94"/>
      <c r="E65" s="94"/>
      <c r="F65" s="95"/>
      <c r="G65" s="94"/>
      <c r="H65" s="94"/>
      <c r="I65" s="94"/>
      <c r="J65" s="94"/>
      <c r="K65" s="757">
        <f>ROUND(SUM(K3:K64),5)</f>
        <v>92251.61</v>
      </c>
    </row>
    <row r="66" spans="1:11" ht="15" customHeight="1" thickBot="1" x14ac:dyDescent="0.45">
      <c r="A66" s="94"/>
      <c r="B66" s="94" t="s">
        <v>737</v>
      </c>
      <c r="C66" s="94"/>
      <c r="D66" s="94"/>
      <c r="E66" s="94"/>
      <c r="F66" s="95"/>
      <c r="G66" s="94"/>
      <c r="H66" s="94"/>
      <c r="I66" s="94"/>
      <c r="J66" s="94"/>
      <c r="K66" s="757">
        <f>K65</f>
        <v>92251.61</v>
      </c>
    </row>
    <row r="67" spans="1:11" ht="15" customHeight="1" thickBot="1" x14ac:dyDescent="0.45">
      <c r="A67" s="94" t="s">
        <v>98</v>
      </c>
      <c r="B67" s="94"/>
      <c r="C67" s="94"/>
      <c r="D67" s="94"/>
      <c r="E67" s="94"/>
      <c r="F67" s="95"/>
      <c r="G67" s="94"/>
      <c r="H67" s="94"/>
      <c r="I67" s="94"/>
      <c r="J67" s="94"/>
      <c r="K67" s="758">
        <f>K66</f>
        <v>92251.61</v>
      </c>
    </row>
    <row r="68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11:58 AM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043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0436" r:id="rId4" name="HEADER"/>
      </mc:Fallback>
    </mc:AlternateContent>
    <mc:AlternateContent xmlns:mc="http://schemas.openxmlformats.org/markup-compatibility/2006">
      <mc:Choice Requires="x14">
        <control shapeId="6043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043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91"/>
  <sheetViews>
    <sheetView zoomScale="92" zoomScaleNormal="92" workbookViewId="0">
      <selection activeCell="M4" sqref="M4"/>
    </sheetView>
  </sheetViews>
  <sheetFormatPr defaultColWidth="14.3828125" defaultRowHeight="14.6" x14ac:dyDescent="0.4"/>
  <cols>
    <col min="1" max="1" width="48" bestFit="1" customWidth="1"/>
    <col min="2" max="2" width="12.15234375" bestFit="1" customWidth="1"/>
    <col min="3" max="3" width="11.53515625" bestFit="1" customWidth="1"/>
    <col min="4" max="4" width="12.15234375" bestFit="1" customWidth="1"/>
    <col min="5" max="5" width="11.53515625" bestFit="1" customWidth="1"/>
    <col min="6" max="6" width="12.15234375" bestFit="1" customWidth="1"/>
    <col min="7" max="7" width="12.15234375" customWidth="1"/>
    <col min="8" max="9" width="12.53515625" customWidth="1"/>
    <col min="10" max="10" width="12.3828125" customWidth="1"/>
    <col min="11" max="11" width="9.69140625" bestFit="1" customWidth="1"/>
    <col min="12" max="12" width="7" customWidth="1"/>
    <col min="13" max="13" width="12.53515625" bestFit="1" customWidth="1"/>
    <col min="14" max="14" width="15" bestFit="1" customWidth="1"/>
    <col min="15" max="17" width="13.3046875" customWidth="1"/>
    <col min="18" max="18" width="13.53515625" bestFit="1" customWidth="1"/>
    <col min="19" max="19" width="15" bestFit="1" customWidth="1"/>
    <col min="20" max="24" width="13.3046875" customWidth="1"/>
    <col min="25" max="27" width="15.15234375" customWidth="1"/>
  </cols>
  <sheetData>
    <row r="1" spans="1:20" ht="45" customHeight="1" x14ac:dyDescent="0.4">
      <c r="A1" s="245" t="s">
        <v>0</v>
      </c>
      <c r="B1" s="246" t="s">
        <v>1</v>
      </c>
      <c r="C1" s="246" t="s">
        <v>2</v>
      </c>
      <c r="D1" s="246" t="s">
        <v>3</v>
      </c>
      <c r="E1" s="246" t="s">
        <v>4</v>
      </c>
      <c r="F1" s="246" t="s">
        <v>5</v>
      </c>
      <c r="G1" s="246" t="s">
        <v>6</v>
      </c>
      <c r="H1" s="246" t="s">
        <v>7</v>
      </c>
      <c r="I1" s="246" t="s">
        <v>516</v>
      </c>
      <c r="J1" s="246" t="s">
        <v>538</v>
      </c>
      <c r="K1" s="247" t="s">
        <v>9</v>
      </c>
      <c r="L1" s="1"/>
      <c r="M1" s="1"/>
      <c r="N1" t="s">
        <v>10</v>
      </c>
    </row>
    <row r="2" spans="1:20" x14ac:dyDescent="0.4">
      <c r="A2" s="254" t="s">
        <v>11</v>
      </c>
      <c r="B2" s="229">
        <v>3884500</v>
      </c>
      <c r="C2" s="229">
        <v>3687279</v>
      </c>
      <c r="D2" s="229">
        <v>3942800</v>
      </c>
      <c r="E2" s="229">
        <v>3852722</v>
      </c>
      <c r="F2" s="229">
        <v>4225900</v>
      </c>
      <c r="G2" s="229">
        <v>4114339</v>
      </c>
      <c r="H2" s="229">
        <v>4348900</v>
      </c>
      <c r="I2" s="229">
        <v>4350500</v>
      </c>
      <c r="J2" s="255">
        <f>SUM(ROUNDUP('4% Personnel'!E9,-2))</f>
        <v>4650100</v>
      </c>
      <c r="K2" s="256">
        <f>(J2-I2)/I2</f>
        <v>6.8865647626709575E-2</v>
      </c>
      <c r="L2" s="1"/>
      <c r="M2" s="2">
        <v>2019</v>
      </c>
      <c r="N2">
        <v>2020</v>
      </c>
    </row>
    <row r="3" spans="1:20" s="525" customFormat="1" x14ac:dyDescent="0.4">
      <c r="A3" s="543" t="s">
        <v>12</v>
      </c>
      <c r="B3" s="669">
        <v>229600</v>
      </c>
      <c r="C3" s="669">
        <v>202511</v>
      </c>
      <c r="D3" s="669">
        <v>229700</v>
      </c>
      <c r="E3" s="669">
        <v>215369</v>
      </c>
      <c r="F3" s="663">
        <v>257800</v>
      </c>
      <c r="G3" s="663">
        <v>231208</v>
      </c>
      <c r="H3" s="663">
        <v>255600</v>
      </c>
      <c r="I3" s="663">
        <v>253000</v>
      </c>
      <c r="J3" s="663">
        <f>SUM(ROUNDUP('4% Personnel'!E32,-2))</f>
        <v>265800</v>
      </c>
      <c r="K3" s="661">
        <f>(J3-I3)/I3</f>
        <v>5.059288537549407E-2</v>
      </c>
      <c r="L3" s="662"/>
      <c r="M3" s="772" t="s">
        <v>13</v>
      </c>
      <c r="N3" s="773"/>
    </row>
    <row r="4" spans="1:20" x14ac:dyDescent="0.4">
      <c r="A4" s="254" t="s">
        <v>14</v>
      </c>
      <c r="B4" s="229">
        <v>538800</v>
      </c>
      <c r="C4" s="229">
        <v>448079</v>
      </c>
      <c r="D4" s="229">
        <v>551200</v>
      </c>
      <c r="E4" s="229">
        <v>523428</v>
      </c>
      <c r="F4" s="229">
        <v>568800</v>
      </c>
      <c r="G4" s="229">
        <v>541872</v>
      </c>
      <c r="H4" s="229">
        <v>603100</v>
      </c>
      <c r="I4" s="229">
        <v>626700</v>
      </c>
      <c r="J4" s="255">
        <f>SUM(ROUNDUP('4% Personnel'!E41,-2))</f>
        <v>675600</v>
      </c>
      <c r="K4" s="256">
        <f>(J4-I4)/I4</f>
        <v>7.802776448061273E-2</v>
      </c>
      <c r="L4" s="1"/>
      <c r="M4" s="3">
        <f>SUM(I2:I7)</f>
        <v>6024200</v>
      </c>
      <c r="N4" s="4">
        <f>SUM(J2:J7)</f>
        <v>6553600</v>
      </c>
      <c r="O4" s="203">
        <f>N4/N34</f>
        <v>0.68916346811083651</v>
      </c>
    </row>
    <row r="5" spans="1:20" s="525" customFormat="1" x14ac:dyDescent="0.4">
      <c r="A5" s="543" t="s">
        <v>15</v>
      </c>
      <c r="B5" s="669">
        <v>649200</v>
      </c>
      <c r="C5" s="669">
        <v>611274</v>
      </c>
      <c r="D5" s="669">
        <v>674900</v>
      </c>
      <c r="E5" s="669">
        <v>715849</v>
      </c>
      <c r="F5" s="669">
        <v>751300</v>
      </c>
      <c r="G5" s="669">
        <v>678833</v>
      </c>
      <c r="H5" s="669">
        <v>752100</v>
      </c>
      <c r="I5" s="669">
        <v>717700</v>
      </c>
      <c r="J5" s="663">
        <f>SUM(ROUNDUP('4% Personnel'!E55,-2))</f>
        <v>882200</v>
      </c>
      <c r="K5" s="661">
        <f t="shared" ref="K5:K30" si="0">(J5-I5)/I5</f>
        <v>0.22920440295388045</v>
      </c>
      <c r="L5" s="662"/>
      <c r="M5" s="662"/>
      <c r="O5" s="670"/>
      <c r="R5" s="734" t="s">
        <v>447</v>
      </c>
      <c r="S5" s="735" t="s">
        <v>466</v>
      </c>
      <c r="T5" s="736" t="s">
        <v>467</v>
      </c>
    </row>
    <row r="6" spans="1:20" x14ac:dyDescent="0.4">
      <c r="A6" s="258" t="s">
        <v>16</v>
      </c>
      <c r="B6" s="230">
        <v>8000</v>
      </c>
      <c r="C6" s="230">
        <v>7991</v>
      </c>
      <c r="D6" s="230">
        <v>8800</v>
      </c>
      <c r="E6" s="230">
        <v>8159</v>
      </c>
      <c r="F6" s="230">
        <v>8900</v>
      </c>
      <c r="G6" s="230">
        <v>8492</v>
      </c>
      <c r="H6" s="230">
        <v>8900</v>
      </c>
      <c r="I6" s="230">
        <v>8900</v>
      </c>
      <c r="J6" s="259">
        <f>SUM(ROUNDUP('4% Personnel'!E61,-2))</f>
        <v>8900</v>
      </c>
      <c r="K6" s="256">
        <f t="shared" si="0"/>
        <v>0</v>
      </c>
      <c r="L6" s="1"/>
      <c r="M6" s="1"/>
      <c r="O6" s="204"/>
      <c r="R6" s="722" t="s">
        <v>13</v>
      </c>
      <c r="S6" s="723">
        <f>SUM(N4)</f>
        <v>6553600</v>
      </c>
      <c r="T6" s="724">
        <f t="shared" ref="T6:T11" si="1">S6/$S$12</f>
        <v>0.68916346811083651</v>
      </c>
    </row>
    <row r="7" spans="1:20" s="525" customFormat="1" x14ac:dyDescent="0.4">
      <c r="A7" s="543" t="s">
        <v>17</v>
      </c>
      <c r="B7" s="669">
        <v>61300</v>
      </c>
      <c r="C7" s="669">
        <v>59257</v>
      </c>
      <c r="D7" s="669">
        <v>62900</v>
      </c>
      <c r="E7" s="669">
        <v>54592</v>
      </c>
      <c r="F7" s="669">
        <v>67400</v>
      </c>
      <c r="G7" s="669">
        <v>58060</v>
      </c>
      <c r="H7" s="669">
        <v>67900</v>
      </c>
      <c r="I7" s="669">
        <v>67400</v>
      </c>
      <c r="J7" s="663">
        <f>SUM(ROUNDUP('4% Personnel'!E75,-2))</f>
        <v>71000</v>
      </c>
      <c r="K7" s="661">
        <f t="shared" si="0"/>
        <v>5.3412462908011868E-2</v>
      </c>
      <c r="L7" s="662"/>
      <c r="M7" s="662"/>
      <c r="O7" s="670"/>
      <c r="R7" s="725" t="s">
        <v>468</v>
      </c>
      <c r="S7" s="726">
        <f>SUM(N10)</f>
        <v>411000</v>
      </c>
      <c r="T7" s="727">
        <f t="shared" si="1"/>
        <v>4.3219937956780065E-2</v>
      </c>
    </row>
    <row r="8" spans="1:20" x14ac:dyDescent="0.4">
      <c r="A8" s="258" t="s">
        <v>18</v>
      </c>
      <c r="B8" s="230">
        <v>12400</v>
      </c>
      <c r="C8" s="230">
        <v>11063</v>
      </c>
      <c r="D8" s="230">
        <v>12600</v>
      </c>
      <c r="E8" s="230">
        <v>10891</v>
      </c>
      <c r="F8" s="230">
        <v>12070</v>
      </c>
      <c r="G8" s="230">
        <v>9363</v>
      </c>
      <c r="H8" s="230">
        <v>15100</v>
      </c>
      <c r="I8" s="230">
        <v>14100</v>
      </c>
      <c r="J8" s="259">
        <f>SUM(ROUNDUP('Budget-Services'!H15,-2))</f>
        <v>13600</v>
      </c>
      <c r="K8" s="256">
        <f t="shared" si="0"/>
        <v>-3.5460992907801421E-2</v>
      </c>
      <c r="L8" s="1"/>
      <c r="M8" s="1"/>
      <c r="O8" s="204"/>
      <c r="R8" s="722" t="s">
        <v>27</v>
      </c>
      <c r="S8" s="723">
        <f>SUM(N16)</f>
        <v>1825300</v>
      </c>
      <c r="T8" s="724">
        <f t="shared" si="1"/>
        <v>0.1919448972080551</v>
      </c>
    </row>
    <row r="9" spans="1:20" s="525" customFormat="1" x14ac:dyDescent="0.4">
      <c r="A9" s="543" t="s">
        <v>19</v>
      </c>
      <c r="B9" s="669">
        <v>95600</v>
      </c>
      <c r="C9" s="669">
        <v>95176</v>
      </c>
      <c r="D9" s="669">
        <v>93900</v>
      </c>
      <c r="E9" s="669">
        <v>93900</v>
      </c>
      <c r="F9" s="669">
        <v>109400</v>
      </c>
      <c r="G9" s="669">
        <v>108514</v>
      </c>
      <c r="H9" s="669">
        <v>116900</v>
      </c>
      <c r="I9" s="669">
        <v>129900</v>
      </c>
      <c r="J9" s="663">
        <f>SUM(ROUNDUP('Budget-Services'!H39,-2))</f>
        <v>210900</v>
      </c>
      <c r="K9" s="661">
        <f t="shared" si="0"/>
        <v>0.62355658198614317</v>
      </c>
      <c r="L9" s="662"/>
      <c r="M9" s="772" t="s">
        <v>20</v>
      </c>
      <c r="N9" s="773"/>
      <c r="O9" s="670"/>
      <c r="R9" s="725" t="s">
        <v>39</v>
      </c>
      <c r="S9" s="726">
        <f>SUM(N27)</f>
        <v>425600</v>
      </c>
      <c r="T9" s="727">
        <f t="shared" si="1"/>
        <v>4.4755244755244755E-2</v>
      </c>
    </row>
    <row r="10" spans="1:20" x14ac:dyDescent="0.4">
      <c r="A10" s="666" t="s">
        <v>21</v>
      </c>
      <c r="B10" s="667">
        <v>51400</v>
      </c>
      <c r="C10" s="667">
        <v>46462</v>
      </c>
      <c r="D10" s="667">
        <v>44200</v>
      </c>
      <c r="E10" s="667">
        <v>44200</v>
      </c>
      <c r="F10" s="667">
        <v>48400</v>
      </c>
      <c r="G10" s="667">
        <v>53093</v>
      </c>
      <c r="H10" s="667">
        <v>53400</v>
      </c>
      <c r="I10" s="667">
        <v>58800</v>
      </c>
      <c r="J10" s="668">
        <f>SUM(ROUNDUP('Budget-Services'!H63,-2))</f>
        <v>85000</v>
      </c>
      <c r="K10" s="256">
        <f t="shared" si="0"/>
        <v>0.445578231292517</v>
      </c>
      <c r="L10" s="1"/>
      <c r="M10" s="3">
        <f>SUM(I8:I13)</f>
        <v>303200</v>
      </c>
      <c r="N10" s="4">
        <f>SUM(J8:J13)</f>
        <v>411000</v>
      </c>
      <c r="O10" s="203">
        <f>N10/N34</f>
        <v>4.3219937956780065E-2</v>
      </c>
      <c r="R10" s="722" t="s">
        <v>43</v>
      </c>
      <c r="S10" s="723">
        <f>SUM(N30)</f>
        <v>66200</v>
      </c>
      <c r="T10" s="724">
        <f t="shared" si="1"/>
        <v>6.9614595930385407E-3</v>
      </c>
    </row>
    <row r="11" spans="1:20" ht="15" thickBot="1" x14ac:dyDescent="0.45">
      <c r="A11" s="2" t="s">
        <v>22</v>
      </c>
      <c r="B11" s="4">
        <v>4800</v>
      </c>
      <c r="C11" s="4">
        <v>4800</v>
      </c>
      <c r="D11" s="4">
        <v>4800</v>
      </c>
      <c r="E11" s="4">
        <v>4800</v>
      </c>
      <c r="F11" s="4">
        <v>5830</v>
      </c>
      <c r="G11" s="4">
        <v>5827</v>
      </c>
      <c r="H11" s="4">
        <v>6000</v>
      </c>
      <c r="I11" s="4">
        <v>7200</v>
      </c>
      <c r="J11" s="3">
        <f>SUM(ROUNDUP('Budget-Services'!H67,-2))</f>
        <v>7200</v>
      </c>
      <c r="K11" s="257">
        <f t="shared" si="0"/>
        <v>0</v>
      </c>
      <c r="L11" s="1"/>
      <c r="M11" s="1"/>
      <c r="O11" s="204"/>
      <c r="R11" s="728" t="s">
        <v>535</v>
      </c>
      <c r="S11" s="729">
        <f>SUM(N33)</f>
        <v>227800</v>
      </c>
      <c r="T11" s="730">
        <f t="shared" si="1"/>
        <v>2.3954992376045009E-2</v>
      </c>
    </row>
    <row r="12" spans="1:20" ht="15" thickBot="1" x14ac:dyDescent="0.45">
      <c r="A12" s="254" t="s">
        <v>23</v>
      </c>
      <c r="B12" s="229">
        <v>18900</v>
      </c>
      <c r="C12" s="229">
        <v>18900</v>
      </c>
      <c r="D12" s="229">
        <v>61000</v>
      </c>
      <c r="E12" s="229">
        <v>109071</v>
      </c>
      <c r="F12" s="229">
        <v>72300</v>
      </c>
      <c r="G12" s="229">
        <v>68848</v>
      </c>
      <c r="H12" s="229">
        <v>72800</v>
      </c>
      <c r="I12" s="229">
        <v>78900</v>
      </c>
      <c r="J12" s="255">
        <f>SUM(ROUNDUP('Budget-Services'!H85,-2))</f>
        <v>80800</v>
      </c>
      <c r="K12" s="256">
        <f t="shared" si="0"/>
        <v>2.4081115335868188E-2</v>
      </c>
      <c r="L12" s="1"/>
      <c r="M12" s="1"/>
      <c r="O12" s="204"/>
      <c r="R12" s="733" t="s">
        <v>446</v>
      </c>
      <c r="S12" s="731">
        <f>SUM(S6:S11)</f>
        <v>9509500</v>
      </c>
      <c r="T12" s="732">
        <f>SUM(T6:T11)</f>
        <v>0.99999999999999989</v>
      </c>
    </row>
    <row r="13" spans="1:20" x14ac:dyDescent="0.4">
      <c r="A13" s="2" t="s">
        <v>24</v>
      </c>
      <c r="B13" s="4">
        <v>28000</v>
      </c>
      <c r="C13" s="4">
        <v>26213</v>
      </c>
      <c r="D13" s="4">
        <v>30600</v>
      </c>
      <c r="E13" s="4">
        <v>17822</v>
      </c>
      <c r="F13" s="4">
        <v>15210</v>
      </c>
      <c r="G13" s="4">
        <v>12829</v>
      </c>
      <c r="H13" s="4">
        <v>18500</v>
      </c>
      <c r="I13" s="4">
        <v>14300</v>
      </c>
      <c r="J13" s="3">
        <f>SUM(ROUNDUP('Budget-Services'!H100,-2))</f>
        <v>13500</v>
      </c>
      <c r="K13" s="257">
        <f t="shared" si="0"/>
        <v>-5.5944055944055944E-2</v>
      </c>
      <c r="L13" s="1"/>
      <c r="M13" s="1"/>
      <c r="O13" s="204"/>
    </row>
    <row r="14" spans="1:20" x14ac:dyDescent="0.4">
      <c r="A14" s="666" t="s">
        <v>25</v>
      </c>
      <c r="B14" s="667">
        <v>76400</v>
      </c>
      <c r="C14" s="667">
        <v>74310</v>
      </c>
      <c r="D14" s="667">
        <v>89800</v>
      </c>
      <c r="E14" s="667">
        <v>72828</v>
      </c>
      <c r="F14" s="667">
        <v>102500</v>
      </c>
      <c r="G14" s="667">
        <v>99861</v>
      </c>
      <c r="H14" s="667">
        <v>90100</v>
      </c>
      <c r="I14" s="667">
        <v>106900</v>
      </c>
      <c r="J14" s="668">
        <f>SUM(ROUNDUP('Budget-Services'!H139,-2))</f>
        <v>111700</v>
      </c>
      <c r="K14" s="256">
        <f t="shared" si="0"/>
        <v>4.4901777362020577E-2</v>
      </c>
      <c r="L14" s="1"/>
      <c r="M14" s="1"/>
      <c r="O14" s="204"/>
    </row>
    <row r="15" spans="1:20" x14ac:dyDescent="0.4">
      <c r="A15" s="260" t="s">
        <v>26</v>
      </c>
      <c r="B15" s="231">
        <v>52300</v>
      </c>
      <c r="C15" s="231">
        <v>39356</v>
      </c>
      <c r="D15" s="231">
        <v>53400</v>
      </c>
      <c r="E15" s="231">
        <v>42720</v>
      </c>
      <c r="F15" s="231">
        <v>47990</v>
      </c>
      <c r="G15" s="231">
        <v>47989</v>
      </c>
      <c r="H15" s="231">
        <v>41400</v>
      </c>
      <c r="I15" s="231">
        <v>40000</v>
      </c>
      <c r="J15" s="261">
        <f>SUM(ROUNDUP('Budget-Services'!H148,-2))</f>
        <v>40000</v>
      </c>
      <c r="K15" s="257">
        <f t="shared" si="0"/>
        <v>0</v>
      </c>
      <c r="L15" s="1"/>
      <c r="M15" s="774" t="s">
        <v>27</v>
      </c>
      <c r="N15" s="775"/>
      <c r="O15" s="204"/>
    </row>
    <row r="16" spans="1:20" x14ac:dyDescent="0.4">
      <c r="A16" s="258" t="s">
        <v>28</v>
      </c>
      <c r="B16" s="230">
        <v>137300</v>
      </c>
      <c r="C16" s="230">
        <v>136281</v>
      </c>
      <c r="D16" s="230">
        <v>156400</v>
      </c>
      <c r="E16" s="230">
        <v>145935</v>
      </c>
      <c r="F16" s="230">
        <v>157990</v>
      </c>
      <c r="G16" s="230">
        <v>157984</v>
      </c>
      <c r="H16" s="230">
        <v>155000</v>
      </c>
      <c r="I16" s="230">
        <v>158400</v>
      </c>
      <c r="J16" s="259">
        <f>SUM(ROUNDUP('Budget-Services'!H161,-2))</f>
        <v>167300</v>
      </c>
      <c r="K16" s="256">
        <f t="shared" si="0"/>
        <v>5.6186868686868688E-2</v>
      </c>
      <c r="L16" s="1"/>
      <c r="M16" s="3">
        <f>SUM(I14:I26)</f>
        <v>1722500</v>
      </c>
      <c r="N16" s="4">
        <f>SUM(J14:J26)</f>
        <v>1825300</v>
      </c>
      <c r="O16" s="203">
        <f>N16/N34</f>
        <v>0.1919448972080551</v>
      </c>
    </row>
    <row r="17" spans="1:15" x14ac:dyDescent="0.4">
      <c r="A17" s="260" t="s">
        <v>29</v>
      </c>
      <c r="B17" s="231">
        <v>71800</v>
      </c>
      <c r="C17" s="231">
        <v>86917</v>
      </c>
      <c r="D17" s="231">
        <v>84800</v>
      </c>
      <c r="E17" s="231">
        <v>114375</v>
      </c>
      <c r="F17" s="231">
        <v>98710</v>
      </c>
      <c r="G17" s="231">
        <v>158880</v>
      </c>
      <c r="H17" s="4">
        <v>106500</v>
      </c>
      <c r="I17" s="4">
        <v>128000</v>
      </c>
      <c r="J17" s="3">
        <f>SUM(ROUNDUP('Budget-Services'!H189,-2))</f>
        <v>129300</v>
      </c>
      <c r="K17" s="257">
        <f t="shared" si="0"/>
        <v>1.015625E-2</v>
      </c>
      <c r="L17" s="1"/>
      <c r="M17" s="1"/>
      <c r="O17" s="204"/>
    </row>
    <row r="18" spans="1:15" x14ac:dyDescent="0.4">
      <c r="A18" s="258" t="s">
        <v>30</v>
      </c>
      <c r="B18" s="230">
        <v>7800</v>
      </c>
      <c r="C18" s="230">
        <v>7800</v>
      </c>
      <c r="D18" s="230">
        <v>7800</v>
      </c>
      <c r="E18" s="230">
        <v>7800</v>
      </c>
      <c r="F18" s="230">
        <v>8250</v>
      </c>
      <c r="G18" s="230">
        <v>8250</v>
      </c>
      <c r="H18" s="230">
        <v>8400</v>
      </c>
      <c r="I18" s="230">
        <v>10100</v>
      </c>
      <c r="J18" s="259">
        <f>SUM(ROUNDUP('Budget-Services'!H195,-2))</f>
        <v>10200</v>
      </c>
      <c r="K18" s="256">
        <f t="shared" si="0"/>
        <v>9.9009900990099011E-3</v>
      </c>
      <c r="L18" s="1"/>
      <c r="M18" s="5"/>
      <c r="N18" s="4"/>
      <c r="O18" s="204"/>
    </row>
    <row r="19" spans="1:15" x14ac:dyDescent="0.4">
      <c r="A19" s="2" t="s">
        <v>31</v>
      </c>
      <c r="B19" s="4">
        <v>4500</v>
      </c>
      <c r="C19" s="4">
        <v>2586</v>
      </c>
      <c r="D19" s="4">
        <v>4500</v>
      </c>
      <c r="E19" s="4">
        <v>4500</v>
      </c>
      <c r="F19" s="4">
        <v>6000</v>
      </c>
      <c r="G19" s="4">
        <v>4703</v>
      </c>
      <c r="H19" s="4">
        <v>6000</v>
      </c>
      <c r="I19" s="4">
        <v>6000</v>
      </c>
      <c r="J19" s="3">
        <f>SUM(ROUNDUP('Budget-Services'!H199,-2))</f>
        <v>6000</v>
      </c>
      <c r="K19" s="257">
        <f t="shared" si="0"/>
        <v>0</v>
      </c>
      <c r="L19" s="1"/>
      <c r="M19" s="1"/>
      <c r="O19" s="204"/>
    </row>
    <row r="20" spans="1:15" x14ac:dyDescent="0.4">
      <c r="A20" s="258" t="s">
        <v>32</v>
      </c>
      <c r="B20" s="230">
        <v>45600</v>
      </c>
      <c r="C20" s="230">
        <v>44902</v>
      </c>
      <c r="D20" s="230">
        <v>44600</v>
      </c>
      <c r="E20" s="230">
        <v>40997</v>
      </c>
      <c r="F20" s="230">
        <v>47100</v>
      </c>
      <c r="G20" s="230">
        <v>43537</v>
      </c>
      <c r="H20" s="230">
        <v>45700</v>
      </c>
      <c r="I20" s="230">
        <v>47200</v>
      </c>
      <c r="J20" s="259">
        <f>SUM(ROUNDUP('Budget-Services'!H236,-2))</f>
        <v>85300</v>
      </c>
      <c r="K20" s="256">
        <f t="shared" si="0"/>
        <v>0.80720338983050843</v>
      </c>
      <c r="L20" s="1"/>
      <c r="M20" s="1"/>
      <c r="O20" s="204"/>
    </row>
    <row r="21" spans="1:15" x14ac:dyDescent="0.4">
      <c r="A21" s="260" t="s">
        <v>33</v>
      </c>
      <c r="B21" s="231">
        <v>500</v>
      </c>
      <c r="C21" s="231">
        <v>19124</v>
      </c>
      <c r="D21" s="231">
        <v>500</v>
      </c>
      <c r="E21" s="231">
        <v>0</v>
      </c>
      <c r="F21" s="231">
        <v>500</v>
      </c>
      <c r="G21" s="231"/>
      <c r="H21" s="231">
        <v>500</v>
      </c>
      <c r="I21" s="231">
        <v>500</v>
      </c>
      <c r="J21" s="261">
        <f>SUM(ROUNDUP('Budget-Services'!H240,-2))</f>
        <v>500</v>
      </c>
      <c r="K21" s="257">
        <f t="shared" si="0"/>
        <v>0</v>
      </c>
      <c r="L21" s="1"/>
      <c r="M21" s="1"/>
      <c r="O21" s="204"/>
    </row>
    <row r="22" spans="1:15" x14ac:dyDescent="0.4">
      <c r="A22" s="254" t="s">
        <v>34</v>
      </c>
      <c r="B22" s="229">
        <v>307500</v>
      </c>
      <c r="C22" s="229">
        <v>200502</v>
      </c>
      <c r="D22" s="229">
        <v>446500</v>
      </c>
      <c r="E22" s="229">
        <v>399678</v>
      </c>
      <c r="F22" s="229">
        <v>783300</v>
      </c>
      <c r="G22" s="229">
        <v>630893</v>
      </c>
      <c r="H22" s="229">
        <v>822700</v>
      </c>
      <c r="I22" s="229">
        <v>840700</v>
      </c>
      <c r="J22" s="255">
        <f>SUM(ROUNDUP('Budget-Services'!H260,-2))</f>
        <v>855700</v>
      </c>
      <c r="K22" s="256">
        <f t="shared" si="0"/>
        <v>1.7842274295230165E-2</v>
      </c>
      <c r="L22" s="1"/>
      <c r="M22" s="1"/>
      <c r="O22" s="204"/>
    </row>
    <row r="23" spans="1:15" x14ac:dyDescent="0.4">
      <c r="A23" s="260" t="s">
        <v>35</v>
      </c>
      <c r="B23" s="231">
        <v>235800</v>
      </c>
      <c r="C23" s="231">
        <v>235800</v>
      </c>
      <c r="D23" s="231">
        <v>237900</v>
      </c>
      <c r="E23" s="231">
        <v>189905</v>
      </c>
      <c r="F23" s="231">
        <v>0</v>
      </c>
      <c r="G23" s="231">
        <v>0</v>
      </c>
      <c r="H23" s="231">
        <v>0</v>
      </c>
      <c r="I23" s="231">
        <v>0</v>
      </c>
      <c r="J23" s="261">
        <v>0</v>
      </c>
      <c r="K23" s="257">
        <v>0</v>
      </c>
      <c r="L23" s="1"/>
      <c r="M23" s="1"/>
      <c r="O23" s="204"/>
    </row>
    <row r="24" spans="1:15" x14ac:dyDescent="0.4">
      <c r="A24" s="254" t="s">
        <v>36</v>
      </c>
      <c r="B24" s="229">
        <v>264900</v>
      </c>
      <c r="C24" s="229">
        <v>279798</v>
      </c>
      <c r="D24" s="229">
        <v>310000</v>
      </c>
      <c r="E24" s="229">
        <v>319353</v>
      </c>
      <c r="F24" s="229">
        <v>262350</v>
      </c>
      <c r="G24" s="229">
        <v>241812</v>
      </c>
      <c r="H24" s="229">
        <v>274000</v>
      </c>
      <c r="I24" s="229">
        <v>270800</v>
      </c>
      <c r="J24" s="255">
        <f>SUM(ROUNDUP('Budget-Services'!H311,-2))</f>
        <v>277600</v>
      </c>
      <c r="K24" s="256">
        <f t="shared" si="0"/>
        <v>2.5110782865583457E-2</v>
      </c>
      <c r="L24" s="1"/>
      <c r="M24" s="1"/>
      <c r="O24" s="204"/>
    </row>
    <row r="25" spans="1:15" x14ac:dyDescent="0.4">
      <c r="A25" s="2" t="s">
        <v>37</v>
      </c>
      <c r="B25" s="4">
        <v>122800</v>
      </c>
      <c r="C25" s="4">
        <v>40867</v>
      </c>
      <c r="D25" s="4">
        <v>31300</v>
      </c>
      <c r="E25" s="4">
        <v>4110</v>
      </c>
      <c r="F25" s="4">
        <v>65700</v>
      </c>
      <c r="G25" s="4">
        <v>24540</v>
      </c>
      <c r="H25" s="4">
        <f>63700-1900</f>
        <v>61800</v>
      </c>
      <c r="I25" s="4">
        <v>96400</v>
      </c>
      <c r="J25" s="3">
        <f>SUM(ROUNDUP('Budget-Services'!H330,-2))</f>
        <v>123900</v>
      </c>
      <c r="K25" s="257">
        <f t="shared" si="0"/>
        <v>0.28526970954356845</v>
      </c>
      <c r="L25" s="1"/>
      <c r="M25" s="1"/>
      <c r="O25" s="204"/>
    </row>
    <row r="26" spans="1:15" x14ac:dyDescent="0.4">
      <c r="A26" s="258" t="s">
        <v>38</v>
      </c>
      <c r="B26" s="230">
        <v>17400</v>
      </c>
      <c r="C26" s="230">
        <v>13320</v>
      </c>
      <c r="D26" s="230">
        <v>17400</v>
      </c>
      <c r="E26" s="230">
        <v>13820</v>
      </c>
      <c r="F26" s="230">
        <v>16300</v>
      </c>
      <c r="G26" s="230">
        <v>16298</v>
      </c>
      <c r="H26" s="230">
        <v>15200</v>
      </c>
      <c r="I26" s="230">
        <v>17500</v>
      </c>
      <c r="J26" s="259">
        <f>SUM(ROUNDUP('Budget-Services'!H338,-2))</f>
        <v>17800</v>
      </c>
      <c r="K26" s="256">
        <f t="shared" si="0"/>
        <v>1.7142857142857144E-2</v>
      </c>
      <c r="L26" s="1"/>
      <c r="M26" s="774" t="s">
        <v>39</v>
      </c>
      <c r="N26" s="775"/>
      <c r="O26" s="204"/>
    </row>
    <row r="27" spans="1:15" x14ac:dyDescent="0.4">
      <c r="A27" s="2" t="s">
        <v>40</v>
      </c>
      <c r="B27" s="4">
        <v>425600</v>
      </c>
      <c r="C27" s="4">
        <f>310751+114766</f>
        <v>425517</v>
      </c>
      <c r="D27" s="4">
        <v>425600</v>
      </c>
      <c r="E27" s="4">
        <v>425517</v>
      </c>
      <c r="F27" s="4">
        <v>425600</v>
      </c>
      <c r="G27" s="4">
        <f>356665+68852</f>
        <v>425517</v>
      </c>
      <c r="H27" s="4">
        <v>425600</v>
      </c>
      <c r="I27" s="4">
        <v>425600</v>
      </c>
      <c r="J27" s="3">
        <f>SUM(ROUNDUP('Budget-Services'!H342,-2))</f>
        <v>425600</v>
      </c>
      <c r="K27" s="257">
        <f t="shared" si="0"/>
        <v>0</v>
      </c>
      <c r="L27" s="1"/>
      <c r="M27" s="3">
        <f>SUM(I27)</f>
        <v>425600</v>
      </c>
      <c r="N27" s="4">
        <f>SUM(J27)</f>
        <v>425600</v>
      </c>
      <c r="O27" s="203">
        <f>N27/N34</f>
        <v>4.4755244755244755E-2</v>
      </c>
    </row>
    <row r="28" spans="1:15" x14ac:dyDescent="0.4">
      <c r="A28" s="258" t="s">
        <v>41</v>
      </c>
      <c r="B28" s="230">
        <v>70800</v>
      </c>
      <c r="C28" s="230">
        <v>178722</v>
      </c>
      <c r="D28" s="230">
        <v>50000</v>
      </c>
      <c r="E28" s="230">
        <v>110591</v>
      </c>
      <c r="F28" s="230">
        <v>66500</v>
      </c>
      <c r="G28" s="230">
        <v>41191</v>
      </c>
      <c r="H28" s="230">
        <v>55000</v>
      </c>
      <c r="I28" s="230">
        <v>80000</v>
      </c>
      <c r="J28" s="259">
        <f>SUM(ROUNDUP('Budget-Services'!H350,-2))</f>
        <v>61200</v>
      </c>
      <c r="K28" s="256">
        <f t="shared" si="0"/>
        <v>-0.23499999999999999</v>
      </c>
      <c r="L28" s="1"/>
      <c r="M28" s="1"/>
      <c r="O28" s="204"/>
    </row>
    <row r="29" spans="1:15" x14ac:dyDescent="0.4">
      <c r="A29" s="2" t="s">
        <v>42</v>
      </c>
      <c r="B29" s="4">
        <v>3000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3">
        <f>SUM(ROUNDUP('Budget-Services'!H354,-2))</f>
        <v>0</v>
      </c>
      <c r="K29" s="257">
        <v>0</v>
      </c>
      <c r="L29" s="1"/>
      <c r="M29" s="776" t="s">
        <v>43</v>
      </c>
      <c r="N29" s="775"/>
      <c r="O29" s="204"/>
    </row>
    <row r="30" spans="1:15" x14ac:dyDescent="0.4">
      <c r="A30" s="258" t="s">
        <v>44</v>
      </c>
      <c r="B30" s="232">
        <v>5000</v>
      </c>
      <c r="C30" s="232">
        <v>0</v>
      </c>
      <c r="D30" s="232">
        <v>5000</v>
      </c>
      <c r="E30" s="232">
        <v>0</v>
      </c>
      <c r="F30" s="232">
        <v>5000</v>
      </c>
      <c r="G30" s="232">
        <v>0</v>
      </c>
      <c r="H30" s="232">
        <v>5000</v>
      </c>
      <c r="I30" s="232">
        <v>5000</v>
      </c>
      <c r="J30" s="262">
        <v>5000</v>
      </c>
      <c r="K30" s="256">
        <f t="shared" si="0"/>
        <v>0</v>
      </c>
      <c r="L30" s="1"/>
      <c r="M30" s="3">
        <f>SUM(I28:I30)</f>
        <v>85000</v>
      </c>
      <c r="N30" s="4">
        <f>SUM(J28:J30)</f>
        <v>66200</v>
      </c>
      <c r="O30" s="203">
        <f>N30/N34</f>
        <v>6.9614595930385407E-3</v>
      </c>
    </row>
    <row r="31" spans="1:15" ht="15" thickBot="1" x14ac:dyDescent="0.45">
      <c r="A31" s="17" t="s">
        <v>45</v>
      </c>
      <c r="B31" s="19">
        <f t="shared" ref="B31:H31" si="2">SUM(B2:B30)</f>
        <v>7431500</v>
      </c>
      <c r="C31" s="19">
        <f t="shared" si="2"/>
        <v>7004807</v>
      </c>
      <c r="D31" s="19">
        <f t="shared" si="2"/>
        <v>7682900</v>
      </c>
      <c r="E31" s="19">
        <f t="shared" si="2"/>
        <v>7542932</v>
      </c>
      <c r="F31" s="19">
        <f t="shared" si="2"/>
        <v>8237100</v>
      </c>
      <c r="G31" s="19">
        <f>SUM(G2:G30)</f>
        <v>7792733</v>
      </c>
      <c r="H31" s="19">
        <f t="shared" si="2"/>
        <v>8432100</v>
      </c>
      <c r="I31" s="19">
        <f>SUM(I2:I30)</f>
        <v>8560500</v>
      </c>
      <c r="J31" s="18">
        <f>SUM(J2:J30)</f>
        <v>9281700</v>
      </c>
      <c r="K31" s="263">
        <f>(J31-I31)/I31</f>
        <v>8.4247415454704752E-2</v>
      </c>
      <c r="L31" s="1"/>
      <c r="M31" s="237">
        <f>SUM(M30+M27+M16+M10+M4)</f>
        <v>8560500</v>
      </c>
      <c r="N31" s="176">
        <f>SUM(N30+N27+N16+N10+N4)</f>
        <v>9281700</v>
      </c>
      <c r="O31" s="204"/>
    </row>
    <row r="32" spans="1:15" ht="15" thickTop="1" x14ac:dyDescent="0.4">
      <c r="A32" s="258"/>
      <c r="B32" s="233"/>
      <c r="C32" s="233"/>
      <c r="D32" s="233"/>
      <c r="E32" s="233"/>
      <c r="F32" s="233"/>
      <c r="G32" s="233"/>
      <c r="H32" s="233"/>
      <c r="I32" s="233"/>
      <c r="J32" s="233"/>
      <c r="K32" s="264"/>
      <c r="L32" s="1"/>
      <c r="M32" s="2"/>
      <c r="O32" s="204"/>
    </row>
    <row r="33" spans="1:20" s="525" customFormat="1" x14ac:dyDescent="0.4">
      <c r="A33" s="543" t="s">
        <v>46</v>
      </c>
      <c r="B33" s="659">
        <v>150700</v>
      </c>
      <c r="C33" s="659">
        <v>136086</v>
      </c>
      <c r="D33" s="659">
        <v>166300</v>
      </c>
      <c r="E33" s="659">
        <v>172982</v>
      </c>
      <c r="F33" s="659">
        <v>185900</v>
      </c>
      <c r="G33" s="659">
        <v>152449</v>
      </c>
      <c r="H33" s="659">
        <v>187100</v>
      </c>
      <c r="I33" s="659">
        <v>195300</v>
      </c>
      <c r="J33" s="660">
        <f>SUM(ROUNDUP('ARB Budget'!F38,-2))</f>
        <v>227800</v>
      </c>
      <c r="K33" s="661">
        <f>(J33-I33)/I33</f>
        <v>0.16641065028161803</v>
      </c>
      <c r="L33" s="662"/>
      <c r="M33" s="663">
        <f>SUM(I33)</f>
        <v>195300</v>
      </c>
      <c r="N33" s="664">
        <f>SUM(J33)</f>
        <v>227800</v>
      </c>
      <c r="O33" s="665">
        <f>N33/N34</f>
        <v>2.3954992376045009E-2</v>
      </c>
      <c r="R33"/>
      <c r="S33"/>
      <c r="T33"/>
    </row>
    <row r="34" spans="1:20" ht="15" thickBot="1" x14ac:dyDescent="0.45">
      <c r="A34" s="265" t="s">
        <v>47</v>
      </c>
      <c r="B34" s="234">
        <f t="shared" ref="B34:J34" si="3">SUM(B31:B33)</f>
        <v>7582200</v>
      </c>
      <c r="C34" s="234">
        <f t="shared" si="3"/>
        <v>7140893</v>
      </c>
      <c r="D34" s="234">
        <f t="shared" si="3"/>
        <v>7849200</v>
      </c>
      <c r="E34" s="234">
        <f t="shared" si="3"/>
        <v>7715914</v>
      </c>
      <c r="F34" s="234">
        <f t="shared" si="3"/>
        <v>8423000</v>
      </c>
      <c r="G34" s="234">
        <f>SUM(G31:G33)</f>
        <v>7945182</v>
      </c>
      <c r="H34" s="234">
        <f t="shared" si="3"/>
        <v>8619200</v>
      </c>
      <c r="I34" s="234">
        <f>SUM(I31:I33)</f>
        <v>8755800</v>
      </c>
      <c r="J34" s="266">
        <f t="shared" si="3"/>
        <v>9509500</v>
      </c>
      <c r="K34" s="267">
        <f>(J34-I34)/I34</f>
        <v>8.6080084058566889E-2</v>
      </c>
      <c r="L34" s="1"/>
      <c r="M34" s="176">
        <f>SUM(M31:M33)</f>
        <v>8755800</v>
      </c>
      <c r="N34" s="201">
        <f>SUM(N31:N33)</f>
        <v>9509500</v>
      </c>
      <c r="O34" s="202">
        <f>SUM(O4:O33)</f>
        <v>0.99999999999999989</v>
      </c>
      <c r="R34" s="525"/>
      <c r="S34" s="525"/>
      <c r="T34" s="525"/>
    </row>
    <row r="35" spans="1:20" ht="15" thickTop="1" x14ac:dyDescent="0.4">
      <c r="A35" s="268" t="s">
        <v>48</v>
      </c>
      <c r="B35" s="235">
        <v>-124000</v>
      </c>
      <c r="C35" s="235"/>
      <c r="D35" s="235"/>
      <c r="E35" s="235"/>
      <c r="F35" s="235"/>
      <c r="G35" s="235"/>
      <c r="H35" s="235"/>
      <c r="I35" s="235"/>
      <c r="J35" s="261"/>
      <c r="K35" s="257"/>
    </row>
    <row r="36" spans="1:20" ht="15" thickBot="1" x14ac:dyDescent="0.45">
      <c r="A36" s="258" t="s">
        <v>49</v>
      </c>
      <c r="B36" s="269"/>
      <c r="C36" s="269"/>
      <c r="D36" s="269"/>
      <c r="E36" s="269"/>
      <c r="F36" s="236">
        <v>-247604</v>
      </c>
      <c r="G36" s="236"/>
      <c r="H36" s="236">
        <v>-200000</v>
      </c>
      <c r="I36" s="236"/>
      <c r="J36" s="270">
        <v>-158000</v>
      </c>
      <c r="K36" s="264"/>
      <c r="L36" s="1"/>
      <c r="M36" s="1"/>
    </row>
    <row r="37" spans="1:20" ht="15.45" thickTop="1" thickBot="1" x14ac:dyDescent="0.45">
      <c r="A37" s="25" t="s">
        <v>50</v>
      </c>
      <c r="B37" s="26">
        <f>SUM(B34:B36)</f>
        <v>7458200</v>
      </c>
      <c r="C37" s="26"/>
      <c r="D37" s="26">
        <f>SUM(D34)</f>
        <v>7849200</v>
      </c>
      <c r="E37" s="26"/>
      <c r="F37" s="26">
        <f t="shared" ref="F37:J37" si="4">SUM(F34:F36)</f>
        <v>8175396</v>
      </c>
      <c r="G37" s="26"/>
      <c r="H37" s="26">
        <f t="shared" si="4"/>
        <v>8419200</v>
      </c>
      <c r="I37" s="26">
        <f>SUM(I34:I36)</f>
        <v>8755800</v>
      </c>
      <c r="J37" s="27">
        <f t="shared" si="4"/>
        <v>9351500</v>
      </c>
      <c r="K37" s="271">
        <f>(J37-I37)/I37</f>
        <v>6.8034902578862008E-2</v>
      </c>
      <c r="O37" s="4">
        <f>N34-M34</f>
        <v>753700</v>
      </c>
    </row>
    <row r="38" spans="1:20" ht="15" thickTop="1" x14ac:dyDescent="0.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1"/>
      <c r="M38" s="1"/>
    </row>
    <row r="39" spans="1:20" x14ac:dyDescent="0.4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1"/>
      <c r="M39" s="1"/>
    </row>
    <row r="40" spans="1:20" x14ac:dyDescent="0.4">
      <c r="A40" s="22"/>
      <c r="B40" s="28"/>
      <c r="C40" s="28"/>
      <c r="D40" s="28"/>
      <c r="E40" s="28"/>
      <c r="F40" s="28"/>
      <c r="G40" s="28"/>
      <c r="H40" s="28"/>
      <c r="I40" s="28"/>
      <c r="J40" s="28"/>
      <c r="K40" s="22"/>
      <c r="L40" s="1"/>
      <c r="M40" s="1"/>
    </row>
    <row r="41" spans="1:20" x14ac:dyDescent="0.4">
      <c r="J41" s="2"/>
      <c r="K41" s="2"/>
      <c r="L41" s="1"/>
      <c r="M41" s="1"/>
    </row>
    <row r="42" spans="1:20" x14ac:dyDescent="0.4">
      <c r="J42" s="2"/>
      <c r="K42" s="2"/>
      <c r="L42" s="1"/>
      <c r="M42" s="1"/>
    </row>
    <row r="43" spans="1:20" x14ac:dyDescent="0.4">
      <c r="J43" s="2"/>
      <c r="K43" s="2"/>
      <c r="L43" s="1"/>
      <c r="M43" s="1"/>
    </row>
    <row r="44" spans="1:20" x14ac:dyDescent="0.4">
      <c r="L44" s="1"/>
      <c r="M44" s="1"/>
    </row>
    <row r="45" spans="1:20" x14ac:dyDescent="0.4">
      <c r="L45" s="1"/>
      <c r="M45" s="1"/>
    </row>
    <row r="46" spans="1:20" x14ac:dyDescent="0.4">
      <c r="L46" s="1"/>
      <c r="M46" s="1"/>
    </row>
    <row r="47" spans="1:20" x14ac:dyDescent="0.4">
      <c r="L47" s="1"/>
      <c r="M47" s="1"/>
    </row>
    <row r="48" spans="1:20" x14ac:dyDescent="0.4">
      <c r="L48" s="1"/>
      <c r="M48" s="1"/>
    </row>
    <row r="49" spans="12:13" x14ac:dyDescent="0.4">
      <c r="L49" s="1"/>
      <c r="M49" s="1"/>
    </row>
    <row r="50" spans="12:13" x14ac:dyDescent="0.4">
      <c r="L50" s="1"/>
      <c r="M50" s="1"/>
    </row>
    <row r="51" spans="12:13" x14ac:dyDescent="0.4">
      <c r="L51" s="1"/>
      <c r="M51" s="1"/>
    </row>
    <row r="52" spans="12:13" x14ac:dyDescent="0.4">
      <c r="L52" s="1"/>
      <c r="M52" s="1"/>
    </row>
    <row r="53" spans="12:13" x14ac:dyDescent="0.4">
      <c r="L53" s="1"/>
      <c r="M53" s="1"/>
    </row>
    <row r="54" spans="12:13" x14ac:dyDescent="0.4">
      <c r="L54" s="1"/>
      <c r="M54" s="1"/>
    </row>
    <row r="55" spans="12:13" x14ac:dyDescent="0.4">
      <c r="L55" s="1"/>
      <c r="M55" s="1"/>
    </row>
    <row r="56" spans="12:13" x14ac:dyDescent="0.4">
      <c r="L56" s="1"/>
      <c r="M56" s="1"/>
    </row>
    <row r="57" spans="12:13" x14ac:dyDescent="0.4">
      <c r="L57" s="1"/>
      <c r="M57" s="1"/>
    </row>
    <row r="58" spans="12:13" x14ac:dyDescent="0.4">
      <c r="L58" s="1"/>
      <c r="M58" s="1"/>
    </row>
    <row r="59" spans="12:13" x14ac:dyDescent="0.4">
      <c r="L59" s="1"/>
      <c r="M59" s="1"/>
    </row>
    <row r="60" spans="12:13" x14ac:dyDescent="0.4">
      <c r="L60" s="1"/>
      <c r="M60" s="1"/>
    </row>
    <row r="61" spans="12:13" x14ac:dyDescent="0.4">
      <c r="L61" s="1"/>
      <c r="M61" s="1"/>
    </row>
    <row r="62" spans="12:13" x14ac:dyDescent="0.4">
      <c r="L62" s="1"/>
      <c r="M62" s="1"/>
    </row>
    <row r="63" spans="12:13" x14ac:dyDescent="0.4">
      <c r="L63" s="1"/>
      <c r="M63" s="1"/>
    </row>
    <row r="64" spans="12:13" x14ac:dyDescent="0.4">
      <c r="L64" s="1"/>
      <c r="M64" s="1"/>
    </row>
    <row r="65" spans="12:13" x14ac:dyDescent="0.4">
      <c r="L65" s="1"/>
      <c r="M65" s="1"/>
    </row>
    <row r="66" spans="12:13" x14ac:dyDescent="0.4">
      <c r="L66" s="1"/>
      <c r="M66" s="1"/>
    </row>
    <row r="67" spans="12:13" x14ac:dyDescent="0.4">
      <c r="L67" s="1"/>
      <c r="M67" s="1"/>
    </row>
    <row r="68" spans="12:13" x14ac:dyDescent="0.4">
      <c r="L68" s="1"/>
      <c r="M68" s="1"/>
    </row>
    <row r="69" spans="12:13" x14ac:dyDescent="0.4">
      <c r="L69" s="1"/>
      <c r="M69" s="1"/>
    </row>
    <row r="70" spans="12:13" x14ac:dyDescent="0.4">
      <c r="L70" s="1"/>
      <c r="M70" s="1"/>
    </row>
    <row r="71" spans="12:13" x14ac:dyDescent="0.4">
      <c r="L71" s="1"/>
      <c r="M71" s="1"/>
    </row>
    <row r="72" spans="12:13" x14ac:dyDescent="0.4">
      <c r="L72" s="1"/>
      <c r="M72" s="1"/>
    </row>
    <row r="73" spans="12:13" x14ac:dyDescent="0.4">
      <c r="L73" s="1"/>
      <c r="M73" s="1"/>
    </row>
    <row r="74" spans="12:13" x14ac:dyDescent="0.4">
      <c r="L74" s="1"/>
      <c r="M74" s="1"/>
    </row>
    <row r="75" spans="12:13" x14ac:dyDescent="0.4">
      <c r="L75" s="1"/>
      <c r="M75" s="1"/>
    </row>
    <row r="76" spans="12:13" x14ac:dyDescent="0.4">
      <c r="L76" s="1"/>
      <c r="M76" s="1"/>
    </row>
    <row r="77" spans="12:13" x14ac:dyDescent="0.4">
      <c r="L77" s="1"/>
      <c r="M77" s="1"/>
    </row>
    <row r="78" spans="12:13" x14ac:dyDescent="0.4">
      <c r="L78" s="1"/>
      <c r="M78" s="1"/>
    </row>
    <row r="79" spans="12:13" x14ac:dyDescent="0.4">
      <c r="L79" s="1"/>
      <c r="M79" s="1"/>
    </row>
    <row r="80" spans="12:13" x14ac:dyDescent="0.4">
      <c r="L80" s="1"/>
      <c r="M80" s="1"/>
    </row>
    <row r="81" spans="1:13" x14ac:dyDescent="0.4">
      <c r="L81" s="1"/>
      <c r="M81" s="1"/>
    </row>
    <row r="82" spans="1:13" x14ac:dyDescent="0.4">
      <c r="L82" s="1"/>
      <c r="M82" s="1"/>
    </row>
    <row r="83" spans="1:13" x14ac:dyDescent="0.4">
      <c r="L83" s="1"/>
      <c r="M83" s="1"/>
    </row>
    <row r="84" spans="1:13" x14ac:dyDescent="0.4">
      <c r="L84" s="1"/>
      <c r="M84" s="1"/>
    </row>
    <row r="85" spans="1:13" x14ac:dyDescent="0.4">
      <c r="L85" s="1"/>
      <c r="M85" s="1"/>
    </row>
    <row r="86" spans="1:13" x14ac:dyDescent="0.4">
      <c r="L86" s="1"/>
      <c r="M86" s="1"/>
    </row>
    <row r="87" spans="1:13" x14ac:dyDescent="0.4">
      <c r="L87" s="1"/>
      <c r="M87" s="1"/>
    </row>
    <row r="88" spans="1:13" x14ac:dyDescent="0.4">
      <c r="L88" s="1"/>
      <c r="M88" s="1"/>
    </row>
    <row r="89" spans="1:13" x14ac:dyDescent="0.4">
      <c r="L89" s="1"/>
      <c r="M89" s="1"/>
    </row>
    <row r="90" spans="1:13" x14ac:dyDescent="0.4">
      <c r="L90" s="1"/>
      <c r="M90" s="1"/>
    </row>
    <row r="91" spans="1:13" x14ac:dyDescent="0.4">
      <c r="A91" s="2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1"/>
      <c r="M91" s="1"/>
    </row>
  </sheetData>
  <mergeCells count="5">
    <mergeCell ref="M3:N3"/>
    <mergeCell ref="M9:N9"/>
    <mergeCell ref="M15:N15"/>
    <mergeCell ref="M26:N26"/>
    <mergeCell ref="M29:N29"/>
  </mergeCells>
  <conditionalFormatting sqref="K2:K37">
    <cfRule type="cellIs" dxfId="116" priority="1" operator="lessThan">
      <formula>0</formula>
    </cfRule>
    <cfRule type="cellIs" dxfId="115" priority="2" operator="greaterThan">
      <formula>0</formula>
    </cfRule>
    <cfRule type="cellIs" dxfId="114" priority="3" operator="equal">
      <formula>0</formula>
    </cfRule>
  </conditionalFormatting>
  <printOptions horizontalCentered="1" verticalCentered="1"/>
  <pageMargins left="0.25" right="0.25" top="0.5" bottom="0.5" header="0.3" footer="0.3"/>
  <pageSetup scale="80" orientation="landscape" r:id="rId1"/>
  <headerFooter>
    <oddHeader>&amp;C&amp;"Calibri,Bold"&amp;20
2020 Budget Requested Recap 4% Personnel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K86"/>
  <sheetViews>
    <sheetView workbookViewId="0">
      <pane xSplit="3" ySplit="1" topLeftCell="D65" activePane="bottomRight" state="frozenSplit"/>
      <selection pane="topRight" activeCell="D1" sqref="D1"/>
      <selection pane="bottomLeft" activeCell="A2" sqref="A2"/>
      <selection pane="bottomRight" activeCell="I83" sqref="I83"/>
    </sheetView>
  </sheetViews>
  <sheetFormatPr defaultRowHeight="14.6" x14ac:dyDescent="0.4"/>
  <cols>
    <col min="1" max="2" width="3" style="760" customWidth="1"/>
    <col min="3" max="3" width="25.38281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7.53515625" style="760" bestFit="1" customWidth="1"/>
    <col min="8" max="10" width="30.69140625" style="760" customWidth="1"/>
    <col min="11" max="11" width="9.84375" style="760" bestFit="1" customWidth="1"/>
  </cols>
  <sheetData>
    <row r="1" spans="1:11" s="766" customFormat="1" ht="15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ht="15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x14ac:dyDescent="0.4">
      <c r="A3" s="94"/>
      <c r="B3" s="94"/>
      <c r="C3" s="94" t="s">
        <v>1445</v>
      </c>
      <c r="D3" s="94"/>
      <c r="E3" s="94"/>
      <c r="F3" s="95"/>
      <c r="G3" s="94"/>
      <c r="H3" s="94"/>
      <c r="I3" s="94"/>
      <c r="J3" s="94"/>
      <c r="K3" s="97"/>
    </row>
    <row r="4" spans="1:11" x14ac:dyDescent="0.4">
      <c r="A4" s="94"/>
      <c r="B4" s="94"/>
      <c r="C4" s="94"/>
      <c r="D4" s="94"/>
      <c r="E4" s="94" t="s">
        <v>545</v>
      </c>
      <c r="F4" s="95">
        <v>43906</v>
      </c>
      <c r="G4" s="94" t="s">
        <v>1447</v>
      </c>
      <c r="H4" s="94" t="s">
        <v>1457</v>
      </c>
      <c r="I4" s="94" t="s">
        <v>1463</v>
      </c>
      <c r="J4" s="94" t="s">
        <v>923</v>
      </c>
      <c r="K4" s="97">
        <v>11.56</v>
      </c>
    </row>
    <row r="5" spans="1:11" x14ac:dyDescent="0.4">
      <c r="A5" s="94"/>
      <c r="B5" s="94"/>
      <c r="C5" s="94"/>
      <c r="D5" s="94"/>
      <c r="E5" s="94" t="s">
        <v>545</v>
      </c>
      <c r="F5" s="95">
        <v>43907</v>
      </c>
      <c r="G5" s="94" t="s">
        <v>1448</v>
      </c>
      <c r="H5" s="94" t="s">
        <v>1458</v>
      </c>
      <c r="I5" s="94" t="s">
        <v>1464</v>
      </c>
      <c r="J5" s="94" t="s">
        <v>924</v>
      </c>
      <c r="K5" s="97">
        <v>4300</v>
      </c>
    </row>
    <row r="6" spans="1:11" x14ac:dyDescent="0.4">
      <c r="A6" s="94"/>
      <c r="B6" s="94"/>
      <c r="C6" s="94"/>
      <c r="D6" s="94"/>
      <c r="E6" s="94" t="s">
        <v>545</v>
      </c>
      <c r="F6" s="95">
        <v>43907</v>
      </c>
      <c r="G6" s="94" t="s">
        <v>1448</v>
      </c>
      <c r="H6" s="94" t="s">
        <v>1458</v>
      </c>
      <c r="I6" s="94" t="s">
        <v>1464</v>
      </c>
      <c r="J6" s="94" t="s">
        <v>924</v>
      </c>
      <c r="K6" s="97">
        <v>0</v>
      </c>
    </row>
    <row r="7" spans="1:11" x14ac:dyDescent="0.4">
      <c r="A7" s="94"/>
      <c r="B7" s="94"/>
      <c r="C7" s="94"/>
      <c r="D7" s="94"/>
      <c r="E7" s="94" t="s">
        <v>545</v>
      </c>
      <c r="F7" s="95">
        <v>43907</v>
      </c>
      <c r="G7" s="94" t="s">
        <v>1448</v>
      </c>
      <c r="H7" s="94" t="s">
        <v>1458</v>
      </c>
      <c r="I7" s="94" t="s">
        <v>1464</v>
      </c>
      <c r="J7" s="94" t="s">
        <v>923</v>
      </c>
      <c r="K7" s="97">
        <v>4300</v>
      </c>
    </row>
    <row r="8" spans="1:11" x14ac:dyDescent="0.4">
      <c r="A8" s="94"/>
      <c r="B8" s="94"/>
      <c r="C8" s="94"/>
      <c r="D8" s="94"/>
      <c r="E8" s="94" t="s">
        <v>545</v>
      </c>
      <c r="F8" s="95">
        <v>43908</v>
      </c>
      <c r="G8" s="94" t="s">
        <v>1449</v>
      </c>
      <c r="H8" s="94" t="s">
        <v>1459</v>
      </c>
      <c r="I8" s="94" t="s">
        <v>1465</v>
      </c>
      <c r="J8" s="94" t="s">
        <v>924</v>
      </c>
      <c r="K8" s="97">
        <v>38.61</v>
      </c>
    </row>
    <row r="9" spans="1:11" x14ac:dyDescent="0.4">
      <c r="A9" s="94"/>
      <c r="B9" s="94"/>
      <c r="C9" s="94"/>
      <c r="D9" s="94"/>
      <c r="E9" s="94" t="s">
        <v>545</v>
      </c>
      <c r="F9" s="95">
        <v>43908</v>
      </c>
      <c r="G9" s="94" t="s">
        <v>1449</v>
      </c>
      <c r="H9" s="94" t="s">
        <v>1459</v>
      </c>
      <c r="I9" s="94" t="s">
        <v>1466</v>
      </c>
      <c r="J9" s="94" t="s">
        <v>924</v>
      </c>
      <c r="K9" s="97">
        <v>29.96</v>
      </c>
    </row>
    <row r="10" spans="1:11" x14ac:dyDescent="0.4">
      <c r="A10" s="94"/>
      <c r="B10" s="94"/>
      <c r="C10" s="94"/>
      <c r="D10" s="94"/>
      <c r="E10" s="94" t="s">
        <v>545</v>
      </c>
      <c r="F10" s="95">
        <v>43908</v>
      </c>
      <c r="G10" s="94" t="s">
        <v>1449</v>
      </c>
      <c r="H10" s="94" t="s">
        <v>1459</v>
      </c>
      <c r="I10" s="94" t="s">
        <v>1467</v>
      </c>
      <c r="J10" s="94" t="s">
        <v>924</v>
      </c>
      <c r="K10" s="97">
        <v>8.58</v>
      </c>
    </row>
    <row r="11" spans="1:11" x14ac:dyDescent="0.4">
      <c r="A11" s="94"/>
      <c r="B11" s="94"/>
      <c r="C11" s="94"/>
      <c r="D11" s="94"/>
      <c r="E11" s="94" t="s">
        <v>545</v>
      </c>
      <c r="F11" s="95">
        <v>43908</v>
      </c>
      <c r="G11" s="94" t="s">
        <v>1450</v>
      </c>
      <c r="H11" s="94" t="s">
        <v>1460</v>
      </c>
      <c r="I11" s="94" t="s">
        <v>1468</v>
      </c>
      <c r="J11" s="94" t="s">
        <v>924</v>
      </c>
      <c r="K11" s="97">
        <v>19.96</v>
      </c>
    </row>
    <row r="12" spans="1:11" x14ac:dyDescent="0.4">
      <c r="A12" s="94"/>
      <c r="B12" s="94"/>
      <c r="C12" s="94"/>
      <c r="D12" s="94"/>
      <c r="E12" s="94" t="s">
        <v>545</v>
      </c>
      <c r="F12" s="95">
        <v>43908</v>
      </c>
      <c r="G12" s="94" t="s">
        <v>1450</v>
      </c>
      <c r="H12" s="94" t="s">
        <v>1460</v>
      </c>
      <c r="I12" s="94" t="s">
        <v>1469</v>
      </c>
      <c r="J12" s="94" t="s">
        <v>924</v>
      </c>
      <c r="K12" s="97">
        <v>1.65</v>
      </c>
    </row>
    <row r="13" spans="1:11" x14ac:dyDescent="0.4">
      <c r="A13" s="94"/>
      <c r="B13" s="94"/>
      <c r="C13" s="94"/>
      <c r="D13" s="94"/>
      <c r="E13" s="94" t="s">
        <v>545</v>
      </c>
      <c r="F13" s="95">
        <v>43909</v>
      </c>
      <c r="G13" s="94" t="s">
        <v>1451</v>
      </c>
      <c r="H13" s="94" t="s">
        <v>1461</v>
      </c>
      <c r="I13" s="94" t="s">
        <v>1470</v>
      </c>
      <c r="J13" s="94" t="s">
        <v>924</v>
      </c>
      <c r="K13" s="97">
        <v>167.65</v>
      </c>
    </row>
    <row r="14" spans="1:11" x14ac:dyDescent="0.4">
      <c r="A14" s="94"/>
      <c r="B14" s="94"/>
      <c r="C14" s="94"/>
      <c r="D14" s="94"/>
      <c r="E14" s="94" t="s">
        <v>545</v>
      </c>
      <c r="F14" s="95">
        <v>43909</v>
      </c>
      <c r="G14" s="94" t="s">
        <v>1451</v>
      </c>
      <c r="H14" s="94" t="s">
        <v>1461</v>
      </c>
      <c r="I14" s="94" t="s">
        <v>1471</v>
      </c>
      <c r="J14" s="94" t="s">
        <v>924</v>
      </c>
      <c r="K14" s="97">
        <v>43.9</v>
      </c>
    </row>
    <row r="15" spans="1:11" x14ac:dyDescent="0.4">
      <c r="A15" s="94"/>
      <c r="B15" s="94"/>
      <c r="C15" s="94"/>
      <c r="D15" s="94"/>
      <c r="E15" s="94" t="s">
        <v>545</v>
      </c>
      <c r="F15" s="95">
        <v>43909</v>
      </c>
      <c r="G15" s="94" t="s">
        <v>1452</v>
      </c>
      <c r="H15" s="94" t="s">
        <v>1458</v>
      </c>
      <c r="I15" s="94" t="s">
        <v>1472</v>
      </c>
      <c r="J15" s="94" t="s">
        <v>924</v>
      </c>
      <c r="K15" s="97">
        <v>109.75</v>
      </c>
    </row>
    <row r="16" spans="1:11" x14ac:dyDescent="0.4">
      <c r="A16" s="94"/>
      <c r="B16" s="94"/>
      <c r="C16" s="94"/>
      <c r="D16" s="94"/>
      <c r="E16" s="94" t="s">
        <v>544</v>
      </c>
      <c r="F16" s="95">
        <v>43910</v>
      </c>
      <c r="G16" s="94" t="s">
        <v>1453</v>
      </c>
      <c r="H16" s="94" t="s">
        <v>651</v>
      </c>
      <c r="I16" s="94" t="s">
        <v>1473</v>
      </c>
      <c r="J16" s="94" t="s">
        <v>733</v>
      </c>
      <c r="K16" s="97">
        <v>7425</v>
      </c>
    </row>
    <row r="17" spans="1:11" x14ac:dyDescent="0.4">
      <c r="A17" s="94"/>
      <c r="B17" s="94"/>
      <c r="C17" s="94"/>
      <c r="D17" s="94"/>
      <c r="E17" s="94" t="s">
        <v>544</v>
      </c>
      <c r="F17" s="95">
        <v>43914</v>
      </c>
      <c r="G17" s="94" t="s">
        <v>1454</v>
      </c>
      <c r="H17" s="94" t="s">
        <v>712</v>
      </c>
      <c r="I17" s="94" t="s">
        <v>1474</v>
      </c>
      <c r="J17" s="94" t="s">
        <v>733</v>
      </c>
      <c r="K17" s="97">
        <v>101.94</v>
      </c>
    </row>
    <row r="18" spans="1:11" x14ac:dyDescent="0.4">
      <c r="A18" s="94"/>
      <c r="B18" s="94"/>
      <c r="C18" s="94"/>
      <c r="D18" s="94"/>
      <c r="E18" s="94" t="s">
        <v>545</v>
      </c>
      <c r="F18" s="95">
        <v>43914</v>
      </c>
      <c r="G18" s="94" t="s">
        <v>1455</v>
      </c>
      <c r="H18" s="94" t="s">
        <v>1458</v>
      </c>
      <c r="I18" s="94" t="s">
        <v>1475</v>
      </c>
      <c r="J18" s="94" t="s">
        <v>924</v>
      </c>
      <c r="K18" s="97">
        <v>1290</v>
      </c>
    </row>
    <row r="19" spans="1:11" x14ac:dyDescent="0.4">
      <c r="A19" s="94"/>
      <c r="B19" s="94"/>
      <c r="C19" s="94"/>
      <c r="D19" s="94"/>
      <c r="E19" s="94" t="s">
        <v>545</v>
      </c>
      <c r="F19" s="95">
        <v>43920</v>
      </c>
      <c r="G19" s="94" t="s">
        <v>1456</v>
      </c>
      <c r="H19" s="94" t="s">
        <v>1462</v>
      </c>
      <c r="I19" s="94" t="s">
        <v>1476</v>
      </c>
      <c r="J19" s="94" t="s">
        <v>923</v>
      </c>
      <c r="K19" s="97">
        <v>227.06</v>
      </c>
    </row>
    <row r="20" spans="1:11" x14ac:dyDescent="0.4">
      <c r="A20" s="94"/>
      <c r="B20" s="94"/>
      <c r="C20" s="94"/>
      <c r="D20" s="94"/>
      <c r="E20" s="94" t="s">
        <v>544</v>
      </c>
      <c r="F20" s="95">
        <v>43941</v>
      </c>
      <c r="G20" s="94" t="s">
        <v>1688</v>
      </c>
      <c r="H20" s="94" t="s">
        <v>712</v>
      </c>
      <c r="I20" s="94" t="s">
        <v>1715</v>
      </c>
      <c r="J20" s="94" t="s">
        <v>733</v>
      </c>
      <c r="K20" s="97">
        <v>149.99</v>
      </c>
    </row>
    <row r="21" spans="1:11" x14ac:dyDescent="0.4">
      <c r="A21" s="94"/>
      <c r="B21" s="94"/>
      <c r="C21" s="94"/>
      <c r="D21" s="94"/>
      <c r="E21" s="94" t="s">
        <v>544</v>
      </c>
      <c r="F21" s="95">
        <v>43941</v>
      </c>
      <c r="G21" s="94" t="s">
        <v>1688</v>
      </c>
      <c r="H21" s="94" t="s">
        <v>712</v>
      </c>
      <c r="I21" s="94" t="s">
        <v>1716</v>
      </c>
      <c r="J21" s="94" t="s">
        <v>733</v>
      </c>
      <c r="K21" s="97">
        <v>157.32</v>
      </c>
    </row>
    <row r="22" spans="1:11" x14ac:dyDescent="0.4">
      <c r="A22" s="94"/>
      <c r="B22" s="94"/>
      <c r="C22" s="94"/>
      <c r="D22" s="94"/>
      <c r="E22" s="94" t="s">
        <v>544</v>
      </c>
      <c r="F22" s="95">
        <v>43941</v>
      </c>
      <c r="G22" s="94" t="s">
        <v>1688</v>
      </c>
      <c r="H22" s="94" t="s">
        <v>712</v>
      </c>
      <c r="I22" s="94" t="s">
        <v>1717</v>
      </c>
      <c r="J22" s="94" t="s">
        <v>733</v>
      </c>
      <c r="K22" s="97">
        <v>43.57</v>
      </c>
    </row>
    <row r="23" spans="1:11" x14ac:dyDescent="0.4">
      <c r="A23" s="94"/>
      <c r="B23" s="94"/>
      <c r="C23" s="94"/>
      <c r="D23" s="94"/>
      <c r="E23" s="94" t="s">
        <v>544</v>
      </c>
      <c r="F23" s="95">
        <v>43941</v>
      </c>
      <c r="G23" s="94" t="s">
        <v>1688</v>
      </c>
      <c r="H23" s="94" t="s">
        <v>712</v>
      </c>
      <c r="I23" s="94" t="s">
        <v>1718</v>
      </c>
      <c r="J23" s="94" t="s">
        <v>733</v>
      </c>
      <c r="K23" s="97">
        <v>34.11</v>
      </c>
    </row>
    <row r="24" spans="1:11" x14ac:dyDescent="0.4">
      <c r="A24" s="94"/>
      <c r="B24" s="94"/>
      <c r="C24" s="94"/>
      <c r="D24" s="94"/>
      <c r="E24" s="94" t="s">
        <v>544</v>
      </c>
      <c r="F24" s="95">
        <v>43941</v>
      </c>
      <c r="G24" s="94" t="s">
        <v>1689</v>
      </c>
      <c r="H24" s="94" t="s">
        <v>712</v>
      </c>
      <c r="I24" s="94" t="s">
        <v>1719</v>
      </c>
      <c r="J24" s="94" t="s">
        <v>733</v>
      </c>
      <c r="K24" s="97">
        <v>141.97999999999999</v>
      </c>
    </row>
    <row r="25" spans="1:11" x14ac:dyDescent="0.4">
      <c r="A25" s="94"/>
      <c r="B25" s="94"/>
      <c r="C25" s="94"/>
      <c r="D25" s="94"/>
      <c r="E25" s="94" t="s">
        <v>544</v>
      </c>
      <c r="F25" s="95">
        <v>43942</v>
      </c>
      <c r="G25" s="94" t="s">
        <v>1690</v>
      </c>
      <c r="H25" s="94" t="s">
        <v>580</v>
      </c>
      <c r="I25" s="94" t="s">
        <v>1720</v>
      </c>
      <c r="J25" s="94" t="s">
        <v>733</v>
      </c>
      <c r="K25" s="97">
        <v>123</v>
      </c>
    </row>
    <row r="26" spans="1:11" x14ac:dyDescent="0.4">
      <c r="A26" s="94"/>
      <c r="B26" s="94"/>
      <c r="C26" s="94"/>
      <c r="D26" s="94"/>
      <c r="E26" s="94" t="s">
        <v>545</v>
      </c>
      <c r="F26" s="95">
        <v>43945</v>
      </c>
      <c r="G26" s="94" t="s">
        <v>1691</v>
      </c>
      <c r="H26" s="94" t="s">
        <v>1709</v>
      </c>
      <c r="I26" s="94" t="s">
        <v>1721</v>
      </c>
      <c r="J26" s="94" t="s">
        <v>924</v>
      </c>
      <c r="K26" s="97">
        <v>319.83999999999997</v>
      </c>
    </row>
    <row r="27" spans="1:11" x14ac:dyDescent="0.4">
      <c r="A27" s="94"/>
      <c r="B27" s="94"/>
      <c r="C27" s="94"/>
      <c r="D27" s="94"/>
      <c r="E27" s="94" t="s">
        <v>545</v>
      </c>
      <c r="F27" s="95">
        <v>43945</v>
      </c>
      <c r="G27" s="94" t="s">
        <v>1691</v>
      </c>
      <c r="H27" s="94" t="s">
        <v>1709</v>
      </c>
      <c r="I27" s="94" t="s">
        <v>1722</v>
      </c>
      <c r="J27" s="94" t="s">
        <v>924</v>
      </c>
      <c r="K27" s="97">
        <v>-15.99</v>
      </c>
    </row>
    <row r="28" spans="1:11" x14ac:dyDescent="0.4">
      <c r="A28" s="94"/>
      <c r="B28" s="94"/>
      <c r="C28" s="94"/>
      <c r="D28" s="94"/>
      <c r="E28" s="94" t="s">
        <v>545</v>
      </c>
      <c r="F28" s="95">
        <v>43951</v>
      </c>
      <c r="G28" s="94" t="s">
        <v>1692</v>
      </c>
      <c r="H28" s="94" t="s">
        <v>1462</v>
      </c>
      <c r="I28" s="94" t="s">
        <v>1476</v>
      </c>
      <c r="J28" s="94" t="s">
        <v>923</v>
      </c>
      <c r="K28" s="97">
        <v>132.66</v>
      </c>
    </row>
    <row r="29" spans="1:11" x14ac:dyDescent="0.4">
      <c r="A29" s="94"/>
      <c r="B29" s="94"/>
      <c r="C29" s="94"/>
      <c r="D29" s="94"/>
      <c r="E29" s="94" t="s">
        <v>544</v>
      </c>
      <c r="F29" s="95">
        <v>43955</v>
      </c>
      <c r="G29" s="94" t="s">
        <v>1693</v>
      </c>
      <c r="H29" s="94" t="s">
        <v>1710</v>
      </c>
      <c r="I29" s="94" t="s">
        <v>1723</v>
      </c>
      <c r="J29" s="94" t="s">
        <v>733</v>
      </c>
      <c r="K29" s="97">
        <v>1017</v>
      </c>
    </row>
    <row r="30" spans="1:11" x14ac:dyDescent="0.4">
      <c r="A30" s="94"/>
      <c r="B30" s="94"/>
      <c r="C30" s="94"/>
      <c r="D30" s="94"/>
      <c r="E30" s="94" t="s">
        <v>544</v>
      </c>
      <c r="F30" s="95">
        <v>43955</v>
      </c>
      <c r="G30" s="94" t="s">
        <v>1693</v>
      </c>
      <c r="H30" s="94" t="s">
        <v>1710</v>
      </c>
      <c r="I30" s="94" t="s">
        <v>1724</v>
      </c>
      <c r="J30" s="94" t="s">
        <v>733</v>
      </c>
      <c r="K30" s="97">
        <v>1113</v>
      </c>
    </row>
    <row r="31" spans="1:11" x14ac:dyDescent="0.4">
      <c r="A31" s="94"/>
      <c r="B31" s="94"/>
      <c r="C31" s="94"/>
      <c r="D31" s="94"/>
      <c r="E31" s="94" t="s">
        <v>544</v>
      </c>
      <c r="F31" s="95">
        <v>43955</v>
      </c>
      <c r="G31" s="94" t="s">
        <v>1693</v>
      </c>
      <c r="H31" s="94" t="s">
        <v>1710</v>
      </c>
      <c r="I31" s="94" t="s">
        <v>1725</v>
      </c>
      <c r="J31" s="94" t="s">
        <v>733</v>
      </c>
      <c r="K31" s="97">
        <v>1428</v>
      </c>
    </row>
    <row r="32" spans="1:11" x14ac:dyDescent="0.4">
      <c r="A32" s="94"/>
      <c r="B32" s="94"/>
      <c r="C32" s="94"/>
      <c r="D32" s="94"/>
      <c r="E32" s="94" t="s">
        <v>544</v>
      </c>
      <c r="F32" s="95">
        <v>43955</v>
      </c>
      <c r="G32" s="94" t="s">
        <v>1693</v>
      </c>
      <c r="H32" s="94" t="s">
        <v>1710</v>
      </c>
      <c r="I32" s="94" t="s">
        <v>1726</v>
      </c>
      <c r="J32" s="94" t="s">
        <v>733</v>
      </c>
      <c r="K32" s="97">
        <v>1428</v>
      </c>
    </row>
    <row r="33" spans="1:11" x14ac:dyDescent="0.4">
      <c r="A33" s="94"/>
      <c r="B33" s="94"/>
      <c r="C33" s="94"/>
      <c r="D33" s="94"/>
      <c r="E33" s="94" t="s">
        <v>544</v>
      </c>
      <c r="F33" s="95">
        <v>43955</v>
      </c>
      <c r="G33" s="94" t="s">
        <v>1694</v>
      </c>
      <c r="H33" s="94" t="s">
        <v>580</v>
      </c>
      <c r="I33" s="94" t="s">
        <v>1727</v>
      </c>
      <c r="J33" s="94" t="s">
        <v>733</v>
      </c>
      <c r="K33" s="97">
        <v>41.9</v>
      </c>
    </row>
    <row r="34" spans="1:11" x14ac:dyDescent="0.4">
      <c r="A34" s="94"/>
      <c r="B34" s="94"/>
      <c r="C34" s="94"/>
      <c r="D34" s="94"/>
      <c r="E34" s="94" t="s">
        <v>545</v>
      </c>
      <c r="F34" s="95">
        <v>43955</v>
      </c>
      <c r="G34" s="94" t="s">
        <v>1695</v>
      </c>
      <c r="H34" s="94" t="s">
        <v>1711</v>
      </c>
      <c r="I34" s="94" t="s">
        <v>1728</v>
      </c>
      <c r="J34" s="94" t="s">
        <v>923</v>
      </c>
      <c r="K34" s="97">
        <v>900</v>
      </c>
    </row>
    <row r="35" spans="1:11" x14ac:dyDescent="0.4">
      <c r="A35" s="94"/>
      <c r="B35" s="94"/>
      <c r="C35" s="94"/>
      <c r="D35" s="94"/>
      <c r="E35" s="94" t="s">
        <v>545</v>
      </c>
      <c r="F35" s="95">
        <v>43957</v>
      </c>
      <c r="G35" s="94" t="s">
        <v>1862</v>
      </c>
      <c r="H35" s="94" t="s">
        <v>1863</v>
      </c>
      <c r="I35" s="94" t="s">
        <v>1729</v>
      </c>
      <c r="J35" s="94" t="s">
        <v>923</v>
      </c>
      <c r="K35" s="97">
        <v>480.45</v>
      </c>
    </row>
    <row r="36" spans="1:11" x14ac:dyDescent="0.4">
      <c r="A36" s="94"/>
      <c r="B36" s="94"/>
      <c r="C36" s="94"/>
      <c r="D36" s="94"/>
      <c r="E36" s="94" t="s">
        <v>544</v>
      </c>
      <c r="F36" s="95">
        <v>43958</v>
      </c>
      <c r="G36" s="94" t="s">
        <v>1552</v>
      </c>
      <c r="H36" s="94" t="s">
        <v>579</v>
      </c>
      <c r="I36" s="94" t="s">
        <v>1729</v>
      </c>
      <c r="J36" s="94" t="s">
        <v>733</v>
      </c>
      <c r="K36" s="97">
        <v>43.92</v>
      </c>
    </row>
    <row r="37" spans="1:11" x14ac:dyDescent="0.4">
      <c r="A37" s="94"/>
      <c r="B37" s="94"/>
      <c r="C37" s="94"/>
      <c r="D37" s="94"/>
      <c r="E37" s="94" t="s">
        <v>545</v>
      </c>
      <c r="F37" s="95">
        <v>43958</v>
      </c>
      <c r="G37" s="94" t="s">
        <v>1696</v>
      </c>
      <c r="H37" s="94" t="s">
        <v>1712</v>
      </c>
      <c r="I37" s="94" t="s">
        <v>1730</v>
      </c>
      <c r="J37" s="94" t="s">
        <v>923</v>
      </c>
      <c r="K37" s="97">
        <v>8.41</v>
      </c>
    </row>
    <row r="38" spans="1:11" x14ac:dyDescent="0.4">
      <c r="A38" s="94"/>
      <c r="B38" s="94"/>
      <c r="C38" s="94"/>
      <c r="D38" s="94"/>
      <c r="E38" s="94" t="s">
        <v>544</v>
      </c>
      <c r="F38" s="95">
        <v>43960</v>
      </c>
      <c r="G38" s="94" t="s">
        <v>1697</v>
      </c>
      <c r="H38" s="94" t="s">
        <v>712</v>
      </c>
      <c r="I38" s="94" t="s">
        <v>1731</v>
      </c>
      <c r="J38" s="94" t="s">
        <v>733</v>
      </c>
      <c r="K38" s="97">
        <v>75.989999999999995</v>
      </c>
    </row>
    <row r="39" spans="1:11" x14ac:dyDescent="0.4">
      <c r="A39" s="94"/>
      <c r="B39" s="94"/>
      <c r="C39" s="94"/>
      <c r="D39" s="94"/>
      <c r="E39" s="94" t="s">
        <v>544</v>
      </c>
      <c r="F39" s="95">
        <v>43960</v>
      </c>
      <c r="G39" s="94" t="s">
        <v>1697</v>
      </c>
      <c r="H39" s="94" t="s">
        <v>712</v>
      </c>
      <c r="I39" s="94" t="s">
        <v>1732</v>
      </c>
      <c r="J39" s="94" t="s">
        <v>733</v>
      </c>
      <c r="K39" s="97">
        <v>8.99</v>
      </c>
    </row>
    <row r="40" spans="1:11" x14ac:dyDescent="0.4">
      <c r="A40" s="94"/>
      <c r="B40" s="94"/>
      <c r="C40" s="94"/>
      <c r="D40" s="94"/>
      <c r="E40" s="94" t="s">
        <v>544</v>
      </c>
      <c r="F40" s="95">
        <v>43963</v>
      </c>
      <c r="G40" s="94" t="s">
        <v>1698</v>
      </c>
      <c r="H40" s="94" t="s">
        <v>1710</v>
      </c>
      <c r="I40" s="94" t="s">
        <v>1723</v>
      </c>
      <c r="J40" s="94" t="s">
        <v>733</v>
      </c>
      <c r="K40" s="97">
        <v>1017</v>
      </c>
    </row>
    <row r="41" spans="1:11" x14ac:dyDescent="0.4">
      <c r="A41" s="94"/>
      <c r="B41" s="94"/>
      <c r="C41" s="94"/>
      <c r="D41" s="94"/>
      <c r="E41" s="94" t="s">
        <v>544</v>
      </c>
      <c r="F41" s="95">
        <v>43963</v>
      </c>
      <c r="G41" s="94" t="s">
        <v>1698</v>
      </c>
      <c r="H41" s="94" t="s">
        <v>1710</v>
      </c>
      <c r="I41" s="94" t="s">
        <v>1733</v>
      </c>
      <c r="J41" s="94" t="s">
        <v>733</v>
      </c>
      <c r="K41" s="97">
        <v>149.5</v>
      </c>
    </row>
    <row r="42" spans="1:11" x14ac:dyDescent="0.4">
      <c r="A42" s="94"/>
      <c r="B42" s="94"/>
      <c r="C42" s="94"/>
      <c r="D42" s="94"/>
      <c r="E42" s="94" t="s">
        <v>544</v>
      </c>
      <c r="F42" s="95">
        <v>43964</v>
      </c>
      <c r="G42" s="94" t="s">
        <v>1699</v>
      </c>
      <c r="H42" s="94" t="s">
        <v>631</v>
      </c>
      <c r="I42" s="94" t="s">
        <v>1734</v>
      </c>
      <c r="J42" s="94" t="s">
        <v>733</v>
      </c>
      <c r="K42" s="97">
        <v>153</v>
      </c>
    </row>
    <row r="43" spans="1:11" x14ac:dyDescent="0.4">
      <c r="A43" s="94"/>
      <c r="B43" s="94"/>
      <c r="C43" s="94"/>
      <c r="D43" s="94"/>
      <c r="E43" s="94" t="s">
        <v>544</v>
      </c>
      <c r="F43" s="95">
        <v>43964</v>
      </c>
      <c r="G43" s="94" t="s">
        <v>1700</v>
      </c>
      <c r="H43" s="94" t="s">
        <v>698</v>
      </c>
      <c r="I43" s="94" t="s">
        <v>1729</v>
      </c>
      <c r="J43" s="94" t="s">
        <v>733</v>
      </c>
      <c r="K43" s="97">
        <v>173.92</v>
      </c>
    </row>
    <row r="44" spans="1:11" x14ac:dyDescent="0.4">
      <c r="A44" s="94"/>
      <c r="B44" s="94"/>
      <c r="C44" s="94"/>
      <c r="D44" s="94"/>
      <c r="E44" s="94" t="s">
        <v>545</v>
      </c>
      <c r="F44" s="95">
        <v>43964</v>
      </c>
      <c r="G44" s="94" t="s">
        <v>1701</v>
      </c>
      <c r="H44" s="94" t="s">
        <v>710</v>
      </c>
      <c r="I44" s="94" t="s">
        <v>1735</v>
      </c>
      <c r="J44" s="94" t="s">
        <v>924</v>
      </c>
      <c r="K44" s="97">
        <v>69.989999999999995</v>
      </c>
    </row>
    <row r="45" spans="1:11" x14ac:dyDescent="0.4">
      <c r="A45" s="94"/>
      <c r="B45" s="94"/>
      <c r="C45" s="94"/>
      <c r="D45" s="94"/>
      <c r="E45" s="94" t="s">
        <v>544</v>
      </c>
      <c r="F45" s="95">
        <v>43964</v>
      </c>
      <c r="G45" s="94" t="s">
        <v>1702</v>
      </c>
      <c r="H45" s="94" t="s">
        <v>1713</v>
      </c>
      <c r="I45" s="94" t="s">
        <v>1736</v>
      </c>
      <c r="J45" s="94" t="s">
        <v>733</v>
      </c>
      <c r="K45" s="97">
        <v>79.31</v>
      </c>
    </row>
    <row r="46" spans="1:11" x14ac:dyDescent="0.4">
      <c r="A46" s="94"/>
      <c r="B46" s="94"/>
      <c r="C46" s="94"/>
      <c r="D46" s="94"/>
      <c r="E46" s="94" t="s">
        <v>544</v>
      </c>
      <c r="F46" s="95">
        <v>43965</v>
      </c>
      <c r="G46" s="94" t="s">
        <v>2075</v>
      </c>
      <c r="H46" s="94" t="s">
        <v>1714</v>
      </c>
      <c r="I46" s="94" t="s">
        <v>1737</v>
      </c>
      <c r="J46" s="94" t="s">
        <v>733</v>
      </c>
      <c r="K46" s="97">
        <v>759.98</v>
      </c>
    </row>
    <row r="47" spans="1:11" x14ac:dyDescent="0.4">
      <c r="A47" s="94"/>
      <c r="B47" s="94"/>
      <c r="C47" s="94"/>
      <c r="D47" s="94"/>
      <c r="E47" s="94" t="s">
        <v>544</v>
      </c>
      <c r="F47" s="95">
        <v>43965</v>
      </c>
      <c r="G47" s="94" t="s">
        <v>1703</v>
      </c>
      <c r="H47" s="94" t="s">
        <v>1605</v>
      </c>
      <c r="I47" s="94" t="s">
        <v>1738</v>
      </c>
      <c r="J47" s="94" t="s">
        <v>733</v>
      </c>
      <c r="K47" s="97">
        <v>667.77</v>
      </c>
    </row>
    <row r="48" spans="1:11" x14ac:dyDescent="0.4">
      <c r="A48" s="94"/>
      <c r="B48" s="94"/>
      <c r="C48" s="94"/>
      <c r="D48" s="94"/>
      <c r="E48" s="94" t="s">
        <v>544</v>
      </c>
      <c r="F48" s="95">
        <v>43965</v>
      </c>
      <c r="G48" s="94" t="s">
        <v>1703</v>
      </c>
      <c r="H48" s="94" t="s">
        <v>1605</v>
      </c>
      <c r="I48" s="94" t="s">
        <v>1739</v>
      </c>
      <c r="J48" s="94" t="s">
        <v>733</v>
      </c>
      <c r="K48" s="97">
        <v>28.3</v>
      </c>
    </row>
    <row r="49" spans="1:11" x14ac:dyDescent="0.4">
      <c r="A49" s="94"/>
      <c r="B49" s="94"/>
      <c r="C49" s="94"/>
      <c r="D49" s="94"/>
      <c r="E49" s="94" t="s">
        <v>545</v>
      </c>
      <c r="F49" s="95">
        <v>43965</v>
      </c>
      <c r="G49" s="94" t="s">
        <v>1855</v>
      </c>
      <c r="H49" s="94" t="s">
        <v>1863</v>
      </c>
      <c r="I49" s="94" t="s">
        <v>1866</v>
      </c>
      <c r="J49" s="94" t="s">
        <v>924</v>
      </c>
      <c r="K49" s="97">
        <v>900</v>
      </c>
    </row>
    <row r="50" spans="1:11" x14ac:dyDescent="0.4">
      <c r="A50" s="94"/>
      <c r="B50" s="94"/>
      <c r="C50" s="94"/>
      <c r="D50" s="94"/>
      <c r="E50" s="94" t="s">
        <v>545</v>
      </c>
      <c r="F50" s="95">
        <v>43965</v>
      </c>
      <c r="G50" s="94" t="s">
        <v>1856</v>
      </c>
      <c r="H50" s="94" t="s">
        <v>1864</v>
      </c>
      <c r="I50" s="94" t="s">
        <v>1867</v>
      </c>
      <c r="J50" s="94" t="s">
        <v>924</v>
      </c>
      <c r="K50" s="97">
        <v>239.99</v>
      </c>
    </row>
    <row r="51" spans="1:11" x14ac:dyDescent="0.4">
      <c r="A51" s="94"/>
      <c r="B51" s="94"/>
      <c r="C51" s="94"/>
      <c r="D51" s="94"/>
      <c r="E51" s="94" t="s">
        <v>544</v>
      </c>
      <c r="F51" s="95">
        <v>43966</v>
      </c>
      <c r="G51" s="94" t="s">
        <v>1568</v>
      </c>
      <c r="H51" s="94" t="s">
        <v>631</v>
      </c>
      <c r="I51" s="94" t="s">
        <v>1740</v>
      </c>
      <c r="J51" s="94" t="s">
        <v>733</v>
      </c>
      <c r="K51" s="97">
        <v>53.13</v>
      </c>
    </row>
    <row r="52" spans="1:11" x14ac:dyDescent="0.4">
      <c r="A52" s="94"/>
      <c r="B52" s="94"/>
      <c r="C52" s="94"/>
      <c r="D52" s="94"/>
      <c r="E52" s="94" t="s">
        <v>545</v>
      </c>
      <c r="F52" s="95">
        <v>43966</v>
      </c>
      <c r="G52" s="94" t="s">
        <v>1857</v>
      </c>
      <c r="H52" s="94" t="s">
        <v>582</v>
      </c>
      <c r="I52" s="94" t="s">
        <v>1868</v>
      </c>
      <c r="J52" s="94" t="s">
        <v>923</v>
      </c>
      <c r="K52" s="97">
        <v>124.9</v>
      </c>
    </row>
    <row r="53" spans="1:11" x14ac:dyDescent="0.4">
      <c r="A53" s="94"/>
      <c r="B53" s="94"/>
      <c r="C53" s="94"/>
      <c r="D53" s="94"/>
      <c r="E53" s="94" t="s">
        <v>544</v>
      </c>
      <c r="F53" s="95">
        <v>43968</v>
      </c>
      <c r="G53" s="94" t="s">
        <v>1704</v>
      </c>
      <c r="H53" s="94" t="s">
        <v>712</v>
      </c>
      <c r="I53" s="94" t="s">
        <v>1731</v>
      </c>
      <c r="J53" s="94" t="s">
        <v>733</v>
      </c>
      <c r="K53" s="97">
        <v>139.97999999999999</v>
      </c>
    </row>
    <row r="54" spans="1:11" x14ac:dyDescent="0.4">
      <c r="A54" s="94"/>
      <c r="B54" s="94"/>
      <c r="C54" s="94"/>
      <c r="D54" s="94"/>
      <c r="E54" s="94" t="s">
        <v>544</v>
      </c>
      <c r="F54" s="95">
        <v>43969</v>
      </c>
      <c r="G54" s="94" t="s">
        <v>1705</v>
      </c>
      <c r="H54" s="94" t="s">
        <v>712</v>
      </c>
      <c r="I54" s="94" t="s">
        <v>2084</v>
      </c>
      <c r="J54" s="94" t="s">
        <v>733</v>
      </c>
      <c r="K54" s="97">
        <v>69.989999999999995</v>
      </c>
    </row>
    <row r="55" spans="1:11" x14ac:dyDescent="0.4">
      <c r="A55" s="94"/>
      <c r="B55" s="94"/>
      <c r="C55" s="94"/>
      <c r="D55" s="94"/>
      <c r="E55" s="94" t="s">
        <v>544</v>
      </c>
      <c r="F55" s="95">
        <v>43969</v>
      </c>
      <c r="G55" s="94" t="s">
        <v>1705</v>
      </c>
      <c r="H55" s="94" t="s">
        <v>712</v>
      </c>
      <c r="I55" s="94" t="s">
        <v>2085</v>
      </c>
      <c r="J55" s="94" t="s">
        <v>733</v>
      </c>
      <c r="K55" s="97">
        <v>340.5</v>
      </c>
    </row>
    <row r="56" spans="1:11" x14ac:dyDescent="0.4">
      <c r="A56" s="94"/>
      <c r="B56" s="94"/>
      <c r="C56" s="94"/>
      <c r="D56" s="94"/>
      <c r="E56" s="94" t="s">
        <v>544</v>
      </c>
      <c r="F56" s="95">
        <v>43969</v>
      </c>
      <c r="G56" s="94" t="s">
        <v>1705</v>
      </c>
      <c r="H56" s="94" t="s">
        <v>712</v>
      </c>
      <c r="I56" s="94" t="s">
        <v>2086</v>
      </c>
      <c r="J56" s="94" t="s">
        <v>733</v>
      </c>
      <c r="K56" s="97">
        <v>2.99</v>
      </c>
    </row>
    <row r="57" spans="1:11" x14ac:dyDescent="0.4">
      <c r="A57" s="94"/>
      <c r="B57" s="94"/>
      <c r="C57" s="94"/>
      <c r="D57" s="94"/>
      <c r="E57" s="94" t="s">
        <v>544</v>
      </c>
      <c r="F57" s="95">
        <v>43970</v>
      </c>
      <c r="G57" s="94" t="s">
        <v>1707</v>
      </c>
      <c r="H57" s="94" t="s">
        <v>712</v>
      </c>
      <c r="I57" s="94" t="s">
        <v>2087</v>
      </c>
      <c r="J57" s="94" t="s">
        <v>733</v>
      </c>
      <c r="K57" s="97">
        <v>199.98</v>
      </c>
    </row>
    <row r="58" spans="1:11" x14ac:dyDescent="0.4">
      <c r="A58" s="94"/>
      <c r="B58" s="94"/>
      <c r="C58" s="94"/>
      <c r="D58" s="94"/>
      <c r="E58" s="94" t="s">
        <v>544</v>
      </c>
      <c r="F58" s="95">
        <v>43970</v>
      </c>
      <c r="G58" s="94" t="s">
        <v>1707</v>
      </c>
      <c r="H58" s="94" t="s">
        <v>712</v>
      </c>
      <c r="I58" s="94" t="s">
        <v>2084</v>
      </c>
      <c r="J58" s="94" t="s">
        <v>733</v>
      </c>
      <c r="K58" s="97">
        <v>0</v>
      </c>
    </row>
    <row r="59" spans="1:11" x14ac:dyDescent="0.4">
      <c r="A59" s="94"/>
      <c r="B59" s="94"/>
      <c r="C59" s="94"/>
      <c r="D59" s="94"/>
      <c r="E59" s="94" t="s">
        <v>544</v>
      </c>
      <c r="F59" s="95">
        <v>43970</v>
      </c>
      <c r="G59" s="94" t="s">
        <v>1707</v>
      </c>
      <c r="H59" s="94" t="s">
        <v>712</v>
      </c>
      <c r="I59" s="94" t="s">
        <v>2085</v>
      </c>
      <c r="J59" s="94" t="s">
        <v>733</v>
      </c>
      <c r="K59" s="97">
        <v>0</v>
      </c>
    </row>
    <row r="60" spans="1:11" x14ac:dyDescent="0.4">
      <c r="A60" s="94"/>
      <c r="B60" s="94"/>
      <c r="C60" s="94"/>
      <c r="D60" s="94"/>
      <c r="E60" s="94" t="s">
        <v>544</v>
      </c>
      <c r="F60" s="95">
        <v>43970</v>
      </c>
      <c r="G60" s="94" t="s">
        <v>1707</v>
      </c>
      <c r="H60" s="94" t="s">
        <v>712</v>
      </c>
      <c r="I60" s="94" t="s">
        <v>2086</v>
      </c>
      <c r="J60" s="94" t="s">
        <v>733</v>
      </c>
      <c r="K60" s="97">
        <v>0</v>
      </c>
    </row>
    <row r="61" spans="1:11" x14ac:dyDescent="0.4">
      <c r="A61" s="94"/>
      <c r="B61" s="94"/>
      <c r="C61" s="94"/>
      <c r="D61" s="94"/>
      <c r="E61" s="94" t="s">
        <v>544</v>
      </c>
      <c r="F61" s="95">
        <v>43970</v>
      </c>
      <c r="G61" s="94" t="s">
        <v>1706</v>
      </c>
      <c r="H61" s="94" t="s">
        <v>712</v>
      </c>
      <c r="I61" s="94" t="s">
        <v>1741</v>
      </c>
      <c r="J61" s="94" t="s">
        <v>733</v>
      </c>
      <c r="K61" s="97">
        <v>905</v>
      </c>
    </row>
    <row r="62" spans="1:11" x14ac:dyDescent="0.4">
      <c r="A62" s="94"/>
      <c r="B62" s="94"/>
      <c r="C62" s="94"/>
      <c r="D62" s="94"/>
      <c r="E62" s="94" t="s">
        <v>544</v>
      </c>
      <c r="F62" s="95">
        <v>43970</v>
      </c>
      <c r="G62" s="94" t="s">
        <v>2076</v>
      </c>
      <c r="H62" s="94" t="s">
        <v>580</v>
      </c>
      <c r="I62" s="94" t="s">
        <v>2088</v>
      </c>
      <c r="J62" s="94" t="s">
        <v>733</v>
      </c>
      <c r="K62" s="97">
        <v>327.7</v>
      </c>
    </row>
    <row r="63" spans="1:11" x14ac:dyDescent="0.4">
      <c r="A63" s="94"/>
      <c r="B63" s="94"/>
      <c r="C63" s="94"/>
      <c r="D63" s="94"/>
      <c r="E63" s="94" t="s">
        <v>544</v>
      </c>
      <c r="F63" s="95">
        <v>43971</v>
      </c>
      <c r="G63" s="94" t="s">
        <v>1708</v>
      </c>
      <c r="H63" s="94" t="s">
        <v>836</v>
      </c>
      <c r="I63" s="94" t="s">
        <v>1742</v>
      </c>
      <c r="J63" s="94" t="s">
        <v>733</v>
      </c>
      <c r="K63" s="97">
        <v>93.63</v>
      </c>
    </row>
    <row r="64" spans="1:11" x14ac:dyDescent="0.4">
      <c r="A64" s="94"/>
      <c r="B64" s="94"/>
      <c r="C64" s="94"/>
      <c r="D64" s="94"/>
      <c r="E64" s="94" t="s">
        <v>544</v>
      </c>
      <c r="F64" s="95">
        <v>43978</v>
      </c>
      <c r="G64" s="94" t="s">
        <v>1858</v>
      </c>
      <c r="H64" s="94" t="s">
        <v>1710</v>
      </c>
      <c r="I64" s="94" t="s">
        <v>1869</v>
      </c>
      <c r="J64" s="94" t="s">
        <v>733</v>
      </c>
      <c r="K64" s="97">
        <v>339</v>
      </c>
    </row>
    <row r="65" spans="1:11" x14ac:dyDescent="0.4">
      <c r="A65" s="94"/>
      <c r="B65" s="94"/>
      <c r="C65" s="94"/>
      <c r="D65" s="94"/>
      <c r="E65" s="94" t="s">
        <v>544</v>
      </c>
      <c r="F65" s="95">
        <v>43978</v>
      </c>
      <c r="G65" s="94" t="s">
        <v>1858</v>
      </c>
      <c r="H65" s="94" t="s">
        <v>1710</v>
      </c>
      <c r="I65" s="94" t="s">
        <v>1870</v>
      </c>
      <c r="J65" s="94" t="s">
        <v>733</v>
      </c>
      <c r="K65" s="97">
        <v>365</v>
      </c>
    </row>
    <row r="66" spans="1:11" x14ac:dyDescent="0.4">
      <c r="A66" s="94"/>
      <c r="B66" s="94"/>
      <c r="C66" s="94"/>
      <c r="D66" s="94"/>
      <c r="E66" s="94" t="s">
        <v>545</v>
      </c>
      <c r="F66" s="95">
        <v>43983</v>
      </c>
      <c r="G66" s="94" t="s">
        <v>1859</v>
      </c>
      <c r="H66" s="94" t="s">
        <v>1865</v>
      </c>
      <c r="I66" s="94" t="s">
        <v>1871</v>
      </c>
      <c r="J66" s="94" t="s">
        <v>924</v>
      </c>
      <c r="K66" s="97">
        <v>13.47</v>
      </c>
    </row>
    <row r="67" spans="1:11" x14ac:dyDescent="0.4">
      <c r="A67" s="94"/>
      <c r="B67" s="94"/>
      <c r="C67" s="94"/>
      <c r="D67" s="94"/>
      <c r="E67" s="94" t="s">
        <v>545</v>
      </c>
      <c r="F67" s="95">
        <v>43983</v>
      </c>
      <c r="G67" s="94" t="s">
        <v>1860</v>
      </c>
      <c r="H67" s="94" t="s">
        <v>1459</v>
      </c>
      <c r="I67" s="94" t="s">
        <v>1872</v>
      </c>
      <c r="J67" s="94" t="s">
        <v>924</v>
      </c>
      <c r="K67" s="97">
        <v>49.47</v>
      </c>
    </row>
    <row r="68" spans="1:11" x14ac:dyDescent="0.4">
      <c r="A68" s="94"/>
      <c r="B68" s="94"/>
      <c r="C68" s="94"/>
      <c r="D68" s="94"/>
      <c r="E68" s="94" t="s">
        <v>544</v>
      </c>
      <c r="F68" s="95">
        <v>43983</v>
      </c>
      <c r="G68" s="94" t="s">
        <v>1861</v>
      </c>
      <c r="H68" s="94" t="s">
        <v>1713</v>
      </c>
      <c r="I68" s="94" t="s">
        <v>1873</v>
      </c>
      <c r="J68" s="94" t="s">
        <v>733</v>
      </c>
      <c r="K68" s="97">
        <v>161.13999999999999</v>
      </c>
    </row>
    <row r="69" spans="1:11" x14ac:dyDescent="0.4">
      <c r="A69" s="94"/>
      <c r="B69" s="94"/>
      <c r="C69" s="94"/>
      <c r="D69" s="94"/>
      <c r="E69" s="94" t="s">
        <v>544</v>
      </c>
      <c r="F69" s="95">
        <v>43993</v>
      </c>
      <c r="G69" s="94" t="s">
        <v>1928</v>
      </c>
      <c r="H69" s="94" t="s">
        <v>631</v>
      </c>
      <c r="I69" s="94" t="s">
        <v>2089</v>
      </c>
      <c r="J69" s="94" t="s">
        <v>733</v>
      </c>
      <c r="K69" s="97">
        <v>0.98</v>
      </c>
    </row>
    <row r="70" spans="1:11" x14ac:dyDescent="0.4">
      <c r="A70" s="94"/>
      <c r="B70" s="94"/>
      <c r="C70" s="94"/>
      <c r="D70" s="94"/>
      <c r="E70" s="94" t="s">
        <v>544</v>
      </c>
      <c r="F70" s="95">
        <v>43994</v>
      </c>
      <c r="G70" s="94" t="s">
        <v>1929</v>
      </c>
      <c r="H70" s="94" t="s">
        <v>631</v>
      </c>
      <c r="I70" s="94" t="s">
        <v>2090</v>
      </c>
      <c r="J70" s="94" t="s">
        <v>733</v>
      </c>
      <c r="K70" s="97">
        <v>334.17</v>
      </c>
    </row>
    <row r="71" spans="1:11" x14ac:dyDescent="0.4">
      <c r="A71" s="94"/>
      <c r="B71" s="94"/>
      <c r="C71" s="94"/>
      <c r="D71" s="94"/>
      <c r="E71" s="94" t="s">
        <v>544</v>
      </c>
      <c r="F71" s="95">
        <v>44005</v>
      </c>
      <c r="G71" s="94" t="s">
        <v>2077</v>
      </c>
      <c r="H71" s="94" t="s">
        <v>1863</v>
      </c>
      <c r="I71" s="94" t="s">
        <v>2091</v>
      </c>
      <c r="J71" s="94" t="s">
        <v>733</v>
      </c>
      <c r="K71" s="97">
        <v>2400</v>
      </c>
    </row>
    <row r="72" spans="1:11" x14ac:dyDescent="0.4">
      <c r="A72" s="94"/>
      <c r="B72" s="94"/>
      <c r="C72" s="94"/>
      <c r="D72" s="94"/>
      <c r="E72" s="94" t="s">
        <v>544</v>
      </c>
      <c r="F72" s="95">
        <v>44005</v>
      </c>
      <c r="G72" s="94" t="s">
        <v>2077</v>
      </c>
      <c r="H72" s="94" t="s">
        <v>1863</v>
      </c>
      <c r="I72" s="94" t="s">
        <v>2092</v>
      </c>
      <c r="J72" s="94" t="s">
        <v>733</v>
      </c>
      <c r="K72" s="97">
        <v>200</v>
      </c>
    </row>
    <row r="73" spans="1:11" x14ac:dyDescent="0.4">
      <c r="A73" s="94"/>
      <c r="B73" s="94"/>
      <c r="C73" s="94"/>
      <c r="D73" s="94"/>
      <c r="E73" s="94" t="s">
        <v>544</v>
      </c>
      <c r="F73" s="95">
        <v>44012</v>
      </c>
      <c r="G73" s="94" t="s">
        <v>2078</v>
      </c>
      <c r="H73" s="94" t="s">
        <v>698</v>
      </c>
      <c r="I73" s="94" t="s">
        <v>2093</v>
      </c>
      <c r="J73" s="94" t="s">
        <v>733</v>
      </c>
      <c r="K73" s="97">
        <v>3168</v>
      </c>
    </row>
    <row r="74" spans="1:11" x14ac:dyDescent="0.4">
      <c r="A74" s="94"/>
      <c r="B74" s="94"/>
      <c r="C74" s="94"/>
      <c r="D74" s="94"/>
      <c r="E74" s="94" t="s">
        <v>545</v>
      </c>
      <c r="F74" s="95">
        <v>44014</v>
      </c>
      <c r="G74" s="94" t="s">
        <v>2079</v>
      </c>
      <c r="H74" s="94" t="s">
        <v>2083</v>
      </c>
      <c r="I74" s="94" t="s">
        <v>2094</v>
      </c>
      <c r="J74" s="94" t="s">
        <v>923</v>
      </c>
      <c r="K74" s="97">
        <v>129</v>
      </c>
    </row>
    <row r="75" spans="1:11" x14ac:dyDescent="0.4">
      <c r="A75" s="94"/>
      <c r="B75" s="94"/>
      <c r="C75" s="94"/>
      <c r="D75" s="94"/>
      <c r="E75" s="94" t="s">
        <v>545</v>
      </c>
      <c r="F75" s="95">
        <v>44018</v>
      </c>
      <c r="G75" s="94" t="s">
        <v>2080</v>
      </c>
      <c r="H75" s="94" t="s">
        <v>582</v>
      </c>
      <c r="I75" s="94" t="s">
        <v>2095</v>
      </c>
      <c r="J75" s="94" t="s">
        <v>927</v>
      </c>
      <c r="K75" s="97">
        <v>358</v>
      </c>
    </row>
    <row r="76" spans="1:11" x14ac:dyDescent="0.4">
      <c r="A76" s="94"/>
      <c r="B76" s="94"/>
      <c r="C76" s="94"/>
      <c r="D76" s="94"/>
      <c r="E76" s="94" t="s">
        <v>545</v>
      </c>
      <c r="F76" s="95">
        <v>44020</v>
      </c>
      <c r="G76" s="94" t="s">
        <v>2081</v>
      </c>
      <c r="H76" s="94" t="s">
        <v>710</v>
      </c>
      <c r="I76" s="94" t="s">
        <v>2096</v>
      </c>
      <c r="J76" s="94" t="s">
        <v>924</v>
      </c>
      <c r="K76" s="97">
        <v>59.49</v>
      </c>
    </row>
    <row r="77" spans="1:11" x14ac:dyDescent="0.4">
      <c r="A77" s="94"/>
      <c r="B77" s="94"/>
      <c r="C77" s="94"/>
      <c r="D77" s="94"/>
      <c r="E77" s="94" t="s">
        <v>544</v>
      </c>
      <c r="F77" s="95">
        <v>44032</v>
      </c>
      <c r="G77" s="94" t="s">
        <v>2082</v>
      </c>
      <c r="H77" s="94" t="s">
        <v>580</v>
      </c>
      <c r="I77" s="94" t="s">
        <v>2097</v>
      </c>
      <c r="J77" s="94" t="s">
        <v>733</v>
      </c>
      <c r="K77" s="97">
        <v>26.28</v>
      </c>
    </row>
    <row r="78" spans="1:11" x14ac:dyDescent="0.4">
      <c r="A78" s="94"/>
      <c r="B78" s="94"/>
      <c r="C78" s="94"/>
      <c r="D78" s="94"/>
      <c r="E78" s="94" t="s">
        <v>544</v>
      </c>
      <c r="F78" s="95">
        <v>44032</v>
      </c>
      <c r="G78" s="94" t="s">
        <v>2082</v>
      </c>
      <c r="H78" s="94" t="s">
        <v>580</v>
      </c>
      <c r="I78" s="94" t="s">
        <v>2098</v>
      </c>
      <c r="J78" s="94" t="s">
        <v>733</v>
      </c>
      <c r="K78" s="97">
        <v>34.950000000000003</v>
      </c>
    </row>
    <row r="79" spans="1:11" x14ac:dyDescent="0.4">
      <c r="A79" s="94"/>
      <c r="B79" s="94"/>
      <c r="C79" s="94"/>
      <c r="D79" s="94"/>
      <c r="E79" s="94" t="s">
        <v>544</v>
      </c>
      <c r="F79" s="95">
        <v>44043</v>
      </c>
      <c r="G79" s="94" t="s">
        <v>2483</v>
      </c>
      <c r="H79" s="94" t="s">
        <v>698</v>
      </c>
      <c r="I79" s="94" t="s">
        <v>2093</v>
      </c>
      <c r="J79" s="94" t="s">
        <v>733</v>
      </c>
      <c r="K79" s="97">
        <v>3312</v>
      </c>
    </row>
    <row r="80" spans="1:11" x14ac:dyDescent="0.4">
      <c r="A80" s="94"/>
      <c r="B80" s="94"/>
      <c r="C80" s="94"/>
      <c r="D80" s="94"/>
      <c r="E80" s="94" t="s">
        <v>544</v>
      </c>
      <c r="F80" s="95">
        <v>44104</v>
      </c>
      <c r="G80" s="94" t="s">
        <v>2703</v>
      </c>
      <c r="H80" s="94" t="s">
        <v>698</v>
      </c>
      <c r="I80" s="94" t="s">
        <v>2093</v>
      </c>
      <c r="J80" s="94" t="s">
        <v>733</v>
      </c>
      <c r="K80" s="97">
        <v>864</v>
      </c>
    </row>
    <row r="81" spans="1:11" x14ac:dyDescent="0.4">
      <c r="A81" s="94"/>
      <c r="B81" s="94"/>
      <c r="C81" s="94"/>
      <c r="D81" s="94"/>
      <c r="E81" s="94" t="s">
        <v>1314</v>
      </c>
      <c r="F81" s="95">
        <v>44116</v>
      </c>
      <c r="G81" s="94" t="s">
        <v>2704</v>
      </c>
      <c r="H81" s="94" t="s">
        <v>2705</v>
      </c>
      <c r="I81" s="94" t="s">
        <v>2706</v>
      </c>
      <c r="J81" s="94" t="s">
        <v>1379</v>
      </c>
      <c r="K81" s="97">
        <v>-43000</v>
      </c>
    </row>
    <row r="82" spans="1:11" ht="15" thickBot="1" x14ac:dyDescent="0.45">
      <c r="A82" s="94"/>
      <c r="B82" s="94"/>
      <c r="C82" s="94"/>
      <c r="D82" s="94"/>
      <c r="E82" s="94" t="s">
        <v>1314</v>
      </c>
      <c r="F82" s="95">
        <v>44137</v>
      </c>
      <c r="G82" s="94" t="s">
        <v>2923</v>
      </c>
      <c r="H82" s="94" t="s">
        <v>2705</v>
      </c>
      <c r="I82" s="94" t="s">
        <v>2924</v>
      </c>
      <c r="J82" s="94" t="s">
        <v>1379</v>
      </c>
      <c r="K82" s="756">
        <v>-729.62</v>
      </c>
    </row>
    <row r="83" spans="1:11" ht="15" thickBot="1" x14ac:dyDescent="0.45">
      <c r="A83" s="94"/>
      <c r="B83" s="94"/>
      <c r="C83" s="94" t="s">
        <v>1446</v>
      </c>
      <c r="D83" s="94"/>
      <c r="E83" s="94"/>
      <c r="F83" s="95"/>
      <c r="G83" s="94"/>
      <c r="H83" s="94"/>
      <c r="I83" s="94"/>
      <c r="J83" s="94"/>
      <c r="K83" s="757">
        <f>ROUND(SUM(K3:K82),5)</f>
        <v>289.64999999999998</v>
      </c>
    </row>
    <row r="84" spans="1:11" ht="15" thickBot="1" x14ac:dyDescent="0.45">
      <c r="A84" s="94"/>
      <c r="B84" s="94" t="s">
        <v>737</v>
      </c>
      <c r="C84" s="94"/>
      <c r="D84" s="94"/>
      <c r="E84" s="94"/>
      <c r="F84" s="95"/>
      <c r="G84" s="94"/>
      <c r="H84" s="94"/>
      <c r="I84" s="94"/>
      <c r="J84" s="94"/>
      <c r="K84" s="757">
        <f>K83</f>
        <v>289.64999999999998</v>
      </c>
    </row>
    <row r="85" spans="1:11" ht="15" thickBot="1" x14ac:dyDescent="0.45">
      <c r="A85" s="94" t="s">
        <v>98</v>
      </c>
      <c r="B85" s="94"/>
      <c r="C85" s="94"/>
      <c r="D85" s="94"/>
      <c r="E85" s="94"/>
      <c r="F85" s="95"/>
      <c r="G85" s="94"/>
      <c r="H85" s="94"/>
      <c r="I85" s="94"/>
      <c r="J85" s="94"/>
      <c r="K85" s="758">
        <f>K84</f>
        <v>289.64999999999998</v>
      </c>
    </row>
    <row r="86" spans="1:11" ht="15" thickTop="1" x14ac:dyDescent="0.4"/>
  </sheetData>
  <pageMargins left="0.7" right="0.7" top="0.75" bottom="0.75" header="0.1" footer="0.3"/>
  <pageSetup orientation="portrait" horizontalDpi="360" verticalDpi="360" r:id="rId1"/>
  <headerFooter>
    <oddHeader>&amp;L&amp;"Arial,Bold"&amp;8 8:12 AM
&amp;"Arial,Bold"&amp;8 11/12/20
&amp;"Arial,Bold"&amp;8 Accrual Basis&amp;C&amp;"Arial,Bold"&amp;12 Williamson Central Appraisal District
&amp;"Arial,Bold"&amp;14 Account QuickReport
&amp;"Arial,Bold"&amp;10 January 1 through November 12,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71695" r:id="rId4" name="FILTER"/>
      </mc:Fallback>
    </mc:AlternateContent>
    <mc:AlternateContent xmlns:mc="http://schemas.openxmlformats.org/markup-compatibility/2006">
      <mc:Choice Requires="x14">
        <control shapeId="7169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71696" r:id="rId6" name="HEADER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4"/>
  <dimension ref="A1:K128"/>
  <sheetViews>
    <sheetView workbookViewId="0">
      <pane xSplit="3" ySplit="1" topLeftCell="D107" activePane="bottomRight" state="frozenSplit"/>
      <selection pane="topRight" activeCell="D1" sqref="D1"/>
      <selection pane="bottomLeft" activeCell="A2" sqref="A2"/>
      <selection pane="bottomRight" activeCell="I116" sqref="I116"/>
    </sheetView>
  </sheetViews>
  <sheetFormatPr defaultColWidth="14.3828125" defaultRowHeight="15" customHeight="1" x14ac:dyDescent="0.4"/>
  <cols>
    <col min="1" max="2" width="3" style="760" customWidth="1"/>
    <col min="3" max="3" width="37.38281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6.3828125" style="760" bestFit="1" customWidth="1"/>
    <col min="8" max="9" width="30.69140625" style="760" customWidth="1"/>
    <col min="10" max="10" width="27.3828125" style="760" bestFit="1" customWidth="1"/>
    <col min="11" max="11" width="10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1102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1104</v>
      </c>
      <c r="H4" s="94" t="s">
        <v>1123</v>
      </c>
      <c r="I4" s="94" t="s">
        <v>1135</v>
      </c>
      <c r="J4" s="94" t="s">
        <v>733</v>
      </c>
      <c r="K4" s="97">
        <v>5000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1105</v>
      </c>
      <c r="H5" s="94" t="s">
        <v>350</v>
      </c>
      <c r="I5" s="94" t="s">
        <v>1136</v>
      </c>
      <c r="J5" s="94" t="s">
        <v>733</v>
      </c>
      <c r="K5" s="97">
        <v>4200</v>
      </c>
    </row>
    <row r="6" spans="1:11" ht="14.6" x14ac:dyDescent="0.4">
      <c r="A6" s="94"/>
      <c r="B6" s="94"/>
      <c r="C6" s="94"/>
      <c r="D6" s="94"/>
      <c r="E6" s="94" t="s">
        <v>545</v>
      </c>
      <c r="F6" s="95">
        <v>43839</v>
      </c>
      <c r="G6" s="94" t="s">
        <v>1106</v>
      </c>
      <c r="H6" s="94" t="s">
        <v>1124</v>
      </c>
      <c r="I6" s="94" t="s">
        <v>1137</v>
      </c>
      <c r="J6" s="94" t="s">
        <v>924</v>
      </c>
      <c r="K6" s="97">
        <v>94.98</v>
      </c>
    </row>
    <row r="7" spans="1:11" ht="14.6" x14ac:dyDescent="0.4">
      <c r="A7" s="94"/>
      <c r="B7" s="94"/>
      <c r="C7" s="94"/>
      <c r="D7" s="94"/>
      <c r="E7" s="94" t="s">
        <v>545</v>
      </c>
      <c r="F7" s="95">
        <v>43839</v>
      </c>
      <c r="G7" s="94" t="s">
        <v>1107</v>
      </c>
      <c r="H7" s="94" t="s">
        <v>1124</v>
      </c>
      <c r="I7" s="94" t="s">
        <v>1138</v>
      </c>
      <c r="J7" s="94" t="s">
        <v>924</v>
      </c>
      <c r="K7" s="97">
        <v>18.5</v>
      </c>
    </row>
    <row r="8" spans="1:11" ht="14.6" x14ac:dyDescent="0.4">
      <c r="A8" s="94"/>
      <c r="B8" s="94"/>
      <c r="C8" s="94"/>
      <c r="D8" s="94"/>
      <c r="E8" s="94" t="s">
        <v>545</v>
      </c>
      <c r="F8" s="95">
        <v>43843</v>
      </c>
      <c r="G8" s="94" t="s">
        <v>1108</v>
      </c>
      <c r="H8" s="94" t="s">
        <v>1125</v>
      </c>
      <c r="I8" s="94" t="s">
        <v>1139</v>
      </c>
      <c r="J8" s="94" t="s">
        <v>924</v>
      </c>
      <c r="K8" s="97">
        <v>139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43851</v>
      </c>
      <c r="G9" s="94" t="s">
        <v>1109</v>
      </c>
      <c r="H9" s="94" t="s">
        <v>1126</v>
      </c>
      <c r="I9" s="94" t="s">
        <v>1140</v>
      </c>
      <c r="J9" s="94" t="s">
        <v>733</v>
      </c>
      <c r="K9" s="97">
        <v>350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43851</v>
      </c>
      <c r="G10" s="94" t="s">
        <v>1109</v>
      </c>
      <c r="H10" s="94" t="s">
        <v>1126</v>
      </c>
      <c r="I10" s="94" t="s">
        <v>1141</v>
      </c>
      <c r="J10" s="94" t="s">
        <v>733</v>
      </c>
      <c r="K10" s="97">
        <v>350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43854</v>
      </c>
      <c r="G11" s="94" t="s">
        <v>1110</v>
      </c>
      <c r="H11" s="94" t="s">
        <v>1127</v>
      </c>
      <c r="I11" s="94" t="s">
        <v>1142</v>
      </c>
      <c r="J11" s="94" t="s">
        <v>733</v>
      </c>
      <c r="K11" s="97">
        <v>35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43856</v>
      </c>
      <c r="G12" s="94" t="s">
        <v>1111</v>
      </c>
      <c r="H12" s="94" t="s">
        <v>1123</v>
      </c>
      <c r="I12" s="94" t="s">
        <v>1135</v>
      </c>
      <c r="J12" s="94" t="s">
        <v>733</v>
      </c>
      <c r="K12" s="97">
        <v>5000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43858</v>
      </c>
      <c r="G13" s="94" t="s">
        <v>1112</v>
      </c>
      <c r="H13" s="94" t="s">
        <v>1128</v>
      </c>
      <c r="I13" s="94" t="s">
        <v>1143</v>
      </c>
      <c r="J13" s="94" t="s">
        <v>733</v>
      </c>
      <c r="K13" s="97">
        <v>7444.84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43861</v>
      </c>
      <c r="G14" s="94" t="s">
        <v>1113</v>
      </c>
      <c r="H14" s="94" t="s">
        <v>1127</v>
      </c>
      <c r="I14" s="94" t="s">
        <v>1144</v>
      </c>
      <c r="J14" s="94" t="s">
        <v>733</v>
      </c>
      <c r="K14" s="97">
        <v>35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43861</v>
      </c>
      <c r="G15" s="94" t="s">
        <v>1113</v>
      </c>
      <c r="H15" s="94" t="s">
        <v>1127</v>
      </c>
      <c r="I15" s="94" t="s">
        <v>1145</v>
      </c>
      <c r="J15" s="94" t="s">
        <v>733</v>
      </c>
      <c r="K15" s="97">
        <v>35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43861</v>
      </c>
      <c r="G16" s="94" t="s">
        <v>1114</v>
      </c>
      <c r="H16" s="94" t="s">
        <v>1126</v>
      </c>
      <c r="I16" s="94" t="s">
        <v>1146</v>
      </c>
      <c r="J16" s="94" t="s">
        <v>733</v>
      </c>
      <c r="K16" s="97">
        <v>350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43862</v>
      </c>
      <c r="G17" s="94" t="s">
        <v>1115</v>
      </c>
      <c r="H17" s="94" t="s">
        <v>1129</v>
      </c>
      <c r="I17" s="94" t="s">
        <v>1147</v>
      </c>
      <c r="J17" s="94" t="s">
        <v>733</v>
      </c>
      <c r="K17" s="97">
        <v>110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43864</v>
      </c>
      <c r="G18" s="94" t="s">
        <v>1116</v>
      </c>
      <c r="H18" s="94" t="s">
        <v>1130</v>
      </c>
      <c r="I18" s="94" t="s">
        <v>1148</v>
      </c>
      <c r="J18" s="94" t="s">
        <v>733</v>
      </c>
      <c r="K18" s="97">
        <v>1500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43873</v>
      </c>
      <c r="G19" s="94" t="s">
        <v>1743</v>
      </c>
      <c r="H19" s="94" t="s">
        <v>1495</v>
      </c>
      <c r="I19" s="94" t="s">
        <v>1755</v>
      </c>
      <c r="J19" s="94" t="s">
        <v>733</v>
      </c>
      <c r="K19" s="97">
        <v>8000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43880</v>
      </c>
      <c r="G20" s="94" t="s">
        <v>1117</v>
      </c>
      <c r="H20" s="94" t="s">
        <v>1131</v>
      </c>
      <c r="I20" s="94" t="s">
        <v>1149</v>
      </c>
      <c r="J20" s="94" t="s">
        <v>733</v>
      </c>
      <c r="K20" s="97">
        <v>500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43880</v>
      </c>
      <c r="G21" s="94" t="s">
        <v>1118</v>
      </c>
      <c r="H21" s="94" t="s">
        <v>1132</v>
      </c>
      <c r="I21" s="94" t="s">
        <v>1150</v>
      </c>
      <c r="J21" s="94" t="s">
        <v>733</v>
      </c>
      <c r="K21" s="97">
        <v>134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43881</v>
      </c>
      <c r="G22" s="94" t="s">
        <v>1119</v>
      </c>
      <c r="H22" s="94" t="s">
        <v>1133</v>
      </c>
      <c r="I22" s="94" t="s">
        <v>1151</v>
      </c>
      <c r="J22" s="94" t="s">
        <v>733</v>
      </c>
      <c r="K22" s="97">
        <v>562.5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43882</v>
      </c>
      <c r="G23" s="94" t="s">
        <v>1120</v>
      </c>
      <c r="H23" s="94" t="s">
        <v>1130</v>
      </c>
      <c r="I23" s="94" t="s">
        <v>1152</v>
      </c>
      <c r="J23" s="94" t="s">
        <v>733</v>
      </c>
      <c r="K23" s="97">
        <v>3500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43885</v>
      </c>
      <c r="G24" s="94" t="s">
        <v>1121</v>
      </c>
      <c r="H24" s="94" t="s">
        <v>1123</v>
      </c>
      <c r="I24" s="94" t="s">
        <v>1135</v>
      </c>
      <c r="J24" s="94" t="s">
        <v>733</v>
      </c>
      <c r="K24" s="97">
        <v>5000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43890</v>
      </c>
      <c r="G25" s="94" t="s">
        <v>1477</v>
      </c>
      <c r="H25" s="94" t="s">
        <v>1491</v>
      </c>
      <c r="I25" s="94" t="s">
        <v>1499</v>
      </c>
      <c r="J25" s="94" t="s">
        <v>733</v>
      </c>
      <c r="K25" s="97">
        <v>197817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43890</v>
      </c>
      <c r="G26" s="94" t="s">
        <v>1478</v>
      </c>
      <c r="H26" s="94" t="s">
        <v>1492</v>
      </c>
      <c r="I26" s="94" t="s">
        <v>1500</v>
      </c>
      <c r="J26" s="94" t="s">
        <v>733</v>
      </c>
      <c r="K26" s="97">
        <v>92.5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43893</v>
      </c>
      <c r="G27" s="94" t="s">
        <v>1122</v>
      </c>
      <c r="H27" s="94" t="s">
        <v>1134</v>
      </c>
      <c r="I27" s="94" t="s">
        <v>1153</v>
      </c>
      <c r="J27" s="94" t="s">
        <v>733</v>
      </c>
      <c r="K27" s="97">
        <v>750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43894</v>
      </c>
      <c r="G28" s="94" t="s">
        <v>1479</v>
      </c>
      <c r="H28" s="94" t="s">
        <v>1493</v>
      </c>
      <c r="I28" s="94" t="s">
        <v>1501</v>
      </c>
      <c r="J28" s="94" t="s">
        <v>733</v>
      </c>
      <c r="K28" s="97">
        <v>6492.3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43895</v>
      </c>
      <c r="G29" s="94" t="s">
        <v>1480</v>
      </c>
      <c r="H29" s="94" t="s">
        <v>1494</v>
      </c>
      <c r="I29" s="94" t="s">
        <v>1502</v>
      </c>
      <c r="J29" s="94" t="s">
        <v>733</v>
      </c>
      <c r="K29" s="97">
        <v>8500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43899</v>
      </c>
      <c r="G30" s="94" t="s">
        <v>798</v>
      </c>
      <c r="H30" s="94" t="s">
        <v>1126</v>
      </c>
      <c r="I30" s="94" t="s">
        <v>1503</v>
      </c>
      <c r="J30" s="94" t="s">
        <v>733</v>
      </c>
      <c r="K30" s="97">
        <v>350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43903</v>
      </c>
      <c r="G31" s="94" t="s">
        <v>1481</v>
      </c>
      <c r="H31" s="94" t="s">
        <v>1495</v>
      </c>
      <c r="I31" s="94" t="s">
        <v>1504</v>
      </c>
      <c r="J31" s="94" t="s">
        <v>733</v>
      </c>
      <c r="K31" s="97">
        <v>12000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43903</v>
      </c>
      <c r="G32" s="94" t="s">
        <v>1482</v>
      </c>
      <c r="H32" s="94" t="s">
        <v>1126</v>
      </c>
      <c r="I32" s="94" t="s">
        <v>1505</v>
      </c>
      <c r="J32" s="94" t="s">
        <v>733</v>
      </c>
      <c r="K32" s="97">
        <v>350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43907</v>
      </c>
      <c r="G33" s="94" t="s">
        <v>1483</v>
      </c>
      <c r="H33" s="94" t="s">
        <v>1128</v>
      </c>
      <c r="I33" s="94" t="s">
        <v>1506</v>
      </c>
      <c r="J33" s="94" t="s">
        <v>733</v>
      </c>
      <c r="K33" s="97">
        <v>9956.1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43913</v>
      </c>
      <c r="G34" s="94" t="s">
        <v>1484</v>
      </c>
      <c r="H34" s="94" t="s">
        <v>1128</v>
      </c>
      <c r="I34" s="94" t="s">
        <v>1507</v>
      </c>
      <c r="J34" s="94" t="s">
        <v>733</v>
      </c>
      <c r="K34" s="97">
        <v>12497.46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43920</v>
      </c>
      <c r="G35" s="94" t="s">
        <v>1485</v>
      </c>
      <c r="H35" s="94" t="s">
        <v>1123</v>
      </c>
      <c r="I35" s="94" t="s">
        <v>1135</v>
      </c>
      <c r="J35" s="94" t="s">
        <v>733</v>
      </c>
      <c r="K35" s="97">
        <v>5000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43921</v>
      </c>
      <c r="G36" s="94" t="s">
        <v>1744</v>
      </c>
      <c r="H36" s="94" t="s">
        <v>1495</v>
      </c>
      <c r="I36" s="94" t="s">
        <v>1756</v>
      </c>
      <c r="J36" s="94" t="s">
        <v>733</v>
      </c>
      <c r="K36" s="97">
        <v>6000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43922</v>
      </c>
      <c r="G37" s="94" t="s">
        <v>1486</v>
      </c>
      <c r="H37" s="94" t="s">
        <v>350</v>
      </c>
      <c r="I37" s="94" t="s">
        <v>1136</v>
      </c>
      <c r="J37" s="94" t="s">
        <v>733</v>
      </c>
      <c r="K37" s="97">
        <v>4200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43922</v>
      </c>
      <c r="G38" s="94" t="s">
        <v>1487</v>
      </c>
      <c r="H38" s="94" t="s">
        <v>1496</v>
      </c>
      <c r="I38" s="94" t="s">
        <v>1508</v>
      </c>
      <c r="J38" s="94" t="s">
        <v>733</v>
      </c>
      <c r="K38" s="97">
        <v>19012.5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43929</v>
      </c>
      <c r="G39" s="94" t="s">
        <v>1488</v>
      </c>
      <c r="H39" s="94" t="s">
        <v>1134</v>
      </c>
      <c r="I39" s="94" t="s">
        <v>1509</v>
      </c>
      <c r="J39" s="94" t="s">
        <v>733</v>
      </c>
      <c r="K39" s="97">
        <v>450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43929</v>
      </c>
      <c r="G40" s="94" t="s">
        <v>1489</v>
      </c>
      <c r="H40" s="94" t="s">
        <v>1497</v>
      </c>
      <c r="I40" s="94" t="s">
        <v>1510</v>
      </c>
      <c r="J40" s="94" t="s">
        <v>733</v>
      </c>
      <c r="K40" s="97">
        <v>750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43929</v>
      </c>
      <c r="G41" s="94" t="s">
        <v>1490</v>
      </c>
      <c r="H41" s="94" t="s">
        <v>1498</v>
      </c>
      <c r="I41" s="94" t="s">
        <v>1511</v>
      </c>
      <c r="J41" s="94" t="s">
        <v>733</v>
      </c>
      <c r="K41" s="97">
        <v>750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43934</v>
      </c>
      <c r="G42" s="94" t="s">
        <v>1745</v>
      </c>
      <c r="H42" s="94" t="s">
        <v>1128</v>
      </c>
      <c r="I42" s="94" t="s">
        <v>1757</v>
      </c>
      <c r="J42" s="94" t="s">
        <v>733</v>
      </c>
      <c r="K42" s="97">
        <v>10333.83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43943</v>
      </c>
      <c r="G43" s="94" t="s">
        <v>1746</v>
      </c>
      <c r="H43" s="94" t="s">
        <v>1126</v>
      </c>
      <c r="I43" s="94" t="s">
        <v>1758</v>
      </c>
      <c r="J43" s="94" t="s">
        <v>733</v>
      </c>
      <c r="K43" s="97">
        <v>350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43948</v>
      </c>
      <c r="G44" s="94" t="s">
        <v>1747</v>
      </c>
      <c r="H44" s="94" t="s">
        <v>1123</v>
      </c>
      <c r="I44" s="94" t="s">
        <v>1135</v>
      </c>
      <c r="J44" s="94" t="s">
        <v>733</v>
      </c>
      <c r="K44" s="97">
        <v>5000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43951</v>
      </c>
      <c r="G45" s="94" t="s">
        <v>1748</v>
      </c>
      <c r="H45" s="94" t="s">
        <v>1492</v>
      </c>
      <c r="I45" s="94" t="s">
        <v>1759</v>
      </c>
      <c r="J45" s="94" t="s">
        <v>733</v>
      </c>
      <c r="K45" s="97">
        <v>878.75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43952</v>
      </c>
      <c r="G46" s="94" t="s">
        <v>1749</v>
      </c>
      <c r="H46" s="94" t="s">
        <v>1496</v>
      </c>
      <c r="I46" s="94" t="s">
        <v>1508</v>
      </c>
      <c r="J46" s="94" t="s">
        <v>733</v>
      </c>
      <c r="K46" s="97">
        <v>19012.5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43952</v>
      </c>
      <c r="G47" s="94" t="s">
        <v>1750</v>
      </c>
      <c r="H47" s="94" t="s">
        <v>1129</v>
      </c>
      <c r="I47" s="94" t="s">
        <v>1760</v>
      </c>
      <c r="J47" s="94" t="s">
        <v>733</v>
      </c>
      <c r="K47" s="97">
        <v>1622.5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43965</v>
      </c>
      <c r="G48" s="94" t="s">
        <v>1751</v>
      </c>
      <c r="H48" s="94" t="s">
        <v>1754</v>
      </c>
      <c r="I48" s="94" t="s">
        <v>1761</v>
      </c>
      <c r="J48" s="94" t="s">
        <v>733</v>
      </c>
      <c r="K48" s="97">
        <v>6900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43969</v>
      </c>
      <c r="G49" s="94" t="s">
        <v>1752</v>
      </c>
      <c r="H49" s="94" t="s">
        <v>1128</v>
      </c>
      <c r="I49" s="94" t="s">
        <v>1762</v>
      </c>
      <c r="J49" s="94" t="s">
        <v>733</v>
      </c>
      <c r="K49" s="97">
        <v>7702.5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43977</v>
      </c>
      <c r="G50" s="94" t="s">
        <v>1753</v>
      </c>
      <c r="H50" s="94" t="s">
        <v>1132</v>
      </c>
      <c r="I50" s="94" t="s">
        <v>1150</v>
      </c>
      <c r="J50" s="94" t="s">
        <v>733</v>
      </c>
      <c r="K50" s="97">
        <v>70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43980</v>
      </c>
      <c r="G51" s="94" t="s">
        <v>1874</v>
      </c>
      <c r="H51" s="94" t="s">
        <v>1123</v>
      </c>
      <c r="I51" s="94" t="s">
        <v>1135</v>
      </c>
      <c r="J51" s="94" t="s">
        <v>733</v>
      </c>
      <c r="K51" s="97">
        <v>5000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43982</v>
      </c>
      <c r="G52" s="94" t="s">
        <v>1875</v>
      </c>
      <c r="H52" s="94" t="s">
        <v>1492</v>
      </c>
      <c r="I52" s="94" t="s">
        <v>1759</v>
      </c>
      <c r="J52" s="94" t="s">
        <v>733</v>
      </c>
      <c r="K52" s="97">
        <v>138.75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43983</v>
      </c>
      <c r="G53" s="94" t="s">
        <v>1876</v>
      </c>
      <c r="H53" s="94" t="s">
        <v>1129</v>
      </c>
      <c r="I53" s="94" t="s">
        <v>1878</v>
      </c>
      <c r="J53" s="94" t="s">
        <v>733</v>
      </c>
      <c r="K53" s="97">
        <v>550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43983</v>
      </c>
      <c r="G54" s="94" t="s">
        <v>1877</v>
      </c>
      <c r="H54" s="94" t="s">
        <v>350</v>
      </c>
      <c r="I54" s="94" t="s">
        <v>1136</v>
      </c>
      <c r="J54" s="94" t="s">
        <v>733</v>
      </c>
      <c r="K54" s="97">
        <v>4200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43986</v>
      </c>
      <c r="G55" s="94" t="s">
        <v>759</v>
      </c>
      <c r="H55" s="94" t="s">
        <v>2111</v>
      </c>
      <c r="I55" s="94" t="s">
        <v>2113</v>
      </c>
      <c r="J55" s="94" t="s">
        <v>733</v>
      </c>
      <c r="K55" s="97">
        <v>20000</v>
      </c>
    </row>
    <row r="56" spans="1:11" ht="14.6" x14ac:dyDescent="0.4">
      <c r="A56" s="94"/>
      <c r="B56" s="94"/>
      <c r="C56" s="94"/>
      <c r="D56" s="94"/>
      <c r="E56" s="94" t="s">
        <v>545</v>
      </c>
      <c r="F56" s="95">
        <v>43997</v>
      </c>
      <c r="G56" s="94" t="s">
        <v>2099</v>
      </c>
      <c r="H56" s="94" t="s">
        <v>1124</v>
      </c>
      <c r="I56" s="94" t="s">
        <v>2114</v>
      </c>
      <c r="J56" s="94" t="s">
        <v>924</v>
      </c>
      <c r="K56" s="97">
        <v>12.5</v>
      </c>
    </row>
    <row r="57" spans="1:11" ht="14.6" x14ac:dyDescent="0.4">
      <c r="A57" s="94"/>
      <c r="B57" s="94"/>
      <c r="C57" s="94"/>
      <c r="D57" s="94"/>
      <c r="E57" s="94" t="s">
        <v>545</v>
      </c>
      <c r="F57" s="95">
        <v>43997</v>
      </c>
      <c r="G57" s="94" t="s">
        <v>2100</v>
      </c>
      <c r="H57" s="94" t="s">
        <v>1124</v>
      </c>
      <c r="I57" s="94" t="s">
        <v>2115</v>
      </c>
      <c r="J57" s="94" t="s">
        <v>924</v>
      </c>
      <c r="K57" s="97">
        <v>94.98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43998</v>
      </c>
      <c r="G58" s="94" t="s">
        <v>2101</v>
      </c>
      <c r="H58" s="94" t="s">
        <v>1491</v>
      </c>
      <c r="I58" s="94" t="s">
        <v>2116</v>
      </c>
      <c r="J58" s="94" t="s">
        <v>733</v>
      </c>
      <c r="K58" s="97">
        <v>68631.570000000007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43998</v>
      </c>
      <c r="G59" s="94" t="s">
        <v>2101</v>
      </c>
      <c r="H59" s="94" t="s">
        <v>1491</v>
      </c>
      <c r="I59" s="94" t="s">
        <v>2117</v>
      </c>
      <c r="J59" s="94" t="s">
        <v>733</v>
      </c>
      <c r="K59" s="97">
        <v>1000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43998</v>
      </c>
      <c r="G60" s="94" t="s">
        <v>2102</v>
      </c>
      <c r="H60" s="94" t="s">
        <v>2112</v>
      </c>
      <c r="I60" s="94" t="s">
        <v>2118</v>
      </c>
      <c r="J60" s="94" t="s">
        <v>733</v>
      </c>
      <c r="K60" s="97">
        <v>1250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43998</v>
      </c>
      <c r="G61" s="94" t="s">
        <v>2102</v>
      </c>
      <c r="H61" s="94" t="s">
        <v>2112</v>
      </c>
      <c r="I61" s="94" t="s">
        <v>2119</v>
      </c>
      <c r="J61" s="94" t="s">
        <v>733</v>
      </c>
      <c r="K61" s="97">
        <v>7200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43998</v>
      </c>
      <c r="G62" s="94" t="s">
        <v>2102</v>
      </c>
      <c r="H62" s="94" t="s">
        <v>2112</v>
      </c>
      <c r="I62" s="94" t="s">
        <v>2120</v>
      </c>
      <c r="J62" s="94" t="s">
        <v>733</v>
      </c>
      <c r="K62" s="97">
        <v>600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43998</v>
      </c>
      <c r="G63" s="94" t="s">
        <v>2102</v>
      </c>
      <c r="H63" s="94" t="s">
        <v>2112</v>
      </c>
      <c r="I63" s="94" t="s">
        <v>2121</v>
      </c>
      <c r="J63" s="94" t="s">
        <v>733</v>
      </c>
      <c r="K63" s="97">
        <v>600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44007</v>
      </c>
      <c r="G64" s="94" t="s">
        <v>2103</v>
      </c>
      <c r="H64" s="94" t="s">
        <v>1123</v>
      </c>
      <c r="I64" s="94" t="s">
        <v>1135</v>
      </c>
      <c r="J64" s="94" t="s">
        <v>733</v>
      </c>
      <c r="K64" s="97">
        <v>5000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44011</v>
      </c>
      <c r="G65" s="94" t="s">
        <v>2104</v>
      </c>
      <c r="H65" s="94" t="s">
        <v>1128</v>
      </c>
      <c r="I65" s="94" t="s">
        <v>2122</v>
      </c>
      <c r="J65" s="94" t="s">
        <v>733</v>
      </c>
      <c r="K65" s="97">
        <v>6830.6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44012</v>
      </c>
      <c r="G66" s="94" t="s">
        <v>2105</v>
      </c>
      <c r="H66" s="94" t="s">
        <v>1492</v>
      </c>
      <c r="I66" s="94" t="s">
        <v>1759</v>
      </c>
      <c r="J66" s="94" t="s">
        <v>733</v>
      </c>
      <c r="K66" s="97">
        <v>185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44012</v>
      </c>
      <c r="G67" s="94" t="s">
        <v>2106</v>
      </c>
      <c r="H67" s="94" t="s">
        <v>1130</v>
      </c>
      <c r="I67" s="94" t="s">
        <v>2123</v>
      </c>
      <c r="J67" s="94" t="s">
        <v>733</v>
      </c>
      <c r="K67" s="97">
        <v>6000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44012</v>
      </c>
      <c r="G68" s="94" t="s">
        <v>2107</v>
      </c>
      <c r="H68" s="94" t="s">
        <v>1130</v>
      </c>
      <c r="I68" s="94" t="s">
        <v>2123</v>
      </c>
      <c r="J68" s="94" t="s">
        <v>733</v>
      </c>
      <c r="K68" s="97">
        <v>3000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44013</v>
      </c>
      <c r="G69" s="94" t="s">
        <v>2108</v>
      </c>
      <c r="H69" s="94" t="s">
        <v>1129</v>
      </c>
      <c r="I69" s="94" t="s">
        <v>1147</v>
      </c>
      <c r="J69" s="94" t="s">
        <v>733</v>
      </c>
      <c r="K69" s="97">
        <v>1443.75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44026</v>
      </c>
      <c r="G70" s="94" t="s">
        <v>2109</v>
      </c>
      <c r="H70" s="94" t="s">
        <v>1493</v>
      </c>
      <c r="I70" s="94" t="s">
        <v>1501</v>
      </c>
      <c r="J70" s="94" t="s">
        <v>733</v>
      </c>
      <c r="K70" s="97">
        <v>8422.2000000000007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44027</v>
      </c>
      <c r="G71" s="94" t="s">
        <v>2110</v>
      </c>
      <c r="H71" s="94" t="s">
        <v>1127</v>
      </c>
      <c r="I71" s="94" t="s">
        <v>2124</v>
      </c>
      <c r="J71" s="94" t="s">
        <v>733</v>
      </c>
      <c r="K71" s="97">
        <v>35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44033</v>
      </c>
      <c r="G72" s="94" t="s">
        <v>2241</v>
      </c>
      <c r="H72" s="94" t="s">
        <v>1496</v>
      </c>
      <c r="I72" s="94" t="s">
        <v>1508</v>
      </c>
      <c r="J72" s="94" t="s">
        <v>733</v>
      </c>
      <c r="K72" s="97">
        <v>19012.5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44033</v>
      </c>
      <c r="G73" s="94" t="s">
        <v>2242</v>
      </c>
      <c r="H73" s="94" t="s">
        <v>1128</v>
      </c>
      <c r="I73" s="94" t="s">
        <v>2247</v>
      </c>
      <c r="J73" s="94" t="s">
        <v>733</v>
      </c>
      <c r="K73" s="97">
        <v>6680.5</v>
      </c>
    </row>
    <row r="74" spans="1:11" ht="14.6" x14ac:dyDescent="0.4">
      <c r="A74" s="94"/>
      <c r="B74" s="94"/>
      <c r="C74" s="94"/>
      <c r="D74" s="94"/>
      <c r="E74" s="94" t="s">
        <v>545</v>
      </c>
      <c r="F74" s="95">
        <v>44035</v>
      </c>
      <c r="G74" s="94" t="s">
        <v>2486</v>
      </c>
      <c r="H74" s="94" t="s">
        <v>1124</v>
      </c>
      <c r="I74" s="94" t="s">
        <v>2500</v>
      </c>
      <c r="J74" s="94" t="s">
        <v>924</v>
      </c>
      <c r="K74" s="97">
        <v>26</v>
      </c>
    </row>
    <row r="75" spans="1:11" ht="14.6" x14ac:dyDescent="0.4">
      <c r="A75" s="94"/>
      <c r="B75" s="94"/>
      <c r="C75" s="94"/>
      <c r="D75" s="94"/>
      <c r="E75" s="94" t="s">
        <v>545</v>
      </c>
      <c r="F75" s="95">
        <v>44035</v>
      </c>
      <c r="G75" s="94" t="s">
        <v>2487</v>
      </c>
      <c r="H75" s="94" t="s">
        <v>1124</v>
      </c>
      <c r="I75" s="94" t="s">
        <v>2500</v>
      </c>
      <c r="J75" s="94" t="s">
        <v>924</v>
      </c>
      <c r="K75" s="97">
        <v>79.989999999999995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44038</v>
      </c>
      <c r="G76" s="94" t="s">
        <v>2243</v>
      </c>
      <c r="H76" s="94" t="s">
        <v>1123</v>
      </c>
      <c r="I76" s="94" t="s">
        <v>1135</v>
      </c>
      <c r="J76" s="94" t="s">
        <v>733</v>
      </c>
      <c r="K76" s="97">
        <v>5000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44039</v>
      </c>
      <c r="G77" s="94" t="s">
        <v>2244</v>
      </c>
      <c r="H77" s="94" t="s">
        <v>1132</v>
      </c>
      <c r="I77" s="94" t="s">
        <v>1150</v>
      </c>
      <c r="J77" s="94" t="s">
        <v>733</v>
      </c>
      <c r="K77" s="97">
        <v>70</v>
      </c>
    </row>
    <row r="78" spans="1:11" ht="14.6" x14ac:dyDescent="0.4">
      <c r="A78" s="94"/>
      <c r="B78" s="94"/>
      <c r="C78" s="94"/>
      <c r="D78" s="94"/>
      <c r="E78" s="94" t="s">
        <v>545</v>
      </c>
      <c r="F78" s="95">
        <v>44042</v>
      </c>
      <c r="G78" s="94" t="s">
        <v>2488</v>
      </c>
      <c r="H78" s="94" t="s">
        <v>1124</v>
      </c>
      <c r="I78" s="94" t="s">
        <v>2500</v>
      </c>
      <c r="J78" s="94" t="s">
        <v>924</v>
      </c>
      <c r="K78" s="97">
        <v>23.95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44043</v>
      </c>
      <c r="G79" s="94" t="s">
        <v>2245</v>
      </c>
      <c r="H79" s="94" t="s">
        <v>2246</v>
      </c>
      <c r="I79" s="94" t="s">
        <v>2248</v>
      </c>
      <c r="J79" s="94" t="s">
        <v>733</v>
      </c>
      <c r="K79" s="97">
        <v>181.5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44044</v>
      </c>
      <c r="G80" s="94" t="s">
        <v>2489</v>
      </c>
      <c r="H80" s="94" t="s">
        <v>1129</v>
      </c>
      <c r="I80" s="94" t="s">
        <v>1147</v>
      </c>
      <c r="J80" s="94" t="s">
        <v>733</v>
      </c>
      <c r="K80" s="97">
        <v>4606.25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44050</v>
      </c>
      <c r="G81" s="94" t="s">
        <v>2490</v>
      </c>
      <c r="H81" s="94" t="s">
        <v>2498</v>
      </c>
      <c r="I81" s="94" t="s">
        <v>2501</v>
      </c>
      <c r="J81" s="94" t="s">
        <v>733</v>
      </c>
      <c r="K81" s="97">
        <v>126.67</v>
      </c>
    </row>
    <row r="82" spans="1:11" ht="14.6" x14ac:dyDescent="0.4">
      <c r="A82" s="94"/>
      <c r="B82" s="94"/>
      <c r="C82" s="94"/>
      <c r="D82" s="94"/>
      <c r="E82" s="94" t="s">
        <v>545</v>
      </c>
      <c r="F82" s="95">
        <v>44053</v>
      </c>
      <c r="G82" s="94" t="s">
        <v>2491</v>
      </c>
      <c r="H82" s="94" t="s">
        <v>2499</v>
      </c>
      <c r="I82" s="94" t="s">
        <v>2502</v>
      </c>
      <c r="J82" s="94" t="s">
        <v>924</v>
      </c>
      <c r="K82" s="97">
        <v>650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44053</v>
      </c>
      <c r="G83" s="94" t="s">
        <v>2492</v>
      </c>
      <c r="H83" s="94" t="s">
        <v>1127</v>
      </c>
      <c r="I83" s="94" t="s">
        <v>2503</v>
      </c>
      <c r="J83" s="94" t="s">
        <v>733</v>
      </c>
      <c r="K83" s="97">
        <v>35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44063</v>
      </c>
      <c r="G84" s="94" t="s">
        <v>2493</v>
      </c>
      <c r="H84" s="94" t="s">
        <v>1128</v>
      </c>
      <c r="I84" s="94" t="s">
        <v>2504</v>
      </c>
      <c r="J84" s="94" t="s">
        <v>733</v>
      </c>
      <c r="K84" s="97">
        <v>5653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44067</v>
      </c>
      <c r="G85" s="94" t="s">
        <v>2494</v>
      </c>
      <c r="H85" s="94" t="s">
        <v>1123</v>
      </c>
      <c r="I85" s="94" t="s">
        <v>1135</v>
      </c>
      <c r="J85" s="94" t="s">
        <v>733</v>
      </c>
      <c r="K85" s="97">
        <v>5000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44074</v>
      </c>
      <c r="G86" s="94" t="s">
        <v>2495</v>
      </c>
      <c r="H86" s="94" t="s">
        <v>2246</v>
      </c>
      <c r="I86" s="94" t="s">
        <v>2248</v>
      </c>
      <c r="J86" s="94" t="s">
        <v>733</v>
      </c>
      <c r="K86" s="97">
        <v>266.2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44074</v>
      </c>
      <c r="G87" s="94" t="s">
        <v>2496</v>
      </c>
      <c r="H87" s="94" t="s">
        <v>1492</v>
      </c>
      <c r="I87" s="94" t="s">
        <v>1759</v>
      </c>
      <c r="J87" s="94" t="s">
        <v>733</v>
      </c>
      <c r="K87" s="97">
        <v>462.5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44075</v>
      </c>
      <c r="G88" s="94" t="s">
        <v>2497</v>
      </c>
      <c r="H88" s="94" t="s">
        <v>350</v>
      </c>
      <c r="I88" s="94" t="s">
        <v>1136</v>
      </c>
      <c r="J88" s="94" t="s">
        <v>733</v>
      </c>
      <c r="K88" s="97">
        <v>4200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44075</v>
      </c>
      <c r="G89" s="94" t="s">
        <v>3255</v>
      </c>
      <c r="H89" s="94" t="s">
        <v>350</v>
      </c>
      <c r="I89" s="94" t="s">
        <v>3274</v>
      </c>
      <c r="J89" s="94" t="s">
        <v>733</v>
      </c>
      <c r="K89" s="97">
        <v>375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44084</v>
      </c>
      <c r="G90" s="94" t="s">
        <v>2445</v>
      </c>
      <c r="H90" s="94" t="s">
        <v>1126</v>
      </c>
      <c r="I90" s="94" t="s">
        <v>2505</v>
      </c>
      <c r="J90" s="94" t="s">
        <v>733</v>
      </c>
      <c r="K90" s="97">
        <v>350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44095</v>
      </c>
      <c r="G91" s="94" t="s">
        <v>2707</v>
      </c>
      <c r="H91" s="94" t="s">
        <v>1128</v>
      </c>
      <c r="I91" s="94" t="s">
        <v>2722</v>
      </c>
      <c r="J91" s="94" t="s">
        <v>733</v>
      </c>
      <c r="K91" s="97">
        <v>9690.2000000000007</v>
      </c>
    </row>
    <row r="92" spans="1:11" ht="14.6" x14ac:dyDescent="0.4">
      <c r="A92" s="94"/>
      <c r="B92" s="94"/>
      <c r="C92" s="94"/>
      <c r="D92" s="94"/>
      <c r="E92" s="94" t="s">
        <v>544</v>
      </c>
      <c r="F92" s="95">
        <v>44098</v>
      </c>
      <c r="G92" s="94" t="s">
        <v>2708</v>
      </c>
      <c r="H92" s="94" t="s">
        <v>2721</v>
      </c>
      <c r="I92" s="94" t="s">
        <v>2723</v>
      </c>
      <c r="J92" s="94" t="s">
        <v>733</v>
      </c>
      <c r="K92" s="97">
        <v>675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44099</v>
      </c>
      <c r="G93" s="94" t="s">
        <v>2709</v>
      </c>
      <c r="H93" s="94" t="s">
        <v>1130</v>
      </c>
      <c r="I93" s="94" t="s">
        <v>2724</v>
      </c>
      <c r="J93" s="94" t="s">
        <v>733</v>
      </c>
      <c r="K93" s="97">
        <v>8000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44099</v>
      </c>
      <c r="G94" s="94" t="s">
        <v>2710</v>
      </c>
      <c r="H94" s="94" t="s">
        <v>1130</v>
      </c>
      <c r="I94" s="94" t="s">
        <v>2724</v>
      </c>
      <c r="J94" s="94" t="s">
        <v>733</v>
      </c>
      <c r="K94" s="97">
        <v>6000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44099</v>
      </c>
      <c r="G95" s="94" t="s">
        <v>2711</v>
      </c>
      <c r="H95" s="94" t="s">
        <v>1130</v>
      </c>
      <c r="I95" s="94" t="s">
        <v>2724</v>
      </c>
      <c r="J95" s="94" t="s">
        <v>733</v>
      </c>
      <c r="K95" s="97">
        <v>4000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44099</v>
      </c>
      <c r="G96" s="94" t="s">
        <v>2712</v>
      </c>
      <c r="H96" s="94" t="s">
        <v>1130</v>
      </c>
      <c r="I96" s="94" t="s">
        <v>2724</v>
      </c>
      <c r="J96" s="94" t="s">
        <v>733</v>
      </c>
      <c r="K96" s="97">
        <v>3000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44099</v>
      </c>
      <c r="G97" s="94" t="s">
        <v>2713</v>
      </c>
      <c r="H97" s="94" t="s">
        <v>1130</v>
      </c>
      <c r="I97" s="94" t="s">
        <v>2724</v>
      </c>
      <c r="J97" s="94" t="s">
        <v>733</v>
      </c>
      <c r="K97" s="97">
        <v>4000</v>
      </c>
    </row>
    <row r="98" spans="1:11" ht="14.6" x14ac:dyDescent="0.4">
      <c r="A98" s="94"/>
      <c r="B98" s="94"/>
      <c r="C98" s="94"/>
      <c r="D98" s="94"/>
      <c r="E98" s="94" t="s">
        <v>544</v>
      </c>
      <c r="F98" s="95">
        <v>44099</v>
      </c>
      <c r="G98" s="94" t="s">
        <v>2714</v>
      </c>
      <c r="H98" s="94" t="s">
        <v>1130</v>
      </c>
      <c r="I98" s="94" t="s">
        <v>2724</v>
      </c>
      <c r="J98" s="94" t="s">
        <v>733</v>
      </c>
      <c r="K98" s="97">
        <v>3000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44102</v>
      </c>
      <c r="G99" s="94" t="s">
        <v>2715</v>
      </c>
      <c r="H99" s="94" t="s">
        <v>1132</v>
      </c>
      <c r="I99" s="94" t="s">
        <v>1150</v>
      </c>
      <c r="J99" s="94" t="s">
        <v>733</v>
      </c>
      <c r="K99" s="97">
        <v>70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44102</v>
      </c>
      <c r="G100" s="94" t="s">
        <v>2716</v>
      </c>
      <c r="H100" s="94" t="s">
        <v>1129</v>
      </c>
      <c r="I100" s="94" t="s">
        <v>1147</v>
      </c>
      <c r="J100" s="94" t="s">
        <v>733</v>
      </c>
      <c r="K100" s="97">
        <v>5660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44102</v>
      </c>
      <c r="G101" s="94" t="s">
        <v>2717</v>
      </c>
      <c r="H101" s="94" t="s">
        <v>1123</v>
      </c>
      <c r="I101" s="94" t="s">
        <v>1135</v>
      </c>
      <c r="J101" s="94" t="s">
        <v>733</v>
      </c>
      <c r="K101" s="97">
        <v>5000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44104</v>
      </c>
      <c r="G102" s="94" t="s">
        <v>2718</v>
      </c>
      <c r="H102" s="94" t="s">
        <v>2246</v>
      </c>
      <c r="I102" s="94" t="s">
        <v>2248</v>
      </c>
      <c r="J102" s="94" t="s">
        <v>733</v>
      </c>
      <c r="K102" s="97">
        <v>134.19999999999999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44104</v>
      </c>
      <c r="G103" s="94" t="s">
        <v>2719</v>
      </c>
      <c r="H103" s="94" t="s">
        <v>1492</v>
      </c>
      <c r="I103" s="94" t="s">
        <v>1759</v>
      </c>
      <c r="J103" s="94" t="s">
        <v>733</v>
      </c>
      <c r="K103" s="97">
        <v>277.5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44105</v>
      </c>
      <c r="G104" s="94" t="s">
        <v>2720</v>
      </c>
      <c r="H104" s="94" t="s">
        <v>1496</v>
      </c>
      <c r="I104" s="94" t="s">
        <v>1508</v>
      </c>
      <c r="J104" s="94" t="s">
        <v>733</v>
      </c>
      <c r="K104" s="97">
        <v>19012.5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44105</v>
      </c>
      <c r="G105" s="94" t="s">
        <v>2754</v>
      </c>
      <c r="H105" s="94" t="s">
        <v>2760</v>
      </c>
      <c r="I105" s="94" t="s">
        <v>2761</v>
      </c>
      <c r="J105" s="94" t="s">
        <v>733</v>
      </c>
      <c r="K105" s="97">
        <v>20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44105</v>
      </c>
      <c r="G106" s="94" t="s">
        <v>3256</v>
      </c>
      <c r="H106" s="94" t="s">
        <v>350</v>
      </c>
      <c r="I106" s="94" t="s">
        <v>3275</v>
      </c>
      <c r="J106" s="94" t="s">
        <v>733</v>
      </c>
      <c r="K106" s="97">
        <v>4437.5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44118</v>
      </c>
      <c r="G107" s="94" t="s">
        <v>2755</v>
      </c>
      <c r="H107" s="94" t="s">
        <v>350</v>
      </c>
      <c r="I107" s="94" t="s">
        <v>2762</v>
      </c>
      <c r="J107" s="94" t="s">
        <v>733</v>
      </c>
      <c r="K107" s="97">
        <v>500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44123</v>
      </c>
      <c r="G108" s="94" t="s">
        <v>2756</v>
      </c>
      <c r="H108" s="94" t="s">
        <v>1126</v>
      </c>
      <c r="I108" s="94" t="s">
        <v>2763</v>
      </c>
      <c r="J108" s="94" t="s">
        <v>733</v>
      </c>
      <c r="K108" s="97">
        <v>700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44125</v>
      </c>
      <c r="G109" s="94" t="s">
        <v>2757</v>
      </c>
      <c r="H109" s="94" t="s">
        <v>1128</v>
      </c>
      <c r="I109" s="94" t="s">
        <v>2764</v>
      </c>
      <c r="J109" s="94" t="s">
        <v>733</v>
      </c>
      <c r="K109" s="97">
        <v>12166.14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44130</v>
      </c>
      <c r="G110" s="94" t="s">
        <v>2758</v>
      </c>
      <c r="H110" s="94" t="s">
        <v>1123</v>
      </c>
      <c r="I110" s="94" t="s">
        <v>1135</v>
      </c>
      <c r="J110" s="94" t="s">
        <v>733</v>
      </c>
      <c r="K110" s="97">
        <v>5000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44135</v>
      </c>
      <c r="G111" s="94" t="s">
        <v>2759</v>
      </c>
      <c r="H111" s="94" t="s">
        <v>1492</v>
      </c>
      <c r="I111" s="94" t="s">
        <v>1759</v>
      </c>
      <c r="J111" s="94" t="s">
        <v>733</v>
      </c>
      <c r="K111" s="97">
        <v>277.5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44145</v>
      </c>
      <c r="G112" s="94" t="s">
        <v>3257</v>
      </c>
      <c r="H112" s="94" t="s">
        <v>3270</v>
      </c>
      <c r="I112" s="94" t="s">
        <v>3276</v>
      </c>
      <c r="J112" s="94" t="s">
        <v>733</v>
      </c>
      <c r="K112" s="97">
        <v>2400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44146</v>
      </c>
      <c r="G113" s="94" t="s">
        <v>3258</v>
      </c>
      <c r="H113" s="94" t="s">
        <v>3271</v>
      </c>
      <c r="I113" s="94" t="s">
        <v>3277</v>
      </c>
      <c r="J113" s="94" t="s">
        <v>733</v>
      </c>
      <c r="K113" s="97">
        <v>11500</v>
      </c>
    </row>
    <row r="114" spans="1:11" ht="15" customHeight="1" x14ac:dyDescent="0.4">
      <c r="A114" s="94"/>
      <c r="B114" s="94"/>
      <c r="C114" s="94"/>
      <c r="D114" s="94"/>
      <c r="E114" s="94" t="s">
        <v>544</v>
      </c>
      <c r="F114" s="95">
        <v>44155</v>
      </c>
      <c r="G114" s="94" t="s">
        <v>3259</v>
      </c>
      <c r="H114" s="94" t="s">
        <v>3271</v>
      </c>
      <c r="I114" s="94" t="s">
        <v>3278</v>
      </c>
      <c r="J114" s="94" t="s">
        <v>733</v>
      </c>
      <c r="K114" s="97">
        <v>6250</v>
      </c>
    </row>
    <row r="115" spans="1:11" ht="15" customHeight="1" x14ac:dyDescent="0.4">
      <c r="A115" s="94"/>
      <c r="B115" s="94"/>
      <c r="C115" s="94"/>
      <c r="D115" s="94"/>
      <c r="E115" s="94" t="s">
        <v>544</v>
      </c>
      <c r="F115" s="95">
        <v>44155</v>
      </c>
      <c r="G115" s="94" t="s">
        <v>3260</v>
      </c>
      <c r="H115" s="94" t="s">
        <v>3272</v>
      </c>
      <c r="I115" s="94" t="s">
        <v>3284</v>
      </c>
      <c r="J115" s="94" t="s">
        <v>733</v>
      </c>
      <c r="K115" s="97">
        <v>4500</v>
      </c>
    </row>
    <row r="116" spans="1:11" ht="15" customHeight="1" x14ac:dyDescent="0.4">
      <c r="A116" s="94"/>
      <c r="B116" s="94"/>
      <c r="C116" s="94"/>
      <c r="D116" s="94"/>
      <c r="E116" s="94" t="s">
        <v>544</v>
      </c>
      <c r="F116" s="95">
        <v>44158</v>
      </c>
      <c r="G116" s="94" t="s">
        <v>3261</v>
      </c>
      <c r="H116" s="94" t="s">
        <v>1128</v>
      </c>
      <c r="I116" s="94" t="s">
        <v>3279</v>
      </c>
      <c r="J116" s="94" t="s">
        <v>733</v>
      </c>
      <c r="K116" s="97">
        <v>15788.55</v>
      </c>
    </row>
    <row r="117" spans="1:11" ht="15" customHeight="1" x14ac:dyDescent="0.4">
      <c r="A117" s="94"/>
      <c r="B117" s="94"/>
      <c r="C117" s="94"/>
      <c r="D117" s="94"/>
      <c r="E117" s="94" t="s">
        <v>544</v>
      </c>
      <c r="F117" s="95">
        <v>44159</v>
      </c>
      <c r="G117" s="94" t="s">
        <v>3262</v>
      </c>
      <c r="H117" s="94" t="s">
        <v>1123</v>
      </c>
      <c r="I117" s="94" t="s">
        <v>1135</v>
      </c>
      <c r="J117" s="94" t="s">
        <v>733</v>
      </c>
      <c r="K117" s="97">
        <v>5000</v>
      </c>
    </row>
    <row r="118" spans="1:11" ht="15" customHeight="1" x14ac:dyDescent="0.4">
      <c r="A118" s="94"/>
      <c r="B118" s="94"/>
      <c r="C118" s="94"/>
      <c r="D118" s="94"/>
      <c r="E118" s="94" t="s">
        <v>544</v>
      </c>
      <c r="F118" s="95">
        <v>44159</v>
      </c>
      <c r="G118" s="94" t="s">
        <v>3263</v>
      </c>
      <c r="H118" s="94" t="s">
        <v>1132</v>
      </c>
      <c r="I118" s="94" t="s">
        <v>1150</v>
      </c>
      <c r="J118" s="94" t="s">
        <v>733</v>
      </c>
      <c r="K118" s="97">
        <v>70</v>
      </c>
    </row>
    <row r="119" spans="1:11" ht="15" customHeight="1" x14ac:dyDescent="0.4">
      <c r="A119" s="94"/>
      <c r="B119" s="94"/>
      <c r="C119" s="94"/>
      <c r="D119" s="94"/>
      <c r="E119" s="94" t="s">
        <v>544</v>
      </c>
      <c r="F119" s="95">
        <v>44165</v>
      </c>
      <c r="G119" s="94" t="s">
        <v>3264</v>
      </c>
      <c r="H119" s="94" t="s">
        <v>1492</v>
      </c>
      <c r="I119" s="94" t="s">
        <v>1759</v>
      </c>
      <c r="J119" s="94" t="s">
        <v>733</v>
      </c>
      <c r="K119" s="97">
        <v>277.5</v>
      </c>
    </row>
    <row r="120" spans="1:11" ht="15" customHeight="1" x14ac:dyDescent="0.4">
      <c r="A120" s="94"/>
      <c r="B120" s="94"/>
      <c r="C120" s="94"/>
      <c r="D120" s="94"/>
      <c r="E120" s="94" t="s">
        <v>544</v>
      </c>
      <c r="F120" s="95">
        <v>44165</v>
      </c>
      <c r="G120" s="94" t="s">
        <v>3265</v>
      </c>
      <c r="H120" s="94" t="s">
        <v>3273</v>
      </c>
      <c r="I120" s="94" t="s">
        <v>3280</v>
      </c>
      <c r="J120" s="94" t="s">
        <v>733</v>
      </c>
      <c r="K120" s="97">
        <v>228</v>
      </c>
    </row>
    <row r="121" spans="1:11" ht="15" customHeight="1" x14ac:dyDescent="0.4">
      <c r="A121" s="94"/>
      <c r="B121" s="94"/>
      <c r="C121" s="94"/>
      <c r="D121" s="94"/>
      <c r="E121" s="94" t="s">
        <v>544</v>
      </c>
      <c r="F121" s="95">
        <v>44182</v>
      </c>
      <c r="G121" s="94" t="s">
        <v>3266</v>
      </c>
      <c r="H121" s="94" t="s">
        <v>350</v>
      </c>
      <c r="I121" s="94" t="s">
        <v>3281</v>
      </c>
      <c r="J121" s="94" t="s">
        <v>733</v>
      </c>
      <c r="K121" s="97">
        <v>2812.5</v>
      </c>
    </row>
    <row r="122" spans="1:11" ht="15" customHeight="1" x14ac:dyDescent="0.4">
      <c r="A122" s="94"/>
      <c r="B122" s="94"/>
      <c r="C122" s="94"/>
      <c r="D122" s="94"/>
      <c r="E122" s="94" t="s">
        <v>544</v>
      </c>
      <c r="F122" s="95">
        <v>44196</v>
      </c>
      <c r="G122" s="94" t="s">
        <v>3267</v>
      </c>
      <c r="H122" s="94" t="s">
        <v>350</v>
      </c>
      <c r="I122" s="94" t="s">
        <v>3282</v>
      </c>
      <c r="J122" s="94" t="s">
        <v>733</v>
      </c>
      <c r="K122" s="97">
        <v>6000</v>
      </c>
    </row>
    <row r="123" spans="1:11" ht="15" customHeight="1" x14ac:dyDescent="0.4">
      <c r="A123" s="94"/>
      <c r="B123" s="94"/>
      <c r="C123" s="94"/>
      <c r="D123" s="94"/>
      <c r="E123" s="94" t="s">
        <v>544</v>
      </c>
      <c r="F123" s="95">
        <v>44196</v>
      </c>
      <c r="G123" s="94" t="s">
        <v>3268</v>
      </c>
      <c r="H123" s="94" t="s">
        <v>1128</v>
      </c>
      <c r="I123" s="94" t="s">
        <v>3283</v>
      </c>
      <c r="J123" s="94" t="s">
        <v>733</v>
      </c>
      <c r="K123" s="97">
        <v>10445.18</v>
      </c>
    </row>
    <row r="124" spans="1:11" ht="15" customHeight="1" thickBot="1" x14ac:dyDescent="0.45">
      <c r="A124" s="94"/>
      <c r="B124" s="94"/>
      <c r="C124" s="94"/>
      <c r="D124" s="94"/>
      <c r="E124" s="94" t="s">
        <v>544</v>
      </c>
      <c r="F124" s="95">
        <v>44196</v>
      </c>
      <c r="G124" s="94" t="s">
        <v>3269</v>
      </c>
      <c r="H124" s="94" t="s">
        <v>1492</v>
      </c>
      <c r="I124" s="94" t="s">
        <v>1759</v>
      </c>
      <c r="J124" s="94" t="s">
        <v>733</v>
      </c>
      <c r="K124" s="756">
        <v>185</v>
      </c>
    </row>
    <row r="125" spans="1:11" ht="15" customHeight="1" thickBot="1" x14ac:dyDescent="0.45">
      <c r="A125" s="94"/>
      <c r="B125" s="94"/>
      <c r="C125" s="94" t="s">
        <v>1103</v>
      </c>
      <c r="D125" s="94"/>
      <c r="E125" s="94"/>
      <c r="F125" s="95"/>
      <c r="G125" s="94"/>
      <c r="H125" s="94"/>
      <c r="I125" s="94"/>
      <c r="J125" s="94"/>
      <c r="K125" s="757">
        <v>729267.44</v>
      </c>
    </row>
    <row r="126" spans="1:11" ht="15" customHeight="1" thickBot="1" x14ac:dyDescent="0.45">
      <c r="A126" s="94"/>
      <c r="B126" s="94" t="s">
        <v>737</v>
      </c>
      <c r="C126" s="94"/>
      <c r="D126" s="94"/>
      <c r="E126" s="94"/>
      <c r="F126" s="95"/>
      <c r="G126" s="94"/>
      <c r="H126" s="94"/>
      <c r="I126" s="94"/>
      <c r="J126" s="94"/>
      <c r="K126" s="757">
        <f>K125</f>
        <v>729267.44</v>
      </c>
    </row>
    <row r="127" spans="1:11" ht="15" customHeight="1" thickBot="1" x14ac:dyDescent="0.45">
      <c r="A127" s="94" t="s">
        <v>98</v>
      </c>
      <c r="B127" s="94"/>
      <c r="C127" s="94"/>
      <c r="D127" s="94"/>
      <c r="E127" s="94"/>
      <c r="F127" s="95"/>
      <c r="G127" s="94"/>
      <c r="H127" s="94"/>
      <c r="I127" s="94"/>
      <c r="J127" s="94"/>
      <c r="K127" s="758">
        <f>K126</f>
        <v>729267.44</v>
      </c>
    </row>
    <row r="128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12:25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1460" r:id="rId4" name="HEADER"/>
      </mc:Fallback>
    </mc:AlternateContent>
    <mc:AlternateContent xmlns:mc="http://schemas.openxmlformats.org/markup-compatibility/2006">
      <mc:Choice Requires="x14">
        <control shapeId="6145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1459" r:id="rId6" name="FILTER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L75"/>
  <sheetViews>
    <sheetView workbookViewId="0">
      <pane xSplit="3" ySplit="1" topLeftCell="D41" activePane="bottomRight" state="frozenSplit"/>
      <selection pane="topRight" activeCell="D1" sqref="D1"/>
      <selection pane="bottomLeft" activeCell="A2" sqref="A2"/>
      <selection pane="bottomRight" activeCell="L72" sqref="L72"/>
    </sheetView>
  </sheetViews>
  <sheetFormatPr defaultColWidth="14.3828125" defaultRowHeight="15" customHeight="1" x14ac:dyDescent="0.4"/>
  <cols>
    <col min="1" max="2" width="3" style="760" customWidth="1"/>
    <col min="3" max="3" width="25.382812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2.15234375" style="760" bestFit="1" customWidth="1"/>
    <col min="8" max="9" width="30.69140625" style="760" customWidth="1"/>
    <col min="10" max="10" width="27.3828125" style="760" bestFit="1" customWidth="1"/>
    <col min="11" max="11" width="10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483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1155</v>
      </c>
      <c r="H4" s="94" t="s">
        <v>350</v>
      </c>
      <c r="I4" s="94" t="s">
        <v>1278</v>
      </c>
      <c r="J4" s="94" t="s">
        <v>733</v>
      </c>
      <c r="K4" s="97">
        <v>1200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1155</v>
      </c>
      <c r="H5" s="94" t="s">
        <v>350</v>
      </c>
      <c r="I5" s="94" t="s">
        <v>1170</v>
      </c>
      <c r="J5" s="94" t="s">
        <v>733</v>
      </c>
      <c r="K5" s="97">
        <v>12000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43832</v>
      </c>
      <c r="G6" s="94" t="s">
        <v>1156</v>
      </c>
      <c r="H6" s="94" t="s">
        <v>1165</v>
      </c>
      <c r="I6" s="94" t="s">
        <v>1171</v>
      </c>
      <c r="J6" s="94" t="s">
        <v>733</v>
      </c>
      <c r="K6" s="97">
        <v>4180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43832</v>
      </c>
      <c r="G7" s="94" t="s">
        <v>1157</v>
      </c>
      <c r="H7" s="94" t="s">
        <v>817</v>
      </c>
      <c r="I7" s="94" t="s">
        <v>1279</v>
      </c>
      <c r="J7" s="94" t="s">
        <v>733</v>
      </c>
      <c r="K7" s="97">
        <v>2815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43832</v>
      </c>
      <c r="G8" s="94" t="s">
        <v>1158</v>
      </c>
      <c r="H8" s="94" t="s">
        <v>817</v>
      </c>
      <c r="I8" s="94" t="s">
        <v>1280</v>
      </c>
      <c r="J8" s="94" t="s">
        <v>733</v>
      </c>
      <c r="K8" s="97">
        <v>112725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43832</v>
      </c>
      <c r="G9" s="94" t="s">
        <v>1158</v>
      </c>
      <c r="H9" s="94" t="s">
        <v>817</v>
      </c>
      <c r="I9" s="94" t="s">
        <v>1281</v>
      </c>
      <c r="J9" s="94" t="s">
        <v>733</v>
      </c>
      <c r="K9" s="97">
        <v>3915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43832</v>
      </c>
      <c r="G10" s="94" t="s">
        <v>1158</v>
      </c>
      <c r="H10" s="94" t="s">
        <v>817</v>
      </c>
      <c r="I10" s="94" t="s">
        <v>1282</v>
      </c>
      <c r="J10" s="94" t="s">
        <v>733</v>
      </c>
      <c r="K10" s="97">
        <v>1660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43832</v>
      </c>
      <c r="G11" s="94" t="s">
        <v>1158</v>
      </c>
      <c r="H11" s="94" t="s">
        <v>817</v>
      </c>
      <c r="I11" s="94" t="s">
        <v>1283</v>
      </c>
      <c r="J11" s="94" t="s">
        <v>733</v>
      </c>
      <c r="K11" s="97">
        <v>3385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43837</v>
      </c>
      <c r="G12" s="94" t="s">
        <v>1159</v>
      </c>
      <c r="H12" s="94" t="s">
        <v>1166</v>
      </c>
      <c r="I12" s="94" t="s">
        <v>1284</v>
      </c>
      <c r="J12" s="94" t="s">
        <v>733</v>
      </c>
      <c r="K12" s="97">
        <v>1389.15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43860</v>
      </c>
      <c r="G13" s="94" t="s">
        <v>1160</v>
      </c>
      <c r="H13" s="94" t="s">
        <v>943</v>
      </c>
      <c r="I13" s="94" t="s">
        <v>1285</v>
      </c>
      <c r="J13" s="94" t="s">
        <v>733</v>
      </c>
      <c r="K13" s="97">
        <v>489.29</v>
      </c>
    </row>
    <row r="14" spans="1:11" ht="14.6" x14ac:dyDescent="0.4">
      <c r="A14" s="94"/>
      <c r="B14" s="94"/>
      <c r="C14" s="94"/>
      <c r="D14" s="94"/>
      <c r="E14" s="94" t="s">
        <v>545</v>
      </c>
      <c r="F14" s="95">
        <v>43874</v>
      </c>
      <c r="G14" s="94" t="s">
        <v>1162</v>
      </c>
      <c r="H14" s="94" t="s">
        <v>1168</v>
      </c>
      <c r="I14" s="94" t="s">
        <v>1286</v>
      </c>
      <c r="J14" s="94" t="s">
        <v>924</v>
      </c>
      <c r="K14" s="97">
        <v>39.99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43881</v>
      </c>
      <c r="G15" s="94" t="s">
        <v>1163</v>
      </c>
      <c r="H15" s="94" t="s">
        <v>943</v>
      </c>
      <c r="I15" s="94" t="s">
        <v>1285</v>
      </c>
      <c r="J15" s="94" t="s">
        <v>733</v>
      </c>
      <c r="K15" s="97">
        <v>489.29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43892</v>
      </c>
      <c r="G16" s="94" t="s">
        <v>1164</v>
      </c>
      <c r="H16" s="94" t="s">
        <v>1169</v>
      </c>
      <c r="I16" s="94" t="s">
        <v>1172</v>
      </c>
      <c r="J16" s="94" t="s">
        <v>733</v>
      </c>
      <c r="K16" s="97">
        <v>3414.53</v>
      </c>
    </row>
    <row r="17" spans="1:11" ht="14.6" x14ac:dyDescent="0.4">
      <c r="A17" s="94"/>
      <c r="B17" s="94"/>
      <c r="C17" s="94"/>
      <c r="D17" s="94"/>
      <c r="E17" s="94" t="s">
        <v>545</v>
      </c>
      <c r="F17" s="95">
        <v>43895</v>
      </c>
      <c r="G17" s="94" t="s">
        <v>1512</v>
      </c>
      <c r="H17" s="94" t="s">
        <v>374</v>
      </c>
      <c r="I17" s="94" t="s">
        <v>1518</v>
      </c>
      <c r="J17" s="94" t="s">
        <v>924</v>
      </c>
      <c r="K17" s="97">
        <v>197.47</v>
      </c>
    </row>
    <row r="18" spans="1:11" ht="14.6" x14ac:dyDescent="0.4">
      <c r="A18" s="94"/>
      <c r="B18" s="94"/>
      <c r="C18" s="94"/>
      <c r="D18" s="94"/>
      <c r="E18" s="94" t="s">
        <v>545</v>
      </c>
      <c r="F18" s="95">
        <v>43895</v>
      </c>
      <c r="G18" s="94" t="s">
        <v>1513</v>
      </c>
      <c r="H18" s="94" t="s">
        <v>374</v>
      </c>
      <c r="I18" s="94" t="s">
        <v>1519</v>
      </c>
      <c r="J18" s="94" t="s">
        <v>924</v>
      </c>
      <c r="K18" s="97">
        <v>352.86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43899</v>
      </c>
      <c r="G19" s="94" t="s">
        <v>1384</v>
      </c>
      <c r="H19" s="94" t="s">
        <v>943</v>
      </c>
      <c r="I19" s="94" t="s">
        <v>1520</v>
      </c>
      <c r="J19" s="94" t="s">
        <v>733</v>
      </c>
      <c r="K19" s="97">
        <v>242.97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43908</v>
      </c>
      <c r="G20" s="94" t="s">
        <v>1514</v>
      </c>
      <c r="H20" s="94" t="s">
        <v>943</v>
      </c>
      <c r="I20" s="94" t="s">
        <v>1285</v>
      </c>
      <c r="J20" s="94" t="s">
        <v>733</v>
      </c>
      <c r="K20" s="97">
        <v>489.29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43922</v>
      </c>
      <c r="G21" s="94" t="s">
        <v>1515</v>
      </c>
      <c r="H21" s="94" t="s">
        <v>397</v>
      </c>
      <c r="I21" s="94" t="s">
        <v>1521</v>
      </c>
      <c r="J21" s="94" t="s">
        <v>733</v>
      </c>
      <c r="K21" s="97">
        <v>438.75</v>
      </c>
    </row>
    <row r="22" spans="1:11" ht="14.6" x14ac:dyDescent="0.4">
      <c r="A22" s="94"/>
      <c r="B22" s="94"/>
      <c r="C22" s="94"/>
      <c r="D22" s="94"/>
      <c r="E22" s="94" t="s">
        <v>545</v>
      </c>
      <c r="F22" s="95">
        <v>43927</v>
      </c>
      <c r="G22" s="94" t="s">
        <v>1763</v>
      </c>
      <c r="H22" s="94" t="s">
        <v>1168</v>
      </c>
      <c r="I22" s="94" t="s">
        <v>1771</v>
      </c>
      <c r="J22" s="94" t="s">
        <v>924</v>
      </c>
      <c r="K22" s="97">
        <v>73.03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43929</v>
      </c>
      <c r="G23" s="94" t="s">
        <v>1516</v>
      </c>
      <c r="H23" s="94" t="s">
        <v>1517</v>
      </c>
      <c r="I23" s="94" t="s">
        <v>1522</v>
      </c>
      <c r="J23" s="94" t="s">
        <v>733</v>
      </c>
      <c r="K23" s="97">
        <v>3150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43943</v>
      </c>
      <c r="G24" s="94" t="s">
        <v>1764</v>
      </c>
      <c r="H24" s="94" t="s">
        <v>943</v>
      </c>
      <c r="I24" s="94" t="s">
        <v>1285</v>
      </c>
      <c r="J24" s="94" t="s">
        <v>733</v>
      </c>
      <c r="K24" s="97">
        <v>489.29</v>
      </c>
    </row>
    <row r="25" spans="1:11" ht="14.6" x14ac:dyDescent="0.4">
      <c r="A25" s="94"/>
      <c r="B25" s="94"/>
      <c r="C25" s="94"/>
      <c r="D25" s="94"/>
      <c r="E25" s="94" t="s">
        <v>545</v>
      </c>
      <c r="F25" s="95">
        <v>43951</v>
      </c>
      <c r="G25" s="94" t="s">
        <v>1765</v>
      </c>
      <c r="H25" s="94" t="s">
        <v>374</v>
      </c>
      <c r="I25" s="94" t="s">
        <v>1518</v>
      </c>
      <c r="J25" s="94" t="s">
        <v>924</v>
      </c>
      <c r="K25" s="97">
        <v>10.5</v>
      </c>
    </row>
    <row r="26" spans="1:11" ht="14.6" x14ac:dyDescent="0.4">
      <c r="A26" s="94"/>
      <c r="B26" s="94"/>
      <c r="C26" s="94"/>
      <c r="D26" s="94"/>
      <c r="E26" s="94" t="s">
        <v>545</v>
      </c>
      <c r="F26" s="95">
        <v>43954</v>
      </c>
      <c r="G26" s="94" t="s">
        <v>1766</v>
      </c>
      <c r="H26" s="94" t="s">
        <v>1769</v>
      </c>
      <c r="I26" s="94" t="s">
        <v>1772</v>
      </c>
      <c r="J26" s="94" t="s">
        <v>924</v>
      </c>
      <c r="K26" s="97">
        <v>87.99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43963</v>
      </c>
      <c r="G27" s="94"/>
      <c r="H27" s="94" t="s">
        <v>1770</v>
      </c>
      <c r="I27" s="94" t="s">
        <v>1774</v>
      </c>
      <c r="J27" s="94" t="s">
        <v>733</v>
      </c>
      <c r="K27" s="97">
        <v>13227.78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43968</v>
      </c>
      <c r="G28" s="94" t="s">
        <v>1767</v>
      </c>
      <c r="H28" s="94" t="s">
        <v>943</v>
      </c>
      <c r="I28" s="94" t="s">
        <v>1285</v>
      </c>
      <c r="J28" s="94" t="s">
        <v>733</v>
      </c>
      <c r="K28" s="97">
        <v>489.29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43972</v>
      </c>
      <c r="G29" s="94" t="s">
        <v>1768</v>
      </c>
      <c r="H29" s="94" t="s">
        <v>1196</v>
      </c>
      <c r="I29" s="94" t="s">
        <v>1773</v>
      </c>
      <c r="J29" s="94" t="s">
        <v>733</v>
      </c>
      <c r="K29" s="97">
        <v>2287.98</v>
      </c>
    </row>
    <row r="30" spans="1:11" ht="14.6" x14ac:dyDescent="0.4">
      <c r="A30" s="94"/>
      <c r="B30" s="94"/>
      <c r="C30" s="94"/>
      <c r="D30" s="94"/>
      <c r="E30" s="94" t="s">
        <v>545</v>
      </c>
      <c r="F30" s="95">
        <v>43982</v>
      </c>
      <c r="G30" s="94" t="s">
        <v>1861</v>
      </c>
      <c r="H30" s="94" t="s">
        <v>374</v>
      </c>
      <c r="I30" s="94" t="s">
        <v>1881</v>
      </c>
      <c r="J30" s="94" t="s">
        <v>924</v>
      </c>
      <c r="K30" s="97">
        <v>66.5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43982</v>
      </c>
      <c r="G31" s="94" t="s">
        <v>1879</v>
      </c>
      <c r="H31" s="94" t="s">
        <v>943</v>
      </c>
      <c r="I31" s="94" t="s">
        <v>1285</v>
      </c>
      <c r="J31" s="94" t="s">
        <v>733</v>
      </c>
      <c r="K31" s="97">
        <v>2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43983</v>
      </c>
      <c r="G32" s="94" t="s">
        <v>1880</v>
      </c>
      <c r="H32" s="94" t="s">
        <v>817</v>
      </c>
      <c r="I32" s="94" t="s">
        <v>1882</v>
      </c>
      <c r="J32" s="94" t="s">
        <v>733</v>
      </c>
      <c r="K32" s="97">
        <v>11535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43998</v>
      </c>
      <c r="G33" s="94" t="s">
        <v>2125</v>
      </c>
      <c r="H33" s="94" t="s">
        <v>2131</v>
      </c>
      <c r="I33" s="94" t="s">
        <v>1521</v>
      </c>
      <c r="J33" s="94" t="s">
        <v>733</v>
      </c>
      <c r="K33" s="97">
        <v>4513.8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43999</v>
      </c>
      <c r="G34" s="94" t="s">
        <v>2126</v>
      </c>
      <c r="H34" s="94" t="s">
        <v>943</v>
      </c>
      <c r="I34" s="94" t="s">
        <v>1285</v>
      </c>
      <c r="J34" s="94" t="s">
        <v>733</v>
      </c>
      <c r="K34" s="97">
        <v>489.29</v>
      </c>
    </row>
    <row r="35" spans="1:11" ht="14.6" x14ac:dyDescent="0.4">
      <c r="A35" s="94"/>
      <c r="B35" s="94"/>
      <c r="C35" s="94"/>
      <c r="D35" s="94"/>
      <c r="E35" s="94" t="s">
        <v>545</v>
      </c>
      <c r="F35" s="95">
        <v>44012</v>
      </c>
      <c r="G35" s="94" t="s">
        <v>2127</v>
      </c>
      <c r="H35" s="94" t="s">
        <v>374</v>
      </c>
      <c r="I35" s="94" t="s">
        <v>1881</v>
      </c>
      <c r="J35" s="94" t="s">
        <v>924</v>
      </c>
      <c r="K35" s="97">
        <v>66.5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44020</v>
      </c>
      <c r="G36" s="94" t="s">
        <v>2128</v>
      </c>
      <c r="H36" s="94" t="s">
        <v>2132</v>
      </c>
      <c r="I36" s="94" t="s">
        <v>2133</v>
      </c>
      <c r="J36" s="94" t="s">
        <v>733</v>
      </c>
      <c r="K36" s="97">
        <v>3022.5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44020</v>
      </c>
      <c r="G37" s="94" t="s">
        <v>2128</v>
      </c>
      <c r="H37" s="94" t="s">
        <v>2132</v>
      </c>
      <c r="I37" s="94" t="s">
        <v>2134</v>
      </c>
      <c r="J37" s="94" t="s">
        <v>733</v>
      </c>
      <c r="K37" s="97">
        <v>1209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44020</v>
      </c>
      <c r="G38" s="94" t="s">
        <v>2128</v>
      </c>
      <c r="H38" s="94" t="s">
        <v>2132</v>
      </c>
      <c r="I38" s="94" t="s">
        <v>2135</v>
      </c>
      <c r="J38" s="94" t="s">
        <v>733</v>
      </c>
      <c r="K38" s="97">
        <v>1511.25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44020</v>
      </c>
      <c r="G39" s="94" t="s">
        <v>2128</v>
      </c>
      <c r="H39" s="94" t="s">
        <v>2132</v>
      </c>
      <c r="I39" s="94" t="s">
        <v>2136</v>
      </c>
      <c r="J39" s="94" t="s">
        <v>733</v>
      </c>
      <c r="K39" s="97">
        <v>4836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44020</v>
      </c>
      <c r="G40" s="94" t="s">
        <v>2128</v>
      </c>
      <c r="H40" s="94" t="s">
        <v>2132</v>
      </c>
      <c r="I40" s="94" t="s">
        <v>2137</v>
      </c>
      <c r="J40" s="94" t="s">
        <v>733</v>
      </c>
      <c r="K40" s="97">
        <v>503.75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44020</v>
      </c>
      <c r="G41" s="94" t="s">
        <v>2128</v>
      </c>
      <c r="H41" s="94" t="s">
        <v>2132</v>
      </c>
      <c r="I41" s="94" t="s">
        <v>2138</v>
      </c>
      <c r="J41" s="94" t="s">
        <v>733</v>
      </c>
      <c r="K41" s="97">
        <v>503.75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44020</v>
      </c>
      <c r="G42" s="94" t="s">
        <v>2128</v>
      </c>
      <c r="H42" s="94" t="s">
        <v>2132</v>
      </c>
      <c r="I42" s="94" t="s">
        <v>2139</v>
      </c>
      <c r="J42" s="94" t="s">
        <v>733</v>
      </c>
      <c r="K42" s="97">
        <v>503.75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44020</v>
      </c>
      <c r="G43" s="94" t="s">
        <v>2128</v>
      </c>
      <c r="H43" s="94" t="s">
        <v>2132</v>
      </c>
      <c r="I43" s="94" t="s">
        <v>2140</v>
      </c>
      <c r="J43" s="94" t="s">
        <v>733</v>
      </c>
      <c r="K43" s="97">
        <v>403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44020</v>
      </c>
      <c r="G44" s="94" t="s">
        <v>2128</v>
      </c>
      <c r="H44" s="94" t="s">
        <v>2132</v>
      </c>
      <c r="I44" s="94" t="s">
        <v>2141</v>
      </c>
      <c r="J44" s="94" t="s">
        <v>733</v>
      </c>
      <c r="K44" s="97">
        <v>604.5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44020</v>
      </c>
      <c r="G45" s="94" t="s">
        <v>2128</v>
      </c>
      <c r="H45" s="94" t="s">
        <v>2132</v>
      </c>
      <c r="I45" s="94" t="s">
        <v>2142</v>
      </c>
      <c r="J45" s="94" t="s">
        <v>733</v>
      </c>
      <c r="K45" s="97">
        <v>10075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44020</v>
      </c>
      <c r="G46" s="94" t="s">
        <v>2128</v>
      </c>
      <c r="H46" s="94" t="s">
        <v>2132</v>
      </c>
      <c r="I46" s="94" t="s">
        <v>2143</v>
      </c>
      <c r="J46" s="94" t="s">
        <v>733</v>
      </c>
      <c r="K46" s="97">
        <v>492.67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44020</v>
      </c>
      <c r="G47" s="94" t="s">
        <v>2128</v>
      </c>
      <c r="H47" s="94" t="s">
        <v>2132</v>
      </c>
      <c r="I47" s="94" t="s">
        <v>2144</v>
      </c>
      <c r="J47" s="94" t="s">
        <v>733</v>
      </c>
      <c r="K47" s="97">
        <v>10075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44032</v>
      </c>
      <c r="G48" s="94" t="s">
        <v>2129</v>
      </c>
      <c r="H48" s="94" t="s">
        <v>943</v>
      </c>
      <c r="I48" s="94" t="s">
        <v>1285</v>
      </c>
      <c r="J48" s="94" t="s">
        <v>733</v>
      </c>
      <c r="K48" s="97">
        <v>489.29</v>
      </c>
    </row>
    <row r="49" spans="1:12" ht="14.6" x14ac:dyDescent="0.4">
      <c r="A49" s="94"/>
      <c r="B49" s="94"/>
      <c r="C49" s="94"/>
      <c r="D49" s="94"/>
      <c r="E49" s="94" t="s">
        <v>544</v>
      </c>
      <c r="F49" s="95">
        <v>44034</v>
      </c>
      <c r="G49" s="94" t="s">
        <v>2130</v>
      </c>
      <c r="H49" s="94" t="s">
        <v>1517</v>
      </c>
      <c r="I49" s="94" t="s">
        <v>2145</v>
      </c>
      <c r="J49" s="94" t="s">
        <v>733</v>
      </c>
      <c r="K49" s="97">
        <v>2893</v>
      </c>
    </row>
    <row r="50" spans="1:12" ht="14.6" x14ac:dyDescent="0.4">
      <c r="A50" s="94"/>
      <c r="B50" s="94"/>
      <c r="C50" s="94"/>
      <c r="D50" s="94"/>
      <c r="E50" s="94" t="s">
        <v>545</v>
      </c>
      <c r="F50" s="95">
        <v>44043</v>
      </c>
      <c r="G50" s="94" t="s">
        <v>2249</v>
      </c>
      <c r="H50" s="94" t="s">
        <v>374</v>
      </c>
      <c r="I50" s="94" t="s">
        <v>1881</v>
      </c>
      <c r="J50" s="94" t="s">
        <v>924</v>
      </c>
      <c r="K50" s="97">
        <v>66.5</v>
      </c>
    </row>
    <row r="51" spans="1:12" ht="14.6" x14ac:dyDescent="0.4">
      <c r="A51" s="94"/>
      <c r="B51" s="94"/>
      <c r="C51" s="94"/>
      <c r="D51" s="94"/>
      <c r="E51" s="94" t="s">
        <v>544</v>
      </c>
      <c r="F51" s="95">
        <v>44060</v>
      </c>
      <c r="G51" s="94" t="s">
        <v>2506</v>
      </c>
      <c r="H51" s="94" t="s">
        <v>943</v>
      </c>
      <c r="I51" s="94" t="s">
        <v>1285</v>
      </c>
      <c r="J51" s="94" t="s">
        <v>733</v>
      </c>
      <c r="K51" s="97">
        <v>489.29</v>
      </c>
    </row>
    <row r="52" spans="1:12" ht="14.6" x14ac:dyDescent="0.4">
      <c r="A52" s="94"/>
      <c r="B52" s="94"/>
      <c r="C52" s="94"/>
      <c r="D52" s="94"/>
      <c r="E52" s="94" t="s">
        <v>544</v>
      </c>
      <c r="F52" s="95">
        <v>44074</v>
      </c>
      <c r="G52" s="94" t="s">
        <v>2507</v>
      </c>
      <c r="H52" s="94" t="s">
        <v>1517</v>
      </c>
      <c r="I52" s="94" t="s">
        <v>2508</v>
      </c>
      <c r="J52" s="94" t="s">
        <v>733</v>
      </c>
      <c r="K52" s="97">
        <v>779.1</v>
      </c>
    </row>
    <row r="53" spans="1:12" ht="14.6" x14ac:dyDescent="0.4">
      <c r="A53" s="94"/>
      <c r="B53" s="94"/>
      <c r="C53" s="94"/>
      <c r="D53" s="94"/>
      <c r="E53" s="94" t="s">
        <v>544</v>
      </c>
      <c r="F53" s="95">
        <v>44074</v>
      </c>
      <c r="G53" s="94" t="s">
        <v>2507</v>
      </c>
      <c r="H53" s="94" t="s">
        <v>1517</v>
      </c>
      <c r="I53" s="94" t="s">
        <v>2509</v>
      </c>
      <c r="J53" s="94" t="s">
        <v>733</v>
      </c>
      <c r="K53" s="97">
        <v>1949.85</v>
      </c>
    </row>
    <row r="54" spans="1:12" ht="14.6" x14ac:dyDescent="0.4">
      <c r="A54" s="94"/>
      <c r="B54" s="94"/>
      <c r="C54" s="94"/>
      <c r="D54" s="94"/>
      <c r="E54" s="94" t="s">
        <v>545</v>
      </c>
      <c r="F54" s="95">
        <v>44074</v>
      </c>
      <c r="G54" s="94" t="s">
        <v>2725</v>
      </c>
      <c r="H54" s="94" t="s">
        <v>374</v>
      </c>
      <c r="I54" s="94" t="s">
        <v>1518</v>
      </c>
      <c r="J54" s="94" t="s">
        <v>924</v>
      </c>
      <c r="K54" s="97">
        <v>66.5</v>
      </c>
    </row>
    <row r="55" spans="1:12" ht="14.6" x14ac:dyDescent="0.4">
      <c r="A55" s="94"/>
      <c r="B55" s="94"/>
      <c r="C55" s="94"/>
      <c r="D55" s="94"/>
      <c r="E55" s="94" t="s">
        <v>544</v>
      </c>
      <c r="F55" s="95">
        <v>44091</v>
      </c>
      <c r="G55" s="94" t="s">
        <v>2925</v>
      </c>
      <c r="H55" s="94" t="s">
        <v>943</v>
      </c>
      <c r="I55" s="94" t="s">
        <v>1285</v>
      </c>
      <c r="J55" s="94" t="s">
        <v>733</v>
      </c>
      <c r="K55" s="97">
        <v>489.29</v>
      </c>
    </row>
    <row r="56" spans="1:12" ht="14.6" x14ac:dyDescent="0.4">
      <c r="A56" s="94"/>
      <c r="B56" s="94"/>
      <c r="C56" s="94"/>
      <c r="D56" s="94"/>
      <c r="E56" s="94" t="s">
        <v>545</v>
      </c>
      <c r="F56" s="95">
        <v>44104</v>
      </c>
      <c r="G56" s="94" t="s">
        <v>2726</v>
      </c>
      <c r="H56" s="94" t="s">
        <v>374</v>
      </c>
      <c r="I56" s="94" t="s">
        <v>2727</v>
      </c>
      <c r="J56" s="94" t="s">
        <v>924</v>
      </c>
      <c r="K56" s="97">
        <v>66.5</v>
      </c>
    </row>
    <row r="57" spans="1:12" ht="14.6" x14ac:dyDescent="0.4">
      <c r="A57" s="94"/>
      <c r="B57" s="94"/>
      <c r="C57" s="94"/>
      <c r="D57" s="94"/>
      <c r="E57" s="94" t="s">
        <v>545</v>
      </c>
      <c r="F57" s="95">
        <v>44107</v>
      </c>
      <c r="G57" s="94" t="s">
        <v>2926</v>
      </c>
      <c r="H57" s="94" t="s">
        <v>1769</v>
      </c>
      <c r="I57" s="94" t="s">
        <v>2929</v>
      </c>
      <c r="J57" s="94" t="s">
        <v>924</v>
      </c>
      <c r="K57" s="97">
        <v>1250</v>
      </c>
    </row>
    <row r="58" spans="1:12" ht="14.6" x14ac:dyDescent="0.4">
      <c r="A58" s="94"/>
      <c r="B58" s="94"/>
      <c r="C58" s="94"/>
      <c r="D58" s="94"/>
      <c r="E58" s="94" t="s">
        <v>544</v>
      </c>
      <c r="F58" s="95">
        <v>44124</v>
      </c>
      <c r="G58" s="94" t="s">
        <v>2927</v>
      </c>
      <c r="H58" s="94" t="s">
        <v>943</v>
      </c>
      <c r="I58" s="94" t="s">
        <v>1285</v>
      </c>
      <c r="J58" s="94" t="s">
        <v>733</v>
      </c>
      <c r="K58" s="97">
        <v>489.29</v>
      </c>
    </row>
    <row r="59" spans="1:12" ht="14.6" x14ac:dyDescent="0.4">
      <c r="A59" s="94"/>
      <c r="B59" s="94"/>
      <c r="C59" s="94"/>
      <c r="D59" s="94"/>
      <c r="E59" s="94" t="s">
        <v>544</v>
      </c>
      <c r="F59" s="95">
        <v>44134</v>
      </c>
      <c r="G59" s="94" t="s">
        <v>2928</v>
      </c>
      <c r="H59" s="94" t="s">
        <v>943</v>
      </c>
      <c r="I59" s="94" t="s">
        <v>2930</v>
      </c>
      <c r="J59" s="94" t="s">
        <v>733</v>
      </c>
      <c r="K59" s="97">
        <v>8.56</v>
      </c>
    </row>
    <row r="60" spans="1:12" ht="14.6" x14ac:dyDescent="0.4">
      <c r="A60" s="94"/>
      <c r="B60" s="94"/>
      <c r="C60" s="94"/>
      <c r="D60" s="94"/>
      <c r="E60" s="94" t="s">
        <v>545</v>
      </c>
      <c r="F60" s="95">
        <v>44135</v>
      </c>
      <c r="G60" s="94" t="s">
        <v>3285</v>
      </c>
      <c r="H60" s="94" t="s">
        <v>374</v>
      </c>
      <c r="I60" s="94" t="s">
        <v>1518</v>
      </c>
      <c r="J60" s="94" t="s">
        <v>924</v>
      </c>
      <c r="K60" s="97">
        <v>66.5</v>
      </c>
    </row>
    <row r="61" spans="1:12" ht="14.6" x14ac:dyDescent="0.4">
      <c r="A61" s="94"/>
      <c r="B61" s="94"/>
      <c r="C61" s="94"/>
      <c r="D61" s="94"/>
      <c r="E61" s="94" t="s">
        <v>545</v>
      </c>
      <c r="F61" s="95">
        <v>44144</v>
      </c>
      <c r="G61" s="94" t="s">
        <v>3286</v>
      </c>
      <c r="H61" s="94" t="s">
        <v>1769</v>
      </c>
      <c r="I61" s="94" t="s">
        <v>3298</v>
      </c>
      <c r="J61" s="94" t="s">
        <v>924</v>
      </c>
      <c r="K61" s="97">
        <v>299.95</v>
      </c>
    </row>
    <row r="62" spans="1:12" ht="14.6" x14ac:dyDescent="0.4">
      <c r="A62" s="94"/>
      <c r="B62" s="94"/>
      <c r="C62" s="94"/>
      <c r="D62" s="94"/>
      <c r="E62" s="94" t="s">
        <v>544</v>
      </c>
      <c r="F62" s="95">
        <v>44152</v>
      </c>
      <c r="G62" s="94" t="s">
        <v>3287</v>
      </c>
      <c r="H62" s="94" t="s">
        <v>943</v>
      </c>
      <c r="I62" s="94" t="s">
        <v>1285</v>
      </c>
      <c r="J62" s="94" t="s">
        <v>733</v>
      </c>
      <c r="K62" s="97">
        <v>489.29</v>
      </c>
    </row>
    <row r="63" spans="1:12" ht="14.6" x14ac:dyDescent="0.4">
      <c r="A63" s="94"/>
      <c r="B63" s="94"/>
      <c r="C63" s="94"/>
      <c r="D63" s="94"/>
      <c r="E63" s="94" t="s">
        <v>544</v>
      </c>
      <c r="F63" s="95">
        <v>44156</v>
      </c>
      <c r="G63" s="94" t="s">
        <v>3288</v>
      </c>
      <c r="H63" s="94" t="s">
        <v>3297</v>
      </c>
      <c r="I63" s="94" t="s">
        <v>3299</v>
      </c>
      <c r="J63" s="94" t="s">
        <v>733</v>
      </c>
      <c r="K63" s="97">
        <v>5859.95</v>
      </c>
    </row>
    <row r="64" spans="1:12" ht="15" customHeight="1" x14ac:dyDescent="0.4">
      <c r="A64" s="94"/>
      <c r="B64" s="94"/>
      <c r="C64" s="94"/>
      <c r="D64" s="94"/>
      <c r="E64" s="94" t="s">
        <v>544</v>
      </c>
      <c r="F64" s="95">
        <v>44165</v>
      </c>
      <c r="G64" s="94" t="s">
        <v>3289</v>
      </c>
      <c r="H64" s="94" t="s">
        <v>817</v>
      </c>
      <c r="I64" s="94" t="s">
        <v>3300</v>
      </c>
      <c r="J64" s="94" t="s">
        <v>733</v>
      </c>
      <c r="L64" s="97">
        <v>38208.22</v>
      </c>
    </row>
    <row r="65" spans="1:12" ht="15" customHeight="1" x14ac:dyDescent="0.4">
      <c r="A65" s="94"/>
      <c r="B65" s="94"/>
      <c r="C65" s="94"/>
      <c r="D65" s="94"/>
      <c r="E65" s="94" t="s">
        <v>545</v>
      </c>
      <c r="F65" s="95">
        <v>44165</v>
      </c>
      <c r="G65" s="94" t="s">
        <v>3290</v>
      </c>
      <c r="H65" s="94" t="s">
        <v>374</v>
      </c>
      <c r="I65" s="94" t="s">
        <v>1518</v>
      </c>
      <c r="J65" s="94" t="s">
        <v>924</v>
      </c>
      <c r="K65" s="97">
        <v>66.5</v>
      </c>
    </row>
    <row r="66" spans="1:12" ht="15" customHeight="1" x14ac:dyDescent="0.4">
      <c r="A66" s="94"/>
      <c r="B66" s="94"/>
      <c r="C66" s="94"/>
      <c r="D66" s="94"/>
      <c r="E66" s="94" t="s">
        <v>545</v>
      </c>
      <c r="F66" s="95">
        <v>44174</v>
      </c>
      <c r="G66" s="94" t="s">
        <v>3291</v>
      </c>
      <c r="H66" s="94" t="s">
        <v>1168</v>
      </c>
      <c r="I66" s="94" t="s">
        <v>3301</v>
      </c>
      <c r="J66" s="94" t="s">
        <v>924</v>
      </c>
      <c r="K66" s="97">
        <v>319.92</v>
      </c>
    </row>
    <row r="67" spans="1:12" ht="15" customHeight="1" x14ac:dyDescent="0.4">
      <c r="A67" s="94"/>
      <c r="B67" s="94"/>
      <c r="C67" s="94"/>
      <c r="D67" s="94"/>
      <c r="E67" s="94" t="s">
        <v>544</v>
      </c>
      <c r="F67" s="95">
        <v>44182</v>
      </c>
      <c r="G67" s="94" t="s">
        <v>3292</v>
      </c>
      <c r="H67" s="94" t="s">
        <v>943</v>
      </c>
      <c r="I67" s="94" t="s">
        <v>1285</v>
      </c>
      <c r="J67" s="94" t="s">
        <v>733</v>
      </c>
      <c r="K67" s="97">
        <v>489.29</v>
      </c>
    </row>
    <row r="68" spans="1:12" ht="15" customHeight="1" x14ac:dyDescent="0.4">
      <c r="A68" s="94"/>
      <c r="B68" s="94"/>
      <c r="C68" s="94"/>
      <c r="D68" s="94"/>
      <c r="E68" s="94" t="s">
        <v>545</v>
      </c>
      <c r="F68" s="95">
        <v>44190</v>
      </c>
      <c r="G68" s="94" t="s">
        <v>3293</v>
      </c>
      <c r="H68" s="94" t="s">
        <v>1168</v>
      </c>
      <c r="I68" s="94" t="s">
        <v>3302</v>
      </c>
      <c r="J68" s="94" t="s">
        <v>924</v>
      </c>
      <c r="K68" s="97">
        <v>15.99</v>
      </c>
    </row>
    <row r="69" spans="1:12" ht="15" customHeight="1" x14ac:dyDescent="0.4">
      <c r="A69" s="94"/>
      <c r="B69" s="94"/>
      <c r="C69" s="94"/>
      <c r="D69" s="94"/>
      <c r="E69" s="94" t="s">
        <v>545</v>
      </c>
      <c r="F69" s="95">
        <v>44196</v>
      </c>
      <c r="G69" s="94" t="s">
        <v>3294</v>
      </c>
      <c r="H69" s="94" t="s">
        <v>374</v>
      </c>
      <c r="I69" s="94" t="s">
        <v>1518</v>
      </c>
      <c r="J69" s="94" t="s">
        <v>924</v>
      </c>
      <c r="K69" s="97">
        <v>66.5</v>
      </c>
    </row>
    <row r="70" spans="1:12" ht="15" customHeight="1" x14ac:dyDescent="0.4">
      <c r="A70" s="94"/>
      <c r="B70" s="94"/>
      <c r="C70" s="94"/>
      <c r="D70" s="94"/>
      <c r="E70" s="94" t="s">
        <v>544</v>
      </c>
      <c r="F70" s="95">
        <v>44196</v>
      </c>
      <c r="G70" s="94" t="s">
        <v>3295</v>
      </c>
      <c r="H70" s="94" t="s">
        <v>817</v>
      </c>
      <c r="I70" s="94" t="s">
        <v>3303</v>
      </c>
      <c r="J70" s="94" t="s">
        <v>733</v>
      </c>
      <c r="L70" s="97">
        <v>9950</v>
      </c>
    </row>
    <row r="71" spans="1:12" ht="15" customHeight="1" thickBot="1" x14ac:dyDescent="0.45">
      <c r="A71" s="94"/>
      <c r="B71" s="94"/>
      <c r="C71" s="94"/>
      <c r="D71" s="94"/>
      <c r="E71" s="94" t="s">
        <v>544</v>
      </c>
      <c r="F71" s="95">
        <v>44196</v>
      </c>
      <c r="G71" s="94" t="s">
        <v>3296</v>
      </c>
      <c r="H71" s="94" t="s">
        <v>817</v>
      </c>
      <c r="I71" s="94" t="s">
        <v>3304</v>
      </c>
      <c r="J71" s="94" t="s">
        <v>733</v>
      </c>
      <c r="L71" s="756">
        <v>1840</v>
      </c>
    </row>
    <row r="72" spans="1:12" ht="15" customHeight="1" thickBot="1" x14ac:dyDescent="0.45">
      <c r="A72" s="94"/>
      <c r="B72" s="94"/>
      <c r="C72" s="94" t="s">
        <v>1154</v>
      </c>
      <c r="D72" s="94"/>
      <c r="E72" s="94"/>
      <c r="F72" s="95"/>
      <c r="G72" s="94"/>
      <c r="H72" s="94"/>
      <c r="I72" s="94"/>
      <c r="J72" s="94"/>
      <c r="K72" s="757">
        <f>ROUND(SUM(K3:K71),5)</f>
        <v>236363.77</v>
      </c>
    </row>
    <row r="73" spans="1:12" ht="15" customHeight="1" thickBot="1" x14ac:dyDescent="0.45">
      <c r="A73" s="94"/>
      <c r="B73" s="94" t="s">
        <v>737</v>
      </c>
      <c r="C73" s="94"/>
      <c r="D73" s="94"/>
      <c r="E73" s="94"/>
      <c r="F73" s="95"/>
      <c r="G73" s="94"/>
      <c r="H73" s="94"/>
      <c r="I73" s="94"/>
      <c r="J73" s="94"/>
      <c r="K73" s="757">
        <f>K72</f>
        <v>236363.77</v>
      </c>
    </row>
    <row r="74" spans="1:12" ht="15" customHeight="1" thickBot="1" x14ac:dyDescent="0.45">
      <c r="A74" s="94" t="s">
        <v>98</v>
      </c>
      <c r="B74" s="94"/>
      <c r="C74" s="94"/>
      <c r="D74" s="94"/>
      <c r="E74" s="94"/>
      <c r="F74" s="95"/>
      <c r="G74" s="94"/>
      <c r="H74" s="94"/>
      <c r="I74" s="94"/>
      <c r="J74" s="94"/>
      <c r="K74" s="758">
        <f>K73</f>
        <v>236363.77</v>
      </c>
    </row>
    <row r="75" spans="1:12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1:56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248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2484" r:id="rId4" name="HEADER"/>
      </mc:Fallback>
    </mc:AlternateContent>
    <mc:AlternateContent xmlns:mc="http://schemas.openxmlformats.org/markup-compatibility/2006">
      <mc:Choice Requires="x14">
        <control shapeId="6248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2483" r:id="rId6" name="FILTER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/>
  <dimension ref="A1:K128"/>
  <sheetViews>
    <sheetView workbookViewId="0">
      <pane xSplit="3" ySplit="1" topLeftCell="D98" activePane="bottomRight" state="frozenSplit"/>
      <selection pane="topRight" activeCell="D1" sqref="D1"/>
      <selection pane="bottomLeft" activeCell="A2" sqref="A2"/>
      <selection pane="bottomRight" activeCell="I122" sqref="I122"/>
    </sheetView>
  </sheetViews>
  <sheetFormatPr defaultColWidth="14.3828125" defaultRowHeight="15" customHeight="1" x14ac:dyDescent="0.4"/>
  <cols>
    <col min="1" max="2" width="3" style="760" customWidth="1"/>
    <col min="3" max="3" width="37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2.3046875" style="760" bestFit="1" customWidth="1"/>
    <col min="8" max="9" width="30.69140625" style="760" customWidth="1"/>
    <col min="10" max="10" width="27.3828125" style="760" bestFit="1" customWidth="1"/>
    <col min="11" max="11" width="10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1173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1175</v>
      </c>
      <c r="F4" s="95">
        <v>43833</v>
      </c>
      <c r="G4" s="94"/>
      <c r="H4" s="94" t="s">
        <v>1189</v>
      </c>
      <c r="I4" s="94" t="s">
        <v>1277</v>
      </c>
      <c r="J4" s="94" t="s">
        <v>1212</v>
      </c>
      <c r="K4" s="97">
        <v>972.02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43837</v>
      </c>
      <c r="G5" s="94" t="s">
        <v>1176</v>
      </c>
      <c r="H5" s="94" t="s">
        <v>1190</v>
      </c>
      <c r="I5" s="94" t="s">
        <v>1197</v>
      </c>
      <c r="J5" s="94" t="s">
        <v>733</v>
      </c>
      <c r="K5" s="97">
        <v>5041.66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43840</v>
      </c>
      <c r="G6" s="94" t="s">
        <v>1177</v>
      </c>
      <c r="H6" s="94" t="s">
        <v>1191</v>
      </c>
      <c r="I6" s="94" t="s">
        <v>1198</v>
      </c>
      <c r="J6" s="94" t="s">
        <v>733</v>
      </c>
      <c r="K6" s="97">
        <v>552.5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43846</v>
      </c>
      <c r="G7" s="94" t="s">
        <v>1178</v>
      </c>
      <c r="H7" s="94" t="s">
        <v>1192</v>
      </c>
      <c r="I7" s="94" t="s">
        <v>1199</v>
      </c>
      <c r="J7" s="94" t="s">
        <v>733</v>
      </c>
      <c r="K7" s="97">
        <v>250</v>
      </c>
    </row>
    <row r="8" spans="1:11" ht="14.6" x14ac:dyDescent="0.4">
      <c r="A8" s="94"/>
      <c r="B8" s="94"/>
      <c r="C8" s="94"/>
      <c r="D8" s="94"/>
      <c r="E8" s="94" t="s">
        <v>1175</v>
      </c>
      <c r="F8" s="95">
        <v>43847</v>
      </c>
      <c r="G8" s="94"/>
      <c r="H8" s="94" t="s">
        <v>1189</v>
      </c>
      <c r="I8" s="94" t="s">
        <v>1277</v>
      </c>
      <c r="J8" s="94" t="s">
        <v>1212</v>
      </c>
      <c r="K8" s="97">
        <v>580.70000000000005</v>
      </c>
    </row>
    <row r="9" spans="1:11" ht="14.6" x14ac:dyDescent="0.4">
      <c r="A9" s="94"/>
      <c r="B9" s="94"/>
      <c r="C9" s="94"/>
      <c r="D9" s="94"/>
      <c r="E9" s="94" t="s">
        <v>545</v>
      </c>
      <c r="F9" s="95">
        <v>43849</v>
      </c>
      <c r="G9" s="94"/>
      <c r="H9" s="94" t="s">
        <v>1193</v>
      </c>
      <c r="I9" s="94" t="s">
        <v>1200</v>
      </c>
      <c r="J9" s="94" t="s">
        <v>924</v>
      </c>
      <c r="K9" s="97">
        <v>327.2</v>
      </c>
    </row>
    <row r="10" spans="1:11" ht="14.6" x14ac:dyDescent="0.4">
      <c r="A10" s="94"/>
      <c r="B10" s="94"/>
      <c r="C10" s="94"/>
      <c r="D10" s="94"/>
      <c r="E10" s="94" t="s">
        <v>545</v>
      </c>
      <c r="F10" s="95">
        <v>43851</v>
      </c>
      <c r="G10" s="94" t="s">
        <v>1179</v>
      </c>
      <c r="H10" s="94" t="s">
        <v>1193</v>
      </c>
      <c r="I10" s="94" t="s">
        <v>1201</v>
      </c>
      <c r="J10" s="94" t="s">
        <v>924</v>
      </c>
      <c r="K10" s="97">
        <v>98.36</v>
      </c>
    </row>
    <row r="11" spans="1:11" ht="14.6" x14ac:dyDescent="0.4">
      <c r="A11" s="94"/>
      <c r="B11" s="94"/>
      <c r="C11" s="94"/>
      <c r="D11" s="94"/>
      <c r="E11" s="94" t="s">
        <v>545</v>
      </c>
      <c r="F11" s="95">
        <v>43855</v>
      </c>
      <c r="G11" s="94" t="s">
        <v>1180</v>
      </c>
      <c r="H11" s="94" t="s">
        <v>1194</v>
      </c>
      <c r="I11" s="94" t="s">
        <v>1202</v>
      </c>
      <c r="J11" s="94" t="s">
        <v>924</v>
      </c>
      <c r="K11" s="97">
        <v>1544.9</v>
      </c>
    </row>
    <row r="12" spans="1:11" ht="14.6" x14ac:dyDescent="0.4">
      <c r="A12" s="94"/>
      <c r="B12" s="94"/>
      <c r="C12" s="94"/>
      <c r="D12" s="94"/>
      <c r="E12" s="94" t="s">
        <v>1175</v>
      </c>
      <c r="F12" s="95">
        <v>43861</v>
      </c>
      <c r="G12" s="94"/>
      <c r="H12" s="94" t="s">
        <v>1189</v>
      </c>
      <c r="I12" s="94" t="s">
        <v>1277</v>
      </c>
      <c r="J12" s="94" t="s">
        <v>1212</v>
      </c>
      <c r="K12" s="97">
        <v>554.70000000000005</v>
      </c>
    </row>
    <row r="13" spans="1:11" ht="14.6" x14ac:dyDescent="0.4">
      <c r="A13" s="94"/>
      <c r="B13" s="94"/>
      <c r="C13" s="94"/>
      <c r="D13" s="94"/>
      <c r="E13" s="94" t="s">
        <v>545</v>
      </c>
      <c r="F13" s="95">
        <v>43861</v>
      </c>
      <c r="G13" s="94" t="s">
        <v>1181</v>
      </c>
      <c r="H13" s="94" t="s">
        <v>1195</v>
      </c>
      <c r="I13" s="94" t="s">
        <v>1203</v>
      </c>
      <c r="J13" s="94" t="s">
        <v>924</v>
      </c>
      <c r="K13" s="97">
        <v>499.98</v>
      </c>
    </row>
    <row r="14" spans="1:11" ht="14.6" x14ac:dyDescent="0.4">
      <c r="A14" s="94"/>
      <c r="B14" s="94"/>
      <c r="C14" s="94"/>
      <c r="D14" s="94"/>
      <c r="E14" s="94" t="s">
        <v>545</v>
      </c>
      <c r="F14" s="95">
        <v>43862</v>
      </c>
      <c r="G14" s="94" t="s">
        <v>1182</v>
      </c>
      <c r="H14" s="94" t="s">
        <v>1195</v>
      </c>
      <c r="I14" s="94" t="s">
        <v>1204</v>
      </c>
      <c r="J14" s="94" t="s">
        <v>924</v>
      </c>
      <c r="K14" s="97">
        <v>399.98</v>
      </c>
    </row>
    <row r="15" spans="1:11" ht="14.6" x14ac:dyDescent="0.4">
      <c r="A15" s="94"/>
      <c r="B15" s="94"/>
      <c r="C15" s="94"/>
      <c r="D15" s="94"/>
      <c r="E15" s="94" t="s">
        <v>545</v>
      </c>
      <c r="F15" s="95">
        <v>43864</v>
      </c>
      <c r="G15" s="94" t="s">
        <v>1183</v>
      </c>
      <c r="H15" s="94" t="s">
        <v>1195</v>
      </c>
      <c r="I15" s="94" t="s">
        <v>1205</v>
      </c>
      <c r="J15" s="94" t="s">
        <v>924</v>
      </c>
      <c r="K15" s="97">
        <v>159.97999999999999</v>
      </c>
    </row>
    <row r="16" spans="1:11" ht="14.6" x14ac:dyDescent="0.4">
      <c r="A16" s="94"/>
      <c r="B16" s="94"/>
      <c r="C16" s="94"/>
      <c r="D16" s="94"/>
      <c r="E16" s="94" t="s">
        <v>545</v>
      </c>
      <c r="F16" s="95">
        <v>43865</v>
      </c>
      <c r="G16" s="94" t="s">
        <v>1184</v>
      </c>
      <c r="H16" s="94" t="s">
        <v>1195</v>
      </c>
      <c r="I16" s="94" t="s">
        <v>1206</v>
      </c>
      <c r="J16" s="94" t="s">
        <v>924</v>
      </c>
      <c r="K16" s="97">
        <v>159.97999999999999</v>
      </c>
    </row>
    <row r="17" spans="1:11" ht="14.6" x14ac:dyDescent="0.4">
      <c r="A17" s="94"/>
      <c r="B17" s="94"/>
      <c r="C17" s="94"/>
      <c r="D17" s="94"/>
      <c r="E17" s="94" t="s">
        <v>545</v>
      </c>
      <c r="F17" s="95">
        <v>43870</v>
      </c>
      <c r="G17" s="94" t="s">
        <v>1185</v>
      </c>
      <c r="H17" s="94" t="s">
        <v>1196</v>
      </c>
      <c r="I17" s="94" t="s">
        <v>1207</v>
      </c>
      <c r="J17" s="94" t="s">
        <v>924</v>
      </c>
      <c r="K17" s="97">
        <v>1671.02</v>
      </c>
    </row>
    <row r="18" spans="1:11" ht="14.6" x14ac:dyDescent="0.4">
      <c r="A18" s="94"/>
      <c r="B18" s="94"/>
      <c r="C18" s="94"/>
      <c r="D18" s="94"/>
      <c r="E18" s="94" t="s">
        <v>545</v>
      </c>
      <c r="F18" s="95">
        <v>43871</v>
      </c>
      <c r="G18" s="94" t="s">
        <v>1186</v>
      </c>
      <c r="H18" s="94" t="s">
        <v>1193</v>
      </c>
      <c r="I18" s="94" t="s">
        <v>1208</v>
      </c>
      <c r="J18" s="94" t="s">
        <v>924</v>
      </c>
      <c r="K18" s="97">
        <v>120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43873</v>
      </c>
      <c r="G19" s="94" t="s">
        <v>1161</v>
      </c>
      <c r="H19" s="94" t="s">
        <v>1167</v>
      </c>
      <c r="I19" s="94" t="s">
        <v>1209</v>
      </c>
      <c r="J19" s="94" t="s">
        <v>733</v>
      </c>
      <c r="K19" s="97">
        <v>500</v>
      </c>
    </row>
    <row r="20" spans="1:11" ht="14.6" x14ac:dyDescent="0.4">
      <c r="A20" s="94"/>
      <c r="B20" s="94"/>
      <c r="C20" s="94"/>
      <c r="D20" s="94"/>
      <c r="E20" s="94" t="s">
        <v>738</v>
      </c>
      <c r="F20" s="95">
        <v>43873</v>
      </c>
      <c r="G20" s="94" t="s">
        <v>1187</v>
      </c>
      <c r="H20" s="94" t="s">
        <v>1194</v>
      </c>
      <c r="I20" s="94" t="s">
        <v>1210</v>
      </c>
      <c r="J20" s="94" t="s">
        <v>924</v>
      </c>
      <c r="K20" s="97">
        <v>-117.74</v>
      </c>
    </row>
    <row r="21" spans="1:11" ht="14.6" x14ac:dyDescent="0.4">
      <c r="A21" s="94"/>
      <c r="B21" s="94"/>
      <c r="C21" s="94"/>
      <c r="D21" s="94"/>
      <c r="E21" s="94" t="s">
        <v>545</v>
      </c>
      <c r="F21" s="95">
        <v>43873</v>
      </c>
      <c r="G21" s="94" t="s">
        <v>1188</v>
      </c>
      <c r="H21" s="94" t="s">
        <v>1195</v>
      </c>
      <c r="I21" s="94" t="s">
        <v>1211</v>
      </c>
      <c r="J21" s="94" t="s">
        <v>924</v>
      </c>
      <c r="K21" s="97">
        <v>79.989999999999995</v>
      </c>
    </row>
    <row r="22" spans="1:11" ht="14.6" x14ac:dyDescent="0.4">
      <c r="A22" s="94"/>
      <c r="B22" s="94"/>
      <c r="C22" s="94"/>
      <c r="D22" s="94"/>
      <c r="E22" s="94" t="s">
        <v>1175</v>
      </c>
      <c r="F22" s="95">
        <v>43875</v>
      </c>
      <c r="G22" s="94" t="s">
        <v>1276</v>
      </c>
      <c r="H22" s="94" t="s">
        <v>1189</v>
      </c>
      <c r="I22" s="94" t="s">
        <v>1277</v>
      </c>
      <c r="J22" s="94" t="s">
        <v>1212</v>
      </c>
      <c r="K22" s="97">
        <v>992.16</v>
      </c>
    </row>
    <row r="23" spans="1:11" ht="14.6" x14ac:dyDescent="0.4">
      <c r="A23" s="94"/>
      <c r="B23" s="94"/>
      <c r="C23" s="94"/>
      <c r="D23" s="94"/>
      <c r="E23" s="94" t="s">
        <v>545</v>
      </c>
      <c r="F23" s="95">
        <v>43880</v>
      </c>
      <c r="G23" s="94"/>
      <c r="H23" s="94" t="s">
        <v>1193</v>
      </c>
      <c r="I23" s="94" t="s">
        <v>1200</v>
      </c>
      <c r="J23" s="94" t="s">
        <v>924</v>
      </c>
      <c r="K23" s="97">
        <v>327.2</v>
      </c>
    </row>
    <row r="24" spans="1:11" ht="14.6" x14ac:dyDescent="0.4">
      <c r="A24" s="94"/>
      <c r="B24" s="94"/>
      <c r="C24" s="94"/>
      <c r="D24" s="94"/>
      <c r="E24" s="94" t="s">
        <v>545</v>
      </c>
      <c r="F24" s="95">
        <v>43893</v>
      </c>
      <c r="G24" s="94" t="s">
        <v>1523</v>
      </c>
      <c r="H24" s="94" t="s">
        <v>1195</v>
      </c>
      <c r="I24" s="94" t="s">
        <v>1534</v>
      </c>
      <c r="J24" s="94" t="s">
        <v>924</v>
      </c>
      <c r="K24" s="97">
        <v>639.96</v>
      </c>
    </row>
    <row r="25" spans="1:11" ht="14.6" x14ac:dyDescent="0.4">
      <c r="A25" s="94"/>
      <c r="B25" s="94"/>
      <c r="C25" s="94"/>
      <c r="D25" s="94"/>
      <c r="E25" s="94" t="s">
        <v>545</v>
      </c>
      <c r="F25" s="95">
        <v>43899</v>
      </c>
      <c r="G25" s="94" t="s">
        <v>798</v>
      </c>
      <c r="H25" s="94" t="s">
        <v>1196</v>
      </c>
      <c r="I25" s="94" t="s">
        <v>1207</v>
      </c>
      <c r="J25" s="94" t="s">
        <v>924</v>
      </c>
      <c r="K25" s="97">
        <v>1671.02</v>
      </c>
    </row>
    <row r="26" spans="1:11" ht="14.6" x14ac:dyDescent="0.4">
      <c r="A26" s="94"/>
      <c r="B26" s="94"/>
      <c r="C26" s="94"/>
      <c r="D26" s="94"/>
      <c r="E26" s="94" t="s">
        <v>1175</v>
      </c>
      <c r="F26" s="95">
        <v>43903</v>
      </c>
      <c r="G26" s="94"/>
      <c r="H26" s="94" t="s">
        <v>1189</v>
      </c>
      <c r="I26" s="94" t="s">
        <v>1277</v>
      </c>
      <c r="J26" s="94" t="s">
        <v>1212</v>
      </c>
      <c r="K26" s="97">
        <v>1027.3699999999999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43904</v>
      </c>
      <c r="G27" s="94" t="s">
        <v>1524</v>
      </c>
      <c r="H27" s="94" t="s">
        <v>1190</v>
      </c>
      <c r="I27" s="94" t="s">
        <v>1535</v>
      </c>
      <c r="J27" s="94" t="s">
        <v>733</v>
      </c>
      <c r="K27" s="97">
        <v>5041.66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43904</v>
      </c>
      <c r="G28" s="94" t="s">
        <v>1525</v>
      </c>
      <c r="H28" s="94" t="s">
        <v>1190</v>
      </c>
      <c r="I28" s="94" t="s">
        <v>1536</v>
      </c>
      <c r="J28" s="94" t="s">
        <v>733</v>
      </c>
      <c r="K28" s="97">
        <v>5041.66</v>
      </c>
    </row>
    <row r="29" spans="1:11" ht="14.6" x14ac:dyDescent="0.4">
      <c r="A29" s="94"/>
      <c r="B29" s="94"/>
      <c r="C29" s="94"/>
      <c r="D29" s="94"/>
      <c r="E29" s="94" t="s">
        <v>545</v>
      </c>
      <c r="F29" s="95">
        <v>43908</v>
      </c>
      <c r="G29" s="94" t="s">
        <v>1775</v>
      </c>
      <c r="H29" s="94" t="s">
        <v>1195</v>
      </c>
      <c r="I29" s="94" t="s">
        <v>1782</v>
      </c>
      <c r="J29" s="94" t="s">
        <v>924</v>
      </c>
      <c r="K29" s="97">
        <v>159.97999999999999</v>
      </c>
    </row>
    <row r="30" spans="1:11" ht="14.6" x14ac:dyDescent="0.4">
      <c r="A30" s="94"/>
      <c r="B30" s="94"/>
      <c r="C30" s="94"/>
      <c r="D30" s="94"/>
      <c r="E30" s="94" t="s">
        <v>545</v>
      </c>
      <c r="F30" s="95">
        <v>43909</v>
      </c>
      <c r="G30" s="94"/>
      <c r="H30" s="94" t="s">
        <v>1193</v>
      </c>
      <c r="I30" s="94" t="s">
        <v>1200</v>
      </c>
      <c r="J30" s="94" t="s">
        <v>924</v>
      </c>
      <c r="K30" s="97">
        <v>327.2</v>
      </c>
    </row>
    <row r="31" spans="1:11" ht="14.6" x14ac:dyDescent="0.4">
      <c r="A31" s="94"/>
      <c r="B31" s="94"/>
      <c r="C31" s="94"/>
      <c r="D31" s="94"/>
      <c r="E31" s="94" t="s">
        <v>545</v>
      </c>
      <c r="F31" s="95">
        <v>43914</v>
      </c>
      <c r="G31" s="94" t="s">
        <v>1526</v>
      </c>
      <c r="H31" s="94" t="s">
        <v>1193</v>
      </c>
      <c r="I31" s="94" t="s">
        <v>1540</v>
      </c>
      <c r="J31" s="94" t="s">
        <v>924</v>
      </c>
      <c r="K31" s="97">
        <v>2700</v>
      </c>
    </row>
    <row r="32" spans="1:11" ht="14.6" x14ac:dyDescent="0.4">
      <c r="A32" s="94"/>
      <c r="B32" s="94"/>
      <c r="C32" s="94"/>
      <c r="D32" s="94"/>
      <c r="E32" s="94" t="s">
        <v>545</v>
      </c>
      <c r="F32" s="95">
        <v>43922</v>
      </c>
      <c r="G32" s="94" t="s">
        <v>1527</v>
      </c>
      <c r="H32" s="94" t="s">
        <v>1193</v>
      </c>
      <c r="I32" s="94" t="s">
        <v>1541</v>
      </c>
      <c r="J32" s="94" t="s">
        <v>924</v>
      </c>
      <c r="K32" s="97">
        <v>1163.8399999999999</v>
      </c>
    </row>
    <row r="33" spans="1:11" ht="14.6" x14ac:dyDescent="0.4">
      <c r="A33" s="94"/>
      <c r="B33" s="94"/>
      <c r="C33" s="94"/>
      <c r="D33" s="94"/>
      <c r="E33" s="94" t="s">
        <v>545</v>
      </c>
      <c r="F33" s="95">
        <v>43922</v>
      </c>
      <c r="G33" s="94" t="s">
        <v>1528</v>
      </c>
      <c r="H33" s="94" t="s">
        <v>1193</v>
      </c>
      <c r="I33" s="94" t="s">
        <v>1542</v>
      </c>
      <c r="J33" s="94" t="s">
        <v>924</v>
      </c>
      <c r="K33" s="97">
        <v>290.95999999999998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43923</v>
      </c>
      <c r="G34" s="94" t="s">
        <v>1529</v>
      </c>
      <c r="H34" s="94" t="s">
        <v>1533</v>
      </c>
      <c r="I34" s="94" t="s">
        <v>1537</v>
      </c>
      <c r="J34" s="94" t="s">
        <v>733</v>
      </c>
      <c r="K34" s="97">
        <v>400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43923</v>
      </c>
      <c r="G35" s="94" t="s">
        <v>1530</v>
      </c>
      <c r="H35" s="94" t="s">
        <v>1533</v>
      </c>
      <c r="I35" s="94" t="s">
        <v>1538</v>
      </c>
      <c r="J35" s="94" t="s">
        <v>733</v>
      </c>
      <c r="K35" s="97">
        <v>212</v>
      </c>
    </row>
    <row r="36" spans="1:11" ht="14.6" x14ac:dyDescent="0.4">
      <c r="A36" s="94"/>
      <c r="B36" s="94"/>
      <c r="C36" s="94"/>
      <c r="D36" s="94"/>
      <c r="E36" s="94" t="s">
        <v>545</v>
      </c>
      <c r="F36" s="95">
        <v>43923</v>
      </c>
      <c r="G36" s="94" t="s">
        <v>1776</v>
      </c>
      <c r="H36" s="94" t="s">
        <v>1462</v>
      </c>
      <c r="I36" s="94" t="s">
        <v>1783</v>
      </c>
      <c r="J36" s="94" t="s">
        <v>923</v>
      </c>
      <c r="K36" s="97">
        <v>97.78</v>
      </c>
    </row>
    <row r="37" spans="1:11" ht="14.6" x14ac:dyDescent="0.4">
      <c r="A37" s="94"/>
      <c r="B37" s="94"/>
      <c r="C37" s="94"/>
      <c r="D37" s="94"/>
      <c r="E37" s="94" t="s">
        <v>545</v>
      </c>
      <c r="F37" s="95">
        <v>43927</v>
      </c>
      <c r="G37" s="94"/>
      <c r="H37" s="94" t="s">
        <v>1196</v>
      </c>
      <c r="I37" s="94" t="s">
        <v>1207</v>
      </c>
      <c r="J37" s="94" t="s">
        <v>924</v>
      </c>
      <c r="K37" s="97">
        <v>1690.97</v>
      </c>
    </row>
    <row r="38" spans="1:11" ht="14.6" x14ac:dyDescent="0.4">
      <c r="A38" s="94"/>
      <c r="B38" s="94"/>
      <c r="C38" s="94"/>
      <c r="D38" s="94"/>
      <c r="E38" s="94" t="s">
        <v>1175</v>
      </c>
      <c r="F38" s="95">
        <v>43930</v>
      </c>
      <c r="G38" s="94"/>
      <c r="H38" s="94" t="s">
        <v>1189</v>
      </c>
      <c r="I38" s="94" t="s">
        <v>1277</v>
      </c>
      <c r="J38" s="94" t="s">
        <v>1212</v>
      </c>
      <c r="K38" s="97">
        <v>1027.3699999999999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43934</v>
      </c>
      <c r="G39" s="94" t="s">
        <v>1531</v>
      </c>
      <c r="H39" s="94" t="s">
        <v>1190</v>
      </c>
      <c r="I39" s="94" t="s">
        <v>1539</v>
      </c>
      <c r="J39" s="94" t="s">
        <v>733</v>
      </c>
      <c r="K39" s="97">
        <v>5041.66</v>
      </c>
    </row>
    <row r="40" spans="1:11" ht="14.6" x14ac:dyDescent="0.4">
      <c r="A40" s="94"/>
      <c r="B40" s="94"/>
      <c r="C40" s="94"/>
      <c r="D40" s="94"/>
      <c r="E40" s="94" t="s">
        <v>545</v>
      </c>
      <c r="F40" s="95">
        <v>43935</v>
      </c>
      <c r="G40" s="94" t="s">
        <v>1532</v>
      </c>
      <c r="H40" s="94" t="s">
        <v>1193</v>
      </c>
      <c r="I40" s="94" t="s">
        <v>1201</v>
      </c>
      <c r="J40" s="94" t="s">
        <v>924</v>
      </c>
      <c r="K40" s="97">
        <v>560.54999999999995</v>
      </c>
    </row>
    <row r="41" spans="1:11" ht="14.6" x14ac:dyDescent="0.4">
      <c r="A41" s="94"/>
      <c r="B41" s="94"/>
      <c r="C41" s="94"/>
      <c r="D41" s="94"/>
      <c r="E41" s="94" t="s">
        <v>545</v>
      </c>
      <c r="F41" s="95">
        <v>43940</v>
      </c>
      <c r="G41" s="94"/>
      <c r="H41" s="94" t="s">
        <v>1193</v>
      </c>
      <c r="I41" s="94" t="s">
        <v>1200</v>
      </c>
      <c r="J41" s="94" t="s">
        <v>924</v>
      </c>
      <c r="K41" s="97">
        <v>327.2</v>
      </c>
    </row>
    <row r="42" spans="1:11" ht="14.6" x14ac:dyDescent="0.4">
      <c r="A42" s="94"/>
      <c r="B42" s="94"/>
      <c r="C42" s="94"/>
      <c r="D42" s="94"/>
      <c r="E42" s="94" t="s">
        <v>545</v>
      </c>
      <c r="F42" s="95">
        <v>43944</v>
      </c>
      <c r="G42" s="94" t="s">
        <v>1777</v>
      </c>
      <c r="H42" s="94" t="s">
        <v>1193</v>
      </c>
      <c r="I42" s="94" t="s">
        <v>1784</v>
      </c>
      <c r="J42" s="94" t="s">
        <v>924</v>
      </c>
      <c r="K42" s="97">
        <v>818.63</v>
      </c>
    </row>
    <row r="43" spans="1:11" ht="14.6" x14ac:dyDescent="0.4">
      <c r="A43" s="94"/>
      <c r="B43" s="94"/>
      <c r="C43" s="94"/>
      <c r="D43" s="94"/>
      <c r="E43" s="94" t="s">
        <v>545</v>
      </c>
      <c r="F43" s="95">
        <v>43944</v>
      </c>
      <c r="G43" s="94" t="s">
        <v>1778</v>
      </c>
      <c r="H43" s="94" t="s">
        <v>1781</v>
      </c>
      <c r="I43" s="94" t="s">
        <v>1785</v>
      </c>
      <c r="J43" s="94" t="s">
        <v>924</v>
      </c>
      <c r="K43" s="97">
        <v>9.98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43945</v>
      </c>
      <c r="G44" s="94" t="s">
        <v>1779</v>
      </c>
      <c r="H44" s="94" t="s">
        <v>1533</v>
      </c>
      <c r="I44" s="94" t="s">
        <v>1537</v>
      </c>
      <c r="J44" s="94" t="s">
        <v>733</v>
      </c>
      <c r="K44" s="97">
        <v>400</v>
      </c>
    </row>
    <row r="45" spans="1:11" ht="14.6" x14ac:dyDescent="0.4">
      <c r="A45" s="94"/>
      <c r="B45" s="94"/>
      <c r="C45" s="94"/>
      <c r="D45" s="94"/>
      <c r="E45" s="94" t="s">
        <v>545</v>
      </c>
      <c r="F45" s="95">
        <v>43957</v>
      </c>
      <c r="G45" s="94"/>
      <c r="H45" s="94" t="s">
        <v>1196</v>
      </c>
      <c r="I45" s="94" t="s">
        <v>1207</v>
      </c>
      <c r="J45" s="94" t="s">
        <v>924</v>
      </c>
      <c r="K45" s="97">
        <v>1690.97</v>
      </c>
    </row>
    <row r="46" spans="1:11" ht="14.6" x14ac:dyDescent="0.4">
      <c r="A46" s="94"/>
      <c r="B46" s="94"/>
      <c r="C46" s="94"/>
      <c r="D46" s="94"/>
      <c r="E46" s="94" t="s">
        <v>1175</v>
      </c>
      <c r="F46" s="95">
        <v>43959</v>
      </c>
      <c r="G46" s="94"/>
      <c r="H46" s="94" t="s">
        <v>1189</v>
      </c>
      <c r="I46" s="94" t="s">
        <v>1277</v>
      </c>
      <c r="J46" s="94" t="s">
        <v>1212</v>
      </c>
      <c r="K46" s="97">
        <v>1027.3699999999999</v>
      </c>
    </row>
    <row r="47" spans="1:11" ht="14.6" x14ac:dyDescent="0.4">
      <c r="A47" s="94"/>
      <c r="B47" s="94"/>
      <c r="C47" s="94"/>
      <c r="D47" s="94"/>
      <c r="E47" s="94" t="s">
        <v>545</v>
      </c>
      <c r="F47" s="95">
        <v>43970</v>
      </c>
      <c r="G47" s="94"/>
      <c r="H47" s="94" t="s">
        <v>1193</v>
      </c>
      <c r="I47" s="94" t="s">
        <v>1200</v>
      </c>
      <c r="J47" s="94" t="s">
        <v>924</v>
      </c>
      <c r="K47" s="97">
        <v>327.2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43976</v>
      </c>
      <c r="G48" s="94" t="s">
        <v>1780</v>
      </c>
      <c r="H48" s="94" t="s">
        <v>1190</v>
      </c>
      <c r="I48" s="94" t="s">
        <v>1786</v>
      </c>
      <c r="J48" s="94" t="s">
        <v>733</v>
      </c>
      <c r="K48" s="97">
        <v>5041.66</v>
      </c>
    </row>
    <row r="49" spans="1:11" ht="14.6" x14ac:dyDescent="0.4">
      <c r="A49" s="94"/>
      <c r="B49" s="94"/>
      <c r="C49" s="94"/>
      <c r="D49" s="94"/>
      <c r="E49" s="94" t="s">
        <v>545</v>
      </c>
      <c r="F49" s="95">
        <v>43981</v>
      </c>
      <c r="G49" s="94" t="s">
        <v>1883</v>
      </c>
      <c r="H49" s="94" t="s">
        <v>1462</v>
      </c>
      <c r="I49" s="94" t="s">
        <v>1885</v>
      </c>
      <c r="J49" s="94" t="s">
        <v>923</v>
      </c>
      <c r="K49" s="97">
        <v>132.66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43984</v>
      </c>
      <c r="G50" s="94" t="s">
        <v>1884</v>
      </c>
      <c r="H50" s="94" t="s">
        <v>1533</v>
      </c>
      <c r="I50" s="94" t="s">
        <v>1537</v>
      </c>
      <c r="J50" s="94" t="s">
        <v>733</v>
      </c>
      <c r="K50" s="97">
        <v>400</v>
      </c>
    </row>
    <row r="51" spans="1:11" ht="14.6" x14ac:dyDescent="0.4">
      <c r="A51" s="94"/>
      <c r="B51" s="94"/>
      <c r="C51" s="94"/>
      <c r="D51" s="94"/>
      <c r="E51" s="94" t="s">
        <v>545</v>
      </c>
      <c r="F51" s="95">
        <v>43984</v>
      </c>
      <c r="G51" s="94" t="s">
        <v>2146</v>
      </c>
      <c r="H51" s="94" t="s">
        <v>2153</v>
      </c>
      <c r="I51" s="94" t="s">
        <v>2156</v>
      </c>
      <c r="J51" s="94" t="s">
        <v>924</v>
      </c>
      <c r="K51" s="97">
        <v>12</v>
      </c>
    </row>
    <row r="52" spans="1:11" ht="14.6" x14ac:dyDescent="0.4">
      <c r="A52" s="94"/>
      <c r="B52" s="94"/>
      <c r="C52" s="94"/>
      <c r="D52" s="94"/>
      <c r="E52" s="94" t="s">
        <v>1175</v>
      </c>
      <c r="F52" s="95">
        <v>43987</v>
      </c>
      <c r="G52" s="94"/>
      <c r="H52" s="94" t="s">
        <v>1189</v>
      </c>
      <c r="I52" s="94" t="s">
        <v>1277</v>
      </c>
      <c r="J52" s="94" t="s">
        <v>1212</v>
      </c>
      <c r="K52" s="97">
        <v>1027.3699999999999</v>
      </c>
    </row>
    <row r="53" spans="1:11" ht="14.6" x14ac:dyDescent="0.4">
      <c r="A53" s="94"/>
      <c r="B53" s="94"/>
      <c r="C53" s="94"/>
      <c r="D53" s="94"/>
      <c r="E53" s="94" t="s">
        <v>545</v>
      </c>
      <c r="F53" s="95">
        <v>43988</v>
      </c>
      <c r="G53" s="94"/>
      <c r="H53" s="94" t="s">
        <v>1196</v>
      </c>
      <c r="I53" s="94" t="s">
        <v>1207</v>
      </c>
      <c r="J53" s="94" t="s">
        <v>924</v>
      </c>
      <c r="K53" s="97">
        <v>1994.04</v>
      </c>
    </row>
    <row r="54" spans="1:11" ht="14.6" x14ac:dyDescent="0.4">
      <c r="A54" s="94"/>
      <c r="B54" s="94"/>
      <c r="C54" s="94"/>
      <c r="D54" s="94"/>
      <c r="E54" s="94" t="s">
        <v>545</v>
      </c>
      <c r="F54" s="95">
        <v>44001</v>
      </c>
      <c r="G54" s="94"/>
      <c r="H54" s="94" t="s">
        <v>1193</v>
      </c>
      <c r="I54" s="94" t="s">
        <v>1200</v>
      </c>
      <c r="J54" s="94" t="s">
        <v>924</v>
      </c>
      <c r="K54" s="97">
        <v>327.2</v>
      </c>
    </row>
    <row r="55" spans="1:11" ht="14.6" x14ac:dyDescent="0.4">
      <c r="A55" s="94"/>
      <c r="B55" s="94"/>
      <c r="C55" s="94"/>
      <c r="D55" s="94"/>
      <c r="E55" s="94" t="s">
        <v>545</v>
      </c>
      <c r="F55" s="95">
        <v>44005</v>
      </c>
      <c r="G55" s="94" t="s">
        <v>2147</v>
      </c>
      <c r="H55" s="94" t="s">
        <v>1195</v>
      </c>
      <c r="I55" s="94" t="s">
        <v>2157</v>
      </c>
      <c r="J55" s="94" t="s">
        <v>924</v>
      </c>
      <c r="K55" s="97">
        <v>159.97999999999999</v>
      </c>
    </row>
    <row r="56" spans="1:11" ht="14.6" x14ac:dyDescent="0.4">
      <c r="A56" s="94"/>
      <c r="B56" s="94"/>
      <c r="C56" s="94"/>
      <c r="D56" s="94"/>
      <c r="E56" s="94" t="s">
        <v>545</v>
      </c>
      <c r="F56" s="95">
        <v>44006</v>
      </c>
      <c r="G56" s="94" t="s">
        <v>2148</v>
      </c>
      <c r="H56" s="94" t="s">
        <v>2154</v>
      </c>
      <c r="I56" s="94" t="s">
        <v>2158</v>
      </c>
      <c r="J56" s="94" t="s">
        <v>924</v>
      </c>
      <c r="K56" s="97">
        <v>49.94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44011</v>
      </c>
      <c r="G57" s="94" t="s">
        <v>2149</v>
      </c>
      <c r="H57" s="94" t="s">
        <v>1190</v>
      </c>
      <c r="I57" s="94" t="s">
        <v>2159</v>
      </c>
      <c r="J57" s="94" t="s">
        <v>733</v>
      </c>
      <c r="K57" s="97">
        <v>5041.66</v>
      </c>
    </row>
    <row r="58" spans="1:11" ht="14.6" x14ac:dyDescent="0.4">
      <c r="A58" s="94"/>
      <c r="B58" s="94"/>
      <c r="C58" s="94"/>
      <c r="D58" s="94"/>
      <c r="E58" s="94" t="s">
        <v>545</v>
      </c>
      <c r="F58" s="95">
        <v>44012</v>
      </c>
      <c r="G58" s="94"/>
      <c r="H58" s="94" t="s">
        <v>1462</v>
      </c>
      <c r="I58" s="94" t="s">
        <v>1885</v>
      </c>
      <c r="J58" s="94" t="s">
        <v>923</v>
      </c>
      <c r="K58" s="97">
        <v>132.66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44014</v>
      </c>
      <c r="G59" s="94" t="s">
        <v>2150</v>
      </c>
      <c r="H59" s="94" t="s">
        <v>1533</v>
      </c>
      <c r="I59" s="94" t="s">
        <v>1537</v>
      </c>
      <c r="J59" s="94" t="s">
        <v>733</v>
      </c>
      <c r="K59" s="97">
        <v>400</v>
      </c>
    </row>
    <row r="60" spans="1:11" ht="14.6" x14ac:dyDescent="0.4">
      <c r="A60" s="94"/>
      <c r="B60" s="94"/>
      <c r="C60" s="94"/>
      <c r="D60" s="94"/>
      <c r="E60" s="94" t="s">
        <v>1175</v>
      </c>
      <c r="F60" s="95">
        <v>44014</v>
      </c>
      <c r="G60" s="94"/>
      <c r="H60" s="94" t="s">
        <v>1189</v>
      </c>
      <c r="I60" s="94" t="s">
        <v>1277</v>
      </c>
      <c r="J60" s="94" t="s">
        <v>1212</v>
      </c>
      <c r="K60" s="97">
        <v>1012.9</v>
      </c>
    </row>
    <row r="61" spans="1:11" ht="14.6" x14ac:dyDescent="0.4">
      <c r="A61" s="94"/>
      <c r="B61" s="94"/>
      <c r="C61" s="94"/>
      <c r="D61" s="94"/>
      <c r="E61" s="94" t="s">
        <v>545</v>
      </c>
      <c r="F61" s="95">
        <v>44018</v>
      </c>
      <c r="G61" s="94" t="s">
        <v>2151</v>
      </c>
      <c r="H61" s="94" t="s">
        <v>1196</v>
      </c>
      <c r="I61" s="94" t="s">
        <v>1207</v>
      </c>
      <c r="J61" s="94" t="s">
        <v>924</v>
      </c>
      <c r="K61" s="97">
        <v>1850.89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44020</v>
      </c>
      <c r="G62" s="94" t="s">
        <v>2128</v>
      </c>
      <c r="H62" s="94" t="s">
        <v>2132</v>
      </c>
      <c r="I62" s="94" t="s">
        <v>2160</v>
      </c>
      <c r="J62" s="94" t="s">
        <v>733</v>
      </c>
      <c r="K62" s="97">
        <v>437.5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44020</v>
      </c>
      <c r="G63" s="94" t="s">
        <v>2128</v>
      </c>
      <c r="H63" s="94" t="s">
        <v>2132</v>
      </c>
      <c r="I63" s="94" t="s">
        <v>2161</v>
      </c>
      <c r="J63" s="94" t="s">
        <v>733</v>
      </c>
      <c r="K63" s="97">
        <v>98.74</v>
      </c>
    </row>
    <row r="64" spans="1:11" ht="14.6" x14ac:dyDescent="0.4">
      <c r="A64" s="94"/>
      <c r="B64" s="94"/>
      <c r="C64" s="94"/>
      <c r="D64" s="94"/>
      <c r="E64" s="94" t="s">
        <v>545</v>
      </c>
      <c r="F64" s="95">
        <v>44026</v>
      </c>
      <c r="G64" s="94" t="s">
        <v>2250</v>
      </c>
      <c r="H64" s="94" t="s">
        <v>1195</v>
      </c>
      <c r="I64" s="94" t="s">
        <v>2157</v>
      </c>
      <c r="J64" s="94" t="s">
        <v>924</v>
      </c>
      <c r="K64" s="97">
        <v>159.97999999999999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44028</v>
      </c>
      <c r="G65" s="94" t="s">
        <v>2152</v>
      </c>
      <c r="H65" s="94" t="s">
        <v>2155</v>
      </c>
      <c r="I65" s="94" t="s">
        <v>2162</v>
      </c>
      <c r="J65" s="94" t="s">
        <v>733</v>
      </c>
      <c r="K65" s="97">
        <v>684</v>
      </c>
    </row>
    <row r="66" spans="1:11" ht="14.6" x14ac:dyDescent="0.4">
      <c r="A66" s="94"/>
      <c r="B66" s="94"/>
      <c r="C66" s="94"/>
      <c r="D66" s="94"/>
      <c r="E66" s="94" t="s">
        <v>545</v>
      </c>
      <c r="F66" s="95">
        <v>44030</v>
      </c>
      <c r="G66" s="94" t="s">
        <v>2251</v>
      </c>
      <c r="H66" s="94" t="s">
        <v>1195</v>
      </c>
      <c r="I66" s="94" t="s">
        <v>1211</v>
      </c>
      <c r="J66" s="94" t="s">
        <v>924</v>
      </c>
      <c r="K66" s="97">
        <v>79.989999999999995</v>
      </c>
    </row>
    <row r="67" spans="1:11" ht="14.6" x14ac:dyDescent="0.4">
      <c r="A67" s="94"/>
      <c r="B67" s="94"/>
      <c r="C67" s="94"/>
      <c r="D67" s="94"/>
      <c r="E67" s="94" t="s">
        <v>545</v>
      </c>
      <c r="F67" s="95">
        <v>44031</v>
      </c>
      <c r="G67" s="94"/>
      <c r="H67" s="94" t="s">
        <v>1193</v>
      </c>
      <c r="I67" s="94" t="s">
        <v>1200</v>
      </c>
      <c r="J67" s="94" t="s">
        <v>924</v>
      </c>
      <c r="K67" s="97">
        <v>327.2</v>
      </c>
    </row>
    <row r="68" spans="1:11" ht="14.6" x14ac:dyDescent="0.4">
      <c r="A68" s="94"/>
      <c r="B68" s="94"/>
      <c r="C68" s="94"/>
      <c r="D68" s="94"/>
      <c r="E68" s="94" t="s">
        <v>545</v>
      </c>
      <c r="F68" s="95">
        <v>44042</v>
      </c>
      <c r="G68" s="94" t="s">
        <v>2510</v>
      </c>
      <c r="H68" s="94" t="s">
        <v>1462</v>
      </c>
      <c r="I68" s="94" t="s">
        <v>1208</v>
      </c>
      <c r="J68" s="94" t="s">
        <v>923</v>
      </c>
      <c r="K68" s="97">
        <v>133.62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44045</v>
      </c>
      <c r="G69" s="94" t="s">
        <v>2252</v>
      </c>
      <c r="H69" s="94" t="s">
        <v>1533</v>
      </c>
      <c r="I69" s="94" t="s">
        <v>1537</v>
      </c>
      <c r="J69" s="94" t="s">
        <v>733</v>
      </c>
      <c r="K69" s="97">
        <v>400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44046</v>
      </c>
      <c r="G70" s="94" t="s">
        <v>2253</v>
      </c>
      <c r="H70" s="94" t="s">
        <v>1190</v>
      </c>
      <c r="I70" s="94" t="s">
        <v>2516</v>
      </c>
      <c r="J70" s="94" t="s">
        <v>733</v>
      </c>
      <c r="K70" s="97">
        <v>5041.66</v>
      </c>
    </row>
    <row r="71" spans="1:11" ht="14.6" x14ac:dyDescent="0.4">
      <c r="A71" s="94"/>
      <c r="B71" s="94"/>
      <c r="C71" s="94"/>
      <c r="D71" s="94"/>
      <c r="E71" s="94" t="s">
        <v>545</v>
      </c>
      <c r="F71" s="95">
        <v>44049</v>
      </c>
      <c r="G71" s="94"/>
      <c r="H71" s="94" t="s">
        <v>1196</v>
      </c>
      <c r="I71" s="94" t="s">
        <v>1207</v>
      </c>
      <c r="J71" s="94" t="s">
        <v>924</v>
      </c>
      <c r="K71" s="97">
        <v>1850.89</v>
      </c>
    </row>
    <row r="72" spans="1:11" ht="14.6" x14ac:dyDescent="0.4">
      <c r="A72" s="94"/>
      <c r="B72" s="94"/>
      <c r="C72" s="94"/>
      <c r="D72" s="94"/>
      <c r="E72" s="94" t="s">
        <v>545</v>
      </c>
      <c r="F72" s="95">
        <v>44055</v>
      </c>
      <c r="G72" s="94" t="s">
        <v>2511</v>
      </c>
      <c r="H72" s="94" t="s">
        <v>2515</v>
      </c>
      <c r="I72" s="94" t="s">
        <v>2517</v>
      </c>
      <c r="J72" s="94" t="s">
        <v>924</v>
      </c>
      <c r="K72" s="97">
        <v>22.31</v>
      </c>
    </row>
    <row r="73" spans="1:11" ht="14.6" x14ac:dyDescent="0.4">
      <c r="A73" s="94"/>
      <c r="B73" s="94"/>
      <c r="C73" s="94"/>
      <c r="D73" s="94"/>
      <c r="E73" s="94" t="s">
        <v>1175</v>
      </c>
      <c r="F73" s="95">
        <v>44057</v>
      </c>
      <c r="G73" s="94"/>
      <c r="H73" s="94" t="s">
        <v>1189</v>
      </c>
      <c r="I73" s="94" t="s">
        <v>1277</v>
      </c>
      <c r="J73" s="94" t="s">
        <v>1212</v>
      </c>
      <c r="K73" s="97">
        <v>1041.8399999999999</v>
      </c>
    </row>
    <row r="74" spans="1:11" ht="14.6" x14ac:dyDescent="0.4">
      <c r="A74" s="94"/>
      <c r="B74" s="94"/>
      <c r="C74" s="94"/>
      <c r="D74" s="94"/>
      <c r="E74" s="94" t="s">
        <v>545</v>
      </c>
      <c r="F74" s="95">
        <v>44062</v>
      </c>
      <c r="G74" s="94"/>
      <c r="H74" s="94" t="s">
        <v>1193</v>
      </c>
      <c r="I74" s="94" t="s">
        <v>1200</v>
      </c>
      <c r="J74" s="94" t="s">
        <v>924</v>
      </c>
      <c r="K74" s="97">
        <v>327.2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44064</v>
      </c>
      <c r="G75" s="94" t="s">
        <v>2512</v>
      </c>
      <c r="H75" s="94" t="s">
        <v>1196</v>
      </c>
      <c r="I75" s="94" t="s">
        <v>2518</v>
      </c>
      <c r="J75" s="94" t="s">
        <v>733</v>
      </c>
      <c r="K75" s="97">
        <v>0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44064</v>
      </c>
      <c r="G76" s="94" t="s">
        <v>2512</v>
      </c>
      <c r="H76" s="94" t="s">
        <v>1196</v>
      </c>
      <c r="I76" s="94" t="s">
        <v>2519</v>
      </c>
      <c r="J76" s="94" t="s">
        <v>733</v>
      </c>
      <c r="K76" s="97">
        <v>94.99</v>
      </c>
    </row>
    <row r="77" spans="1:11" ht="14.6" x14ac:dyDescent="0.4">
      <c r="A77" s="94"/>
      <c r="B77" s="94"/>
      <c r="C77" s="94"/>
      <c r="D77" s="94"/>
      <c r="E77" s="94" t="s">
        <v>545</v>
      </c>
      <c r="F77" s="95">
        <v>44073</v>
      </c>
      <c r="G77" s="94" t="s">
        <v>2728</v>
      </c>
      <c r="H77" s="94" t="s">
        <v>1462</v>
      </c>
      <c r="I77" s="94" t="s">
        <v>1208</v>
      </c>
      <c r="J77" s="94" t="s">
        <v>923</v>
      </c>
      <c r="K77" s="97">
        <v>133.62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44074</v>
      </c>
      <c r="G78" s="94" t="s">
        <v>2513</v>
      </c>
      <c r="H78" s="94" t="s">
        <v>1190</v>
      </c>
      <c r="I78" s="94" t="s">
        <v>2520</v>
      </c>
      <c r="J78" s="94" t="s">
        <v>733</v>
      </c>
      <c r="K78" s="97">
        <v>5041.66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44076</v>
      </c>
      <c r="G79" s="94" t="s">
        <v>2514</v>
      </c>
      <c r="H79" s="94" t="s">
        <v>1533</v>
      </c>
      <c r="I79" s="94" t="s">
        <v>1537</v>
      </c>
      <c r="J79" s="94" t="s">
        <v>733</v>
      </c>
      <c r="K79" s="97">
        <v>400</v>
      </c>
    </row>
    <row r="80" spans="1:11" ht="14.6" x14ac:dyDescent="0.4">
      <c r="A80" s="94"/>
      <c r="B80" s="94"/>
      <c r="C80" s="94"/>
      <c r="D80" s="94"/>
      <c r="E80" s="94" t="s">
        <v>545</v>
      </c>
      <c r="F80" s="95">
        <v>44080</v>
      </c>
      <c r="G80" s="94"/>
      <c r="H80" s="94" t="s">
        <v>1196</v>
      </c>
      <c r="I80" s="94" t="s">
        <v>1207</v>
      </c>
      <c r="J80" s="94" t="s">
        <v>924</v>
      </c>
      <c r="K80" s="97">
        <v>1850.89</v>
      </c>
    </row>
    <row r="81" spans="1:11" ht="14.6" x14ac:dyDescent="0.4">
      <c r="A81" s="94"/>
      <c r="B81" s="94"/>
      <c r="C81" s="94"/>
      <c r="D81" s="94"/>
      <c r="E81" s="94" t="s">
        <v>545</v>
      </c>
      <c r="F81" s="95">
        <v>44081</v>
      </c>
      <c r="G81" s="94" t="s">
        <v>2729</v>
      </c>
      <c r="H81" s="94" t="s">
        <v>1195</v>
      </c>
      <c r="I81" s="94" t="s">
        <v>2734</v>
      </c>
      <c r="J81" s="94" t="s">
        <v>924</v>
      </c>
      <c r="K81" s="97">
        <v>159.97999999999999</v>
      </c>
    </row>
    <row r="82" spans="1:11" ht="14.6" x14ac:dyDescent="0.4">
      <c r="A82" s="94"/>
      <c r="B82" s="94"/>
      <c r="C82" s="94"/>
      <c r="D82" s="94"/>
      <c r="E82" s="94" t="s">
        <v>1175</v>
      </c>
      <c r="F82" s="95">
        <v>44085</v>
      </c>
      <c r="G82" s="94"/>
      <c r="H82" s="94" t="s">
        <v>1189</v>
      </c>
      <c r="I82" s="94" t="s">
        <v>1277</v>
      </c>
      <c r="J82" s="94" t="s">
        <v>1212</v>
      </c>
      <c r="K82" s="97">
        <v>1027.3699999999999</v>
      </c>
    </row>
    <row r="83" spans="1:11" ht="14.6" x14ac:dyDescent="0.4">
      <c r="A83" s="94"/>
      <c r="B83" s="94"/>
      <c r="C83" s="94"/>
      <c r="D83" s="94"/>
      <c r="E83" s="94" t="s">
        <v>545</v>
      </c>
      <c r="F83" s="95">
        <v>44093</v>
      </c>
      <c r="G83" s="94"/>
      <c r="H83" s="94" t="s">
        <v>1193</v>
      </c>
      <c r="I83" s="94" t="s">
        <v>1200</v>
      </c>
      <c r="J83" s="94" t="s">
        <v>924</v>
      </c>
      <c r="K83" s="97">
        <v>327.2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44102</v>
      </c>
      <c r="G84" s="94" t="s">
        <v>2730</v>
      </c>
      <c r="H84" s="94" t="s">
        <v>2733</v>
      </c>
      <c r="I84" s="94" t="s">
        <v>2735</v>
      </c>
      <c r="J84" s="94" t="s">
        <v>733</v>
      </c>
      <c r="K84" s="97">
        <v>413.43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44102</v>
      </c>
      <c r="G85" s="94" t="s">
        <v>2731</v>
      </c>
      <c r="H85" s="94" t="s">
        <v>1190</v>
      </c>
      <c r="I85" s="94" t="s">
        <v>2736</v>
      </c>
      <c r="J85" s="94" t="s">
        <v>733</v>
      </c>
      <c r="K85" s="97">
        <v>5041.66</v>
      </c>
    </row>
    <row r="86" spans="1:11" ht="14.6" x14ac:dyDescent="0.4">
      <c r="A86" s="94"/>
      <c r="B86" s="94"/>
      <c r="C86" s="94"/>
      <c r="D86" s="94"/>
      <c r="E86" s="94" t="s">
        <v>545</v>
      </c>
      <c r="F86" s="95">
        <v>44104</v>
      </c>
      <c r="G86" s="94" t="s">
        <v>2931</v>
      </c>
      <c r="H86" s="94" t="s">
        <v>1462</v>
      </c>
      <c r="I86" s="94" t="s">
        <v>1208</v>
      </c>
      <c r="J86" s="94" t="s">
        <v>923</v>
      </c>
      <c r="K86" s="97">
        <v>131.44999999999999</v>
      </c>
    </row>
    <row r="87" spans="1:11" ht="14.6" x14ac:dyDescent="0.4">
      <c r="A87" s="94"/>
      <c r="B87" s="94"/>
      <c r="C87" s="94"/>
      <c r="D87" s="94"/>
      <c r="E87" s="94" t="s">
        <v>545</v>
      </c>
      <c r="F87" s="95">
        <v>44105</v>
      </c>
      <c r="G87" s="94" t="s">
        <v>2932</v>
      </c>
      <c r="H87" s="94" t="s">
        <v>1195</v>
      </c>
      <c r="I87" s="94" t="s">
        <v>2945</v>
      </c>
      <c r="J87" s="94" t="s">
        <v>924</v>
      </c>
      <c r="K87" s="97">
        <v>159.97999999999999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44106</v>
      </c>
      <c r="G88" s="94" t="s">
        <v>2732</v>
      </c>
      <c r="H88" s="94" t="s">
        <v>1533</v>
      </c>
      <c r="I88" s="94" t="s">
        <v>1537</v>
      </c>
      <c r="J88" s="94" t="s">
        <v>733</v>
      </c>
      <c r="K88" s="97">
        <v>400</v>
      </c>
    </row>
    <row r="89" spans="1:11" ht="14.6" x14ac:dyDescent="0.4">
      <c r="A89" s="94"/>
      <c r="B89" s="94"/>
      <c r="C89" s="94"/>
      <c r="D89" s="94"/>
      <c r="E89" s="94" t="s">
        <v>545</v>
      </c>
      <c r="F89" s="95">
        <v>44110</v>
      </c>
      <c r="G89" s="94"/>
      <c r="H89" s="94" t="s">
        <v>1196</v>
      </c>
      <c r="I89" s="94" t="s">
        <v>1207</v>
      </c>
      <c r="J89" s="94" t="s">
        <v>924</v>
      </c>
      <c r="K89" s="97">
        <v>1850.89</v>
      </c>
    </row>
    <row r="90" spans="1:11" ht="14.6" x14ac:dyDescent="0.4">
      <c r="A90" s="94"/>
      <c r="B90" s="94"/>
      <c r="C90" s="94"/>
      <c r="D90" s="94"/>
      <c r="E90" s="94" t="s">
        <v>545</v>
      </c>
      <c r="F90" s="95">
        <v>44110</v>
      </c>
      <c r="G90" s="94" t="s">
        <v>2933</v>
      </c>
      <c r="H90" s="94" t="s">
        <v>3315</v>
      </c>
      <c r="I90" s="94" t="s">
        <v>2946</v>
      </c>
      <c r="J90" s="94" t="s">
        <v>924</v>
      </c>
      <c r="K90" s="97">
        <v>5.05</v>
      </c>
    </row>
    <row r="91" spans="1:11" ht="14.6" x14ac:dyDescent="0.4">
      <c r="A91" s="94"/>
      <c r="B91" s="94"/>
      <c r="C91" s="94"/>
      <c r="D91" s="94"/>
      <c r="E91" s="94" t="s">
        <v>545</v>
      </c>
      <c r="F91" s="95">
        <v>44110</v>
      </c>
      <c r="G91" s="94" t="s">
        <v>2934</v>
      </c>
      <c r="H91" s="94" t="s">
        <v>3315</v>
      </c>
      <c r="I91" s="94" t="s">
        <v>2946</v>
      </c>
      <c r="J91" s="94" t="s">
        <v>924</v>
      </c>
      <c r="K91" s="97">
        <v>10.63</v>
      </c>
    </row>
    <row r="92" spans="1:11" ht="14.6" x14ac:dyDescent="0.4">
      <c r="A92" s="94"/>
      <c r="B92" s="94"/>
      <c r="C92" s="94"/>
      <c r="D92" s="94"/>
      <c r="E92" s="94" t="s">
        <v>545</v>
      </c>
      <c r="F92" s="95">
        <v>44110</v>
      </c>
      <c r="G92" s="94" t="s">
        <v>2935</v>
      </c>
      <c r="H92" s="94" t="s">
        <v>3315</v>
      </c>
      <c r="I92" s="94" t="s">
        <v>2946</v>
      </c>
      <c r="J92" s="94" t="s">
        <v>924</v>
      </c>
      <c r="K92" s="97">
        <v>16.32</v>
      </c>
    </row>
    <row r="93" spans="1:11" ht="14.6" x14ac:dyDescent="0.4">
      <c r="A93" s="94"/>
      <c r="B93" s="94"/>
      <c r="C93" s="94"/>
      <c r="D93" s="94"/>
      <c r="E93" s="94" t="s">
        <v>545</v>
      </c>
      <c r="F93" s="95">
        <v>44111</v>
      </c>
      <c r="G93" s="94" t="s">
        <v>2558</v>
      </c>
      <c r="H93" s="94" t="s">
        <v>3315</v>
      </c>
      <c r="I93" s="94" t="s">
        <v>2946</v>
      </c>
      <c r="J93" s="94" t="s">
        <v>924</v>
      </c>
      <c r="K93" s="97">
        <v>0.43</v>
      </c>
    </row>
    <row r="94" spans="1:11" ht="14.6" x14ac:dyDescent="0.4">
      <c r="A94" s="94"/>
      <c r="B94" s="94"/>
      <c r="C94" s="94"/>
      <c r="D94" s="94"/>
      <c r="E94" s="94" t="s">
        <v>738</v>
      </c>
      <c r="F94" s="95">
        <v>44111</v>
      </c>
      <c r="G94" s="94" t="s">
        <v>2936</v>
      </c>
      <c r="H94" s="94" t="s">
        <v>3315</v>
      </c>
      <c r="I94" s="94" t="s">
        <v>2947</v>
      </c>
      <c r="J94" s="94" t="s">
        <v>924</v>
      </c>
      <c r="K94" s="97">
        <v>-10.4</v>
      </c>
    </row>
    <row r="95" spans="1:11" ht="14.6" x14ac:dyDescent="0.4">
      <c r="A95" s="94"/>
      <c r="B95" s="94"/>
      <c r="C95" s="94"/>
      <c r="D95" s="94"/>
      <c r="E95" s="94" t="s">
        <v>1175</v>
      </c>
      <c r="F95" s="95">
        <v>44113</v>
      </c>
      <c r="G95" s="94"/>
      <c r="H95" s="94" t="s">
        <v>1189</v>
      </c>
      <c r="I95" s="94" t="s">
        <v>3318</v>
      </c>
      <c r="J95" s="94" t="s">
        <v>1212</v>
      </c>
      <c r="K95" s="97">
        <v>1032.3699999999999</v>
      </c>
    </row>
    <row r="96" spans="1:11" ht="14.6" x14ac:dyDescent="0.4">
      <c r="A96" s="94"/>
      <c r="B96" s="94"/>
      <c r="C96" s="94"/>
      <c r="D96" s="94"/>
      <c r="E96" s="94" t="s">
        <v>545</v>
      </c>
      <c r="F96" s="95">
        <v>44117</v>
      </c>
      <c r="G96" s="94" t="s">
        <v>2937</v>
      </c>
      <c r="H96" s="94" t="s">
        <v>1195</v>
      </c>
      <c r="I96" s="94" t="s">
        <v>2945</v>
      </c>
      <c r="J96" s="94" t="s">
        <v>924</v>
      </c>
      <c r="K96" s="97">
        <v>159.97999999999999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44119</v>
      </c>
      <c r="G97" s="94" t="s">
        <v>2938</v>
      </c>
      <c r="H97" s="94" t="s">
        <v>1196</v>
      </c>
      <c r="I97" s="94" t="s">
        <v>2948</v>
      </c>
      <c r="J97" s="94" t="s">
        <v>733</v>
      </c>
      <c r="K97" s="97">
        <v>0</v>
      </c>
    </row>
    <row r="98" spans="1:11" ht="14.6" x14ac:dyDescent="0.4">
      <c r="A98" s="94"/>
      <c r="B98" s="94"/>
      <c r="C98" s="94"/>
      <c r="D98" s="94"/>
      <c r="E98" s="94" t="s">
        <v>544</v>
      </c>
      <c r="F98" s="95">
        <v>44119</v>
      </c>
      <c r="G98" s="94" t="s">
        <v>2939</v>
      </c>
      <c r="H98" s="94" t="s">
        <v>1196</v>
      </c>
      <c r="I98" s="94" t="s">
        <v>1606</v>
      </c>
      <c r="J98" s="94" t="s">
        <v>733</v>
      </c>
      <c r="K98" s="97">
        <v>0</v>
      </c>
    </row>
    <row r="99" spans="1:11" ht="14.6" x14ac:dyDescent="0.4">
      <c r="A99" s="94"/>
      <c r="B99" s="94"/>
      <c r="C99" s="94"/>
      <c r="D99" s="94"/>
      <c r="E99" s="94" t="s">
        <v>545</v>
      </c>
      <c r="F99" s="95">
        <v>44123</v>
      </c>
      <c r="G99" s="94"/>
      <c r="H99" s="94" t="s">
        <v>1193</v>
      </c>
      <c r="I99" s="94" t="s">
        <v>1200</v>
      </c>
      <c r="J99" s="94" t="s">
        <v>924</v>
      </c>
      <c r="K99" s="97">
        <v>327.2</v>
      </c>
    </row>
    <row r="100" spans="1:11" ht="14.6" x14ac:dyDescent="0.4">
      <c r="A100" s="94"/>
      <c r="B100" s="94"/>
      <c r="C100" s="94"/>
      <c r="D100" s="94"/>
      <c r="E100" s="94" t="s">
        <v>545</v>
      </c>
      <c r="F100" s="95">
        <v>44134</v>
      </c>
      <c r="G100" s="94" t="s">
        <v>3305</v>
      </c>
      <c r="H100" s="94" t="s">
        <v>1462</v>
      </c>
      <c r="I100" s="94" t="s">
        <v>1208</v>
      </c>
      <c r="J100" s="94" t="s">
        <v>923</v>
      </c>
      <c r="K100" s="97">
        <v>131.49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44135</v>
      </c>
      <c r="G101" s="94" t="s">
        <v>2940</v>
      </c>
      <c r="H101" s="94" t="s">
        <v>1533</v>
      </c>
      <c r="I101" s="94" t="s">
        <v>1537</v>
      </c>
      <c r="J101" s="94" t="s">
        <v>733</v>
      </c>
      <c r="K101" s="97">
        <v>4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44137</v>
      </c>
      <c r="G102" s="94" t="s">
        <v>2941</v>
      </c>
      <c r="H102" s="94" t="s">
        <v>1533</v>
      </c>
      <c r="I102" s="94" t="s">
        <v>1537</v>
      </c>
      <c r="J102" s="94" t="s">
        <v>733</v>
      </c>
      <c r="K102" s="97">
        <v>400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44139</v>
      </c>
      <c r="G103" s="94" t="s">
        <v>2942</v>
      </c>
      <c r="H103" s="94" t="s">
        <v>1196</v>
      </c>
      <c r="I103" s="94" t="s">
        <v>2949</v>
      </c>
      <c r="J103" s="94" t="s">
        <v>733</v>
      </c>
      <c r="K103" s="97">
        <v>0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44139</v>
      </c>
      <c r="G104" s="94" t="s">
        <v>2942</v>
      </c>
      <c r="H104" s="94" t="s">
        <v>1196</v>
      </c>
      <c r="I104" s="94" t="s">
        <v>2950</v>
      </c>
      <c r="J104" s="94" t="s">
        <v>733</v>
      </c>
      <c r="K104" s="97">
        <v>6849.95</v>
      </c>
    </row>
    <row r="105" spans="1:11" ht="14.6" x14ac:dyDescent="0.4">
      <c r="A105" s="94"/>
      <c r="B105" s="94"/>
      <c r="C105" s="94"/>
      <c r="D105" s="94"/>
      <c r="E105" s="94" t="s">
        <v>545</v>
      </c>
      <c r="F105" s="95">
        <v>44139</v>
      </c>
      <c r="G105" s="94" t="s">
        <v>3306</v>
      </c>
      <c r="H105" s="94" t="s">
        <v>3316</v>
      </c>
      <c r="I105" s="94" t="s">
        <v>2518</v>
      </c>
      <c r="J105" s="94" t="s">
        <v>924</v>
      </c>
      <c r="K105" s="97">
        <v>0</v>
      </c>
    </row>
    <row r="106" spans="1:11" ht="14.6" x14ac:dyDescent="0.4">
      <c r="A106" s="94"/>
      <c r="B106" s="94"/>
      <c r="C106" s="94"/>
      <c r="D106" s="94"/>
      <c r="E106" s="94" t="s">
        <v>545</v>
      </c>
      <c r="F106" s="95">
        <v>44139</v>
      </c>
      <c r="G106" s="94" t="s">
        <v>3306</v>
      </c>
      <c r="H106" s="94" t="s">
        <v>3316</v>
      </c>
      <c r="I106" s="94" t="s">
        <v>3319</v>
      </c>
      <c r="J106" s="94" t="s">
        <v>924</v>
      </c>
      <c r="K106" s="97">
        <v>29.95</v>
      </c>
    </row>
    <row r="107" spans="1:11" ht="14.6" x14ac:dyDescent="0.4">
      <c r="A107" s="94"/>
      <c r="B107" s="94"/>
      <c r="C107" s="94"/>
      <c r="D107" s="94"/>
      <c r="E107" s="94" t="s">
        <v>545</v>
      </c>
      <c r="F107" s="95">
        <v>44141</v>
      </c>
      <c r="G107" s="94"/>
      <c r="H107" s="94" t="s">
        <v>1196</v>
      </c>
      <c r="I107" s="94" t="s">
        <v>1207</v>
      </c>
      <c r="J107" s="94" t="s">
        <v>924</v>
      </c>
      <c r="K107" s="97">
        <v>1850.89</v>
      </c>
    </row>
    <row r="108" spans="1:11" ht="14.6" x14ac:dyDescent="0.4">
      <c r="A108" s="94"/>
      <c r="B108" s="94"/>
      <c r="C108" s="94"/>
      <c r="D108" s="94"/>
      <c r="E108" s="94" t="s">
        <v>1175</v>
      </c>
      <c r="F108" s="95">
        <v>44141</v>
      </c>
      <c r="G108" s="94"/>
      <c r="H108" s="94" t="s">
        <v>1189</v>
      </c>
      <c r="I108" s="94" t="s">
        <v>1277</v>
      </c>
      <c r="J108" s="94" t="s">
        <v>1212</v>
      </c>
      <c r="K108" s="97">
        <v>1027.3699999999999</v>
      </c>
    </row>
    <row r="109" spans="1:11" ht="14.6" x14ac:dyDescent="0.4">
      <c r="A109" s="94"/>
      <c r="B109" s="94"/>
      <c r="C109" s="94"/>
      <c r="D109" s="94"/>
      <c r="E109" s="94" t="s">
        <v>545</v>
      </c>
      <c r="F109" s="95">
        <v>44142</v>
      </c>
      <c r="G109" s="94" t="s">
        <v>3307</v>
      </c>
      <c r="H109" s="94" t="s">
        <v>3315</v>
      </c>
      <c r="I109" s="94" t="s">
        <v>2946</v>
      </c>
      <c r="J109" s="94" t="s">
        <v>924</v>
      </c>
      <c r="K109" s="97">
        <v>21.83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44145</v>
      </c>
      <c r="G110" s="94" t="s">
        <v>2943</v>
      </c>
      <c r="H110" s="94" t="s">
        <v>1190</v>
      </c>
      <c r="I110" s="94" t="s">
        <v>2951</v>
      </c>
      <c r="J110" s="94" t="s">
        <v>733</v>
      </c>
      <c r="K110" s="97">
        <v>5041.66</v>
      </c>
    </row>
    <row r="111" spans="1:11" ht="15" customHeight="1" x14ac:dyDescent="0.4">
      <c r="A111" s="94"/>
      <c r="B111" s="94"/>
      <c r="C111" s="94"/>
      <c r="D111" s="94"/>
      <c r="E111" s="94" t="s">
        <v>544</v>
      </c>
      <c r="F111" s="95">
        <v>44145</v>
      </c>
      <c r="G111" s="94" t="s">
        <v>2944</v>
      </c>
      <c r="H111" s="94" t="s">
        <v>1190</v>
      </c>
      <c r="I111" s="94" t="s">
        <v>2952</v>
      </c>
      <c r="J111" s="94" t="s">
        <v>733</v>
      </c>
      <c r="K111" s="97">
        <v>5041.66</v>
      </c>
    </row>
    <row r="112" spans="1:11" ht="15" customHeight="1" x14ac:dyDescent="0.4">
      <c r="A112" s="94"/>
      <c r="B112" s="94"/>
      <c r="C112" s="94"/>
      <c r="D112" s="94"/>
      <c r="E112" s="94" t="s">
        <v>545</v>
      </c>
      <c r="F112" s="95">
        <v>44154</v>
      </c>
      <c r="G112" s="94"/>
      <c r="H112" s="94" t="s">
        <v>1193</v>
      </c>
      <c r="I112" s="94" t="s">
        <v>1200</v>
      </c>
      <c r="J112" s="94" t="s">
        <v>924</v>
      </c>
      <c r="K112" s="97">
        <v>327.2</v>
      </c>
    </row>
    <row r="113" spans="1:11" ht="15" customHeight="1" x14ac:dyDescent="0.4">
      <c r="A113" s="94"/>
      <c r="B113" s="94"/>
      <c r="C113" s="94"/>
      <c r="D113" s="94"/>
      <c r="E113" s="94" t="s">
        <v>545</v>
      </c>
      <c r="F113" s="95">
        <v>44165</v>
      </c>
      <c r="G113" s="94" t="s">
        <v>3308</v>
      </c>
      <c r="H113" s="94" t="s">
        <v>1195</v>
      </c>
      <c r="I113" s="94" t="s">
        <v>3320</v>
      </c>
      <c r="J113" s="94" t="s">
        <v>924</v>
      </c>
      <c r="K113" s="97">
        <v>739.98</v>
      </c>
    </row>
    <row r="114" spans="1:11" ht="15" customHeight="1" x14ac:dyDescent="0.4">
      <c r="A114" s="94"/>
      <c r="B114" s="94"/>
      <c r="C114" s="94"/>
      <c r="D114" s="94"/>
      <c r="E114" s="94" t="s">
        <v>545</v>
      </c>
      <c r="F114" s="95">
        <v>44165</v>
      </c>
      <c r="G114" s="94" t="s">
        <v>3290</v>
      </c>
      <c r="H114" s="94" t="s">
        <v>1462</v>
      </c>
      <c r="I114" s="94" t="s">
        <v>1208</v>
      </c>
      <c r="J114" s="94" t="s">
        <v>923</v>
      </c>
      <c r="K114" s="97">
        <v>131.49</v>
      </c>
    </row>
    <row r="115" spans="1:11" ht="15" customHeight="1" x14ac:dyDescent="0.4">
      <c r="A115" s="94"/>
      <c r="B115" s="94"/>
      <c r="C115" s="94"/>
      <c r="D115" s="94"/>
      <c r="E115" s="94" t="s">
        <v>544</v>
      </c>
      <c r="F115" s="95">
        <v>44166</v>
      </c>
      <c r="G115" s="94" t="s">
        <v>3309</v>
      </c>
      <c r="H115" s="94" t="s">
        <v>1190</v>
      </c>
      <c r="I115" s="94" t="s">
        <v>3321</v>
      </c>
      <c r="J115" s="94" t="s">
        <v>733</v>
      </c>
      <c r="K115" s="97">
        <v>5041.66</v>
      </c>
    </row>
    <row r="116" spans="1:11" ht="15" customHeight="1" x14ac:dyDescent="0.4">
      <c r="A116" s="94"/>
      <c r="B116" s="94"/>
      <c r="C116" s="94"/>
      <c r="D116" s="94"/>
      <c r="E116" s="94" t="s">
        <v>544</v>
      </c>
      <c r="F116" s="95">
        <v>44167</v>
      </c>
      <c r="G116" s="94" t="s">
        <v>3310</v>
      </c>
      <c r="H116" s="94" t="s">
        <v>1533</v>
      </c>
      <c r="I116" s="94" t="s">
        <v>1537</v>
      </c>
      <c r="J116" s="94" t="s">
        <v>733</v>
      </c>
      <c r="K116" s="97">
        <v>404</v>
      </c>
    </row>
    <row r="117" spans="1:11" ht="15" customHeight="1" x14ac:dyDescent="0.4">
      <c r="A117" s="94"/>
      <c r="B117" s="94"/>
      <c r="C117" s="94"/>
      <c r="D117" s="94"/>
      <c r="E117" s="94" t="s">
        <v>1175</v>
      </c>
      <c r="F117" s="95">
        <v>44169</v>
      </c>
      <c r="G117" s="94"/>
      <c r="H117" s="94" t="s">
        <v>1189</v>
      </c>
      <c r="I117" s="94" t="s">
        <v>1277</v>
      </c>
      <c r="J117" s="94" t="s">
        <v>1212</v>
      </c>
      <c r="K117" s="97">
        <v>1027.3699999999999</v>
      </c>
    </row>
    <row r="118" spans="1:11" ht="15" customHeight="1" x14ac:dyDescent="0.4">
      <c r="A118" s="94"/>
      <c r="B118" s="94"/>
      <c r="C118" s="94"/>
      <c r="D118" s="94"/>
      <c r="E118" s="94" t="s">
        <v>545</v>
      </c>
      <c r="F118" s="95">
        <v>44171</v>
      </c>
      <c r="G118" s="94"/>
      <c r="H118" s="94" t="s">
        <v>1196</v>
      </c>
      <c r="I118" s="94" t="s">
        <v>1207</v>
      </c>
      <c r="J118" s="94" t="s">
        <v>924</v>
      </c>
      <c r="K118" s="97">
        <v>1850.89</v>
      </c>
    </row>
    <row r="119" spans="1:11" ht="15" customHeight="1" x14ac:dyDescent="0.4">
      <c r="A119" s="94"/>
      <c r="B119" s="94"/>
      <c r="C119" s="94"/>
      <c r="D119" s="94"/>
      <c r="E119" s="94" t="s">
        <v>545</v>
      </c>
      <c r="F119" s="95">
        <v>44172</v>
      </c>
      <c r="G119" s="94" t="s">
        <v>3311</v>
      </c>
      <c r="H119" s="94" t="s">
        <v>3315</v>
      </c>
      <c r="I119" s="94" t="s">
        <v>2946</v>
      </c>
      <c r="J119" s="94" t="s">
        <v>924</v>
      </c>
      <c r="K119" s="97">
        <v>22.34</v>
      </c>
    </row>
    <row r="120" spans="1:11" ht="15" customHeight="1" x14ac:dyDescent="0.4">
      <c r="A120" s="94"/>
      <c r="B120" s="94"/>
      <c r="C120" s="94"/>
      <c r="D120" s="94"/>
      <c r="E120" s="94" t="s">
        <v>544</v>
      </c>
      <c r="F120" s="95">
        <v>44179</v>
      </c>
      <c r="G120" s="94" t="s">
        <v>3312</v>
      </c>
      <c r="H120" s="94" t="s">
        <v>1196</v>
      </c>
      <c r="I120" s="94" t="s">
        <v>3322</v>
      </c>
      <c r="J120" s="94" t="s">
        <v>733</v>
      </c>
      <c r="K120" s="97">
        <v>0</v>
      </c>
    </row>
    <row r="121" spans="1:11" ht="15" customHeight="1" x14ac:dyDescent="0.4">
      <c r="A121" s="94"/>
      <c r="B121" s="94"/>
      <c r="C121" s="94"/>
      <c r="D121" s="94"/>
      <c r="E121" s="94" t="s">
        <v>545</v>
      </c>
      <c r="F121" s="95">
        <v>44180</v>
      </c>
      <c r="G121" s="94" t="s">
        <v>3313</v>
      </c>
      <c r="H121" s="94" t="s">
        <v>3317</v>
      </c>
      <c r="I121" s="94" t="s">
        <v>3323</v>
      </c>
      <c r="J121" s="94" t="s">
        <v>924</v>
      </c>
      <c r="K121" s="97">
        <v>199.95</v>
      </c>
    </row>
    <row r="122" spans="1:11" ht="15" customHeight="1" x14ac:dyDescent="0.4">
      <c r="A122" s="94"/>
      <c r="B122" s="94"/>
      <c r="C122" s="94"/>
      <c r="D122" s="94"/>
      <c r="E122" s="94" t="s">
        <v>1175</v>
      </c>
      <c r="F122" s="95">
        <v>44182</v>
      </c>
      <c r="G122" s="94"/>
      <c r="H122" s="94" t="s">
        <v>1189</v>
      </c>
      <c r="I122" s="94" t="s">
        <v>1277</v>
      </c>
      <c r="J122" s="94" t="s">
        <v>1212</v>
      </c>
      <c r="K122" s="97">
        <v>22.26</v>
      </c>
    </row>
    <row r="123" spans="1:11" ht="15" customHeight="1" x14ac:dyDescent="0.4">
      <c r="A123" s="94"/>
      <c r="B123" s="94"/>
      <c r="C123" s="94"/>
      <c r="D123" s="94"/>
      <c r="E123" s="94" t="s">
        <v>545</v>
      </c>
      <c r="F123" s="95">
        <v>44184</v>
      </c>
      <c r="G123" s="94"/>
      <c r="H123" s="94" t="s">
        <v>1193</v>
      </c>
      <c r="I123" s="94" t="s">
        <v>1200</v>
      </c>
      <c r="J123" s="94" t="s">
        <v>924</v>
      </c>
      <c r="K123" s="97">
        <v>327.2</v>
      </c>
    </row>
    <row r="124" spans="1:11" ht="15" customHeight="1" thickBot="1" x14ac:dyDescent="0.45">
      <c r="A124" s="94"/>
      <c r="B124" s="94"/>
      <c r="C124" s="94"/>
      <c r="D124" s="94"/>
      <c r="E124" s="94" t="s">
        <v>545</v>
      </c>
      <c r="F124" s="95">
        <v>44195</v>
      </c>
      <c r="G124" s="94" t="s">
        <v>3314</v>
      </c>
      <c r="H124" s="94" t="s">
        <v>1462</v>
      </c>
      <c r="I124" s="94" t="s">
        <v>1208</v>
      </c>
      <c r="J124" s="94" t="s">
        <v>923</v>
      </c>
      <c r="K124" s="756">
        <v>131.49</v>
      </c>
    </row>
    <row r="125" spans="1:11" ht="15" customHeight="1" thickBot="1" x14ac:dyDescent="0.45">
      <c r="A125" s="94"/>
      <c r="B125" s="94"/>
      <c r="C125" s="94" t="s">
        <v>1174</v>
      </c>
      <c r="D125" s="94"/>
      <c r="E125" s="94"/>
      <c r="F125" s="95"/>
      <c r="G125" s="94"/>
      <c r="H125" s="94"/>
      <c r="I125" s="94"/>
      <c r="J125" s="94"/>
      <c r="K125" s="757">
        <f>ROUND(SUM(K3:K124),5)</f>
        <v>123797.14</v>
      </c>
    </row>
    <row r="126" spans="1:11" ht="15" customHeight="1" thickBot="1" x14ac:dyDescent="0.45">
      <c r="A126" s="94"/>
      <c r="B126" s="94" t="s">
        <v>737</v>
      </c>
      <c r="C126" s="94"/>
      <c r="D126" s="94"/>
      <c r="E126" s="94"/>
      <c r="F126" s="95"/>
      <c r="G126" s="94"/>
      <c r="H126" s="94"/>
      <c r="I126" s="94"/>
      <c r="J126" s="94"/>
      <c r="K126" s="757">
        <f>K125</f>
        <v>123797.14</v>
      </c>
    </row>
    <row r="127" spans="1:11" ht="15" customHeight="1" thickBot="1" x14ac:dyDescent="0.45">
      <c r="A127" s="94" t="s">
        <v>98</v>
      </c>
      <c r="B127" s="94"/>
      <c r="C127" s="94"/>
      <c r="D127" s="94"/>
      <c r="E127" s="94"/>
      <c r="F127" s="95"/>
      <c r="G127" s="94"/>
      <c r="H127" s="94"/>
      <c r="I127" s="94"/>
      <c r="J127" s="94"/>
      <c r="K127" s="758">
        <f>K126</f>
        <v>123797.14</v>
      </c>
    </row>
    <row r="128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1:58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351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3510" r:id="rId4" name="HEADER"/>
      </mc:Fallback>
    </mc:AlternateContent>
    <mc:AlternateContent xmlns:mc="http://schemas.openxmlformats.org/markup-compatibility/2006">
      <mc:Choice Requires="x14">
        <control shapeId="6350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3509" r:id="rId6" name="FILTER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4"/>
  <dimension ref="A1:K18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8.5351562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11.69140625" style="760" bestFit="1" customWidth="1"/>
    <col min="8" max="9" width="30.69140625" style="760" customWidth="1"/>
    <col min="10" max="10" width="22.3046875" style="760" bestFit="1" customWidth="1"/>
    <col min="11" max="11" width="9.15234375" style="760" bestFit="1" customWidth="1"/>
  </cols>
  <sheetData>
    <row r="1" spans="1:11" s="765" customFormat="1" ht="15" customHeigh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ht="15" customHeight="1" thickTop="1" x14ac:dyDescent="0.4">
      <c r="A2" s="94"/>
      <c r="B2" s="94" t="s">
        <v>734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5" customHeight="1" x14ac:dyDescent="0.4">
      <c r="A3" s="94"/>
      <c r="B3" s="94"/>
      <c r="C3" s="94" t="s">
        <v>484</v>
      </c>
      <c r="D3" s="94"/>
      <c r="E3" s="94"/>
      <c r="F3" s="95"/>
      <c r="G3" s="94"/>
      <c r="H3" s="94"/>
      <c r="I3" s="94"/>
      <c r="J3" s="94"/>
      <c r="K3" s="97"/>
    </row>
    <row r="4" spans="1:11" ht="15" customHeight="1" x14ac:dyDescent="0.4">
      <c r="A4" s="94"/>
      <c r="B4" s="94"/>
      <c r="C4" s="94"/>
      <c r="D4" s="94"/>
      <c r="E4" s="94" t="s">
        <v>544</v>
      </c>
      <c r="F4" s="95">
        <v>44105</v>
      </c>
      <c r="G4" s="94" t="s">
        <v>2738</v>
      </c>
      <c r="H4" s="94" t="s">
        <v>2739</v>
      </c>
      <c r="I4" s="94" t="s">
        <v>2740</v>
      </c>
      <c r="J4" s="94" t="s">
        <v>733</v>
      </c>
      <c r="K4" s="97">
        <v>65</v>
      </c>
    </row>
    <row r="5" spans="1:11" ht="15" customHeight="1" x14ac:dyDescent="0.4">
      <c r="A5" s="94"/>
      <c r="B5" s="94"/>
      <c r="C5" s="94"/>
      <c r="D5" s="94"/>
      <c r="E5" s="94" t="s">
        <v>544</v>
      </c>
      <c r="F5" s="95">
        <v>44105</v>
      </c>
      <c r="G5" s="94" t="s">
        <v>2738</v>
      </c>
      <c r="H5" s="94" t="s">
        <v>2739</v>
      </c>
      <c r="I5" s="94" t="s">
        <v>2741</v>
      </c>
      <c r="J5" s="94" t="s">
        <v>733</v>
      </c>
      <c r="K5" s="97">
        <v>6546</v>
      </c>
    </row>
    <row r="6" spans="1:11" ht="15" customHeight="1" x14ac:dyDescent="0.4">
      <c r="A6" s="94"/>
      <c r="B6" s="94"/>
      <c r="C6" s="94"/>
      <c r="D6" s="94"/>
      <c r="E6" s="94" t="s">
        <v>544</v>
      </c>
      <c r="F6" s="95">
        <v>44105</v>
      </c>
      <c r="G6" s="94" t="s">
        <v>2738</v>
      </c>
      <c r="H6" s="94" t="s">
        <v>2739</v>
      </c>
      <c r="I6" s="94" t="s">
        <v>2742</v>
      </c>
      <c r="J6" s="94" t="s">
        <v>733</v>
      </c>
      <c r="K6" s="97">
        <v>2802</v>
      </c>
    </row>
    <row r="7" spans="1:11" ht="15" customHeight="1" x14ac:dyDescent="0.4">
      <c r="A7" s="94"/>
      <c r="B7" s="94"/>
      <c r="C7" s="94"/>
      <c r="D7" s="94"/>
      <c r="E7" s="94" t="s">
        <v>544</v>
      </c>
      <c r="F7" s="95">
        <v>44105</v>
      </c>
      <c r="G7" s="94" t="s">
        <v>2738</v>
      </c>
      <c r="H7" s="94" t="s">
        <v>2739</v>
      </c>
      <c r="I7" s="94" t="s">
        <v>2743</v>
      </c>
      <c r="J7" s="94" t="s">
        <v>733</v>
      </c>
      <c r="K7" s="97">
        <v>600</v>
      </c>
    </row>
    <row r="8" spans="1:11" ht="15" customHeight="1" x14ac:dyDescent="0.4">
      <c r="A8" s="94"/>
      <c r="B8" s="94"/>
      <c r="C8" s="94"/>
      <c r="D8" s="94"/>
      <c r="E8" s="94" t="s">
        <v>544</v>
      </c>
      <c r="F8" s="95">
        <v>44105</v>
      </c>
      <c r="G8" s="94" t="s">
        <v>2738</v>
      </c>
      <c r="H8" s="94" t="s">
        <v>2739</v>
      </c>
      <c r="I8" s="94" t="s">
        <v>2744</v>
      </c>
      <c r="J8" s="94" t="s">
        <v>733</v>
      </c>
      <c r="K8" s="97">
        <v>8766</v>
      </c>
    </row>
    <row r="9" spans="1:11" ht="15" customHeight="1" x14ac:dyDescent="0.4">
      <c r="A9" s="94"/>
      <c r="B9" s="94"/>
      <c r="C9" s="94"/>
      <c r="D9" s="94"/>
      <c r="E9" s="94" t="s">
        <v>544</v>
      </c>
      <c r="F9" s="95">
        <v>44105</v>
      </c>
      <c r="G9" s="94" t="s">
        <v>2738</v>
      </c>
      <c r="H9" s="94" t="s">
        <v>2739</v>
      </c>
      <c r="I9" s="94" t="s">
        <v>2745</v>
      </c>
      <c r="J9" s="94" t="s">
        <v>733</v>
      </c>
      <c r="K9" s="97">
        <v>-343</v>
      </c>
    </row>
    <row r="10" spans="1:11" ht="15" customHeight="1" x14ac:dyDescent="0.4">
      <c r="A10" s="94"/>
      <c r="B10" s="94"/>
      <c r="C10" s="94"/>
      <c r="D10" s="94"/>
      <c r="E10" s="94" t="s">
        <v>544</v>
      </c>
      <c r="F10" s="95">
        <v>44105</v>
      </c>
      <c r="G10" s="94" t="s">
        <v>2738</v>
      </c>
      <c r="H10" s="94" t="s">
        <v>2739</v>
      </c>
      <c r="I10" s="94" t="s">
        <v>2746</v>
      </c>
      <c r="J10" s="94" t="s">
        <v>733</v>
      </c>
      <c r="K10" s="97">
        <v>-12</v>
      </c>
    </row>
    <row r="11" spans="1:11" ht="15" customHeight="1" x14ac:dyDescent="0.4">
      <c r="A11" s="94"/>
      <c r="B11" s="94"/>
      <c r="C11" s="94"/>
      <c r="D11" s="94"/>
      <c r="E11" s="94" t="s">
        <v>544</v>
      </c>
      <c r="F11" s="95">
        <v>44105</v>
      </c>
      <c r="G11" s="94" t="s">
        <v>2738</v>
      </c>
      <c r="H11" s="94" t="s">
        <v>2739</v>
      </c>
      <c r="I11" s="94" t="s">
        <v>2747</v>
      </c>
      <c r="J11" s="94" t="s">
        <v>733</v>
      </c>
      <c r="K11" s="97">
        <v>-130.91999999999999</v>
      </c>
    </row>
    <row r="12" spans="1:11" ht="15" customHeight="1" x14ac:dyDescent="0.4">
      <c r="A12" s="94"/>
      <c r="B12" s="94"/>
      <c r="C12" s="94"/>
      <c r="D12" s="94"/>
      <c r="E12" s="94" t="s">
        <v>544</v>
      </c>
      <c r="F12" s="95">
        <v>44105</v>
      </c>
      <c r="G12" s="94" t="s">
        <v>2738</v>
      </c>
      <c r="H12" s="94" t="s">
        <v>2739</v>
      </c>
      <c r="I12" s="94" t="s">
        <v>2748</v>
      </c>
      <c r="J12" s="94" t="s">
        <v>733</v>
      </c>
      <c r="K12" s="97">
        <v>-1.3</v>
      </c>
    </row>
    <row r="13" spans="1:11" ht="15" customHeight="1" x14ac:dyDescent="0.4">
      <c r="A13" s="94"/>
      <c r="B13" s="94"/>
      <c r="C13" s="94"/>
      <c r="D13" s="94"/>
      <c r="E13" s="94" t="s">
        <v>544</v>
      </c>
      <c r="F13" s="95">
        <v>44105</v>
      </c>
      <c r="G13" s="94" t="s">
        <v>2738</v>
      </c>
      <c r="H13" s="94" t="s">
        <v>2739</v>
      </c>
      <c r="I13" s="94" t="s">
        <v>2749</v>
      </c>
      <c r="J13" s="94" t="s">
        <v>733</v>
      </c>
      <c r="K13" s="97">
        <v>-175.32</v>
      </c>
    </row>
    <row r="14" spans="1:11" ht="15" customHeight="1" thickBot="1" x14ac:dyDescent="0.45">
      <c r="A14" s="94"/>
      <c r="B14" s="94"/>
      <c r="C14" s="94"/>
      <c r="D14" s="94"/>
      <c r="E14" s="94" t="s">
        <v>544</v>
      </c>
      <c r="F14" s="95">
        <v>44105</v>
      </c>
      <c r="G14" s="94" t="s">
        <v>2738</v>
      </c>
      <c r="H14" s="94" t="s">
        <v>2739</v>
      </c>
      <c r="I14" s="94" t="s">
        <v>2750</v>
      </c>
      <c r="J14" s="94" t="s">
        <v>733</v>
      </c>
      <c r="K14" s="756">
        <v>-56.04</v>
      </c>
    </row>
    <row r="15" spans="1:11" ht="15" customHeight="1" thickBot="1" x14ac:dyDescent="0.45">
      <c r="A15" s="94"/>
      <c r="B15" s="94"/>
      <c r="C15" s="94" t="s">
        <v>2737</v>
      </c>
      <c r="D15" s="94"/>
      <c r="E15" s="94"/>
      <c r="F15" s="95"/>
      <c r="G15" s="94"/>
      <c r="H15" s="94"/>
      <c r="I15" s="94"/>
      <c r="J15" s="94"/>
      <c r="K15" s="757">
        <f>ROUND(SUM(K3:K14),5)</f>
        <v>18060.419999999998</v>
      </c>
    </row>
    <row r="16" spans="1:11" ht="15" customHeight="1" thickBot="1" x14ac:dyDescent="0.45">
      <c r="A16" s="94"/>
      <c r="B16" s="94" t="s">
        <v>737</v>
      </c>
      <c r="C16" s="94"/>
      <c r="D16" s="94"/>
      <c r="E16" s="94"/>
      <c r="F16" s="95"/>
      <c r="G16" s="94"/>
      <c r="H16" s="94"/>
      <c r="I16" s="94"/>
      <c r="J16" s="94"/>
      <c r="K16" s="757">
        <f>K15</f>
        <v>18060.419999999998</v>
      </c>
    </row>
    <row r="17" spans="1:11" ht="15" customHeight="1" thickBot="1" x14ac:dyDescent="0.45">
      <c r="A17" s="94" t="s">
        <v>98</v>
      </c>
      <c r="B17" s="94"/>
      <c r="C17" s="94"/>
      <c r="D17" s="94"/>
      <c r="E17" s="94"/>
      <c r="F17" s="95"/>
      <c r="G17" s="94"/>
      <c r="H17" s="94"/>
      <c r="I17" s="94"/>
      <c r="J17" s="94"/>
      <c r="K17" s="758">
        <f>K16</f>
        <v>18060.419999999998</v>
      </c>
    </row>
    <row r="18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11:15 AM
&amp;"Arial,Bold"&amp;8 10/21/20
&amp;"Arial,Bold"&amp;8 Accrual Basis&amp;C&amp;"Arial,Bold"&amp;12 Williamson Central Appraisal District
&amp;"Arial,Bold"&amp;14 Account QuickReport
&amp;"Arial,Bold"&amp;10 January 1 through October 21,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39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3970" r:id="rId4" name="HEADER"/>
      </mc:Fallback>
    </mc:AlternateContent>
    <mc:AlternateContent xmlns:mc="http://schemas.openxmlformats.org/markup-compatibility/2006">
      <mc:Choice Requires="x14">
        <control shapeId="839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83969" r:id="rId6" name="FILTER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7"/>
  <dimension ref="A1:K140"/>
  <sheetViews>
    <sheetView workbookViewId="0">
      <pane xSplit="3" ySplit="1" topLeftCell="D5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8.5351562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7.53515625" style="760" bestFit="1" customWidth="1"/>
    <col min="8" max="8" width="24.53515625" style="760" bestFit="1" customWidth="1"/>
    <col min="9" max="9" width="30.69140625" style="760" customWidth="1"/>
    <col min="10" max="10" width="22.3046875" style="760" bestFit="1" customWidth="1"/>
    <col min="11" max="11" width="10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1213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485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43888</v>
      </c>
      <c r="G4" s="94" t="s">
        <v>806</v>
      </c>
      <c r="H4" s="94" t="s">
        <v>1216</v>
      </c>
      <c r="I4" s="94" t="s">
        <v>1236</v>
      </c>
      <c r="J4" s="94" t="s">
        <v>733</v>
      </c>
      <c r="K4" s="97">
        <v>780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43888</v>
      </c>
      <c r="G5" s="94" t="s">
        <v>806</v>
      </c>
      <c r="H5" s="94" t="s">
        <v>1217</v>
      </c>
      <c r="I5" s="94" t="s">
        <v>1237</v>
      </c>
      <c r="J5" s="94" t="s">
        <v>733</v>
      </c>
      <c r="K5" s="97">
        <v>620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43888</v>
      </c>
      <c r="G6" s="94" t="s">
        <v>806</v>
      </c>
      <c r="H6" s="94" t="s">
        <v>1218</v>
      </c>
      <c r="I6" s="94" t="s">
        <v>1238</v>
      </c>
      <c r="J6" s="94" t="s">
        <v>733</v>
      </c>
      <c r="K6" s="97">
        <v>780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43888</v>
      </c>
      <c r="G7" s="94" t="s">
        <v>806</v>
      </c>
      <c r="H7" s="94" t="s">
        <v>1218</v>
      </c>
      <c r="I7" s="94" t="s">
        <v>1239</v>
      </c>
      <c r="J7" s="94" t="s">
        <v>733</v>
      </c>
      <c r="K7" s="97">
        <v>120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43888</v>
      </c>
      <c r="G8" s="94" t="s">
        <v>806</v>
      </c>
      <c r="H8" s="94" t="s">
        <v>1219</v>
      </c>
      <c r="I8" s="94" t="s">
        <v>1236</v>
      </c>
      <c r="J8" s="94" t="s">
        <v>733</v>
      </c>
      <c r="K8" s="97">
        <v>780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43888</v>
      </c>
      <c r="G9" s="94" t="s">
        <v>806</v>
      </c>
      <c r="H9" s="94" t="s">
        <v>1220</v>
      </c>
      <c r="I9" s="94" t="s">
        <v>1236</v>
      </c>
      <c r="J9" s="94" t="s">
        <v>733</v>
      </c>
      <c r="K9" s="97">
        <v>780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43888</v>
      </c>
      <c r="G10" s="94" t="s">
        <v>806</v>
      </c>
      <c r="H10" s="94" t="s">
        <v>1221</v>
      </c>
      <c r="I10" s="94" t="s">
        <v>1240</v>
      </c>
      <c r="J10" s="94" t="s">
        <v>733</v>
      </c>
      <c r="K10" s="97">
        <v>880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43888</v>
      </c>
      <c r="G11" s="94" t="s">
        <v>806</v>
      </c>
      <c r="H11" s="94" t="s">
        <v>1222</v>
      </c>
      <c r="I11" s="94" t="s">
        <v>1241</v>
      </c>
      <c r="J11" s="94" t="s">
        <v>733</v>
      </c>
      <c r="K11" s="97">
        <v>680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43888</v>
      </c>
      <c r="G12" s="94" t="s">
        <v>806</v>
      </c>
      <c r="H12" s="94" t="s">
        <v>1223</v>
      </c>
      <c r="I12" s="94" t="s">
        <v>1236</v>
      </c>
      <c r="J12" s="94" t="s">
        <v>733</v>
      </c>
      <c r="K12" s="97">
        <v>780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43888</v>
      </c>
      <c r="G13" s="94" t="s">
        <v>806</v>
      </c>
      <c r="H13" s="94" t="s">
        <v>1224</v>
      </c>
      <c r="I13" s="94" t="s">
        <v>1236</v>
      </c>
      <c r="J13" s="94" t="s">
        <v>733</v>
      </c>
      <c r="K13" s="97">
        <v>780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43888</v>
      </c>
      <c r="G14" s="94" t="s">
        <v>806</v>
      </c>
      <c r="H14" s="94" t="s">
        <v>1225</v>
      </c>
      <c r="I14" s="94" t="s">
        <v>1236</v>
      </c>
      <c r="J14" s="94" t="s">
        <v>733</v>
      </c>
      <c r="K14" s="97">
        <v>780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43888</v>
      </c>
      <c r="G15" s="94" t="s">
        <v>806</v>
      </c>
      <c r="H15" s="94" t="s">
        <v>1226</v>
      </c>
      <c r="I15" s="94" t="s">
        <v>1236</v>
      </c>
      <c r="J15" s="94" t="s">
        <v>733</v>
      </c>
      <c r="K15" s="97">
        <v>780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43888</v>
      </c>
      <c r="G16" s="94" t="s">
        <v>806</v>
      </c>
      <c r="H16" s="94" t="s">
        <v>1227</v>
      </c>
      <c r="I16" s="94" t="s">
        <v>1242</v>
      </c>
      <c r="J16" s="94" t="s">
        <v>733</v>
      </c>
      <c r="K16" s="97">
        <v>680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43888</v>
      </c>
      <c r="G17" s="94" t="s">
        <v>806</v>
      </c>
      <c r="H17" s="94" t="s">
        <v>1228</v>
      </c>
      <c r="I17" s="94" t="s">
        <v>1237</v>
      </c>
      <c r="J17" s="94" t="s">
        <v>733</v>
      </c>
      <c r="K17" s="97">
        <v>620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43888</v>
      </c>
      <c r="G18" s="94" t="s">
        <v>806</v>
      </c>
      <c r="H18" s="94" t="s">
        <v>1229</v>
      </c>
      <c r="I18" s="94" t="s">
        <v>1243</v>
      </c>
      <c r="J18" s="94" t="s">
        <v>733</v>
      </c>
      <c r="K18" s="97">
        <v>880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43888</v>
      </c>
      <c r="G19" s="94" t="s">
        <v>806</v>
      </c>
      <c r="H19" s="94" t="s">
        <v>1230</v>
      </c>
      <c r="I19" s="94" t="s">
        <v>1244</v>
      </c>
      <c r="J19" s="94" t="s">
        <v>733</v>
      </c>
      <c r="K19" s="97">
        <v>780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43888</v>
      </c>
      <c r="G20" s="94" t="s">
        <v>806</v>
      </c>
      <c r="H20" s="94" t="s">
        <v>1231</v>
      </c>
      <c r="I20" s="94" t="s">
        <v>1242</v>
      </c>
      <c r="J20" s="94" t="s">
        <v>733</v>
      </c>
      <c r="K20" s="97">
        <v>620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43888</v>
      </c>
      <c r="G21" s="94" t="s">
        <v>806</v>
      </c>
      <c r="H21" s="94" t="s">
        <v>1232</v>
      </c>
      <c r="I21" s="94" t="s">
        <v>1237</v>
      </c>
      <c r="J21" s="94" t="s">
        <v>733</v>
      </c>
      <c r="K21" s="97">
        <v>620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43888</v>
      </c>
      <c r="G22" s="94" t="s">
        <v>806</v>
      </c>
      <c r="H22" s="94" t="s">
        <v>1233</v>
      </c>
      <c r="I22" s="94" t="s">
        <v>1241</v>
      </c>
      <c r="J22" s="94" t="s">
        <v>733</v>
      </c>
      <c r="K22" s="97">
        <v>680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43888</v>
      </c>
      <c r="G23" s="94" t="s">
        <v>806</v>
      </c>
      <c r="H23" s="94" t="s">
        <v>1234</v>
      </c>
      <c r="I23" s="94" t="s">
        <v>1236</v>
      </c>
      <c r="J23" s="94" t="s">
        <v>733</v>
      </c>
      <c r="K23" s="97">
        <v>780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43888</v>
      </c>
      <c r="G24" s="94" t="s">
        <v>806</v>
      </c>
      <c r="H24" s="94" t="s">
        <v>1235</v>
      </c>
      <c r="I24" s="94" t="s">
        <v>1242</v>
      </c>
      <c r="J24" s="94" t="s">
        <v>733</v>
      </c>
      <c r="K24" s="97">
        <v>780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43907</v>
      </c>
      <c r="G25" s="94" t="s">
        <v>740</v>
      </c>
      <c r="H25" s="94" t="s">
        <v>1235</v>
      </c>
      <c r="I25" s="94" t="s">
        <v>1543</v>
      </c>
      <c r="J25" s="94" t="s">
        <v>733</v>
      </c>
      <c r="K25" s="97">
        <v>195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43907</v>
      </c>
      <c r="G26" s="94" t="s">
        <v>740</v>
      </c>
      <c r="H26" s="94" t="s">
        <v>1227</v>
      </c>
      <c r="I26" s="94" t="s">
        <v>1544</v>
      </c>
      <c r="J26" s="94" t="s">
        <v>733</v>
      </c>
      <c r="K26" s="97">
        <v>170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43907</v>
      </c>
      <c r="G27" s="94" t="s">
        <v>740</v>
      </c>
      <c r="H27" s="94" t="s">
        <v>1231</v>
      </c>
      <c r="I27" s="94" t="s">
        <v>1543</v>
      </c>
      <c r="J27" s="94" t="s">
        <v>733</v>
      </c>
      <c r="K27" s="97">
        <v>155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43907</v>
      </c>
      <c r="G28" s="94" t="s">
        <v>740</v>
      </c>
      <c r="H28" s="94" t="s">
        <v>1229</v>
      </c>
      <c r="I28" s="94" t="s">
        <v>1887</v>
      </c>
      <c r="J28" s="94" t="s">
        <v>733</v>
      </c>
      <c r="K28" s="97">
        <v>220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43907</v>
      </c>
      <c r="G29" s="94" t="s">
        <v>740</v>
      </c>
      <c r="H29" s="94" t="s">
        <v>1222</v>
      </c>
      <c r="I29" s="94" t="s">
        <v>1544</v>
      </c>
      <c r="J29" s="94" t="s">
        <v>733</v>
      </c>
      <c r="K29" s="97">
        <v>170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43907</v>
      </c>
      <c r="G30" s="94" t="s">
        <v>740</v>
      </c>
      <c r="H30" s="94" t="s">
        <v>1223</v>
      </c>
      <c r="I30" s="94" t="s">
        <v>1545</v>
      </c>
      <c r="J30" s="94" t="s">
        <v>733</v>
      </c>
      <c r="K30" s="97">
        <v>195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43907</v>
      </c>
      <c r="G31" s="94" t="s">
        <v>740</v>
      </c>
      <c r="H31" s="94" t="s">
        <v>1228</v>
      </c>
      <c r="I31" s="94" t="s">
        <v>1546</v>
      </c>
      <c r="J31" s="94" t="s">
        <v>733</v>
      </c>
      <c r="K31" s="97">
        <v>155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43907</v>
      </c>
      <c r="G32" s="94" t="s">
        <v>740</v>
      </c>
      <c r="H32" s="94" t="s">
        <v>1224</v>
      </c>
      <c r="I32" s="94" t="s">
        <v>1545</v>
      </c>
      <c r="J32" s="94" t="s">
        <v>733</v>
      </c>
      <c r="K32" s="97">
        <v>195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43907</v>
      </c>
      <c r="G33" s="94" t="s">
        <v>740</v>
      </c>
      <c r="H33" s="94" t="s">
        <v>1226</v>
      </c>
      <c r="I33" s="94" t="s">
        <v>1545</v>
      </c>
      <c r="J33" s="94" t="s">
        <v>733</v>
      </c>
      <c r="K33" s="97">
        <v>195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43907</v>
      </c>
      <c r="G34" s="94" t="s">
        <v>740</v>
      </c>
      <c r="H34" s="94" t="s">
        <v>1220</v>
      </c>
      <c r="I34" s="94" t="s">
        <v>1545</v>
      </c>
      <c r="J34" s="94" t="s">
        <v>733</v>
      </c>
      <c r="K34" s="97">
        <v>195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43907</v>
      </c>
      <c r="G35" s="94" t="s">
        <v>740</v>
      </c>
      <c r="H35" s="94" t="s">
        <v>1221</v>
      </c>
      <c r="I35" s="94" t="s">
        <v>1547</v>
      </c>
      <c r="J35" s="94" t="s">
        <v>733</v>
      </c>
      <c r="K35" s="97">
        <v>220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43907</v>
      </c>
      <c r="G36" s="94" t="s">
        <v>740</v>
      </c>
      <c r="H36" s="94" t="s">
        <v>1225</v>
      </c>
      <c r="I36" s="94" t="s">
        <v>1545</v>
      </c>
      <c r="J36" s="94" t="s">
        <v>733</v>
      </c>
      <c r="K36" s="97">
        <v>195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43907</v>
      </c>
      <c r="G37" s="94" t="s">
        <v>740</v>
      </c>
      <c r="H37" s="94" t="s">
        <v>1234</v>
      </c>
      <c r="I37" s="94" t="s">
        <v>1545</v>
      </c>
      <c r="J37" s="94" t="s">
        <v>733</v>
      </c>
      <c r="K37" s="97">
        <v>195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43907</v>
      </c>
      <c r="G38" s="94" t="s">
        <v>740</v>
      </c>
      <c r="H38" s="94" t="s">
        <v>1216</v>
      </c>
      <c r="I38" s="94" t="s">
        <v>1545</v>
      </c>
      <c r="J38" s="94" t="s">
        <v>733</v>
      </c>
      <c r="K38" s="97">
        <v>195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43907</v>
      </c>
      <c r="G39" s="94" t="s">
        <v>740</v>
      </c>
      <c r="H39" s="94" t="s">
        <v>1217</v>
      </c>
      <c r="I39" s="94" t="s">
        <v>1546</v>
      </c>
      <c r="J39" s="94" t="s">
        <v>733</v>
      </c>
      <c r="K39" s="97">
        <v>155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43907</v>
      </c>
      <c r="G40" s="94" t="s">
        <v>740</v>
      </c>
      <c r="H40" s="94" t="s">
        <v>1230</v>
      </c>
      <c r="I40" s="94" t="s">
        <v>1548</v>
      </c>
      <c r="J40" s="94" t="s">
        <v>733</v>
      </c>
      <c r="K40" s="97">
        <v>195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43907</v>
      </c>
      <c r="G41" s="94" t="s">
        <v>740</v>
      </c>
      <c r="H41" s="94" t="s">
        <v>1233</v>
      </c>
      <c r="I41" s="94" t="s">
        <v>1888</v>
      </c>
      <c r="J41" s="94" t="s">
        <v>733</v>
      </c>
      <c r="K41" s="97">
        <v>170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43907</v>
      </c>
      <c r="G42" s="94" t="s">
        <v>740</v>
      </c>
      <c r="H42" s="94" t="s">
        <v>1218</v>
      </c>
      <c r="I42" s="94" t="s">
        <v>1545</v>
      </c>
      <c r="J42" s="94" t="s">
        <v>733</v>
      </c>
      <c r="K42" s="97">
        <v>195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43907</v>
      </c>
      <c r="G43" s="94" t="s">
        <v>740</v>
      </c>
      <c r="H43" s="94" t="s">
        <v>1218</v>
      </c>
      <c r="I43" s="94" t="s">
        <v>1239</v>
      </c>
      <c r="J43" s="94" t="s">
        <v>733</v>
      </c>
      <c r="K43" s="97">
        <v>30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43907</v>
      </c>
      <c r="G44" s="94" t="s">
        <v>740</v>
      </c>
      <c r="H44" s="94" t="s">
        <v>1232</v>
      </c>
      <c r="I44" s="94" t="s">
        <v>1546</v>
      </c>
      <c r="J44" s="94" t="s">
        <v>733</v>
      </c>
      <c r="K44" s="97">
        <v>155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43907</v>
      </c>
      <c r="G45" s="94" t="s">
        <v>740</v>
      </c>
      <c r="H45" s="94" t="s">
        <v>1219</v>
      </c>
      <c r="I45" s="94" t="s">
        <v>1545</v>
      </c>
      <c r="J45" s="94" t="s">
        <v>733</v>
      </c>
      <c r="K45" s="97">
        <v>195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43983</v>
      </c>
      <c r="G46" s="94" t="s">
        <v>1638</v>
      </c>
      <c r="H46" s="94" t="s">
        <v>1235</v>
      </c>
      <c r="I46" s="94" t="s">
        <v>1889</v>
      </c>
      <c r="J46" s="94" t="s">
        <v>733</v>
      </c>
      <c r="K46" s="97">
        <v>195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43983</v>
      </c>
      <c r="G47" s="94" t="s">
        <v>1638</v>
      </c>
      <c r="H47" s="94" t="s">
        <v>1234</v>
      </c>
      <c r="I47" s="94" t="s">
        <v>1545</v>
      </c>
      <c r="J47" s="94" t="s">
        <v>733</v>
      </c>
      <c r="K47" s="97">
        <v>1755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43983</v>
      </c>
      <c r="G48" s="94" t="s">
        <v>1638</v>
      </c>
      <c r="H48" s="94" t="s">
        <v>1233</v>
      </c>
      <c r="I48" s="94" t="s">
        <v>1888</v>
      </c>
      <c r="J48" s="94" t="s">
        <v>733</v>
      </c>
      <c r="K48" s="97">
        <v>1530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43983</v>
      </c>
      <c r="G49" s="94" t="s">
        <v>1638</v>
      </c>
      <c r="H49" s="94" t="s">
        <v>1232</v>
      </c>
      <c r="I49" s="94" t="s">
        <v>1546</v>
      </c>
      <c r="J49" s="94" t="s">
        <v>733</v>
      </c>
      <c r="K49" s="97">
        <v>1395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43983</v>
      </c>
      <c r="G50" s="94" t="s">
        <v>1638</v>
      </c>
      <c r="H50" s="94" t="s">
        <v>1230</v>
      </c>
      <c r="I50" s="94" t="s">
        <v>1548</v>
      </c>
      <c r="J50" s="94" t="s">
        <v>733</v>
      </c>
      <c r="K50" s="97">
        <v>1560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43983</v>
      </c>
      <c r="G51" s="94" t="s">
        <v>1638</v>
      </c>
      <c r="H51" s="94" t="s">
        <v>1229</v>
      </c>
      <c r="I51" s="94" t="s">
        <v>1887</v>
      </c>
      <c r="J51" s="94" t="s">
        <v>733</v>
      </c>
      <c r="K51" s="97">
        <v>220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43983</v>
      </c>
      <c r="G52" s="94" t="s">
        <v>1638</v>
      </c>
      <c r="H52" s="94" t="s">
        <v>1228</v>
      </c>
      <c r="I52" s="94" t="s">
        <v>1546</v>
      </c>
      <c r="J52" s="94" t="s">
        <v>733</v>
      </c>
      <c r="K52" s="97">
        <v>1240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43983</v>
      </c>
      <c r="G53" s="94" t="s">
        <v>1638</v>
      </c>
      <c r="H53" s="94" t="s">
        <v>1227</v>
      </c>
      <c r="I53" s="94" t="s">
        <v>1544</v>
      </c>
      <c r="J53" s="94" t="s">
        <v>733</v>
      </c>
      <c r="K53" s="97">
        <v>1530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43983</v>
      </c>
      <c r="G54" s="94" t="s">
        <v>1638</v>
      </c>
      <c r="H54" s="94" t="s">
        <v>1226</v>
      </c>
      <c r="I54" s="94" t="s">
        <v>1545</v>
      </c>
      <c r="J54" s="94" t="s">
        <v>733</v>
      </c>
      <c r="K54" s="97">
        <v>1755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43983</v>
      </c>
      <c r="G55" s="94" t="s">
        <v>1638</v>
      </c>
      <c r="H55" s="94" t="s">
        <v>1225</v>
      </c>
      <c r="I55" s="94" t="s">
        <v>1545</v>
      </c>
      <c r="J55" s="94" t="s">
        <v>733</v>
      </c>
      <c r="K55" s="97">
        <v>1560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43983</v>
      </c>
      <c r="G56" s="94" t="s">
        <v>1638</v>
      </c>
      <c r="H56" s="94" t="s">
        <v>1224</v>
      </c>
      <c r="I56" s="94" t="s">
        <v>1545</v>
      </c>
      <c r="J56" s="94" t="s">
        <v>733</v>
      </c>
      <c r="K56" s="97">
        <v>1560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43983</v>
      </c>
      <c r="G57" s="94" t="s">
        <v>1638</v>
      </c>
      <c r="H57" s="94" t="s">
        <v>1223</v>
      </c>
      <c r="I57" s="94" t="s">
        <v>1545</v>
      </c>
      <c r="J57" s="94" t="s">
        <v>733</v>
      </c>
      <c r="K57" s="97">
        <v>1365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43983</v>
      </c>
      <c r="G58" s="94" t="s">
        <v>1638</v>
      </c>
      <c r="H58" s="94" t="s">
        <v>1222</v>
      </c>
      <c r="I58" s="94" t="s">
        <v>1544</v>
      </c>
      <c r="J58" s="94" t="s">
        <v>733</v>
      </c>
      <c r="K58" s="97">
        <v>1530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43983</v>
      </c>
      <c r="G59" s="94" t="s">
        <v>1638</v>
      </c>
      <c r="H59" s="94" t="s">
        <v>1221</v>
      </c>
      <c r="I59" s="94" t="s">
        <v>1547</v>
      </c>
      <c r="J59" s="94" t="s">
        <v>733</v>
      </c>
      <c r="K59" s="97">
        <v>1980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43983</v>
      </c>
      <c r="G60" s="94" t="s">
        <v>1638</v>
      </c>
      <c r="H60" s="94" t="s">
        <v>1220</v>
      </c>
      <c r="I60" s="94" t="s">
        <v>1545</v>
      </c>
      <c r="J60" s="94" t="s">
        <v>733</v>
      </c>
      <c r="K60" s="97">
        <v>1755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43983</v>
      </c>
      <c r="G61" s="94" t="s">
        <v>1638</v>
      </c>
      <c r="H61" s="94" t="s">
        <v>1218</v>
      </c>
      <c r="I61" s="94" t="s">
        <v>1545</v>
      </c>
      <c r="J61" s="94" t="s">
        <v>733</v>
      </c>
      <c r="K61" s="97">
        <v>1950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43983</v>
      </c>
      <c r="G62" s="94" t="s">
        <v>1638</v>
      </c>
      <c r="H62" s="94" t="s">
        <v>1218</v>
      </c>
      <c r="I62" s="94" t="s">
        <v>1239</v>
      </c>
      <c r="J62" s="94" t="s">
        <v>733</v>
      </c>
      <c r="K62" s="97">
        <v>300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43983</v>
      </c>
      <c r="G63" s="94" t="s">
        <v>1638</v>
      </c>
      <c r="H63" s="94" t="s">
        <v>1217</v>
      </c>
      <c r="I63" s="94" t="s">
        <v>1546</v>
      </c>
      <c r="J63" s="94" t="s">
        <v>733</v>
      </c>
      <c r="K63" s="97">
        <v>1240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43983</v>
      </c>
      <c r="G64" s="94" t="s">
        <v>1638</v>
      </c>
      <c r="H64" s="94" t="s">
        <v>1216</v>
      </c>
      <c r="I64" s="94" t="s">
        <v>1545</v>
      </c>
      <c r="J64" s="94" t="s">
        <v>733</v>
      </c>
      <c r="K64" s="97">
        <v>1657.5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44013</v>
      </c>
      <c r="G65" s="94" t="s">
        <v>1833</v>
      </c>
      <c r="H65" s="94" t="s">
        <v>1216</v>
      </c>
      <c r="I65" s="94" t="s">
        <v>1545</v>
      </c>
      <c r="J65" s="94" t="s">
        <v>733</v>
      </c>
      <c r="K65" s="97">
        <v>3315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44013</v>
      </c>
      <c r="G66" s="94" t="s">
        <v>1833</v>
      </c>
      <c r="H66" s="94" t="s">
        <v>1217</v>
      </c>
      <c r="I66" s="94" t="s">
        <v>1546</v>
      </c>
      <c r="J66" s="94" t="s">
        <v>733</v>
      </c>
      <c r="K66" s="97">
        <v>3255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44013</v>
      </c>
      <c r="G67" s="94" t="s">
        <v>1833</v>
      </c>
      <c r="H67" s="94" t="s">
        <v>1222</v>
      </c>
      <c r="I67" s="94" t="s">
        <v>1544</v>
      </c>
      <c r="J67" s="94" t="s">
        <v>733</v>
      </c>
      <c r="K67" s="97">
        <v>3400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44013</v>
      </c>
      <c r="G68" s="94" t="s">
        <v>1833</v>
      </c>
      <c r="H68" s="94" t="s">
        <v>1221</v>
      </c>
      <c r="I68" s="94" t="s">
        <v>1547</v>
      </c>
      <c r="J68" s="94" t="s">
        <v>733</v>
      </c>
      <c r="K68" s="97">
        <v>3630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44013</v>
      </c>
      <c r="G69" s="94" t="s">
        <v>1833</v>
      </c>
      <c r="H69" s="94" t="s">
        <v>1223</v>
      </c>
      <c r="I69" s="94" t="s">
        <v>1545</v>
      </c>
      <c r="J69" s="94" t="s">
        <v>733</v>
      </c>
      <c r="K69" s="97">
        <v>2925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44013</v>
      </c>
      <c r="G70" s="94" t="s">
        <v>1833</v>
      </c>
      <c r="H70" s="94" t="s">
        <v>1218</v>
      </c>
      <c r="I70" s="94" t="s">
        <v>1545</v>
      </c>
      <c r="J70" s="94" t="s">
        <v>733</v>
      </c>
      <c r="K70" s="97">
        <v>4290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44013</v>
      </c>
      <c r="G71" s="94" t="s">
        <v>1833</v>
      </c>
      <c r="H71" s="94" t="s">
        <v>1218</v>
      </c>
      <c r="I71" s="94" t="s">
        <v>1239</v>
      </c>
      <c r="J71" s="94" t="s">
        <v>733</v>
      </c>
      <c r="K71" s="97">
        <v>660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44013</v>
      </c>
      <c r="G72" s="94" t="s">
        <v>1833</v>
      </c>
      <c r="H72" s="94" t="s">
        <v>1227</v>
      </c>
      <c r="I72" s="94" t="s">
        <v>1544</v>
      </c>
      <c r="J72" s="94" t="s">
        <v>733</v>
      </c>
      <c r="K72" s="97">
        <v>510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44013</v>
      </c>
      <c r="G73" s="94" t="s">
        <v>1833</v>
      </c>
      <c r="H73" s="94" t="s">
        <v>1229</v>
      </c>
      <c r="I73" s="94" t="s">
        <v>1887</v>
      </c>
      <c r="J73" s="94" t="s">
        <v>733</v>
      </c>
      <c r="K73" s="97">
        <v>1100</v>
      </c>
    </row>
    <row r="74" spans="1:11" ht="14.6" x14ac:dyDescent="0.4">
      <c r="A74" s="94"/>
      <c r="B74" s="94"/>
      <c r="C74" s="94"/>
      <c r="D74" s="94"/>
      <c r="E74" s="94" t="s">
        <v>544</v>
      </c>
      <c r="F74" s="95">
        <v>44013</v>
      </c>
      <c r="G74" s="94" t="s">
        <v>1833</v>
      </c>
      <c r="H74" s="94" t="s">
        <v>1230</v>
      </c>
      <c r="I74" s="94" t="s">
        <v>1548</v>
      </c>
      <c r="J74" s="94" t="s">
        <v>733</v>
      </c>
      <c r="K74" s="97">
        <v>2925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44013</v>
      </c>
      <c r="G75" s="94" t="s">
        <v>1833</v>
      </c>
      <c r="H75" s="94" t="s">
        <v>1225</v>
      </c>
      <c r="I75" s="94" t="s">
        <v>1545</v>
      </c>
      <c r="J75" s="94" t="s">
        <v>733</v>
      </c>
      <c r="K75" s="97">
        <v>3705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44013</v>
      </c>
      <c r="G76" s="94" t="s">
        <v>1833</v>
      </c>
      <c r="H76" s="94" t="s">
        <v>1226</v>
      </c>
      <c r="I76" s="94" t="s">
        <v>1545</v>
      </c>
      <c r="J76" s="94" t="s">
        <v>733</v>
      </c>
      <c r="K76" s="97">
        <v>4290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44013</v>
      </c>
      <c r="G77" s="94" t="s">
        <v>1833</v>
      </c>
      <c r="H77" s="94" t="s">
        <v>1224</v>
      </c>
      <c r="I77" s="94" t="s">
        <v>1545</v>
      </c>
      <c r="J77" s="94" t="s">
        <v>733</v>
      </c>
      <c r="K77" s="97">
        <v>3900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44013</v>
      </c>
      <c r="G78" s="94" t="s">
        <v>1833</v>
      </c>
      <c r="H78" s="94" t="s">
        <v>1232</v>
      </c>
      <c r="I78" s="94" t="s">
        <v>1546</v>
      </c>
      <c r="J78" s="94" t="s">
        <v>733</v>
      </c>
      <c r="K78" s="97">
        <v>2945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44013</v>
      </c>
      <c r="G79" s="94" t="s">
        <v>1833</v>
      </c>
      <c r="H79" s="94" t="s">
        <v>1233</v>
      </c>
      <c r="I79" s="94" t="s">
        <v>1888</v>
      </c>
      <c r="J79" s="94" t="s">
        <v>733</v>
      </c>
      <c r="K79" s="97">
        <v>3400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44013</v>
      </c>
      <c r="G80" s="94" t="s">
        <v>1833</v>
      </c>
      <c r="H80" s="94" t="s">
        <v>1234</v>
      </c>
      <c r="I80" s="94" t="s">
        <v>1545</v>
      </c>
      <c r="J80" s="94" t="s">
        <v>733</v>
      </c>
      <c r="K80" s="97">
        <v>4095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44013</v>
      </c>
      <c r="G81" s="94" t="s">
        <v>1833</v>
      </c>
      <c r="H81" s="94" t="s">
        <v>1235</v>
      </c>
      <c r="I81" s="94" t="s">
        <v>1889</v>
      </c>
      <c r="J81" s="94" t="s">
        <v>733</v>
      </c>
      <c r="K81" s="97">
        <v>1072.5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44043</v>
      </c>
      <c r="G82" s="94" t="s">
        <v>1931</v>
      </c>
      <c r="H82" s="94" t="s">
        <v>1216</v>
      </c>
      <c r="I82" s="94" t="s">
        <v>2254</v>
      </c>
      <c r="J82" s="94" t="s">
        <v>733</v>
      </c>
      <c r="K82" s="97">
        <v>3705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44043</v>
      </c>
      <c r="G83" s="94" t="s">
        <v>1931</v>
      </c>
      <c r="H83" s="94" t="s">
        <v>1217</v>
      </c>
      <c r="I83" s="94" t="s">
        <v>2255</v>
      </c>
      <c r="J83" s="94" t="s">
        <v>733</v>
      </c>
      <c r="K83" s="97">
        <v>3100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44043</v>
      </c>
      <c r="G84" s="94" t="s">
        <v>1931</v>
      </c>
      <c r="H84" s="94" t="s">
        <v>1221</v>
      </c>
      <c r="I84" s="94" t="s">
        <v>2256</v>
      </c>
      <c r="J84" s="94" t="s">
        <v>733</v>
      </c>
      <c r="K84" s="97">
        <v>4400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44043</v>
      </c>
      <c r="G85" s="94" t="s">
        <v>1931</v>
      </c>
      <c r="H85" s="94" t="s">
        <v>1222</v>
      </c>
      <c r="I85" s="94" t="s">
        <v>2257</v>
      </c>
      <c r="J85" s="94" t="s">
        <v>733</v>
      </c>
      <c r="K85" s="97">
        <v>1870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44043</v>
      </c>
      <c r="G86" s="94" t="s">
        <v>1931</v>
      </c>
      <c r="H86" s="94" t="s">
        <v>1223</v>
      </c>
      <c r="I86" s="94" t="s">
        <v>2258</v>
      </c>
      <c r="J86" s="94" t="s">
        <v>733</v>
      </c>
      <c r="K86" s="97">
        <v>3315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44043</v>
      </c>
      <c r="G87" s="94" t="s">
        <v>1931</v>
      </c>
      <c r="H87" s="94" t="s">
        <v>1224</v>
      </c>
      <c r="I87" s="94" t="s">
        <v>2258</v>
      </c>
      <c r="J87" s="94" t="s">
        <v>733</v>
      </c>
      <c r="K87" s="97">
        <v>3900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44043</v>
      </c>
      <c r="G88" s="94" t="s">
        <v>1931</v>
      </c>
      <c r="H88" s="94" t="s">
        <v>1225</v>
      </c>
      <c r="I88" s="94" t="s">
        <v>2258</v>
      </c>
      <c r="J88" s="94" t="s">
        <v>733</v>
      </c>
      <c r="K88" s="97">
        <v>1755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44043</v>
      </c>
      <c r="G89" s="94" t="s">
        <v>1931</v>
      </c>
      <c r="H89" s="94" t="s">
        <v>1226</v>
      </c>
      <c r="I89" s="94" t="s">
        <v>2258</v>
      </c>
      <c r="J89" s="94" t="s">
        <v>733</v>
      </c>
      <c r="K89" s="97">
        <v>3900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44043</v>
      </c>
      <c r="G90" s="94" t="s">
        <v>1931</v>
      </c>
      <c r="H90" s="94" t="s">
        <v>1227</v>
      </c>
      <c r="I90" s="94" t="s">
        <v>2257</v>
      </c>
      <c r="J90" s="94" t="s">
        <v>733</v>
      </c>
      <c r="K90" s="97">
        <v>2890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44043</v>
      </c>
      <c r="G91" s="94" t="s">
        <v>1931</v>
      </c>
      <c r="H91" s="94" t="s">
        <v>1228</v>
      </c>
      <c r="I91" s="94" t="s">
        <v>2255</v>
      </c>
      <c r="J91" s="94" t="s">
        <v>733</v>
      </c>
      <c r="K91" s="97">
        <v>2170</v>
      </c>
    </row>
    <row r="92" spans="1:11" ht="14.6" x14ac:dyDescent="0.4">
      <c r="A92" s="94"/>
      <c r="B92" s="94"/>
      <c r="C92" s="94"/>
      <c r="D92" s="94"/>
      <c r="E92" s="94" t="s">
        <v>544</v>
      </c>
      <c r="F92" s="95">
        <v>44043</v>
      </c>
      <c r="G92" s="94" t="s">
        <v>1931</v>
      </c>
      <c r="H92" s="94" t="s">
        <v>1229</v>
      </c>
      <c r="I92" s="94" t="s">
        <v>2256</v>
      </c>
      <c r="J92" s="94" t="s">
        <v>733</v>
      </c>
      <c r="K92" s="97">
        <v>1870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44043</v>
      </c>
      <c r="G93" s="94" t="s">
        <v>1931</v>
      </c>
      <c r="H93" s="94" t="s">
        <v>1230</v>
      </c>
      <c r="I93" s="94" t="s">
        <v>2258</v>
      </c>
      <c r="J93" s="94" t="s">
        <v>733</v>
      </c>
      <c r="K93" s="97">
        <v>2535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44043</v>
      </c>
      <c r="G94" s="94" t="s">
        <v>1931</v>
      </c>
      <c r="H94" s="94" t="s">
        <v>1232</v>
      </c>
      <c r="I94" s="94" t="s">
        <v>2255</v>
      </c>
      <c r="J94" s="94" t="s">
        <v>733</v>
      </c>
      <c r="K94" s="97">
        <v>2945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44043</v>
      </c>
      <c r="G95" s="94" t="s">
        <v>1931</v>
      </c>
      <c r="H95" s="94" t="s">
        <v>1233</v>
      </c>
      <c r="I95" s="94" t="s">
        <v>2257</v>
      </c>
      <c r="J95" s="94" t="s">
        <v>733</v>
      </c>
      <c r="K95" s="97">
        <v>3230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44043</v>
      </c>
      <c r="G96" s="94" t="s">
        <v>1931</v>
      </c>
      <c r="H96" s="94" t="s">
        <v>1234</v>
      </c>
      <c r="I96" s="94" t="s">
        <v>2258</v>
      </c>
      <c r="J96" s="94" t="s">
        <v>733</v>
      </c>
      <c r="K96" s="97">
        <v>3705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44043</v>
      </c>
      <c r="G97" s="94" t="s">
        <v>1931</v>
      </c>
      <c r="H97" s="94" t="s">
        <v>1235</v>
      </c>
      <c r="I97" s="94" t="s">
        <v>2258</v>
      </c>
      <c r="J97" s="94" t="s">
        <v>733</v>
      </c>
      <c r="K97" s="97">
        <v>780</v>
      </c>
    </row>
    <row r="98" spans="1:11" ht="14.6" x14ac:dyDescent="0.4">
      <c r="A98" s="94"/>
      <c r="B98" s="94"/>
      <c r="C98" s="94"/>
      <c r="D98" s="94"/>
      <c r="E98" s="94" t="s">
        <v>544</v>
      </c>
      <c r="F98" s="95">
        <v>44074</v>
      </c>
      <c r="G98" s="94" t="s">
        <v>1931</v>
      </c>
      <c r="H98" s="94" t="s">
        <v>1218</v>
      </c>
      <c r="I98" s="94" t="s">
        <v>2258</v>
      </c>
      <c r="J98" s="94" t="s">
        <v>733</v>
      </c>
      <c r="K98" s="97">
        <v>3900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44074</v>
      </c>
      <c r="G99" s="94" t="s">
        <v>1931</v>
      </c>
      <c r="H99" s="94" t="s">
        <v>1218</v>
      </c>
      <c r="I99" s="94" t="s">
        <v>2522</v>
      </c>
      <c r="J99" s="94" t="s">
        <v>733</v>
      </c>
      <c r="K99" s="97">
        <v>600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44075</v>
      </c>
      <c r="G100" s="94" t="s">
        <v>1337</v>
      </c>
      <c r="H100" s="94" t="s">
        <v>1216</v>
      </c>
      <c r="I100" s="94" t="s">
        <v>2254</v>
      </c>
      <c r="J100" s="94" t="s">
        <v>733</v>
      </c>
      <c r="K100" s="97">
        <v>1170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44075</v>
      </c>
      <c r="G101" s="94" t="s">
        <v>2521</v>
      </c>
      <c r="H101" s="94" t="s">
        <v>1217</v>
      </c>
      <c r="I101" s="94" t="s">
        <v>2255</v>
      </c>
      <c r="J101" s="94" t="s">
        <v>733</v>
      </c>
      <c r="K101" s="97">
        <v>930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44076</v>
      </c>
      <c r="G102" s="94" t="s">
        <v>1337</v>
      </c>
      <c r="H102" s="94" t="s">
        <v>1218</v>
      </c>
      <c r="I102" s="94" t="s">
        <v>2258</v>
      </c>
      <c r="J102" s="94" t="s">
        <v>733</v>
      </c>
      <c r="K102" s="97">
        <v>1365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44076</v>
      </c>
      <c r="G103" s="94" t="s">
        <v>1337</v>
      </c>
      <c r="H103" s="94" t="s">
        <v>1218</v>
      </c>
      <c r="I103" s="94" t="s">
        <v>2522</v>
      </c>
      <c r="J103" s="94" t="s">
        <v>733</v>
      </c>
      <c r="K103" s="97">
        <v>210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44076</v>
      </c>
      <c r="G104" s="94" t="s">
        <v>1337</v>
      </c>
      <c r="H104" s="94" t="s">
        <v>1222</v>
      </c>
      <c r="I104" s="94" t="s">
        <v>2257</v>
      </c>
      <c r="J104" s="94" t="s">
        <v>733</v>
      </c>
      <c r="K104" s="97">
        <v>170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44076</v>
      </c>
      <c r="G105" s="94" t="s">
        <v>1337</v>
      </c>
      <c r="H105" s="94" t="s">
        <v>1221</v>
      </c>
      <c r="I105" s="94" t="s">
        <v>2256</v>
      </c>
      <c r="J105" s="94" t="s">
        <v>733</v>
      </c>
      <c r="K105" s="97">
        <v>1320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44076</v>
      </c>
      <c r="G106" s="94" t="s">
        <v>1337</v>
      </c>
      <c r="H106" s="94" t="s">
        <v>1223</v>
      </c>
      <c r="I106" s="94" t="s">
        <v>2258</v>
      </c>
      <c r="J106" s="94" t="s">
        <v>733</v>
      </c>
      <c r="K106" s="97">
        <v>1170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44076</v>
      </c>
      <c r="G107" s="94" t="s">
        <v>1337</v>
      </c>
      <c r="H107" s="94" t="s">
        <v>1224</v>
      </c>
      <c r="I107" s="94" t="s">
        <v>2258</v>
      </c>
      <c r="J107" s="94" t="s">
        <v>733</v>
      </c>
      <c r="K107" s="97">
        <v>1170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44076</v>
      </c>
      <c r="G108" s="94" t="s">
        <v>1337</v>
      </c>
      <c r="H108" s="94" t="s">
        <v>1225</v>
      </c>
      <c r="I108" s="94" t="s">
        <v>2258</v>
      </c>
      <c r="J108" s="94" t="s">
        <v>733</v>
      </c>
      <c r="K108" s="97">
        <v>1170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44076</v>
      </c>
      <c r="G109" s="94" t="s">
        <v>1337</v>
      </c>
      <c r="H109" s="94" t="s">
        <v>1226</v>
      </c>
      <c r="I109" s="94" t="s">
        <v>2258</v>
      </c>
      <c r="J109" s="94" t="s">
        <v>733</v>
      </c>
      <c r="K109" s="97">
        <v>1170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44076</v>
      </c>
      <c r="G110" s="94" t="s">
        <v>1337</v>
      </c>
      <c r="H110" s="94" t="s">
        <v>1227</v>
      </c>
      <c r="I110" s="94" t="s">
        <v>2257</v>
      </c>
      <c r="J110" s="94" t="s">
        <v>733</v>
      </c>
      <c r="K110" s="97">
        <v>1020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44076</v>
      </c>
      <c r="G111" s="94" t="s">
        <v>1337</v>
      </c>
      <c r="H111" s="94" t="s">
        <v>1228</v>
      </c>
      <c r="I111" s="94" t="s">
        <v>2255</v>
      </c>
      <c r="J111" s="94" t="s">
        <v>733</v>
      </c>
      <c r="K111" s="97">
        <v>155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44076</v>
      </c>
      <c r="G112" s="94" t="s">
        <v>1337</v>
      </c>
      <c r="H112" s="94" t="s">
        <v>1229</v>
      </c>
      <c r="I112" s="94" t="s">
        <v>2256</v>
      </c>
      <c r="J112" s="94" t="s">
        <v>733</v>
      </c>
      <c r="K112" s="97">
        <v>220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44076</v>
      </c>
      <c r="G113" s="94" t="s">
        <v>1337</v>
      </c>
      <c r="H113" s="94" t="s">
        <v>1230</v>
      </c>
      <c r="I113" s="94" t="s">
        <v>2258</v>
      </c>
      <c r="J113" s="94" t="s">
        <v>733</v>
      </c>
      <c r="K113" s="97">
        <v>1170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44076</v>
      </c>
      <c r="G114" s="94" t="s">
        <v>1337</v>
      </c>
      <c r="H114" s="94" t="s">
        <v>1232</v>
      </c>
      <c r="I114" s="94" t="s">
        <v>2255</v>
      </c>
      <c r="J114" s="94" t="s">
        <v>733</v>
      </c>
      <c r="K114" s="97">
        <v>930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44076</v>
      </c>
      <c r="G115" s="94" t="s">
        <v>1337</v>
      </c>
      <c r="H115" s="94" t="s">
        <v>1233</v>
      </c>
      <c r="I115" s="94" t="s">
        <v>2257</v>
      </c>
      <c r="J115" s="94" t="s">
        <v>733</v>
      </c>
      <c r="K115" s="97">
        <v>1020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44076</v>
      </c>
      <c r="G116" s="94" t="s">
        <v>1337</v>
      </c>
      <c r="H116" s="94" t="s">
        <v>1234</v>
      </c>
      <c r="I116" s="94" t="s">
        <v>2258</v>
      </c>
      <c r="J116" s="94" t="s">
        <v>733</v>
      </c>
      <c r="K116" s="97">
        <v>1170</v>
      </c>
    </row>
    <row r="117" spans="1:11" ht="14.6" x14ac:dyDescent="0.4">
      <c r="A117" s="94"/>
      <c r="B117" s="94"/>
      <c r="C117" s="94"/>
      <c r="D117" s="94"/>
      <c r="E117" s="94" t="s">
        <v>544</v>
      </c>
      <c r="F117" s="95">
        <v>44084</v>
      </c>
      <c r="G117" s="94" t="s">
        <v>2752</v>
      </c>
      <c r="H117" s="94" t="s">
        <v>1235</v>
      </c>
      <c r="I117" s="94" t="s">
        <v>2258</v>
      </c>
      <c r="J117" s="94" t="s">
        <v>733</v>
      </c>
      <c r="K117" s="97">
        <v>390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44085</v>
      </c>
      <c r="G118" s="94" t="s">
        <v>2273</v>
      </c>
      <c r="H118" s="94" t="s">
        <v>1232</v>
      </c>
      <c r="I118" s="94" t="s">
        <v>2255</v>
      </c>
      <c r="J118" s="94" t="s">
        <v>733</v>
      </c>
      <c r="K118" s="97">
        <v>620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44085</v>
      </c>
      <c r="G119" s="94" t="s">
        <v>2273</v>
      </c>
      <c r="H119" s="94" t="s">
        <v>1233</v>
      </c>
      <c r="I119" s="94" t="s">
        <v>2257</v>
      </c>
      <c r="J119" s="94" t="s">
        <v>733</v>
      </c>
      <c r="K119" s="97">
        <v>510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44085</v>
      </c>
      <c r="G120" s="94" t="s">
        <v>2273</v>
      </c>
      <c r="H120" s="94" t="s">
        <v>1234</v>
      </c>
      <c r="I120" s="94" t="s">
        <v>2258</v>
      </c>
      <c r="J120" s="94" t="s">
        <v>733</v>
      </c>
      <c r="K120" s="97">
        <v>780</v>
      </c>
    </row>
    <row r="121" spans="1:11" ht="14.6" x14ac:dyDescent="0.4">
      <c r="A121" s="94"/>
      <c r="B121" s="94"/>
      <c r="C121" s="94"/>
      <c r="D121" s="94"/>
      <c r="E121" s="94" t="s">
        <v>544</v>
      </c>
      <c r="F121" s="95">
        <v>44102</v>
      </c>
      <c r="G121" s="94" t="s">
        <v>2273</v>
      </c>
      <c r="H121" s="94" t="s">
        <v>1218</v>
      </c>
      <c r="I121" s="94" t="s">
        <v>2258</v>
      </c>
      <c r="J121" s="94" t="s">
        <v>733</v>
      </c>
      <c r="K121" s="97">
        <v>780</v>
      </c>
    </row>
    <row r="122" spans="1:11" ht="14.6" x14ac:dyDescent="0.4">
      <c r="A122" s="94"/>
      <c r="B122" s="94"/>
      <c r="C122" s="94"/>
      <c r="D122" s="94"/>
      <c r="E122" s="94" t="s">
        <v>544</v>
      </c>
      <c r="F122" s="95">
        <v>44102</v>
      </c>
      <c r="G122" s="94" t="s">
        <v>2273</v>
      </c>
      <c r="H122" s="94" t="s">
        <v>1218</v>
      </c>
      <c r="I122" s="94" t="s">
        <v>2522</v>
      </c>
      <c r="J122" s="94" t="s">
        <v>733</v>
      </c>
      <c r="K122" s="97">
        <v>120</v>
      </c>
    </row>
    <row r="123" spans="1:11" ht="14.6" x14ac:dyDescent="0.4">
      <c r="A123" s="94"/>
      <c r="B123" s="94"/>
      <c r="C123" s="94"/>
      <c r="D123" s="94"/>
      <c r="E123" s="94" t="s">
        <v>544</v>
      </c>
      <c r="F123" s="95">
        <v>44102</v>
      </c>
      <c r="G123" s="94" t="s">
        <v>2273</v>
      </c>
      <c r="H123" s="94" t="s">
        <v>1221</v>
      </c>
      <c r="I123" s="94" t="s">
        <v>2256</v>
      </c>
      <c r="J123" s="94" t="s">
        <v>733</v>
      </c>
      <c r="K123" s="97">
        <v>880</v>
      </c>
    </row>
    <row r="124" spans="1:11" ht="14.6" x14ac:dyDescent="0.4">
      <c r="A124" s="94"/>
      <c r="B124" s="94"/>
      <c r="C124" s="94"/>
      <c r="D124" s="94"/>
      <c r="E124" s="94" t="s">
        <v>544</v>
      </c>
      <c r="F124" s="95">
        <v>44102</v>
      </c>
      <c r="G124" s="94" t="s">
        <v>2273</v>
      </c>
      <c r="H124" s="94" t="s">
        <v>1222</v>
      </c>
      <c r="I124" s="94" t="s">
        <v>2257</v>
      </c>
      <c r="J124" s="94" t="s">
        <v>733</v>
      </c>
      <c r="K124" s="97">
        <v>510</v>
      </c>
    </row>
    <row r="125" spans="1:11" ht="14.6" x14ac:dyDescent="0.4">
      <c r="A125" s="94"/>
      <c r="B125" s="94"/>
      <c r="C125" s="94"/>
      <c r="D125" s="94"/>
      <c r="E125" s="94" t="s">
        <v>544</v>
      </c>
      <c r="F125" s="95">
        <v>44102</v>
      </c>
      <c r="G125" s="94" t="s">
        <v>2273</v>
      </c>
      <c r="H125" s="94" t="s">
        <v>1223</v>
      </c>
      <c r="I125" s="94" t="s">
        <v>2258</v>
      </c>
      <c r="J125" s="94" t="s">
        <v>733</v>
      </c>
      <c r="K125" s="97">
        <v>585</v>
      </c>
    </row>
    <row r="126" spans="1:11" ht="14.6" x14ac:dyDescent="0.4">
      <c r="A126" s="94"/>
      <c r="B126" s="94"/>
      <c r="C126" s="94"/>
      <c r="D126" s="94"/>
      <c r="E126" s="94" t="s">
        <v>544</v>
      </c>
      <c r="F126" s="95">
        <v>44102</v>
      </c>
      <c r="G126" s="94" t="s">
        <v>2273</v>
      </c>
      <c r="H126" s="94" t="s">
        <v>1224</v>
      </c>
      <c r="I126" s="94" t="s">
        <v>2258</v>
      </c>
      <c r="J126" s="94" t="s">
        <v>733</v>
      </c>
      <c r="K126" s="97">
        <v>780</v>
      </c>
    </row>
    <row r="127" spans="1:11" ht="14.6" x14ac:dyDescent="0.4">
      <c r="A127" s="94"/>
      <c r="B127" s="94"/>
      <c r="C127" s="94"/>
      <c r="D127" s="94"/>
      <c r="E127" s="94" t="s">
        <v>544</v>
      </c>
      <c r="F127" s="95">
        <v>44102</v>
      </c>
      <c r="G127" s="94" t="s">
        <v>2273</v>
      </c>
      <c r="H127" s="94" t="s">
        <v>1225</v>
      </c>
      <c r="I127" s="94" t="s">
        <v>2258</v>
      </c>
      <c r="J127" s="94" t="s">
        <v>733</v>
      </c>
      <c r="K127" s="97">
        <v>780</v>
      </c>
    </row>
    <row r="128" spans="1:11" ht="14.6" x14ac:dyDescent="0.4">
      <c r="A128" s="94"/>
      <c r="B128" s="94"/>
      <c r="C128" s="94"/>
      <c r="D128" s="94"/>
      <c r="E128" s="94" t="s">
        <v>544</v>
      </c>
      <c r="F128" s="95">
        <v>44102</v>
      </c>
      <c r="G128" s="94" t="s">
        <v>2273</v>
      </c>
      <c r="H128" s="94" t="s">
        <v>1226</v>
      </c>
      <c r="I128" s="94" t="s">
        <v>2258</v>
      </c>
      <c r="J128" s="94" t="s">
        <v>733</v>
      </c>
      <c r="K128" s="97">
        <v>780</v>
      </c>
    </row>
    <row r="129" spans="1:11" ht="14.6" x14ac:dyDescent="0.4">
      <c r="A129" s="94"/>
      <c r="B129" s="94"/>
      <c r="C129" s="94"/>
      <c r="D129" s="94"/>
      <c r="E129" s="94" t="s">
        <v>544</v>
      </c>
      <c r="F129" s="95">
        <v>44102</v>
      </c>
      <c r="G129" s="94" t="s">
        <v>2273</v>
      </c>
      <c r="H129" s="94" t="s">
        <v>1227</v>
      </c>
      <c r="I129" s="94" t="s">
        <v>2257</v>
      </c>
      <c r="J129" s="94" t="s">
        <v>733</v>
      </c>
      <c r="K129" s="97">
        <v>680</v>
      </c>
    </row>
    <row r="130" spans="1:11" ht="14.6" x14ac:dyDescent="0.4">
      <c r="A130" s="94"/>
      <c r="B130" s="94"/>
      <c r="C130" s="94"/>
      <c r="D130" s="94"/>
      <c r="E130" s="94" t="s">
        <v>544</v>
      </c>
      <c r="F130" s="95">
        <v>44102</v>
      </c>
      <c r="G130" s="94" t="s">
        <v>2273</v>
      </c>
      <c r="H130" s="94" t="s">
        <v>1228</v>
      </c>
      <c r="I130" s="94" t="s">
        <v>2255</v>
      </c>
      <c r="J130" s="94" t="s">
        <v>733</v>
      </c>
      <c r="K130" s="97">
        <v>465</v>
      </c>
    </row>
    <row r="131" spans="1:11" ht="14.6" x14ac:dyDescent="0.4">
      <c r="A131" s="94"/>
      <c r="B131" s="94"/>
      <c r="C131" s="94"/>
      <c r="D131" s="94"/>
      <c r="E131" s="94" t="s">
        <v>544</v>
      </c>
      <c r="F131" s="95">
        <v>44102</v>
      </c>
      <c r="G131" s="94" t="s">
        <v>2273</v>
      </c>
      <c r="H131" s="94" t="s">
        <v>1229</v>
      </c>
      <c r="I131" s="94" t="s">
        <v>2256</v>
      </c>
      <c r="J131" s="94" t="s">
        <v>733</v>
      </c>
      <c r="K131" s="97">
        <v>660</v>
      </c>
    </row>
    <row r="132" spans="1:11" ht="14.6" x14ac:dyDescent="0.4">
      <c r="A132" s="94"/>
      <c r="B132" s="94"/>
      <c r="C132" s="94"/>
      <c r="D132" s="94"/>
      <c r="E132" s="94" t="s">
        <v>544</v>
      </c>
      <c r="F132" s="95">
        <v>44102</v>
      </c>
      <c r="G132" s="94" t="s">
        <v>2273</v>
      </c>
      <c r="H132" s="94" t="s">
        <v>1230</v>
      </c>
      <c r="I132" s="94" t="s">
        <v>2258</v>
      </c>
      <c r="J132" s="94" t="s">
        <v>733</v>
      </c>
      <c r="K132" s="97">
        <v>585</v>
      </c>
    </row>
    <row r="133" spans="1:11" ht="14.6" x14ac:dyDescent="0.4">
      <c r="A133" s="94"/>
      <c r="B133" s="94"/>
      <c r="C133" s="94"/>
      <c r="D133" s="94"/>
      <c r="E133" s="94" t="s">
        <v>544</v>
      </c>
      <c r="F133" s="95">
        <v>44103</v>
      </c>
      <c r="G133" s="94" t="s">
        <v>2273</v>
      </c>
      <c r="H133" s="94" t="s">
        <v>1216</v>
      </c>
      <c r="I133" s="94" t="s">
        <v>2254</v>
      </c>
      <c r="J133" s="94" t="s">
        <v>733</v>
      </c>
      <c r="K133" s="97">
        <v>780</v>
      </c>
    </row>
    <row r="134" spans="1:11" ht="14.6" x14ac:dyDescent="0.4">
      <c r="A134" s="94"/>
      <c r="B134" s="94"/>
      <c r="C134" s="94"/>
      <c r="D134" s="94"/>
      <c r="E134" s="94" t="s">
        <v>544</v>
      </c>
      <c r="F134" s="95">
        <v>44103</v>
      </c>
      <c r="G134" s="94" t="s">
        <v>2273</v>
      </c>
      <c r="H134" s="94" t="s">
        <v>1217</v>
      </c>
      <c r="I134" s="94" t="s">
        <v>2255</v>
      </c>
      <c r="J134" s="94" t="s">
        <v>733</v>
      </c>
      <c r="K134" s="97">
        <v>310</v>
      </c>
    </row>
    <row r="135" spans="1:11" ht="14.6" x14ac:dyDescent="0.4">
      <c r="A135" s="94"/>
      <c r="B135" s="94"/>
      <c r="C135" s="94"/>
      <c r="D135" s="94"/>
      <c r="E135" s="94" t="s">
        <v>544</v>
      </c>
      <c r="F135" s="95">
        <v>44159</v>
      </c>
      <c r="G135" s="94" t="s">
        <v>2617</v>
      </c>
      <c r="H135" s="94" t="s">
        <v>1226</v>
      </c>
      <c r="I135" s="94" t="s">
        <v>3336</v>
      </c>
      <c r="J135" s="94" t="s">
        <v>733</v>
      </c>
      <c r="K135" s="97">
        <v>97.5</v>
      </c>
    </row>
    <row r="136" spans="1:11" thickBot="1" x14ac:dyDescent="0.45">
      <c r="A136" s="94"/>
      <c r="B136" s="94"/>
      <c r="C136" s="94"/>
      <c r="D136" s="94"/>
      <c r="E136" s="94" t="s">
        <v>544</v>
      </c>
      <c r="F136" s="95">
        <v>44159</v>
      </c>
      <c r="G136" s="94" t="s">
        <v>2617</v>
      </c>
      <c r="H136" s="94" t="s">
        <v>1218</v>
      </c>
      <c r="I136" s="94" t="s">
        <v>3337</v>
      </c>
      <c r="J136" s="94" t="s">
        <v>733</v>
      </c>
      <c r="K136" s="756">
        <v>97.5</v>
      </c>
    </row>
    <row r="137" spans="1:11" thickBot="1" x14ac:dyDescent="0.45">
      <c r="A137" s="94"/>
      <c r="B137" s="94"/>
      <c r="C137" s="94" t="s">
        <v>1214</v>
      </c>
      <c r="D137" s="94"/>
      <c r="E137" s="94"/>
      <c r="F137" s="95"/>
      <c r="G137" s="94"/>
      <c r="H137" s="94"/>
      <c r="I137" s="94"/>
      <c r="J137" s="94"/>
      <c r="K137" s="757">
        <f>ROUND(SUM(K3:K136),5)</f>
        <v>171510</v>
      </c>
    </row>
    <row r="138" spans="1:11" thickBot="1" x14ac:dyDescent="0.45">
      <c r="A138" s="94"/>
      <c r="B138" s="94" t="s">
        <v>1215</v>
      </c>
      <c r="C138" s="94"/>
      <c r="D138" s="94"/>
      <c r="E138" s="94"/>
      <c r="F138" s="95"/>
      <c r="G138" s="94"/>
      <c r="H138" s="94"/>
      <c r="I138" s="94"/>
      <c r="J138" s="94"/>
      <c r="K138" s="757">
        <f>K137</f>
        <v>171510</v>
      </c>
    </row>
    <row r="139" spans="1:11" ht="15" customHeight="1" thickBot="1" x14ac:dyDescent="0.45">
      <c r="A139" s="94" t="s">
        <v>98</v>
      </c>
      <c r="B139" s="94"/>
      <c r="C139" s="94"/>
      <c r="D139" s="94"/>
      <c r="E139" s="94"/>
      <c r="F139" s="95"/>
      <c r="G139" s="94"/>
      <c r="H139" s="94"/>
      <c r="I139" s="94"/>
      <c r="J139" s="94"/>
      <c r="K139" s="758">
        <f>K138</f>
        <v>171510</v>
      </c>
    </row>
    <row r="140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2:12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452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4528" r:id="rId4" name="HEADER"/>
      </mc:Fallback>
    </mc:AlternateContent>
    <mc:AlternateContent xmlns:mc="http://schemas.openxmlformats.org/markup-compatibility/2006">
      <mc:Choice Requires="x14">
        <control shapeId="6452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4527" r:id="rId6" name="FILTER"/>
      </mc:Fallback>
    </mc:AlternateContent>
  </control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8"/>
  <dimension ref="A1:K16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2.84375" style="760" customWidth="1"/>
    <col min="3" max="3" width="21.84375" style="760" customWidth="1"/>
    <col min="4" max="4" width="2.15234375" style="760" customWidth="1"/>
    <col min="5" max="5" width="9.3828125" style="760" bestFit="1" customWidth="1"/>
    <col min="6" max="6" width="10.3828125" style="760" bestFit="1" customWidth="1"/>
    <col min="7" max="7" width="12.84375" style="760" bestFit="1" customWidth="1"/>
    <col min="8" max="8" width="15.3828125" style="760" bestFit="1" customWidth="1"/>
    <col min="9" max="9" width="30.53515625" style="760" customWidth="1"/>
    <col min="10" max="10" width="20.84375" style="760" bestFit="1" customWidth="1"/>
    <col min="11" max="11" width="12.15234375" style="760" bestFit="1" customWidth="1"/>
  </cols>
  <sheetData>
    <row r="1" spans="1:11" s="764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1213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486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43857</v>
      </c>
      <c r="G4" s="94" t="s">
        <v>563</v>
      </c>
      <c r="H4" s="94" t="s">
        <v>580</v>
      </c>
      <c r="I4" s="94" t="s">
        <v>1248</v>
      </c>
      <c r="J4" s="94" t="s">
        <v>733</v>
      </c>
      <c r="K4" s="97">
        <v>24.99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43871</v>
      </c>
      <c r="G5" s="94" t="s">
        <v>1246</v>
      </c>
      <c r="H5" s="94" t="s">
        <v>580</v>
      </c>
      <c r="I5" s="94" t="s">
        <v>1249</v>
      </c>
      <c r="J5" s="94" t="s">
        <v>733</v>
      </c>
      <c r="K5" s="97">
        <v>35.799999999999997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43889</v>
      </c>
      <c r="G6" s="94" t="s">
        <v>1247</v>
      </c>
      <c r="H6" s="94" t="s">
        <v>581</v>
      </c>
      <c r="I6" s="94" t="s">
        <v>1250</v>
      </c>
      <c r="J6" s="94" t="s">
        <v>733</v>
      </c>
      <c r="K6" s="97">
        <v>83.08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43972</v>
      </c>
      <c r="G7" s="94" t="s">
        <v>1890</v>
      </c>
      <c r="H7" s="94" t="s">
        <v>579</v>
      </c>
      <c r="I7" s="94" t="s">
        <v>1894</v>
      </c>
      <c r="J7" s="94" t="s">
        <v>733</v>
      </c>
      <c r="K7" s="97">
        <v>66.23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43972</v>
      </c>
      <c r="G8" s="94" t="s">
        <v>1891</v>
      </c>
      <c r="H8" s="94" t="s">
        <v>579</v>
      </c>
      <c r="I8" s="94" t="s">
        <v>1894</v>
      </c>
      <c r="J8" s="94" t="s">
        <v>733</v>
      </c>
      <c r="K8" s="97">
        <v>21.01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43972</v>
      </c>
      <c r="G9" s="94" t="s">
        <v>1892</v>
      </c>
      <c r="H9" s="94" t="s">
        <v>579</v>
      </c>
      <c r="I9" s="94" t="s">
        <v>1894</v>
      </c>
      <c r="J9" s="94" t="s">
        <v>733</v>
      </c>
      <c r="K9" s="97">
        <v>2.34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43972</v>
      </c>
      <c r="G10" s="94" t="s">
        <v>1895</v>
      </c>
      <c r="H10" s="94" t="s">
        <v>580</v>
      </c>
      <c r="I10" s="94" t="s">
        <v>2163</v>
      </c>
      <c r="J10" s="94" t="s">
        <v>733</v>
      </c>
      <c r="K10" s="97">
        <v>9.9700000000000006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43979</v>
      </c>
      <c r="G11" s="94" t="s">
        <v>1896</v>
      </c>
      <c r="H11" s="94" t="s">
        <v>580</v>
      </c>
      <c r="I11" s="94" t="s">
        <v>2163</v>
      </c>
      <c r="J11" s="94" t="s">
        <v>733</v>
      </c>
      <c r="K11" s="97">
        <v>19.940000000000001</v>
      </c>
    </row>
    <row r="12" spans="1:11" thickBot="1" x14ac:dyDescent="0.45">
      <c r="A12" s="94"/>
      <c r="B12" s="94"/>
      <c r="C12" s="94"/>
      <c r="D12" s="94"/>
      <c r="E12" s="94" t="s">
        <v>544</v>
      </c>
      <c r="F12" s="95">
        <v>43980</v>
      </c>
      <c r="G12" s="94" t="s">
        <v>1893</v>
      </c>
      <c r="H12" s="94" t="s">
        <v>579</v>
      </c>
      <c r="I12" s="94" t="s">
        <v>1894</v>
      </c>
      <c r="J12" s="94" t="s">
        <v>733</v>
      </c>
      <c r="K12" s="756">
        <v>4.1100000000000003</v>
      </c>
    </row>
    <row r="13" spans="1:11" thickBot="1" x14ac:dyDescent="0.45">
      <c r="A13" s="94"/>
      <c r="B13" s="94"/>
      <c r="C13" s="94" t="s">
        <v>1245</v>
      </c>
      <c r="D13" s="94"/>
      <c r="E13" s="94"/>
      <c r="F13" s="95"/>
      <c r="G13" s="94"/>
      <c r="H13" s="94"/>
      <c r="I13" s="94"/>
      <c r="J13" s="94"/>
      <c r="K13" s="757">
        <f>ROUND(SUM(K3:K12),5)</f>
        <v>267.47000000000003</v>
      </c>
    </row>
    <row r="14" spans="1:11" thickBot="1" x14ac:dyDescent="0.45">
      <c r="A14" s="94"/>
      <c r="B14" s="94" t="s">
        <v>1215</v>
      </c>
      <c r="C14" s="94"/>
      <c r="D14" s="94"/>
      <c r="E14" s="94"/>
      <c r="F14" s="95"/>
      <c r="G14" s="94"/>
      <c r="H14" s="94"/>
      <c r="I14" s="94"/>
      <c r="J14" s="94"/>
      <c r="K14" s="757">
        <f>K13</f>
        <v>267.47000000000003</v>
      </c>
    </row>
    <row r="15" spans="1:11" ht="15" customHeight="1" thickBot="1" x14ac:dyDescent="0.45">
      <c r="A15" s="94" t="s">
        <v>98</v>
      </c>
      <c r="B15" s="94"/>
      <c r="C15" s="94"/>
      <c r="D15" s="94"/>
      <c r="E15" s="94"/>
      <c r="F15" s="95"/>
      <c r="G15" s="94"/>
      <c r="H15" s="94"/>
      <c r="I15" s="94"/>
      <c r="J15" s="94"/>
      <c r="K15" s="758">
        <f>K14</f>
        <v>267.47000000000003</v>
      </c>
    </row>
    <row r="16" spans="1:11" ht="15" customHeight="1" thickTop="1" x14ac:dyDescent="0.4"/>
  </sheetData>
  <autoFilter ref="E1:K15" xr:uid="{1BC7329B-CEF4-4D1A-84E4-1EE0A9ED0801}"/>
  <pageMargins left="0.7" right="0.7" top="0.75" bottom="0.75" header="0.1" footer="0"/>
  <pageSetup orientation="landscape" r:id="rId1"/>
  <headerFooter>
    <oddHeader>&amp;L&amp;"Arial,Bold"&amp;8 12:49 PM
&amp;"Arial,Bold"&amp;8 07/23/20
&amp;"Arial,Bold"&amp;8 Accrual Basis&amp;C&amp;"Arial,Bold"&amp;12 Williamson Central Appraisal District
&amp;"Arial,Bold"&amp;14 Account QuickReport
&amp;"Arial,Bold"&amp;10 January 1 through July 23,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554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511629</xdr:colOff>
                <xdr:row>1</xdr:row>
                <xdr:rowOff>38100</xdr:rowOff>
              </to>
            </anchor>
          </controlPr>
        </control>
      </mc:Choice>
      <mc:Fallback>
        <control shapeId="65541" r:id="rId4" name="FILTER"/>
      </mc:Fallback>
    </mc:AlternateContent>
    <mc:AlternateContent xmlns:mc="http://schemas.openxmlformats.org/markup-compatibility/2006">
      <mc:Choice Requires="x14">
        <control shapeId="6554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511629</xdr:colOff>
                <xdr:row>1</xdr:row>
                <xdr:rowOff>38100</xdr:rowOff>
              </to>
            </anchor>
          </controlPr>
        </control>
      </mc:Choice>
      <mc:Fallback>
        <control shapeId="65542" r:id="rId6" name="HEADER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9"/>
  <dimension ref="A1:K16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30.6914062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15.69140625" style="760" bestFit="1" customWidth="1"/>
    <col min="8" max="9" width="30.69140625" style="760" customWidth="1"/>
    <col min="10" max="10" width="22.3046875" style="760" bestFit="1" customWidth="1"/>
    <col min="11" max="11" width="9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1213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487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43850</v>
      </c>
      <c r="G4" s="94" t="s">
        <v>1049</v>
      </c>
      <c r="H4" s="94" t="s">
        <v>1068</v>
      </c>
      <c r="I4" s="94" t="s">
        <v>1252</v>
      </c>
      <c r="J4" s="94" t="s">
        <v>733</v>
      </c>
      <c r="K4" s="97">
        <v>200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43937</v>
      </c>
      <c r="G5" s="94" t="s">
        <v>1787</v>
      </c>
      <c r="H5" s="94" t="s">
        <v>1788</v>
      </c>
      <c r="I5" s="94" t="s">
        <v>1789</v>
      </c>
      <c r="J5" s="94" t="s">
        <v>733</v>
      </c>
      <c r="K5" s="97">
        <v>826.05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43937</v>
      </c>
      <c r="G6" s="94" t="s">
        <v>1787</v>
      </c>
      <c r="H6" s="94" t="s">
        <v>1788</v>
      </c>
      <c r="I6" s="94" t="s">
        <v>1790</v>
      </c>
      <c r="J6" s="94" t="s">
        <v>733</v>
      </c>
      <c r="K6" s="97">
        <v>93.8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44015</v>
      </c>
      <c r="G7" s="94" t="s">
        <v>1931</v>
      </c>
      <c r="H7" s="94" t="s">
        <v>1565</v>
      </c>
      <c r="I7" s="94" t="s">
        <v>2164</v>
      </c>
      <c r="J7" s="94" t="s">
        <v>733</v>
      </c>
      <c r="K7" s="97">
        <v>5600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44076</v>
      </c>
      <c r="G8" s="94" t="s">
        <v>2523</v>
      </c>
      <c r="H8" s="94" t="s">
        <v>2524</v>
      </c>
      <c r="I8" s="94" t="s">
        <v>2525</v>
      </c>
      <c r="J8" s="94" t="s">
        <v>733</v>
      </c>
      <c r="K8" s="97">
        <v>1715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44077</v>
      </c>
      <c r="G9" s="94" t="s">
        <v>2273</v>
      </c>
      <c r="H9" s="94" t="s">
        <v>1565</v>
      </c>
      <c r="I9" s="94" t="s">
        <v>2526</v>
      </c>
      <c r="J9" s="94" t="s">
        <v>733</v>
      </c>
      <c r="K9" s="97">
        <v>4000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44108</v>
      </c>
      <c r="G10" s="94" t="s">
        <v>2273</v>
      </c>
      <c r="H10" s="94" t="s">
        <v>1565</v>
      </c>
      <c r="I10" s="94" t="s">
        <v>2753</v>
      </c>
      <c r="J10" s="94" t="s">
        <v>733</v>
      </c>
      <c r="K10" s="97">
        <v>4040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44140</v>
      </c>
      <c r="G11" s="94" t="s">
        <v>2832</v>
      </c>
      <c r="H11" s="94" t="s">
        <v>1565</v>
      </c>
      <c r="I11" s="94" t="s">
        <v>3339</v>
      </c>
      <c r="J11" s="94" t="s">
        <v>733</v>
      </c>
      <c r="K11" s="97">
        <v>2500</v>
      </c>
    </row>
    <row r="12" spans="1:11" thickBot="1" x14ac:dyDescent="0.45">
      <c r="A12" s="94"/>
      <c r="B12" s="94"/>
      <c r="C12" s="94"/>
      <c r="D12" s="94"/>
      <c r="E12" s="94" t="s">
        <v>544</v>
      </c>
      <c r="F12" s="95">
        <v>44196</v>
      </c>
      <c r="G12" s="94" t="s">
        <v>3338</v>
      </c>
      <c r="H12" s="94" t="s">
        <v>1565</v>
      </c>
      <c r="I12" s="94" t="s">
        <v>3340</v>
      </c>
      <c r="J12" s="94" t="s">
        <v>733</v>
      </c>
      <c r="K12" s="756">
        <v>77.3</v>
      </c>
    </row>
    <row r="13" spans="1:11" thickBot="1" x14ac:dyDescent="0.45">
      <c r="A13" s="94"/>
      <c r="B13" s="94"/>
      <c r="C13" s="94" t="s">
        <v>1251</v>
      </c>
      <c r="D13" s="94"/>
      <c r="E13" s="94"/>
      <c r="F13" s="95"/>
      <c r="G13" s="94"/>
      <c r="H13" s="94"/>
      <c r="I13" s="94"/>
      <c r="J13" s="94"/>
      <c r="K13" s="757">
        <f>ROUND(SUM(K3:K12),5)</f>
        <v>19052.150000000001</v>
      </c>
    </row>
    <row r="14" spans="1:11" thickBot="1" x14ac:dyDescent="0.45">
      <c r="A14" s="94"/>
      <c r="B14" s="94" t="s">
        <v>1215</v>
      </c>
      <c r="C14" s="94"/>
      <c r="D14" s="94"/>
      <c r="E14" s="94"/>
      <c r="F14" s="95"/>
      <c r="G14" s="94"/>
      <c r="H14" s="94"/>
      <c r="I14" s="94"/>
      <c r="J14" s="94"/>
      <c r="K14" s="757">
        <f>K13</f>
        <v>19052.150000000001</v>
      </c>
    </row>
    <row r="15" spans="1:11" ht="15" customHeight="1" thickBot="1" x14ac:dyDescent="0.45">
      <c r="A15" s="94" t="s">
        <v>98</v>
      </c>
      <c r="B15" s="94"/>
      <c r="C15" s="94"/>
      <c r="D15" s="94"/>
      <c r="E15" s="94"/>
      <c r="F15" s="95"/>
      <c r="G15" s="94"/>
      <c r="H15" s="94"/>
      <c r="I15" s="94"/>
      <c r="J15" s="94"/>
      <c r="K15" s="758">
        <f>K14</f>
        <v>19052.150000000001</v>
      </c>
    </row>
    <row r="16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2:13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657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6572" r:id="rId4" name="HEADER"/>
      </mc:Fallback>
    </mc:AlternateContent>
    <mc:AlternateContent xmlns:mc="http://schemas.openxmlformats.org/markup-compatibility/2006">
      <mc:Choice Requires="x14">
        <control shapeId="6657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6571" r:id="rId6" name="FILTER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0"/>
  <dimension ref="A1:K49"/>
  <sheetViews>
    <sheetView workbookViewId="0">
      <pane xSplit="3" ySplit="1" topLeftCell="D26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2.84375" style="760" customWidth="1"/>
    <col min="3" max="3" width="31.3828125" style="760" customWidth="1"/>
    <col min="4" max="4" width="2.15234375" style="760" customWidth="1"/>
    <col min="5" max="5" width="9.53515625" style="760" bestFit="1" customWidth="1"/>
    <col min="6" max="6" width="10.3828125" style="760" bestFit="1" customWidth="1"/>
    <col min="7" max="7" width="15.84375" style="760" bestFit="1" customWidth="1"/>
    <col min="8" max="9" width="30.53515625" style="760" customWidth="1"/>
    <col min="10" max="10" width="21.3046875" style="760" bestFit="1" customWidth="1"/>
    <col min="11" max="11" width="12.3046875" style="760" bestFit="1" customWidth="1"/>
  </cols>
  <sheetData>
    <row r="1" spans="1:11" s="763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1213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5" customHeight="1" x14ac:dyDescent="0.4">
      <c r="A3" s="94"/>
      <c r="B3" s="94"/>
      <c r="C3" s="94" t="s">
        <v>488</v>
      </c>
      <c r="D3" s="94"/>
      <c r="E3" s="94"/>
      <c r="F3" s="95"/>
      <c r="G3" s="94"/>
      <c r="H3" s="94"/>
      <c r="I3" s="94"/>
      <c r="J3" s="94"/>
      <c r="K3" s="97"/>
    </row>
    <row r="4" spans="1:11" ht="15" customHeight="1" x14ac:dyDescent="0.4">
      <c r="A4" s="94"/>
      <c r="B4" s="94"/>
      <c r="C4" s="94"/>
      <c r="D4" s="94"/>
      <c r="E4" s="94" t="s">
        <v>544</v>
      </c>
      <c r="F4" s="95">
        <v>43845</v>
      </c>
      <c r="G4" s="94" t="s">
        <v>767</v>
      </c>
      <c r="H4" s="94" t="s">
        <v>822</v>
      </c>
      <c r="I4" s="94" t="s">
        <v>1257</v>
      </c>
      <c r="J4" s="94" t="s">
        <v>733</v>
      </c>
      <c r="K4" s="97">
        <v>1000</v>
      </c>
    </row>
    <row r="5" spans="1:11" ht="15" customHeight="1" x14ac:dyDescent="0.4">
      <c r="A5" s="94"/>
      <c r="B5" s="94"/>
      <c r="C5" s="94"/>
      <c r="D5" s="94"/>
      <c r="E5" s="94" t="s">
        <v>544</v>
      </c>
      <c r="F5" s="95">
        <v>43845</v>
      </c>
      <c r="G5" s="94" t="s">
        <v>767</v>
      </c>
      <c r="H5" s="94" t="s">
        <v>822</v>
      </c>
      <c r="I5" s="94" t="s">
        <v>1258</v>
      </c>
      <c r="J5" s="94" t="s">
        <v>733</v>
      </c>
      <c r="K5" s="97">
        <v>1000</v>
      </c>
    </row>
    <row r="6" spans="1:11" ht="15" customHeight="1" x14ac:dyDescent="0.4">
      <c r="A6" s="94"/>
      <c r="B6" s="94"/>
      <c r="C6" s="94"/>
      <c r="D6" s="94"/>
      <c r="E6" s="94" t="s">
        <v>544</v>
      </c>
      <c r="F6" s="95">
        <v>43873</v>
      </c>
      <c r="G6" s="94" t="s">
        <v>1254</v>
      </c>
      <c r="H6" s="94" t="s">
        <v>1216</v>
      </c>
      <c r="I6" s="94" t="s">
        <v>1259</v>
      </c>
      <c r="J6" s="94" t="s">
        <v>733</v>
      </c>
      <c r="K6" s="97">
        <v>29.83</v>
      </c>
    </row>
    <row r="7" spans="1:11" ht="15" customHeight="1" x14ac:dyDescent="0.4">
      <c r="A7" s="94"/>
      <c r="B7" s="94"/>
      <c r="C7" s="94"/>
      <c r="D7" s="94"/>
      <c r="E7" s="94" t="s">
        <v>544</v>
      </c>
      <c r="F7" s="95">
        <v>43873</v>
      </c>
      <c r="G7" s="94" t="s">
        <v>1254</v>
      </c>
      <c r="H7" s="94" t="s">
        <v>1216</v>
      </c>
      <c r="I7" s="94" t="s">
        <v>1260</v>
      </c>
      <c r="J7" s="94" t="s">
        <v>733</v>
      </c>
      <c r="K7" s="97">
        <v>31.45</v>
      </c>
    </row>
    <row r="8" spans="1:11" ht="15" customHeight="1" x14ac:dyDescent="0.4">
      <c r="A8" s="94"/>
      <c r="B8" s="94"/>
      <c r="C8" s="94"/>
      <c r="D8" s="94"/>
      <c r="E8" s="94" t="s">
        <v>544</v>
      </c>
      <c r="F8" s="95">
        <v>43873</v>
      </c>
      <c r="G8" s="94" t="s">
        <v>1254</v>
      </c>
      <c r="H8" s="94" t="s">
        <v>1217</v>
      </c>
      <c r="I8" s="94" t="s">
        <v>1261</v>
      </c>
      <c r="J8" s="94" t="s">
        <v>733</v>
      </c>
      <c r="K8" s="97">
        <v>40.369999999999997</v>
      </c>
    </row>
    <row r="9" spans="1:11" ht="15" customHeight="1" x14ac:dyDescent="0.4">
      <c r="A9" s="94"/>
      <c r="B9" s="94"/>
      <c r="C9" s="94"/>
      <c r="D9" s="94"/>
      <c r="E9" s="94" t="s">
        <v>544</v>
      </c>
      <c r="F9" s="95">
        <v>43873</v>
      </c>
      <c r="G9" s="94" t="s">
        <v>1254</v>
      </c>
      <c r="H9" s="94" t="s">
        <v>1217</v>
      </c>
      <c r="I9" s="94" t="s">
        <v>1262</v>
      </c>
      <c r="J9" s="94" t="s">
        <v>733</v>
      </c>
      <c r="K9" s="97">
        <v>38.22</v>
      </c>
    </row>
    <row r="10" spans="1:11" ht="15" customHeight="1" x14ac:dyDescent="0.4">
      <c r="A10" s="94"/>
      <c r="B10" s="94"/>
      <c r="C10" s="94"/>
      <c r="D10" s="94"/>
      <c r="E10" s="94" t="s">
        <v>544</v>
      </c>
      <c r="F10" s="95">
        <v>43873</v>
      </c>
      <c r="G10" s="94" t="s">
        <v>1255</v>
      </c>
      <c r="H10" s="94" t="s">
        <v>1218</v>
      </c>
      <c r="I10" s="94" t="s">
        <v>1261</v>
      </c>
      <c r="J10" s="94" t="s">
        <v>733</v>
      </c>
      <c r="K10" s="97">
        <v>25.7</v>
      </c>
    </row>
    <row r="11" spans="1:11" ht="15" customHeight="1" x14ac:dyDescent="0.4">
      <c r="A11" s="94"/>
      <c r="B11" s="94"/>
      <c r="C11" s="94"/>
      <c r="D11" s="94"/>
      <c r="E11" s="94" t="s">
        <v>544</v>
      </c>
      <c r="F11" s="95">
        <v>43873</v>
      </c>
      <c r="G11" s="94" t="s">
        <v>1255</v>
      </c>
      <c r="H11" s="94" t="s">
        <v>1218</v>
      </c>
      <c r="I11" s="94" t="s">
        <v>1262</v>
      </c>
      <c r="J11" s="94" t="s">
        <v>733</v>
      </c>
      <c r="K11" s="97">
        <v>25.96</v>
      </c>
    </row>
    <row r="12" spans="1:11" ht="15" customHeight="1" x14ac:dyDescent="0.4">
      <c r="A12" s="94"/>
      <c r="B12" s="94"/>
      <c r="C12" s="94"/>
      <c r="D12" s="94"/>
      <c r="E12" s="94" t="s">
        <v>544</v>
      </c>
      <c r="F12" s="95">
        <v>43873</v>
      </c>
      <c r="G12" s="94" t="s">
        <v>1255</v>
      </c>
      <c r="H12" s="94" t="s">
        <v>1219</v>
      </c>
      <c r="I12" s="94" t="s">
        <v>1261</v>
      </c>
      <c r="J12" s="94" t="s">
        <v>733</v>
      </c>
      <c r="K12" s="97">
        <v>32.200000000000003</v>
      </c>
    </row>
    <row r="13" spans="1:11" ht="15" customHeight="1" x14ac:dyDescent="0.4">
      <c r="A13" s="94"/>
      <c r="B13" s="94"/>
      <c r="C13" s="94"/>
      <c r="D13" s="94"/>
      <c r="E13" s="94" t="s">
        <v>544</v>
      </c>
      <c r="F13" s="95">
        <v>43873</v>
      </c>
      <c r="G13" s="94" t="s">
        <v>1255</v>
      </c>
      <c r="H13" s="94" t="s">
        <v>1219</v>
      </c>
      <c r="I13" s="94" t="s">
        <v>1262</v>
      </c>
      <c r="J13" s="94" t="s">
        <v>733</v>
      </c>
      <c r="K13" s="97">
        <v>47.5</v>
      </c>
    </row>
    <row r="14" spans="1:11" ht="15" customHeight="1" x14ac:dyDescent="0.4">
      <c r="A14" s="94"/>
      <c r="B14" s="94"/>
      <c r="C14" s="94"/>
      <c r="D14" s="94"/>
      <c r="E14" s="94" t="s">
        <v>544</v>
      </c>
      <c r="F14" s="95">
        <v>43873</v>
      </c>
      <c r="G14" s="94" t="s">
        <v>1255</v>
      </c>
      <c r="H14" s="94" t="s">
        <v>1220</v>
      </c>
      <c r="I14" s="94" t="s">
        <v>1261</v>
      </c>
      <c r="J14" s="94" t="s">
        <v>733</v>
      </c>
      <c r="K14" s="97">
        <v>10.27</v>
      </c>
    </row>
    <row r="15" spans="1:11" ht="15" customHeight="1" x14ac:dyDescent="0.4">
      <c r="A15" s="94"/>
      <c r="B15" s="94"/>
      <c r="C15" s="94"/>
      <c r="D15" s="94"/>
      <c r="E15" s="94" t="s">
        <v>544</v>
      </c>
      <c r="F15" s="95">
        <v>43873</v>
      </c>
      <c r="G15" s="94" t="s">
        <v>1255</v>
      </c>
      <c r="H15" s="94" t="s">
        <v>1220</v>
      </c>
      <c r="I15" s="94" t="s">
        <v>1262</v>
      </c>
      <c r="J15" s="94" t="s">
        <v>733</v>
      </c>
      <c r="K15" s="97">
        <v>10.27</v>
      </c>
    </row>
    <row r="16" spans="1:11" ht="15" customHeight="1" x14ac:dyDescent="0.4">
      <c r="A16" s="94"/>
      <c r="B16" s="94"/>
      <c r="C16" s="94"/>
      <c r="D16" s="94"/>
      <c r="E16" s="94" t="s">
        <v>544</v>
      </c>
      <c r="F16" s="95">
        <v>43873</v>
      </c>
      <c r="G16" s="94" t="s">
        <v>1255</v>
      </c>
      <c r="H16" s="94" t="s">
        <v>1221</v>
      </c>
      <c r="I16" s="94" t="s">
        <v>1261</v>
      </c>
      <c r="J16" s="94" t="s">
        <v>733</v>
      </c>
      <c r="K16" s="97">
        <v>9.74</v>
      </c>
    </row>
    <row r="17" spans="1:11" ht="15" customHeight="1" x14ac:dyDescent="0.4">
      <c r="A17" s="94"/>
      <c r="B17" s="94"/>
      <c r="C17" s="94"/>
      <c r="D17" s="94"/>
      <c r="E17" s="94" t="s">
        <v>544</v>
      </c>
      <c r="F17" s="95">
        <v>43873</v>
      </c>
      <c r="G17" s="94" t="s">
        <v>1255</v>
      </c>
      <c r="H17" s="94" t="s">
        <v>1221</v>
      </c>
      <c r="I17" s="94" t="s">
        <v>1262</v>
      </c>
      <c r="J17" s="94" t="s">
        <v>733</v>
      </c>
      <c r="K17" s="97">
        <v>11.9</v>
      </c>
    </row>
    <row r="18" spans="1:11" ht="15" customHeight="1" x14ac:dyDescent="0.4">
      <c r="A18" s="94"/>
      <c r="B18" s="94"/>
      <c r="C18" s="94"/>
      <c r="D18" s="94"/>
      <c r="E18" s="94" t="s">
        <v>544</v>
      </c>
      <c r="F18" s="95">
        <v>43873</v>
      </c>
      <c r="G18" s="94" t="s">
        <v>1255</v>
      </c>
      <c r="H18" s="94" t="s">
        <v>1222</v>
      </c>
      <c r="I18" s="94" t="s">
        <v>1261</v>
      </c>
      <c r="J18" s="94" t="s">
        <v>733</v>
      </c>
      <c r="K18" s="97">
        <v>13.24</v>
      </c>
    </row>
    <row r="19" spans="1:11" ht="15" customHeight="1" x14ac:dyDescent="0.4">
      <c r="A19" s="94"/>
      <c r="B19" s="94"/>
      <c r="C19" s="94"/>
      <c r="D19" s="94"/>
      <c r="E19" s="94" t="s">
        <v>544</v>
      </c>
      <c r="F19" s="95">
        <v>43873</v>
      </c>
      <c r="G19" s="94" t="s">
        <v>1255</v>
      </c>
      <c r="H19" s="94" t="s">
        <v>1222</v>
      </c>
      <c r="I19" s="94" t="s">
        <v>1262</v>
      </c>
      <c r="J19" s="94" t="s">
        <v>733</v>
      </c>
      <c r="K19" s="97">
        <v>11.36</v>
      </c>
    </row>
    <row r="20" spans="1:11" ht="15" customHeight="1" x14ac:dyDescent="0.4">
      <c r="A20" s="94"/>
      <c r="B20" s="94"/>
      <c r="C20" s="94"/>
      <c r="D20" s="94"/>
      <c r="E20" s="94" t="s">
        <v>544</v>
      </c>
      <c r="F20" s="95">
        <v>43873</v>
      </c>
      <c r="G20" s="94" t="s">
        <v>1255</v>
      </c>
      <c r="H20" s="94" t="s">
        <v>1223</v>
      </c>
      <c r="I20" s="94" t="s">
        <v>1261</v>
      </c>
      <c r="J20" s="94" t="s">
        <v>733</v>
      </c>
      <c r="K20" s="97">
        <v>48.99</v>
      </c>
    </row>
    <row r="21" spans="1:11" ht="15" customHeight="1" x14ac:dyDescent="0.4">
      <c r="A21" s="94"/>
      <c r="B21" s="94"/>
      <c r="C21" s="94"/>
      <c r="D21" s="94"/>
      <c r="E21" s="94" t="s">
        <v>544</v>
      </c>
      <c r="F21" s="95">
        <v>43873</v>
      </c>
      <c r="G21" s="94" t="s">
        <v>1255</v>
      </c>
      <c r="H21" s="94" t="s">
        <v>1223</v>
      </c>
      <c r="I21" s="94" t="s">
        <v>1262</v>
      </c>
      <c r="J21" s="94" t="s">
        <v>733</v>
      </c>
      <c r="K21" s="97">
        <v>49.65</v>
      </c>
    </row>
    <row r="22" spans="1:11" ht="15" customHeight="1" x14ac:dyDescent="0.4">
      <c r="A22" s="94"/>
      <c r="B22" s="94"/>
      <c r="C22" s="94"/>
      <c r="D22" s="94"/>
      <c r="E22" s="94" t="s">
        <v>544</v>
      </c>
      <c r="F22" s="95">
        <v>43873</v>
      </c>
      <c r="G22" s="94" t="s">
        <v>1255</v>
      </c>
      <c r="H22" s="94" t="s">
        <v>1224</v>
      </c>
      <c r="I22" s="94" t="s">
        <v>1261</v>
      </c>
      <c r="J22" s="94" t="s">
        <v>733</v>
      </c>
      <c r="K22" s="97">
        <v>16.190000000000001</v>
      </c>
    </row>
    <row r="23" spans="1:11" ht="15" customHeight="1" x14ac:dyDescent="0.4">
      <c r="A23" s="94"/>
      <c r="B23" s="94"/>
      <c r="C23" s="94"/>
      <c r="D23" s="94"/>
      <c r="E23" s="94" t="s">
        <v>544</v>
      </c>
      <c r="F23" s="95">
        <v>43873</v>
      </c>
      <c r="G23" s="94" t="s">
        <v>1255</v>
      </c>
      <c r="H23" s="94" t="s">
        <v>1224</v>
      </c>
      <c r="I23" s="94" t="s">
        <v>1262</v>
      </c>
      <c r="J23" s="94" t="s">
        <v>733</v>
      </c>
      <c r="K23" s="97">
        <v>17.010000000000002</v>
      </c>
    </row>
    <row r="24" spans="1:11" ht="15" customHeight="1" x14ac:dyDescent="0.4">
      <c r="A24" s="94"/>
      <c r="B24" s="94"/>
      <c r="C24" s="94"/>
      <c r="D24" s="94"/>
      <c r="E24" s="94" t="s">
        <v>544</v>
      </c>
      <c r="F24" s="95">
        <v>43873</v>
      </c>
      <c r="G24" s="94" t="s">
        <v>1255</v>
      </c>
      <c r="H24" s="94" t="s">
        <v>1225</v>
      </c>
      <c r="I24" s="94" t="s">
        <v>1261</v>
      </c>
      <c r="J24" s="94" t="s">
        <v>733</v>
      </c>
      <c r="K24" s="97">
        <v>26.41</v>
      </c>
    </row>
    <row r="25" spans="1:11" ht="15" customHeight="1" x14ac:dyDescent="0.4">
      <c r="A25" s="94"/>
      <c r="B25" s="94"/>
      <c r="C25" s="94"/>
      <c r="D25" s="94"/>
      <c r="E25" s="94" t="s">
        <v>544</v>
      </c>
      <c r="F25" s="95">
        <v>43873</v>
      </c>
      <c r="G25" s="94" t="s">
        <v>1255</v>
      </c>
      <c r="H25" s="94" t="s">
        <v>1225</v>
      </c>
      <c r="I25" s="94" t="s">
        <v>1262</v>
      </c>
      <c r="J25" s="94" t="s">
        <v>733</v>
      </c>
      <c r="K25" s="97">
        <v>24.8</v>
      </c>
    </row>
    <row r="26" spans="1:11" ht="15" customHeight="1" x14ac:dyDescent="0.4">
      <c r="A26" s="94"/>
      <c r="B26" s="94"/>
      <c r="C26" s="94"/>
      <c r="D26" s="94"/>
      <c r="E26" s="94" t="s">
        <v>544</v>
      </c>
      <c r="F26" s="95">
        <v>43873</v>
      </c>
      <c r="G26" s="94" t="s">
        <v>1255</v>
      </c>
      <c r="H26" s="94" t="s">
        <v>1226</v>
      </c>
      <c r="I26" s="94" t="s">
        <v>1261</v>
      </c>
      <c r="J26" s="94" t="s">
        <v>733</v>
      </c>
      <c r="K26" s="97">
        <v>11.62</v>
      </c>
    </row>
    <row r="27" spans="1:11" ht="15" customHeight="1" x14ac:dyDescent="0.4">
      <c r="A27" s="94"/>
      <c r="B27" s="94"/>
      <c r="C27" s="94"/>
      <c r="D27" s="94"/>
      <c r="E27" s="94" t="s">
        <v>544</v>
      </c>
      <c r="F27" s="95">
        <v>43873</v>
      </c>
      <c r="G27" s="94" t="s">
        <v>1255</v>
      </c>
      <c r="H27" s="94" t="s">
        <v>1226</v>
      </c>
      <c r="I27" s="94" t="s">
        <v>1262</v>
      </c>
      <c r="J27" s="94" t="s">
        <v>733</v>
      </c>
      <c r="K27" s="97">
        <v>15</v>
      </c>
    </row>
    <row r="28" spans="1:11" ht="15" customHeight="1" x14ac:dyDescent="0.4">
      <c r="A28" s="94"/>
      <c r="B28" s="94"/>
      <c r="C28" s="94"/>
      <c r="D28" s="94"/>
      <c r="E28" s="94" t="s">
        <v>544</v>
      </c>
      <c r="F28" s="95">
        <v>43873</v>
      </c>
      <c r="G28" s="94" t="s">
        <v>1255</v>
      </c>
      <c r="H28" s="94" t="s">
        <v>1227</v>
      </c>
      <c r="I28" s="94" t="s">
        <v>1261</v>
      </c>
      <c r="J28" s="94" t="s">
        <v>733</v>
      </c>
      <c r="K28" s="97">
        <v>52.23</v>
      </c>
    </row>
    <row r="29" spans="1:11" ht="15" customHeight="1" x14ac:dyDescent="0.4">
      <c r="A29" s="94"/>
      <c r="B29" s="94"/>
      <c r="C29" s="94"/>
      <c r="D29" s="94"/>
      <c r="E29" s="94" t="s">
        <v>544</v>
      </c>
      <c r="F29" s="95">
        <v>43873</v>
      </c>
      <c r="G29" s="94" t="s">
        <v>1255</v>
      </c>
      <c r="H29" s="94" t="s">
        <v>1227</v>
      </c>
      <c r="I29" s="94" t="s">
        <v>1262</v>
      </c>
      <c r="J29" s="94" t="s">
        <v>733</v>
      </c>
      <c r="K29" s="97">
        <v>53.48</v>
      </c>
    </row>
    <row r="30" spans="1:11" ht="15" customHeight="1" x14ac:dyDescent="0.4">
      <c r="A30" s="94"/>
      <c r="B30" s="94"/>
      <c r="C30" s="94"/>
      <c r="D30" s="94"/>
      <c r="E30" s="94" t="s">
        <v>544</v>
      </c>
      <c r="F30" s="95">
        <v>43873</v>
      </c>
      <c r="G30" s="94" t="s">
        <v>1255</v>
      </c>
      <c r="H30" s="94" t="s">
        <v>1228</v>
      </c>
      <c r="I30" s="94" t="s">
        <v>1261</v>
      </c>
      <c r="J30" s="94" t="s">
        <v>733</v>
      </c>
      <c r="K30" s="97">
        <v>24.15</v>
      </c>
    </row>
    <row r="31" spans="1:11" ht="15" customHeight="1" x14ac:dyDescent="0.4">
      <c r="A31" s="94"/>
      <c r="B31" s="94"/>
      <c r="C31" s="94"/>
      <c r="D31" s="94"/>
      <c r="E31" s="94" t="s">
        <v>544</v>
      </c>
      <c r="F31" s="95">
        <v>43873</v>
      </c>
      <c r="G31" s="94" t="s">
        <v>1255</v>
      </c>
      <c r="H31" s="94" t="s">
        <v>1228</v>
      </c>
      <c r="I31" s="94" t="s">
        <v>1262</v>
      </c>
      <c r="J31" s="94" t="s">
        <v>733</v>
      </c>
      <c r="K31" s="97">
        <v>24.15</v>
      </c>
    </row>
    <row r="32" spans="1:11" ht="15" customHeight="1" x14ac:dyDescent="0.4">
      <c r="A32" s="94"/>
      <c r="B32" s="94"/>
      <c r="C32" s="94"/>
      <c r="D32" s="94"/>
      <c r="E32" s="94" t="s">
        <v>544</v>
      </c>
      <c r="F32" s="95">
        <v>43873</v>
      </c>
      <c r="G32" s="94" t="s">
        <v>1255</v>
      </c>
      <c r="H32" s="94" t="s">
        <v>1229</v>
      </c>
      <c r="I32" s="94" t="s">
        <v>1261</v>
      </c>
      <c r="J32" s="94" t="s">
        <v>733</v>
      </c>
      <c r="K32" s="97">
        <v>39.299999999999997</v>
      </c>
    </row>
    <row r="33" spans="1:11" ht="15" customHeight="1" x14ac:dyDescent="0.4">
      <c r="A33" s="94"/>
      <c r="B33" s="94"/>
      <c r="C33" s="94"/>
      <c r="D33" s="94"/>
      <c r="E33" s="94" t="s">
        <v>544</v>
      </c>
      <c r="F33" s="95">
        <v>43873</v>
      </c>
      <c r="G33" s="94" t="s">
        <v>1255</v>
      </c>
      <c r="H33" s="94" t="s">
        <v>1229</v>
      </c>
      <c r="I33" s="94" t="s">
        <v>1262</v>
      </c>
      <c r="J33" s="94" t="s">
        <v>733</v>
      </c>
      <c r="K33" s="97">
        <v>37.68</v>
      </c>
    </row>
    <row r="34" spans="1:11" ht="15" customHeight="1" x14ac:dyDescent="0.4">
      <c r="A34" s="94"/>
      <c r="B34" s="94"/>
      <c r="C34" s="94"/>
      <c r="D34" s="94"/>
      <c r="E34" s="94" t="s">
        <v>544</v>
      </c>
      <c r="F34" s="95">
        <v>43873</v>
      </c>
      <c r="G34" s="94" t="s">
        <v>1255</v>
      </c>
      <c r="H34" s="94" t="s">
        <v>1230</v>
      </c>
      <c r="I34" s="94" t="s">
        <v>1261</v>
      </c>
      <c r="J34" s="94" t="s">
        <v>733</v>
      </c>
      <c r="K34" s="97">
        <v>43.44</v>
      </c>
    </row>
    <row r="35" spans="1:11" ht="15" customHeight="1" x14ac:dyDescent="0.4">
      <c r="A35" s="94"/>
      <c r="B35" s="94"/>
      <c r="C35" s="94"/>
      <c r="D35" s="94"/>
      <c r="E35" s="94" t="s">
        <v>544</v>
      </c>
      <c r="F35" s="95">
        <v>43873</v>
      </c>
      <c r="G35" s="94" t="s">
        <v>1255</v>
      </c>
      <c r="H35" s="94" t="s">
        <v>1230</v>
      </c>
      <c r="I35" s="94" t="s">
        <v>1262</v>
      </c>
      <c r="J35" s="94" t="s">
        <v>733</v>
      </c>
      <c r="K35" s="97">
        <v>41.28</v>
      </c>
    </row>
    <row r="36" spans="1:11" ht="15" customHeight="1" x14ac:dyDescent="0.4">
      <c r="A36" s="94"/>
      <c r="B36" s="94"/>
      <c r="C36" s="94"/>
      <c r="D36" s="94"/>
      <c r="E36" s="94" t="s">
        <v>544</v>
      </c>
      <c r="F36" s="95">
        <v>43873</v>
      </c>
      <c r="G36" s="94" t="s">
        <v>1255</v>
      </c>
      <c r="H36" s="94" t="s">
        <v>1231</v>
      </c>
      <c r="I36" s="94" t="s">
        <v>1261</v>
      </c>
      <c r="J36" s="94" t="s">
        <v>733</v>
      </c>
      <c r="K36" s="97">
        <v>34.5</v>
      </c>
    </row>
    <row r="37" spans="1:11" ht="15" customHeight="1" x14ac:dyDescent="0.4">
      <c r="A37" s="94"/>
      <c r="B37" s="94"/>
      <c r="C37" s="94"/>
      <c r="D37" s="94"/>
      <c r="E37" s="94" t="s">
        <v>544</v>
      </c>
      <c r="F37" s="95">
        <v>43873</v>
      </c>
      <c r="G37" s="94" t="s">
        <v>1255</v>
      </c>
      <c r="H37" s="94" t="s">
        <v>1231</v>
      </c>
      <c r="I37" s="94" t="s">
        <v>1262</v>
      </c>
      <c r="J37" s="94" t="s">
        <v>733</v>
      </c>
      <c r="K37" s="97">
        <v>34.5</v>
      </c>
    </row>
    <row r="38" spans="1:11" ht="15" customHeight="1" x14ac:dyDescent="0.4">
      <c r="A38" s="94"/>
      <c r="B38" s="94"/>
      <c r="C38" s="94"/>
      <c r="D38" s="94"/>
      <c r="E38" s="94" t="s">
        <v>544</v>
      </c>
      <c r="F38" s="95">
        <v>43873</v>
      </c>
      <c r="G38" s="94" t="s">
        <v>1255</v>
      </c>
      <c r="H38" s="94" t="s">
        <v>1232</v>
      </c>
      <c r="I38" s="94" t="s">
        <v>1263</v>
      </c>
      <c r="J38" s="94" t="s">
        <v>733</v>
      </c>
      <c r="K38" s="97">
        <v>20.41</v>
      </c>
    </row>
    <row r="39" spans="1:11" ht="15" customHeight="1" x14ac:dyDescent="0.4">
      <c r="A39" s="94"/>
      <c r="B39" s="94"/>
      <c r="C39" s="94"/>
      <c r="D39" s="94"/>
      <c r="E39" s="94" t="s">
        <v>544</v>
      </c>
      <c r="F39" s="95">
        <v>43873</v>
      </c>
      <c r="G39" s="94" t="s">
        <v>1255</v>
      </c>
      <c r="H39" s="94" t="s">
        <v>1232</v>
      </c>
      <c r="I39" s="94" t="s">
        <v>1262</v>
      </c>
      <c r="J39" s="94" t="s">
        <v>733</v>
      </c>
      <c r="K39" s="97">
        <v>21.9</v>
      </c>
    </row>
    <row r="40" spans="1:11" ht="15" customHeight="1" x14ac:dyDescent="0.4">
      <c r="A40" s="94"/>
      <c r="B40" s="94"/>
      <c r="C40" s="94"/>
      <c r="D40" s="94"/>
      <c r="E40" s="94" t="s">
        <v>544</v>
      </c>
      <c r="F40" s="95">
        <v>43873</v>
      </c>
      <c r="G40" s="94" t="s">
        <v>1255</v>
      </c>
      <c r="H40" s="94" t="s">
        <v>1233</v>
      </c>
      <c r="I40" s="94" t="s">
        <v>1261</v>
      </c>
      <c r="J40" s="94" t="s">
        <v>733</v>
      </c>
      <c r="K40" s="97">
        <v>40.24</v>
      </c>
    </row>
    <row r="41" spans="1:11" ht="15" customHeight="1" x14ac:dyDescent="0.4">
      <c r="A41" s="94"/>
      <c r="B41" s="94"/>
      <c r="C41" s="94"/>
      <c r="D41" s="94"/>
      <c r="E41" s="94" t="s">
        <v>544</v>
      </c>
      <c r="F41" s="95">
        <v>43873</v>
      </c>
      <c r="G41" s="94" t="s">
        <v>1255</v>
      </c>
      <c r="H41" s="94" t="s">
        <v>1233</v>
      </c>
      <c r="I41" s="94" t="s">
        <v>1262</v>
      </c>
      <c r="J41" s="94" t="s">
        <v>733</v>
      </c>
      <c r="K41" s="97">
        <v>43.76</v>
      </c>
    </row>
    <row r="42" spans="1:11" ht="15" customHeight="1" x14ac:dyDescent="0.4">
      <c r="A42" s="94"/>
      <c r="B42" s="94"/>
      <c r="C42" s="94"/>
      <c r="D42" s="94"/>
      <c r="E42" s="94" t="s">
        <v>544</v>
      </c>
      <c r="F42" s="95">
        <v>43873</v>
      </c>
      <c r="G42" s="94" t="s">
        <v>1255</v>
      </c>
      <c r="H42" s="94" t="s">
        <v>1234</v>
      </c>
      <c r="I42" s="94" t="s">
        <v>1261</v>
      </c>
      <c r="J42" s="94" t="s">
        <v>733</v>
      </c>
      <c r="K42" s="97">
        <v>20.83</v>
      </c>
    </row>
    <row r="43" spans="1:11" ht="15" customHeight="1" x14ac:dyDescent="0.4">
      <c r="A43" s="94"/>
      <c r="B43" s="94"/>
      <c r="C43" s="94"/>
      <c r="D43" s="94"/>
      <c r="E43" s="94" t="s">
        <v>544</v>
      </c>
      <c r="F43" s="95">
        <v>43873</v>
      </c>
      <c r="G43" s="94" t="s">
        <v>1255</v>
      </c>
      <c r="H43" s="94" t="s">
        <v>1234</v>
      </c>
      <c r="I43" s="94" t="s">
        <v>1262</v>
      </c>
      <c r="J43" s="94" t="s">
        <v>733</v>
      </c>
      <c r="K43" s="97">
        <v>28.8</v>
      </c>
    </row>
    <row r="44" spans="1:11" ht="15" customHeight="1" x14ac:dyDescent="0.4">
      <c r="A44" s="94"/>
      <c r="B44" s="94"/>
      <c r="C44" s="94"/>
      <c r="D44" s="94"/>
      <c r="E44" s="94" t="s">
        <v>544</v>
      </c>
      <c r="F44" s="95">
        <v>43873</v>
      </c>
      <c r="G44" s="94" t="s">
        <v>1256</v>
      </c>
      <c r="H44" s="94" t="s">
        <v>1235</v>
      </c>
      <c r="I44" s="94" t="s">
        <v>1261</v>
      </c>
      <c r="J44" s="94" t="s">
        <v>733</v>
      </c>
      <c r="K44" s="97">
        <v>49.49</v>
      </c>
    </row>
    <row r="45" spans="1:11" ht="15" customHeight="1" thickBot="1" x14ac:dyDescent="0.45">
      <c r="A45" s="94"/>
      <c r="B45" s="94"/>
      <c r="C45" s="94"/>
      <c r="D45" s="94"/>
      <c r="E45" s="94" t="s">
        <v>544</v>
      </c>
      <c r="F45" s="95">
        <v>43873</v>
      </c>
      <c r="G45" s="94" t="s">
        <v>1256</v>
      </c>
      <c r="H45" s="94" t="s">
        <v>1235</v>
      </c>
      <c r="I45" s="94" t="s">
        <v>1262</v>
      </c>
      <c r="J45" s="94" t="s">
        <v>733</v>
      </c>
      <c r="K45" s="756">
        <v>45.2</v>
      </c>
    </row>
    <row r="46" spans="1:11" ht="15" customHeight="1" thickBot="1" x14ac:dyDescent="0.45">
      <c r="A46" s="94"/>
      <c r="B46" s="94"/>
      <c r="C46" s="94" t="s">
        <v>1253</v>
      </c>
      <c r="D46" s="94"/>
      <c r="E46" s="94"/>
      <c r="F46" s="95"/>
      <c r="G46" s="94"/>
      <c r="H46" s="94"/>
      <c r="I46" s="94"/>
      <c r="J46" s="94"/>
      <c r="K46" s="757">
        <f>ROUND(SUM(K3:K45),5)</f>
        <v>3203.02</v>
      </c>
    </row>
    <row r="47" spans="1:11" ht="15" customHeight="1" thickBot="1" x14ac:dyDescent="0.45">
      <c r="A47" s="94"/>
      <c r="B47" s="94" t="s">
        <v>1215</v>
      </c>
      <c r="C47" s="94"/>
      <c r="D47" s="94"/>
      <c r="E47" s="94"/>
      <c r="F47" s="95"/>
      <c r="G47" s="94"/>
      <c r="H47" s="94"/>
      <c r="I47" s="94"/>
      <c r="J47" s="94"/>
      <c r="K47" s="757">
        <f>K46</f>
        <v>3203.02</v>
      </c>
    </row>
    <row r="48" spans="1:11" ht="15" customHeight="1" thickBot="1" x14ac:dyDescent="0.45">
      <c r="A48" s="94" t="s">
        <v>98</v>
      </c>
      <c r="B48" s="94"/>
      <c r="C48" s="94"/>
      <c r="D48" s="94"/>
      <c r="E48" s="94"/>
      <c r="F48" s="95"/>
      <c r="G48" s="94"/>
      <c r="H48" s="94"/>
      <c r="I48" s="94"/>
      <c r="J48" s="94"/>
      <c r="K48" s="758">
        <f>K47</f>
        <v>3203.02</v>
      </c>
    </row>
    <row r="49" ht="15" customHeight="1" thickTop="1" x14ac:dyDescent="0.4"/>
  </sheetData>
  <autoFilter ref="E1:K48" xr:uid="{C04F1137-4263-4337-BC4A-12BCDA164A8D}"/>
  <pageMargins left="0.7" right="0.7" top="0.75" bottom="0.75" header="0.1" footer="0"/>
  <pageSetup orientation="landscape" r:id="rId1"/>
  <headerFooter>
    <oddHeader>&amp;L&amp;"Arial,Bold"&amp;8 11:18 AM
&amp;"Arial,Bold"&amp;8 03/09/20
&amp;"Arial,Bold"&amp;8 Accrual Basis&amp;C&amp;"Arial,Bold"&amp;12 Williamson Central Appraisal District
&amp;"Arial,Bold"&amp;14 Account QuickReport
&amp;"Arial,Bold"&amp;10 January 1 through March 9,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758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511629</xdr:colOff>
                <xdr:row>1</xdr:row>
                <xdr:rowOff>38100</xdr:rowOff>
              </to>
            </anchor>
          </controlPr>
        </control>
      </mc:Choice>
      <mc:Fallback>
        <control shapeId="67585" r:id="rId4" name="FILTER"/>
      </mc:Fallback>
    </mc:AlternateContent>
    <mc:AlternateContent xmlns:mc="http://schemas.openxmlformats.org/markup-compatibility/2006">
      <mc:Choice Requires="x14">
        <control shapeId="6758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511629</xdr:colOff>
                <xdr:row>1</xdr:row>
                <xdr:rowOff>38100</xdr:rowOff>
              </to>
            </anchor>
          </controlPr>
        </control>
      </mc:Choice>
      <mc:Fallback>
        <control shapeId="67586" r:id="rId6" name="HEADER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1"/>
  <dimension ref="A1:K11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4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5.3046875" style="760" bestFit="1" customWidth="1"/>
    <col min="8" max="8" width="22.3046875" style="760" bestFit="1" customWidth="1"/>
    <col min="9" max="9" width="30.69140625" style="760" customWidth="1"/>
    <col min="10" max="10" width="22.3046875" style="760" bestFit="1" customWidth="1"/>
    <col min="11" max="11" width="8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1213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489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805</v>
      </c>
      <c r="H4" s="94" t="s">
        <v>1265</v>
      </c>
      <c r="I4" s="94" t="s">
        <v>1266</v>
      </c>
      <c r="J4" s="94" t="s">
        <v>733</v>
      </c>
      <c r="K4" s="97">
        <v>1000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43918</v>
      </c>
      <c r="G5" s="94" t="s">
        <v>1549</v>
      </c>
      <c r="H5" s="94" t="s">
        <v>1265</v>
      </c>
      <c r="I5" s="94" t="s">
        <v>1550</v>
      </c>
      <c r="J5" s="94" t="s">
        <v>733</v>
      </c>
      <c r="K5" s="97">
        <v>1400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44067</v>
      </c>
      <c r="G6" s="94" t="s">
        <v>2527</v>
      </c>
      <c r="H6" s="94" t="s">
        <v>1265</v>
      </c>
      <c r="I6" s="94" t="s">
        <v>2528</v>
      </c>
      <c r="J6" s="94" t="s">
        <v>733</v>
      </c>
      <c r="K6" s="97">
        <v>90</v>
      </c>
    </row>
    <row r="7" spans="1:11" thickBot="1" x14ac:dyDescent="0.45">
      <c r="A7" s="94"/>
      <c r="B7" s="94"/>
      <c r="C7" s="94"/>
      <c r="D7" s="94"/>
      <c r="E7" s="94" t="s">
        <v>544</v>
      </c>
      <c r="F7" s="95">
        <v>44182</v>
      </c>
      <c r="G7" s="94" t="s">
        <v>3341</v>
      </c>
      <c r="H7" s="94" t="s">
        <v>1265</v>
      </c>
      <c r="I7" s="94" t="s">
        <v>2528</v>
      </c>
      <c r="J7" s="94" t="s">
        <v>733</v>
      </c>
      <c r="K7" s="756">
        <v>4392.9799999999996</v>
      </c>
    </row>
    <row r="8" spans="1:11" thickBot="1" x14ac:dyDescent="0.45">
      <c r="A8" s="94"/>
      <c r="B8" s="94"/>
      <c r="C8" s="94" t="s">
        <v>1264</v>
      </c>
      <c r="D8" s="94"/>
      <c r="E8" s="94"/>
      <c r="F8" s="95"/>
      <c r="G8" s="94"/>
      <c r="H8" s="94"/>
      <c r="I8" s="94"/>
      <c r="J8" s="94"/>
      <c r="K8" s="757">
        <f>ROUND(SUM(K3:K7),5)</f>
        <v>6882.98</v>
      </c>
    </row>
    <row r="9" spans="1:11" thickBot="1" x14ac:dyDescent="0.45">
      <c r="A9" s="94"/>
      <c r="B9" s="94" t="s">
        <v>1215</v>
      </c>
      <c r="C9" s="94"/>
      <c r="D9" s="94"/>
      <c r="E9" s="94"/>
      <c r="F9" s="95"/>
      <c r="G9" s="94"/>
      <c r="H9" s="94"/>
      <c r="I9" s="94"/>
      <c r="J9" s="94"/>
      <c r="K9" s="757">
        <f>K8</f>
        <v>6882.98</v>
      </c>
    </row>
    <row r="10" spans="1:11" thickBot="1" x14ac:dyDescent="0.45">
      <c r="A10" s="94" t="s">
        <v>98</v>
      </c>
      <c r="B10" s="94"/>
      <c r="C10" s="94"/>
      <c r="D10" s="94"/>
      <c r="E10" s="94"/>
      <c r="F10" s="95"/>
      <c r="G10" s="94"/>
      <c r="H10" s="94"/>
      <c r="I10" s="94"/>
      <c r="J10" s="94"/>
      <c r="K10" s="758">
        <f>K9</f>
        <v>6882.98</v>
      </c>
    </row>
    <row r="11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2:14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861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8616" r:id="rId4" name="HEADER"/>
      </mc:Fallback>
    </mc:AlternateContent>
    <mc:AlternateContent xmlns:mc="http://schemas.openxmlformats.org/markup-compatibility/2006">
      <mc:Choice Requires="x14">
        <control shapeId="6861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861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0"/>
  <sheetViews>
    <sheetView zoomScale="80" zoomScaleNormal="80" workbookViewId="0">
      <selection activeCell="E4" sqref="E4"/>
    </sheetView>
  </sheetViews>
  <sheetFormatPr defaultColWidth="14.3828125" defaultRowHeight="14.6" x14ac:dyDescent="0.4"/>
  <cols>
    <col min="1" max="1" width="25.15234375" customWidth="1"/>
    <col min="2" max="2" width="66.15234375" customWidth="1"/>
    <col min="3" max="3" width="2.3828125" customWidth="1"/>
    <col min="4" max="4" width="13.3828125" customWidth="1"/>
    <col min="5" max="5" width="11.69140625" bestFit="1" customWidth="1"/>
    <col min="6" max="6" width="11.53515625" customWidth="1"/>
    <col min="7" max="16" width="13.3046875" customWidth="1"/>
    <col min="17" max="23" width="15.15234375" customWidth="1"/>
  </cols>
  <sheetData>
    <row r="1" spans="1:10" ht="45" customHeight="1" x14ac:dyDescent="0.4">
      <c r="A1" s="253" t="s">
        <v>51</v>
      </c>
      <c r="B1" s="253" t="s">
        <v>52</v>
      </c>
      <c r="C1" s="253"/>
      <c r="D1" s="272"/>
      <c r="E1" s="273" t="s">
        <v>539</v>
      </c>
      <c r="F1" s="273" t="s">
        <v>8</v>
      </c>
    </row>
    <row r="2" spans="1:10" ht="19.5" customHeight="1" x14ac:dyDescent="0.5">
      <c r="A2" s="531" t="s">
        <v>11</v>
      </c>
      <c r="B2" s="274"/>
      <c r="C2" s="275"/>
      <c r="D2" s="274"/>
      <c r="E2" s="274"/>
      <c r="F2" s="274"/>
    </row>
    <row r="3" spans="1:10" s="525" customFormat="1" x14ac:dyDescent="0.4">
      <c r="A3" s="671"/>
      <c r="B3" s="672" t="s">
        <v>55</v>
      </c>
      <c r="C3" s="673"/>
      <c r="D3" s="672"/>
      <c r="E3" s="674">
        <f>(F4*2)+(F3+50000+44000+50000)</f>
        <v>4367000</v>
      </c>
      <c r="F3" s="675">
        <v>4100000</v>
      </c>
      <c r="G3" s="676"/>
    </row>
    <row r="4" spans="1:10" x14ac:dyDescent="0.4">
      <c r="A4" s="677" t="s">
        <v>502</v>
      </c>
      <c r="B4" s="678" t="s">
        <v>541</v>
      </c>
      <c r="C4" s="679"/>
      <c r="D4" s="680"/>
      <c r="E4" s="136">
        <f>(E3*4%)*50%</f>
        <v>87340</v>
      </c>
      <c r="F4" s="681">
        <v>61500</v>
      </c>
      <c r="J4" s="177"/>
    </row>
    <row r="5" spans="1:10" x14ac:dyDescent="0.4">
      <c r="A5" s="10"/>
      <c r="B5" s="11" t="s">
        <v>56</v>
      </c>
      <c r="C5" s="7"/>
      <c r="D5" s="11"/>
      <c r="E5" s="8">
        <v>17000</v>
      </c>
      <c r="F5" s="12">
        <v>17000</v>
      </c>
      <c r="J5" s="178"/>
    </row>
    <row r="6" spans="1:10" x14ac:dyDescent="0.4">
      <c r="A6" s="279"/>
      <c r="B6" s="280" t="s">
        <v>57</v>
      </c>
      <c r="C6" s="278"/>
      <c r="D6" s="280"/>
      <c r="E6" s="136">
        <v>28750</v>
      </c>
      <c r="F6" s="281">
        <v>26000</v>
      </c>
      <c r="J6" s="177"/>
    </row>
    <row r="7" spans="1:10" x14ac:dyDescent="0.4">
      <c r="A7" s="217" t="s">
        <v>58</v>
      </c>
      <c r="B7" s="6" t="s">
        <v>59</v>
      </c>
      <c r="C7" s="7"/>
      <c r="D7" s="6"/>
      <c r="E7" s="8">
        <v>120000</v>
      </c>
      <c r="F7" s="9">
        <v>120000</v>
      </c>
      <c r="J7" s="177"/>
    </row>
    <row r="8" spans="1:10" x14ac:dyDescent="0.4">
      <c r="A8" s="282" t="s">
        <v>503</v>
      </c>
      <c r="B8" s="283" t="s">
        <v>60</v>
      </c>
      <c r="C8" s="284"/>
      <c r="D8" s="283"/>
      <c r="E8" s="136">
        <v>30000</v>
      </c>
      <c r="F8" s="281">
        <v>26000</v>
      </c>
      <c r="J8" s="177"/>
    </row>
    <row r="9" spans="1:10" ht="15" thickBot="1" x14ac:dyDescent="0.45">
      <c r="A9" s="13"/>
      <c r="B9" s="14" t="s">
        <v>61</v>
      </c>
      <c r="C9" s="15"/>
      <c r="D9" s="139">
        <f>SUM(Summary!D3)</f>
        <v>6.8865647626709575E-2</v>
      </c>
      <c r="E9" s="137">
        <f>(SUM(E3:E8))</f>
        <v>4650090</v>
      </c>
      <c r="F9" s="285">
        <f>SUM(F3:F8)</f>
        <v>4350500</v>
      </c>
      <c r="J9" s="177"/>
    </row>
    <row r="10" spans="1:10" ht="13.5" customHeight="1" thickTop="1" x14ac:dyDescent="0.4">
      <c r="A10" s="20"/>
      <c r="B10" s="20"/>
      <c r="C10" s="21"/>
      <c r="D10" s="22"/>
      <c r="E10" s="23"/>
      <c r="F10" s="23"/>
      <c r="J10" s="177"/>
    </row>
    <row r="11" spans="1:10" ht="19.5" customHeight="1" x14ac:dyDescent="0.5">
      <c r="A11" s="532" t="s">
        <v>12</v>
      </c>
      <c r="B11" s="274"/>
      <c r="C11" s="275"/>
      <c r="D11" s="274"/>
      <c r="E11" s="274"/>
      <c r="F11" s="274"/>
      <c r="J11" s="177"/>
    </row>
    <row r="12" spans="1:10" x14ac:dyDescent="0.4">
      <c r="A12" s="10"/>
      <c r="B12" s="24" t="s">
        <v>62</v>
      </c>
      <c r="C12" s="286"/>
      <c r="D12" s="2"/>
      <c r="E12" s="2"/>
      <c r="F12" s="2"/>
      <c r="J12" s="177"/>
    </row>
    <row r="13" spans="1:10" x14ac:dyDescent="0.4">
      <c r="A13" s="682"/>
      <c r="B13" s="678" t="s">
        <v>521</v>
      </c>
      <c r="C13" s="679"/>
      <c r="D13" s="680"/>
      <c r="E13" s="683">
        <f>((600*12)*34)*0.95</f>
        <v>232560</v>
      </c>
      <c r="F13" s="684">
        <v>218880</v>
      </c>
      <c r="J13" s="177"/>
    </row>
    <row r="14" spans="1:10" x14ac:dyDescent="0.4">
      <c r="A14" s="10"/>
      <c r="B14" s="11" t="s">
        <v>64</v>
      </c>
      <c r="C14" s="7"/>
      <c r="D14" s="6"/>
      <c r="E14" s="287">
        <f>600*12</f>
        <v>7200</v>
      </c>
      <c r="F14" s="9">
        <v>7200</v>
      </c>
      <c r="J14" s="177"/>
    </row>
    <row r="15" spans="1:10" x14ac:dyDescent="0.4">
      <c r="A15" s="276"/>
      <c r="B15" s="288" t="s">
        <v>65</v>
      </c>
      <c r="C15" s="278"/>
      <c r="D15" s="278"/>
      <c r="E15" s="138">
        <v>1000</v>
      </c>
      <c r="F15" s="289">
        <v>1000</v>
      </c>
    </row>
    <row r="16" spans="1:10" x14ac:dyDescent="0.4">
      <c r="A16" s="20"/>
      <c r="B16" s="34" t="s">
        <v>66</v>
      </c>
      <c r="C16" s="36"/>
      <c r="E16" s="290">
        <f>SUM(E13:E15)</f>
        <v>240760</v>
      </c>
      <c r="F16" s="40">
        <f>SUM(F13:F15)</f>
        <v>227080</v>
      </c>
    </row>
    <row r="17" spans="1:11" x14ac:dyDescent="0.4">
      <c r="A17" s="10"/>
      <c r="C17" s="530"/>
      <c r="E17" s="2"/>
      <c r="F17" s="2"/>
      <c r="K17" s="54"/>
    </row>
    <row r="18" spans="1:11" x14ac:dyDescent="0.4">
      <c r="A18" s="10"/>
      <c r="B18" s="291" t="s">
        <v>67</v>
      </c>
      <c r="C18" s="292"/>
      <c r="D18" s="6"/>
      <c r="F18" s="2"/>
    </row>
    <row r="19" spans="1:11" x14ac:dyDescent="0.4">
      <c r="A19" s="276"/>
      <c r="B19" s="280" t="s">
        <v>68</v>
      </c>
      <c r="C19" s="278"/>
      <c r="D19" s="293"/>
      <c r="E19" s="269">
        <f>(1*110)*12</f>
        <v>1320</v>
      </c>
      <c r="F19" s="294">
        <v>1320</v>
      </c>
    </row>
    <row r="20" spans="1:11" x14ac:dyDescent="0.4">
      <c r="A20" s="43"/>
      <c r="B20" s="6" t="s">
        <v>512</v>
      </c>
      <c r="C20" s="7"/>
      <c r="E20" s="287">
        <f>(90*5)*12</f>
        <v>5400</v>
      </c>
      <c r="F20" s="9">
        <v>4320</v>
      </c>
    </row>
    <row r="21" spans="1:11" x14ac:dyDescent="0.4">
      <c r="A21" s="295"/>
      <c r="B21" s="280" t="s">
        <v>69</v>
      </c>
      <c r="C21" s="278"/>
      <c r="D21" s="293"/>
      <c r="E21" s="138">
        <f>(70*11)*12</f>
        <v>9240</v>
      </c>
      <c r="F21" s="296">
        <v>9240</v>
      </c>
    </row>
    <row r="22" spans="1:11" x14ac:dyDescent="0.4">
      <c r="A22" s="20"/>
      <c r="B22" s="34" t="s">
        <v>66</v>
      </c>
      <c r="C22" s="36"/>
      <c r="E22" s="290">
        <f>SUM(E19:E21)</f>
        <v>15960</v>
      </c>
      <c r="F22" s="40">
        <f>SUM(F19:F21)</f>
        <v>14880</v>
      </c>
    </row>
    <row r="23" spans="1:11" x14ac:dyDescent="0.4">
      <c r="A23" s="20"/>
      <c r="B23" s="34"/>
      <c r="C23" s="36"/>
      <c r="E23" s="40"/>
      <c r="F23" s="40"/>
    </row>
    <row r="24" spans="1:11" x14ac:dyDescent="0.4">
      <c r="A24" s="20"/>
      <c r="B24" s="44" t="s">
        <v>70</v>
      </c>
      <c r="C24" s="45"/>
      <c r="E24" s="40"/>
      <c r="F24" s="40"/>
    </row>
    <row r="25" spans="1:11" x14ac:dyDescent="0.4">
      <c r="A25" s="297"/>
      <c r="B25" s="298" t="s">
        <v>71</v>
      </c>
      <c r="C25" s="299"/>
      <c r="D25" s="230">
        <v>1000</v>
      </c>
      <c r="E25" s="269">
        <f t="shared" ref="E25:E29" si="0">C25*D25</f>
        <v>0</v>
      </c>
      <c r="F25" s="294">
        <v>0</v>
      </c>
    </row>
    <row r="26" spans="1:11" x14ac:dyDescent="0.4">
      <c r="A26" s="47"/>
      <c r="B26" s="11" t="s">
        <v>72</v>
      </c>
      <c r="C26" s="48">
        <v>1</v>
      </c>
      <c r="D26" s="4">
        <v>1000</v>
      </c>
      <c r="E26" s="287">
        <f t="shared" si="0"/>
        <v>1000</v>
      </c>
      <c r="F26" s="9">
        <v>1000</v>
      </c>
    </row>
    <row r="27" spans="1:11" x14ac:dyDescent="0.4">
      <c r="A27" s="297"/>
      <c r="B27" s="298" t="s">
        <v>73</v>
      </c>
      <c r="C27" s="299"/>
      <c r="D27" s="230">
        <v>1000</v>
      </c>
      <c r="E27" s="269">
        <f t="shared" si="0"/>
        <v>0</v>
      </c>
      <c r="F27" s="294">
        <v>0</v>
      </c>
    </row>
    <row r="28" spans="1:11" x14ac:dyDescent="0.4">
      <c r="A28" s="47"/>
      <c r="B28" s="11" t="s">
        <v>74</v>
      </c>
      <c r="C28" s="48"/>
      <c r="D28" s="4">
        <v>1500</v>
      </c>
      <c r="E28" s="287">
        <f t="shared" si="0"/>
        <v>0</v>
      </c>
      <c r="F28" s="9">
        <v>0</v>
      </c>
    </row>
    <row r="29" spans="1:11" x14ac:dyDescent="0.4">
      <c r="A29" s="297"/>
      <c r="B29" s="298" t="s">
        <v>75</v>
      </c>
      <c r="C29" s="299">
        <v>4</v>
      </c>
      <c r="D29" s="230">
        <v>2000</v>
      </c>
      <c r="E29" s="138">
        <f t="shared" si="0"/>
        <v>8000</v>
      </c>
      <c r="F29" s="296">
        <v>10000</v>
      </c>
    </row>
    <row r="30" spans="1:11" x14ac:dyDescent="0.4">
      <c r="A30" s="20"/>
      <c r="B30" s="11"/>
      <c r="C30" s="7"/>
      <c r="E30" s="290">
        <f>SUM(E25:E29)</f>
        <v>9000</v>
      </c>
      <c r="F30" s="40">
        <f>SUM(F25:F29)</f>
        <v>11000</v>
      </c>
    </row>
    <row r="31" spans="1:11" x14ac:dyDescent="0.4">
      <c r="A31" s="20"/>
      <c r="B31" s="11"/>
      <c r="C31" s="7"/>
      <c r="E31" s="9"/>
      <c r="F31" s="9"/>
    </row>
    <row r="32" spans="1:11" ht="15" thickBot="1" x14ac:dyDescent="0.45">
      <c r="A32" s="20"/>
      <c r="B32" s="14" t="s">
        <v>61</v>
      </c>
      <c r="C32" s="15"/>
      <c r="D32" s="139">
        <f>SUM(Summary!D4)</f>
        <v>5.059288537549407E-2</v>
      </c>
      <c r="E32" s="137">
        <f>SUM(E16+E22+E30)</f>
        <v>265720</v>
      </c>
      <c r="F32" s="285">
        <f>SUM(F16+F22+F30)</f>
        <v>252960</v>
      </c>
    </row>
    <row r="33" spans="1:6" ht="15" thickTop="1" x14ac:dyDescent="0.4">
      <c r="A33" s="10"/>
      <c r="B33" s="10"/>
      <c r="C33" s="53"/>
      <c r="D33" s="10"/>
      <c r="E33" s="10"/>
      <c r="F33" s="22"/>
    </row>
    <row r="34" spans="1:6" ht="19.5" customHeight="1" x14ac:dyDescent="0.5">
      <c r="A34" s="532" t="s">
        <v>76</v>
      </c>
      <c r="B34" s="300"/>
      <c r="C34" s="301"/>
      <c r="D34" s="300"/>
      <c r="E34" s="300"/>
      <c r="F34" s="300"/>
    </row>
    <row r="35" spans="1:6" s="525" customFormat="1" x14ac:dyDescent="0.4">
      <c r="A35" s="693" t="s">
        <v>77</v>
      </c>
      <c r="B35" s="694" t="s">
        <v>532</v>
      </c>
      <c r="C35" s="673"/>
      <c r="D35" s="737"/>
      <c r="E35" s="695">
        <f>ROUND((32.26*73*8)+((33.87*105%)*73*4),0)</f>
        <v>29224</v>
      </c>
      <c r="F35" s="663">
        <v>27944</v>
      </c>
    </row>
    <row r="36" spans="1:6" x14ac:dyDescent="0.4">
      <c r="A36" s="685" t="s">
        <v>77</v>
      </c>
      <c r="B36" s="686" t="s">
        <v>533</v>
      </c>
      <c r="C36" s="687"/>
      <c r="D36" s="738"/>
      <c r="E36" s="688">
        <f>((616.18-10)*73*8)+(((708.61-10)*115%)*73*4)</f>
        <v>588602.35800000001</v>
      </c>
      <c r="F36" s="689">
        <v>542288.62799999991</v>
      </c>
    </row>
    <row r="37" spans="1:6" x14ac:dyDescent="0.4">
      <c r="A37" s="217"/>
      <c r="B37" s="11" t="s">
        <v>78</v>
      </c>
      <c r="C37" s="7"/>
      <c r="D37" s="739"/>
      <c r="E37" s="287">
        <f>(134.3*20*12)</f>
        <v>32232</v>
      </c>
      <c r="F37" s="9">
        <v>32232</v>
      </c>
    </row>
    <row r="38" spans="1:6" x14ac:dyDescent="0.4">
      <c r="A38" s="685" t="s">
        <v>77</v>
      </c>
      <c r="B38" s="686" t="s">
        <v>534</v>
      </c>
      <c r="C38" s="687"/>
      <c r="D38" s="738"/>
      <c r="E38" s="688">
        <f>((6.17*73)*8)+((6.48*105%)*73*4)</f>
        <v>5590.0479999999998</v>
      </c>
      <c r="F38" s="689">
        <v>5344.4539999999997</v>
      </c>
    </row>
    <row r="39" spans="1:6" s="525" customFormat="1" x14ac:dyDescent="0.4">
      <c r="A39" s="693" t="s">
        <v>79</v>
      </c>
      <c r="B39" s="694" t="s">
        <v>522</v>
      </c>
      <c r="C39" s="673"/>
      <c r="D39" s="737"/>
      <c r="E39" s="695">
        <f>((((3.94*73)*12)+2370))</f>
        <v>5821.4400000000005</v>
      </c>
      <c r="F39" s="675">
        <v>5726.88</v>
      </c>
    </row>
    <row r="40" spans="1:6" x14ac:dyDescent="0.4">
      <c r="A40" s="682" t="s">
        <v>80</v>
      </c>
      <c r="B40" s="690" t="s">
        <v>81</v>
      </c>
      <c r="C40" s="691"/>
      <c r="D40" s="740"/>
      <c r="E40" s="683">
        <f>(((E3+E4)*0.315%))</f>
        <v>14031.171</v>
      </c>
      <c r="F40" s="692">
        <v>13108.725</v>
      </c>
    </row>
    <row r="41" spans="1:6" ht="15" thickBot="1" x14ac:dyDescent="0.45">
      <c r="A41" s="302"/>
      <c r="B41" s="14" t="s">
        <v>61</v>
      </c>
      <c r="C41" s="15"/>
      <c r="D41" s="139">
        <f>SUM(Summary!D5)</f>
        <v>7.802776448061273E-2</v>
      </c>
      <c r="E41" s="137">
        <f>SUM(E35:E40)</f>
        <v>675501.01699999988</v>
      </c>
      <c r="F41" s="303">
        <f>SUM(F35:F40)</f>
        <v>626644.68699999992</v>
      </c>
    </row>
    <row r="42" spans="1:6" ht="19.75" thickTop="1" x14ac:dyDescent="0.5">
      <c r="A42" s="304"/>
      <c r="B42" s="305"/>
      <c r="C42" s="306"/>
      <c r="D42" s="741"/>
      <c r="E42" s="305"/>
      <c r="F42" s="305"/>
    </row>
    <row r="43" spans="1:6" ht="20.25" customHeight="1" x14ac:dyDescent="0.5">
      <c r="A43" s="532" t="s">
        <v>15</v>
      </c>
      <c r="B43" s="300"/>
      <c r="C43" s="301"/>
      <c r="D43" s="300"/>
      <c r="E43" s="300"/>
      <c r="F43" s="300"/>
    </row>
    <row r="44" spans="1:6" s="525" customFormat="1" x14ac:dyDescent="0.4">
      <c r="A44" s="696" t="s">
        <v>63</v>
      </c>
      <c r="B44" s="694" t="s">
        <v>82</v>
      </c>
      <c r="C44" s="673"/>
      <c r="D44" s="673"/>
      <c r="E44" s="695">
        <f>SUM(E3:E6)*0.97</f>
        <v>4365087.3</v>
      </c>
      <c r="F44" s="676">
        <v>4078365</v>
      </c>
    </row>
    <row r="45" spans="1:6" x14ac:dyDescent="0.4">
      <c r="A45" s="697"/>
      <c r="B45" s="680" t="s">
        <v>83</v>
      </c>
      <c r="C45" s="679"/>
      <c r="D45" s="698"/>
      <c r="E45" s="699">
        <f>SUM(E13+E14+E30)</f>
        <v>248760</v>
      </c>
      <c r="F45" s="700">
        <v>237080</v>
      </c>
    </row>
    <row r="46" spans="1:6" x14ac:dyDescent="0.4">
      <c r="A46" s="181"/>
      <c r="B46" s="11"/>
      <c r="C46" s="7"/>
      <c r="D46" s="2"/>
      <c r="E46" s="287">
        <f>SUM(E44:E45)</f>
        <v>4613847.3</v>
      </c>
      <c r="F46" s="40">
        <f>SUM(F44:F45)</f>
        <v>4315445</v>
      </c>
    </row>
    <row r="47" spans="1:6" x14ac:dyDescent="0.4">
      <c r="A47" s="182"/>
      <c r="B47" s="6"/>
      <c r="C47" s="7"/>
      <c r="D47" s="7"/>
      <c r="E47" s="9"/>
      <c r="F47" s="9"/>
    </row>
    <row r="48" spans="1:6" x14ac:dyDescent="0.4">
      <c r="A48" s="307" t="s">
        <v>504</v>
      </c>
      <c r="B48" s="308" t="s">
        <v>505</v>
      </c>
      <c r="C48" s="309"/>
      <c r="D48" s="310"/>
      <c r="E48" s="138">
        <f>E46*0.12%</f>
        <v>5536.616759999999</v>
      </c>
      <c r="F48" s="311">
        <v>6904.7120000000004</v>
      </c>
    </row>
    <row r="49" spans="1:6" x14ac:dyDescent="0.4">
      <c r="A49" s="182"/>
      <c r="B49" s="14"/>
      <c r="C49" s="15"/>
      <c r="E49" s="287">
        <f>SUM(E48)</f>
        <v>5536.616759999999</v>
      </c>
      <c r="F49" s="144">
        <f>SUM(F48)</f>
        <v>6904.7120000000004</v>
      </c>
    </row>
    <row r="50" spans="1:6" x14ac:dyDescent="0.4">
      <c r="A50" s="182"/>
      <c r="B50" s="10"/>
      <c r="C50" s="53"/>
      <c r="D50" s="10"/>
      <c r="E50" s="10"/>
      <c r="F50" s="23"/>
    </row>
    <row r="51" spans="1:6" x14ac:dyDescent="0.4">
      <c r="A51" s="182" t="s">
        <v>506</v>
      </c>
      <c r="B51" s="312" t="s">
        <v>508</v>
      </c>
      <c r="C51" s="67"/>
      <c r="D51" s="10"/>
      <c r="E51" s="287">
        <f>E46*17.89%</f>
        <v>825417.28197000001</v>
      </c>
      <c r="F51" s="23">
        <v>698670.54550000012</v>
      </c>
    </row>
    <row r="52" spans="1:6" x14ac:dyDescent="0.4">
      <c r="A52" s="701" t="s">
        <v>507</v>
      </c>
      <c r="B52" s="308" t="s">
        <v>505</v>
      </c>
      <c r="C52" s="309"/>
      <c r="D52" s="276"/>
      <c r="E52" s="138">
        <f>E46*0.12%</f>
        <v>5536.616759999999</v>
      </c>
      <c r="F52" s="314">
        <v>6904.7120000000004</v>
      </c>
    </row>
    <row r="53" spans="1:6" x14ac:dyDescent="0.4">
      <c r="A53" s="183"/>
      <c r="B53" s="14"/>
      <c r="C53" s="78"/>
      <c r="D53" s="139">
        <f>(E53-F53)/F53</f>
        <v>0.17769704917692611</v>
      </c>
      <c r="E53" s="287">
        <f>SUM(E51:E52)</f>
        <v>830953.89873000002</v>
      </c>
      <c r="F53" s="145">
        <f>SUM(F51:F52)</f>
        <v>705575.25750000018</v>
      </c>
    </row>
    <row r="54" spans="1:6" x14ac:dyDescent="0.4">
      <c r="A54" s="181"/>
      <c r="B54" s="69"/>
      <c r="C54" s="78"/>
      <c r="D54" s="16"/>
      <c r="E54" s="82"/>
      <c r="F54" s="23"/>
    </row>
    <row r="55" spans="1:6" x14ac:dyDescent="0.4">
      <c r="A55" s="307" t="s">
        <v>84</v>
      </c>
      <c r="B55" s="313" t="s">
        <v>509</v>
      </c>
      <c r="C55" s="315"/>
      <c r="D55" s="310"/>
      <c r="E55" s="269">
        <f>E46*19.12%</f>
        <v>882167.60375999997</v>
      </c>
      <c r="F55" s="314">
        <v>717658.50349999999</v>
      </c>
    </row>
    <row r="56" spans="1:6" x14ac:dyDescent="0.4">
      <c r="A56" s="182" t="s">
        <v>85</v>
      </c>
      <c r="B56" s="69" t="s">
        <v>86</v>
      </c>
      <c r="C56" s="78"/>
      <c r="D56" s="16"/>
      <c r="E56" s="82"/>
      <c r="F56" s="23"/>
    </row>
    <row r="57" spans="1:6" ht="15" thickBot="1" x14ac:dyDescent="0.45">
      <c r="A57" s="181"/>
      <c r="B57" s="14" t="s">
        <v>61</v>
      </c>
      <c r="C57" s="78"/>
      <c r="D57" s="139">
        <f>SUM(Summary!$D$6)</f>
        <v>0.22920440295388045</v>
      </c>
      <c r="E57" s="137">
        <f>SUM(E55:E56)</f>
        <v>882167.60375999997</v>
      </c>
      <c r="F57" s="316">
        <f>SUM(F55:F56)</f>
        <v>717658.50349999999</v>
      </c>
    </row>
    <row r="58" spans="1:6" ht="15" thickTop="1" x14ac:dyDescent="0.4">
      <c r="A58" s="10"/>
      <c r="B58" s="69"/>
      <c r="C58" s="78"/>
      <c r="D58" s="10"/>
      <c r="E58" s="69"/>
      <c r="F58" s="22"/>
    </row>
    <row r="59" spans="1:6" ht="19.5" customHeight="1" x14ac:dyDescent="0.5">
      <c r="A59" s="777" t="s">
        <v>87</v>
      </c>
      <c r="B59" s="778"/>
      <c r="C59" s="778"/>
      <c r="D59" s="778"/>
      <c r="E59" s="778"/>
      <c r="F59" s="778"/>
    </row>
    <row r="60" spans="1:6" x14ac:dyDescent="0.4">
      <c r="A60" s="10"/>
      <c r="B60" t="s">
        <v>88</v>
      </c>
      <c r="C60" s="530"/>
      <c r="E60" s="287">
        <f>(2003*4)*110%</f>
        <v>8813.2000000000007</v>
      </c>
      <c r="F60" s="64">
        <v>8813.2000000000007</v>
      </c>
    </row>
    <row r="61" spans="1:6" ht="15" thickBot="1" x14ac:dyDescent="0.45">
      <c r="A61" s="317"/>
      <c r="B61" s="318" t="s">
        <v>61</v>
      </c>
      <c r="C61" s="319"/>
      <c r="D61" s="140">
        <f>SUM(Summary!$D$7)</f>
        <v>0</v>
      </c>
      <c r="E61" s="143">
        <f>SUM(E60)</f>
        <v>8813.2000000000007</v>
      </c>
      <c r="F61" s="146">
        <f>SUM(F60)</f>
        <v>8813.2000000000007</v>
      </c>
    </row>
    <row r="62" spans="1:6" ht="15" thickTop="1" x14ac:dyDescent="0.4">
      <c r="A62" s="10"/>
      <c r="B62" s="10"/>
      <c r="C62" s="53"/>
      <c r="D62" s="10"/>
      <c r="E62" s="10"/>
      <c r="F62" s="22"/>
    </row>
    <row r="63" spans="1:6" ht="19.5" customHeight="1" x14ac:dyDescent="0.5">
      <c r="A63" s="777" t="s">
        <v>89</v>
      </c>
      <c r="B63" s="778"/>
      <c r="C63" s="778"/>
      <c r="D63" s="778"/>
      <c r="E63" s="778"/>
      <c r="F63" s="778"/>
    </row>
    <row r="64" spans="1:6" x14ac:dyDescent="0.4">
      <c r="A64" s="10"/>
      <c r="B64" s="320" t="s">
        <v>90</v>
      </c>
      <c r="C64" s="292"/>
      <c r="D64" s="6"/>
      <c r="E64" s="6"/>
      <c r="F64" s="6"/>
    </row>
    <row r="65" spans="1:6" s="525" customFormat="1" x14ac:dyDescent="0.4">
      <c r="A65" s="702"/>
      <c r="B65" s="694" t="s">
        <v>91</v>
      </c>
      <c r="C65" s="673"/>
      <c r="D65" s="694"/>
      <c r="E65" s="695">
        <f>SUM(E3+E4+E5+E6+E7+E13+E14+E30)</f>
        <v>4868850</v>
      </c>
      <c r="F65" s="676">
        <f>SUM(F3+F4+F5+F6+F7+F13+F14+F30)</f>
        <v>4561580</v>
      </c>
    </row>
    <row r="66" spans="1:6" x14ac:dyDescent="0.4">
      <c r="A66" s="276"/>
      <c r="B66" s="277" t="s">
        <v>92</v>
      </c>
      <c r="C66" s="278"/>
      <c r="D66" s="278"/>
      <c r="E66" s="321">
        <v>1.4500000000000001E-2</v>
      </c>
      <c r="F66" s="321">
        <v>1.4500000000000001E-2</v>
      </c>
    </row>
    <row r="67" spans="1:6" x14ac:dyDescent="0.4">
      <c r="A67" s="10"/>
      <c r="B67" s="34" t="s">
        <v>93</v>
      </c>
      <c r="C67" s="36"/>
      <c r="D67" s="6"/>
      <c r="E67" s="287">
        <f>(E65*E66)</f>
        <v>70598.324999999997</v>
      </c>
      <c r="F67" s="9">
        <f>F65*F66</f>
        <v>66142.91</v>
      </c>
    </row>
    <row r="68" spans="1:6" x14ac:dyDescent="0.4">
      <c r="A68" s="10"/>
      <c r="B68" s="320"/>
      <c r="C68" s="292"/>
      <c r="D68" s="6"/>
      <c r="E68" s="85"/>
      <c r="F68" s="85"/>
    </row>
    <row r="69" spans="1:6" x14ac:dyDescent="0.4">
      <c r="A69" s="10"/>
      <c r="B69" s="320"/>
      <c r="C69" s="292"/>
      <c r="D69" s="6"/>
      <c r="E69" s="85"/>
      <c r="F69" s="85"/>
    </row>
    <row r="70" spans="1:6" x14ac:dyDescent="0.4">
      <c r="A70" s="10"/>
      <c r="B70" s="320" t="s">
        <v>94</v>
      </c>
      <c r="C70" s="292"/>
      <c r="D70" s="6"/>
      <c r="E70" s="6"/>
      <c r="F70" s="6"/>
    </row>
    <row r="71" spans="1:6" x14ac:dyDescent="0.4">
      <c r="A71" s="182" t="s">
        <v>95</v>
      </c>
      <c r="B71" s="11" t="s">
        <v>96</v>
      </c>
      <c r="C71" s="7"/>
      <c r="D71" s="11"/>
      <c r="E71" s="322">
        <v>5000</v>
      </c>
      <c r="F71" s="9">
        <v>20000</v>
      </c>
    </row>
    <row r="72" spans="1:6" x14ac:dyDescent="0.4">
      <c r="A72" s="276"/>
      <c r="B72" s="277" t="s">
        <v>97</v>
      </c>
      <c r="C72" s="278"/>
      <c r="D72" s="277"/>
      <c r="E72" s="141">
        <v>6.2E-2</v>
      </c>
      <c r="F72" s="321">
        <v>6.2E-2</v>
      </c>
    </row>
    <row r="73" spans="1:6" x14ac:dyDescent="0.4">
      <c r="A73" s="20"/>
      <c r="B73" s="34" t="s">
        <v>93</v>
      </c>
      <c r="C73" s="36"/>
      <c r="D73" s="6"/>
      <c r="E73" s="287">
        <f>E71*E72</f>
        <v>310</v>
      </c>
      <c r="F73" s="9">
        <f>F71*F72</f>
        <v>1240</v>
      </c>
    </row>
    <row r="74" spans="1:6" x14ac:dyDescent="0.4">
      <c r="A74" s="10"/>
      <c r="C74" s="530"/>
      <c r="E74" s="2"/>
      <c r="F74" s="2"/>
    </row>
    <row r="75" spans="1:6" ht="15" thickBot="1" x14ac:dyDescent="0.45">
      <c r="A75" s="10"/>
      <c r="B75" s="14" t="s">
        <v>61</v>
      </c>
      <c r="C75" s="15"/>
      <c r="D75" s="139">
        <f>SUM(Summary!$D$8)</f>
        <v>5.3412462908011868E-2</v>
      </c>
      <c r="E75" s="137">
        <f>SUM(E67+E73)</f>
        <v>70908.324999999997</v>
      </c>
      <c r="F75" s="285">
        <f>SUM(F67+F73)</f>
        <v>67382.91</v>
      </c>
    </row>
    <row r="76" spans="1:6" ht="15.45" thickTop="1" thickBot="1" x14ac:dyDescent="0.45">
      <c r="A76" s="10"/>
      <c r="C76" s="530"/>
      <c r="F76" s="2"/>
    </row>
    <row r="77" spans="1:6" ht="15" thickBot="1" x14ac:dyDescent="0.45">
      <c r="A77" s="10"/>
      <c r="B77" s="68" t="s">
        <v>98</v>
      </c>
      <c r="C77" s="533"/>
      <c r="D77" s="139">
        <f>(E77-F77)/F77</f>
        <v>9.004245702218179E-2</v>
      </c>
      <c r="E77" s="142">
        <f>SUM(E9+E32+E41+E57+E61+E75)</f>
        <v>6553200.1457600007</v>
      </c>
      <c r="F77" s="89">
        <f>SUM(F9+F32+F41+F53+F61+F75)</f>
        <v>6011876.0545000006</v>
      </c>
    </row>
    <row r="78" spans="1:6" ht="13.5" customHeight="1" x14ac:dyDescent="0.4">
      <c r="A78" s="10"/>
      <c r="B78" s="10"/>
      <c r="C78" s="53"/>
      <c r="D78" s="90"/>
      <c r="E78" s="10"/>
      <c r="F78" s="22"/>
    </row>
    <row r="79" spans="1:6" x14ac:dyDescent="0.4">
      <c r="C79" s="530"/>
    </row>
    <row r="80" spans="1:6" x14ac:dyDescent="0.4">
      <c r="C80" s="530"/>
    </row>
  </sheetData>
  <mergeCells count="2">
    <mergeCell ref="A59:F59"/>
    <mergeCell ref="A63:F63"/>
  </mergeCells>
  <conditionalFormatting sqref="D9">
    <cfRule type="cellIs" dxfId="113" priority="10" operator="lessThan">
      <formula>0</formula>
    </cfRule>
    <cfRule type="cellIs" dxfId="112" priority="11" operator="greaterThan">
      <formula>0</formula>
    </cfRule>
    <cfRule type="cellIs" dxfId="111" priority="12" operator="equal">
      <formula>0</formula>
    </cfRule>
  </conditionalFormatting>
  <conditionalFormatting sqref="D32">
    <cfRule type="cellIs" dxfId="110" priority="7" operator="lessThan">
      <formula>0</formula>
    </cfRule>
    <cfRule type="cellIs" dxfId="109" priority="8" operator="greaterThan">
      <formula>0</formula>
    </cfRule>
    <cfRule type="cellIs" dxfId="108" priority="9" operator="equal">
      <formula>0</formula>
    </cfRule>
  </conditionalFormatting>
  <conditionalFormatting sqref="D41 D53 D57 D61 D75 D77">
    <cfRule type="cellIs" dxfId="107" priority="4" operator="lessThan">
      <formula>0</formula>
    </cfRule>
    <cfRule type="cellIs" dxfId="106" priority="5" operator="greaterThan">
      <formula>0</formula>
    </cfRule>
    <cfRule type="cellIs" dxfId="105" priority="6" operator="equal">
      <formula>0</formula>
    </cfRule>
  </conditionalFormatting>
  <conditionalFormatting sqref="E2:E1048576">
    <cfRule type="expression" dxfId="104" priority="1">
      <formula>E2&lt;F2</formula>
    </cfRule>
    <cfRule type="expression" dxfId="103" priority="2">
      <formula>E2&gt;F2</formula>
    </cfRule>
    <cfRule type="expression" dxfId="102" priority="3">
      <formula>E2=F2</formula>
    </cfRule>
  </conditionalFormatting>
  <pageMargins left="0.25" right="0.25" top="0.75" bottom="0.5" header="0.3" footer="0.3"/>
  <pageSetup orientation="landscape" r:id="rId1"/>
  <headerFooter>
    <oddHeader>&amp;C&amp;"Calibri,Bold"&amp;20 2020 Budget Requested - 4% Personnel</oddHeader>
  </headerFooter>
  <rowBreaks count="2" manualBreakCount="2">
    <brk id="33" max="7" man="1"/>
    <brk id="62" max="7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268A-CE08-4E39-929F-CD7BD3EEB4C2}">
  <dimension ref="A1:AK64"/>
  <sheetViews>
    <sheetView workbookViewId="0">
      <selection sqref="A1:AK64"/>
    </sheetView>
  </sheetViews>
  <sheetFormatPr defaultColWidth="9.15234375" defaultRowHeight="12.45" x14ac:dyDescent="0.3"/>
  <cols>
    <col min="1" max="16384" width="9.15234375" style="767"/>
  </cols>
  <sheetData>
    <row r="1" spans="1:37" x14ac:dyDescent="0.3">
      <c r="A1" s="781"/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  <c r="AC1" s="781"/>
      <c r="AD1" s="781"/>
      <c r="AE1" s="781"/>
      <c r="AF1" s="781"/>
      <c r="AG1" s="781"/>
      <c r="AH1" s="781"/>
      <c r="AI1" s="781"/>
      <c r="AJ1" s="781"/>
      <c r="AK1" s="781"/>
    </row>
    <row r="2" spans="1:37" x14ac:dyDescent="0.3">
      <c r="A2" s="781"/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1"/>
      <c r="AG2" s="781"/>
      <c r="AH2" s="781"/>
      <c r="AI2" s="781"/>
      <c r="AJ2" s="781"/>
      <c r="AK2" s="781"/>
    </row>
    <row r="3" spans="1:37" x14ac:dyDescent="0.3">
      <c r="A3" s="781"/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</row>
    <row r="4" spans="1:37" x14ac:dyDescent="0.3">
      <c r="A4" s="781"/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1"/>
      <c r="AC4" s="781"/>
      <c r="AD4" s="781"/>
      <c r="AE4" s="781"/>
      <c r="AF4" s="781"/>
      <c r="AG4" s="781"/>
      <c r="AH4" s="781"/>
      <c r="AI4" s="781"/>
      <c r="AJ4" s="781"/>
      <c r="AK4" s="781"/>
    </row>
    <row r="5" spans="1:37" x14ac:dyDescent="0.3">
      <c r="A5" s="781"/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  <c r="Y5" s="781"/>
      <c r="Z5" s="781"/>
      <c r="AA5" s="781"/>
      <c r="AB5" s="781"/>
      <c r="AC5" s="781"/>
      <c r="AD5" s="781"/>
      <c r="AE5" s="781"/>
      <c r="AF5" s="781"/>
      <c r="AG5" s="781"/>
      <c r="AH5" s="781"/>
      <c r="AI5" s="781"/>
      <c r="AJ5" s="781"/>
      <c r="AK5" s="781"/>
    </row>
    <row r="6" spans="1:37" x14ac:dyDescent="0.3">
      <c r="A6" s="781"/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  <c r="Y6" s="781"/>
      <c r="Z6" s="781"/>
      <c r="AA6" s="781"/>
      <c r="AB6" s="781"/>
      <c r="AC6" s="781"/>
      <c r="AD6" s="781"/>
      <c r="AE6" s="781"/>
      <c r="AF6" s="781"/>
      <c r="AG6" s="781"/>
      <c r="AH6" s="781"/>
      <c r="AI6" s="781"/>
      <c r="AJ6" s="781"/>
      <c r="AK6" s="781"/>
    </row>
    <row r="7" spans="1:37" x14ac:dyDescent="0.3">
      <c r="A7" s="781"/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  <c r="X7" s="781"/>
      <c r="Y7" s="781"/>
      <c r="Z7" s="781"/>
      <c r="AA7" s="781"/>
      <c r="AB7" s="781"/>
      <c r="AC7" s="781"/>
      <c r="AD7" s="781"/>
      <c r="AE7" s="781"/>
      <c r="AF7" s="781"/>
      <c r="AG7" s="781"/>
      <c r="AH7" s="781"/>
      <c r="AI7" s="781"/>
      <c r="AJ7" s="781"/>
      <c r="AK7" s="781"/>
    </row>
    <row r="8" spans="1:37" x14ac:dyDescent="0.3">
      <c r="A8" s="781"/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  <c r="AJ8" s="781"/>
      <c r="AK8" s="781"/>
    </row>
    <row r="9" spans="1:37" x14ac:dyDescent="0.3">
      <c r="A9" s="781"/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  <c r="Y9" s="781"/>
      <c r="Z9" s="781"/>
      <c r="AA9" s="781"/>
      <c r="AB9" s="781"/>
      <c r="AC9" s="781"/>
      <c r="AD9" s="781"/>
      <c r="AE9" s="781"/>
      <c r="AF9" s="781"/>
      <c r="AG9" s="781"/>
      <c r="AH9" s="781"/>
      <c r="AI9" s="781"/>
      <c r="AJ9" s="781"/>
      <c r="AK9" s="781"/>
    </row>
    <row r="10" spans="1:37" x14ac:dyDescent="0.3">
      <c r="A10" s="781"/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  <c r="Y10" s="781"/>
      <c r="Z10" s="781"/>
      <c r="AA10" s="781"/>
      <c r="AB10" s="781"/>
      <c r="AC10" s="781"/>
      <c r="AD10" s="781"/>
      <c r="AE10" s="781"/>
      <c r="AF10" s="781"/>
      <c r="AG10" s="781"/>
      <c r="AH10" s="781"/>
      <c r="AI10" s="781"/>
      <c r="AJ10" s="781"/>
      <c r="AK10" s="781"/>
    </row>
    <row r="11" spans="1:37" x14ac:dyDescent="0.3">
      <c r="A11" s="781"/>
      <c r="B11" s="781"/>
      <c r="C11" s="781"/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  <c r="Y11" s="781"/>
      <c r="Z11" s="781"/>
      <c r="AA11" s="781"/>
      <c r="AB11" s="781"/>
      <c r="AC11" s="781"/>
      <c r="AD11" s="781"/>
      <c r="AE11" s="781"/>
      <c r="AF11" s="781"/>
      <c r="AG11" s="781"/>
      <c r="AH11" s="781"/>
      <c r="AI11" s="781"/>
      <c r="AJ11" s="781"/>
      <c r="AK11" s="781"/>
    </row>
    <row r="12" spans="1:37" x14ac:dyDescent="0.3">
      <c r="A12" s="781"/>
      <c r="B12" s="781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  <c r="Y12" s="781"/>
      <c r="Z12" s="781"/>
      <c r="AA12" s="781"/>
      <c r="AB12" s="781"/>
      <c r="AC12" s="781"/>
      <c r="AD12" s="781"/>
      <c r="AE12" s="781"/>
      <c r="AF12" s="781"/>
      <c r="AG12" s="781"/>
      <c r="AH12" s="781"/>
      <c r="AI12" s="781"/>
      <c r="AJ12" s="781"/>
      <c r="AK12" s="781"/>
    </row>
    <row r="13" spans="1:37" x14ac:dyDescent="0.3">
      <c r="A13" s="781"/>
      <c r="B13" s="781"/>
      <c r="C13" s="781"/>
      <c r="D13" s="781"/>
      <c r="E13" s="781"/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1"/>
      <c r="T13" s="781"/>
      <c r="U13" s="781"/>
      <c r="V13" s="781"/>
      <c r="W13" s="781"/>
      <c r="X13" s="781"/>
      <c r="Y13" s="781"/>
      <c r="Z13" s="781"/>
      <c r="AA13" s="781"/>
      <c r="AB13" s="781"/>
      <c r="AC13" s="781"/>
      <c r="AD13" s="781"/>
      <c r="AE13" s="781"/>
      <c r="AF13" s="781"/>
      <c r="AG13" s="781"/>
      <c r="AH13" s="781"/>
      <c r="AI13" s="781"/>
      <c r="AJ13" s="781"/>
      <c r="AK13" s="781"/>
    </row>
    <row r="14" spans="1:37" x14ac:dyDescent="0.3">
      <c r="A14" s="781"/>
      <c r="B14" s="781"/>
      <c r="C14" s="781"/>
      <c r="D14" s="781"/>
      <c r="E14" s="781"/>
      <c r="F14" s="781"/>
      <c r="G14" s="781"/>
      <c r="H14" s="781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781"/>
      <c r="T14" s="781"/>
      <c r="U14" s="781"/>
      <c r="V14" s="781"/>
      <c r="W14" s="781"/>
      <c r="X14" s="781"/>
      <c r="Y14" s="781"/>
      <c r="Z14" s="781"/>
      <c r="AA14" s="781"/>
      <c r="AB14" s="781"/>
      <c r="AC14" s="781"/>
      <c r="AD14" s="781"/>
      <c r="AE14" s="781"/>
      <c r="AF14" s="781"/>
      <c r="AG14" s="781"/>
      <c r="AH14" s="781"/>
      <c r="AI14" s="781"/>
      <c r="AJ14" s="781"/>
      <c r="AK14" s="781"/>
    </row>
    <row r="15" spans="1:37" x14ac:dyDescent="0.3">
      <c r="A15" s="781"/>
      <c r="B15" s="781"/>
      <c r="C15" s="781"/>
      <c r="D15" s="781"/>
      <c r="E15" s="781"/>
      <c r="F15" s="781"/>
      <c r="G15" s="781"/>
      <c r="H15" s="781"/>
      <c r="I15" s="781"/>
      <c r="J15" s="781"/>
      <c r="K15" s="781"/>
      <c r="L15" s="781"/>
      <c r="M15" s="781"/>
      <c r="N15" s="781"/>
      <c r="O15" s="781"/>
      <c r="P15" s="781"/>
      <c r="Q15" s="781"/>
      <c r="R15" s="781"/>
      <c r="S15" s="781"/>
      <c r="T15" s="781"/>
      <c r="U15" s="781"/>
      <c r="V15" s="781"/>
      <c r="W15" s="781"/>
      <c r="X15" s="781"/>
      <c r="Y15" s="781"/>
      <c r="Z15" s="781"/>
      <c r="AA15" s="781"/>
      <c r="AB15" s="781"/>
      <c r="AC15" s="781"/>
      <c r="AD15" s="781"/>
      <c r="AE15" s="781"/>
      <c r="AF15" s="781"/>
      <c r="AG15" s="781"/>
      <c r="AH15" s="781"/>
      <c r="AI15" s="781"/>
      <c r="AJ15" s="781"/>
      <c r="AK15" s="781"/>
    </row>
    <row r="16" spans="1:37" x14ac:dyDescent="0.3">
      <c r="A16" s="781"/>
      <c r="B16" s="781"/>
      <c r="C16" s="781"/>
      <c r="D16" s="781"/>
      <c r="E16" s="781"/>
      <c r="F16" s="781"/>
      <c r="G16" s="781"/>
      <c r="H16" s="781"/>
      <c r="I16" s="781"/>
      <c r="J16" s="781"/>
      <c r="K16" s="781"/>
      <c r="L16" s="781"/>
      <c r="M16" s="781"/>
      <c r="N16" s="781"/>
      <c r="O16" s="781"/>
      <c r="P16" s="781"/>
      <c r="Q16" s="781"/>
      <c r="R16" s="781"/>
      <c r="S16" s="781"/>
      <c r="T16" s="781"/>
      <c r="U16" s="781"/>
      <c r="V16" s="781"/>
      <c r="W16" s="781"/>
      <c r="X16" s="781"/>
      <c r="Y16" s="781"/>
      <c r="Z16" s="781"/>
      <c r="AA16" s="781"/>
      <c r="AB16" s="781"/>
      <c r="AC16" s="781"/>
      <c r="AD16" s="781"/>
      <c r="AE16" s="781"/>
      <c r="AF16" s="781"/>
      <c r="AG16" s="781"/>
      <c r="AH16" s="781"/>
      <c r="AI16" s="781"/>
      <c r="AJ16" s="781"/>
      <c r="AK16" s="781"/>
    </row>
    <row r="17" spans="1:37" x14ac:dyDescent="0.3">
      <c r="A17" s="781"/>
      <c r="B17" s="781"/>
      <c r="C17" s="781"/>
      <c r="D17" s="781"/>
      <c r="E17" s="781"/>
      <c r="F17" s="781"/>
      <c r="G17" s="781"/>
      <c r="H17" s="781"/>
      <c r="I17" s="781"/>
      <c r="J17" s="781"/>
      <c r="K17" s="781"/>
      <c r="L17" s="781"/>
      <c r="M17" s="781"/>
      <c r="N17" s="781"/>
      <c r="O17" s="781"/>
      <c r="P17" s="781"/>
      <c r="Q17" s="781"/>
      <c r="R17" s="781"/>
      <c r="S17" s="781"/>
      <c r="T17" s="781"/>
      <c r="U17" s="781"/>
      <c r="V17" s="781"/>
      <c r="W17" s="781"/>
      <c r="X17" s="781"/>
      <c r="Y17" s="781"/>
      <c r="Z17" s="781"/>
      <c r="AA17" s="781"/>
      <c r="AB17" s="781"/>
      <c r="AC17" s="781"/>
      <c r="AD17" s="781"/>
      <c r="AE17" s="781"/>
      <c r="AF17" s="781"/>
      <c r="AG17" s="781"/>
      <c r="AH17" s="781"/>
      <c r="AI17" s="781"/>
      <c r="AJ17" s="781"/>
      <c r="AK17" s="781"/>
    </row>
    <row r="18" spans="1:37" x14ac:dyDescent="0.3">
      <c r="A18" s="781"/>
      <c r="B18" s="781"/>
      <c r="C18" s="781"/>
      <c r="D18" s="781"/>
      <c r="E18" s="781"/>
      <c r="F18" s="781"/>
      <c r="G18" s="781"/>
      <c r="H18" s="781"/>
      <c r="I18" s="781"/>
      <c r="J18" s="781"/>
      <c r="K18" s="781"/>
      <c r="L18" s="781"/>
      <c r="M18" s="781"/>
      <c r="N18" s="781"/>
      <c r="O18" s="781"/>
      <c r="P18" s="781"/>
      <c r="Q18" s="781"/>
      <c r="R18" s="781"/>
      <c r="S18" s="781"/>
      <c r="T18" s="781"/>
      <c r="U18" s="781"/>
      <c r="V18" s="781"/>
      <c r="W18" s="781"/>
      <c r="X18" s="781"/>
      <c r="Y18" s="781"/>
      <c r="Z18" s="781"/>
      <c r="AA18" s="781"/>
      <c r="AB18" s="781"/>
      <c r="AC18" s="781"/>
      <c r="AD18" s="781"/>
      <c r="AE18" s="781"/>
      <c r="AF18" s="781"/>
      <c r="AG18" s="781"/>
      <c r="AH18" s="781"/>
      <c r="AI18" s="781"/>
      <c r="AJ18" s="781"/>
      <c r="AK18" s="781"/>
    </row>
    <row r="19" spans="1:37" x14ac:dyDescent="0.3">
      <c r="A19" s="781"/>
      <c r="B19" s="781"/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  <c r="Q19" s="781"/>
      <c r="R19" s="781"/>
      <c r="S19" s="781"/>
      <c r="T19" s="781"/>
      <c r="U19" s="781"/>
      <c r="V19" s="781"/>
      <c r="W19" s="781"/>
      <c r="X19" s="781"/>
      <c r="Y19" s="781"/>
      <c r="Z19" s="781"/>
      <c r="AA19" s="781"/>
      <c r="AB19" s="781"/>
      <c r="AC19" s="781"/>
      <c r="AD19" s="781"/>
      <c r="AE19" s="781"/>
      <c r="AF19" s="781"/>
      <c r="AG19" s="781"/>
      <c r="AH19" s="781"/>
      <c r="AI19" s="781"/>
      <c r="AJ19" s="781"/>
      <c r="AK19" s="781"/>
    </row>
    <row r="20" spans="1:37" x14ac:dyDescent="0.3">
      <c r="A20" s="781"/>
      <c r="B20" s="781"/>
      <c r="C20" s="781"/>
      <c r="D20" s="781"/>
      <c r="E20" s="781"/>
      <c r="F20" s="781"/>
      <c r="G20" s="781"/>
      <c r="H20" s="781"/>
      <c r="I20" s="781"/>
      <c r="J20" s="781"/>
      <c r="K20" s="781"/>
      <c r="L20" s="781"/>
      <c r="M20" s="781"/>
      <c r="N20" s="781"/>
      <c r="O20" s="781"/>
      <c r="P20" s="781"/>
      <c r="Q20" s="781"/>
      <c r="R20" s="781"/>
      <c r="S20" s="781"/>
      <c r="T20" s="781"/>
      <c r="U20" s="781"/>
      <c r="V20" s="781"/>
      <c r="W20" s="781"/>
      <c r="X20" s="781"/>
      <c r="Y20" s="781"/>
      <c r="Z20" s="781"/>
      <c r="AA20" s="781"/>
      <c r="AB20" s="781"/>
      <c r="AC20" s="781"/>
      <c r="AD20" s="781"/>
      <c r="AE20" s="781"/>
      <c r="AF20" s="781"/>
      <c r="AG20" s="781"/>
      <c r="AH20" s="781"/>
      <c r="AI20" s="781"/>
      <c r="AJ20" s="781"/>
      <c r="AK20" s="781"/>
    </row>
    <row r="21" spans="1:37" x14ac:dyDescent="0.3">
      <c r="A21" s="781"/>
      <c r="B21" s="781"/>
      <c r="C21" s="781"/>
      <c r="D21" s="781"/>
      <c r="E21" s="781"/>
      <c r="F21" s="781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1"/>
      <c r="S21" s="781"/>
      <c r="T21" s="781"/>
      <c r="U21" s="781"/>
      <c r="V21" s="781"/>
      <c r="W21" s="781"/>
      <c r="X21" s="781"/>
      <c r="Y21" s="781"/>
      <c r="Z21" s="781"/>
      <c r="AA21" s="781"/>
      <c r="AB21" s="781"/>
      <c r="AC21" s="781"/>
      <c r="AD21" s="781"/>
      <c r="AE21" s="781"/>
      <c r="AF21" s="781"/>
      <c r="AG21" s="781"/>
      <c r="AH21" s="781"/>
      <c r="AI21" s="781"/>
      <c r="AJ21" s="781"/>
      <c r="AK21" s="781"/>
    </row>
    <row r="22" spans="1:37" x14ac:dyDescent="0.3">
      <c r="A22" s="781"/>
      <c r="B22" s="781"/>
      <c r="C22" s="781"/>
      <c r="D22" s="781"/>
      <c r="E22" s="781"/>
      <c r="F22" s="781"/>
      <c r="G22" s="781"/>
      <c r="H22" s="781"/>
      <c r="I22" s="781"/>
      <c r="J22" s="781"/>
      <c r="K22" s="781"/>
      <c r="L22" s="781"/>
      <c r="M22" s="781"/>
      <c r="N22" s="781"/>
      <c r="O22" s="781"/>
      <c r="P22" s="781"/>
      <c r="Q22" s="781"/>
      <c r="R22" s="781"/>
      <c r="S22" s="781"/>
      <c r="T22" s="781"/>
      <c r="U22" s="781"/>
      <c r="V22" s="781"/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781"/>
      <c r="AH22" s="781"/>
      <c r="AI22" s="781"/>
      <c r="AJ22" s="781"/>
      <c r="AK22" s="781"/>
    </row>
    <row r="23" spans="1:37" x14ac:dyDescent="0.3">
      <c r="A23" s="781"/>
      <c r="B23" s="781"/>
      <c r="C23" s="781"/>
      <c r="D23" s="781"/>
      <c r="E23" s="781"/>
      <c r="F23" s="781"/>
      <c r="G23" s="781"/>
      <c r="H23" s="781"/>
      <c r="I23" s="781"/>
      <c r="J23" s="781"/>
      <c r="K23" s="781"/>
      <c r="L23" s="781"/>
      <c r="M23" s="781"/>
      <c r="N23" s="781"/>
      <c r="O23" s="781"/>
      <c r="P23" s="781"/>
      <c r="Q23" s="781"/>
      <c r="R23" s="781"/>
      <c r="S23" s="781"/>
      <c r="T23" s="781"/>
      <c r="U23" s="781"/>
      <c r="V23" s="781"/>
      <c r="W23" s="781"/>
      <c r="X23" s="781"/>
      <c r="Y23" s="781"/>
      <c r="Z23" s="781"/>
      <c r="AA23" s="781"/>
      <c r="AB23" s="781"/>
      <c r="AC23" s="781"/>
      <c r="AD23" s="781"/>
      <c r="AE23" s="781"/>
      <c r="AF23" s="781"/>
      <c r="AG23" s="781"/>
      <c r="AH23" s="781"/>
      <c r="AI23" s="781"/>
      <c r="AJ23" s="781"/>
      <c r="AK23" s="781"/>
    </row>
    <row r="24" spans="1:37" x14ac:dyDescent="0.3">
      <c r="A24" s="781"/>
      <c r="B24" s="781"/>
      <c r="C24" s="781"/>
      <c r="D24" s="781"/>
      <c r="E24" s="781"/>
      <c r="F24" s="781"/>
      <c r="G24" s="781"/>
      <c r="H24" s="781"/>
      <c r="I24" s="781"/>
      <c r="J24" s="781"/>
      <c r="K24" s="781"/>
      <c r="L24" s="781"/>
      <c r="M24" s="781"/>
      <c r="N24" s="781"/>
      <c r="O24" s="781"/>
      <c r="P24" s="781"/>
      <c r="Q24" s="781"/>
      <c r="R24" s="781"/>
      <c r="S24" s="781"/>
      <c r="T24" s="781"/>
      <c r="U24" s="781"/>
      <c r="V24" s="781"/>
      <c r="W24" s="781"/>
      <c r="X24" s="781"/>
      <c r="Y24" s="781"/>
      <c r="Z24" s="781"/>
      <c r="AA24" s="781"/>
      <c r="AB24" s="781"/>
      <c r="AC24" s="781"/>
      <c r="AD24" s="781"/>
      <c r="AE24" s="781"/>
      <c r="AF24" s="781"/>
      <c r="AG24" s="781"/>
      <c r="AH24" s="781"/>
      <c r="AI24" s="781"/>
      <c r="AJ24" s="781"/>
      <c r="AK24" s="781"/>
    </row>
    <row r="25" spans="1:37" x14ac:dyDescent="0.3">
      <c r="A25" s="781"/>
      <c r="B25" s="781"/>
      <c r="C25" s="781"/>
      <c r="D25" s="781"/>
      <c r="E25" s="781"/>
      <c r="F25" s="781"/>
      <c r="G25" s="781"/>
      <c r="H25" s="781"/>
      <c r="I25" s="781"/>
      <c r="J25" s="781"/>
      <c r="K25" s="781"/>
      <c r="L25" s="781"/>
      <c r="M25" s="781"/>
      <c r="N25" s="781"/>
      <c r="O25" s="781"/>
      <c r="P25" s="781"/>
      <c r="Q25" s="781"/>
      <c r="R25" s="781"/>
      <c r="S25" s="781"/>
      <c r="T25" s="781"/>
      <c r="U25" s="781"/>
      <c r="V25" s="781"/>
      <c r="W25" s="781"/>
      <c r="X25" s="781"/>
      <c r="Y25" s="781"/>
      <c r="Z25" s="781"/>
      <c r="AA25" s="781"/>
      <c r="AB25" s="781"/>
      <c r="AC25" s="781"/>
      <c r="AD25" s="781"/>
      <c r="AE25" s="781"/>
      <c r="AF25" s="781"/>
      <c r="AG25" s="781"/>
      <c r="AH25" s="781"/>
      <c r="AI25" s="781"/>
      <c r="AJ25" s="781"/>
      <c r="AK25" s="781"/>
    </row>
    <row r="26" spans="1:37" x14ac:dyDescent="0.3">
      <c r="A26" s="781"/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1"/>
      <c r="U26" s="781"/>
      <c r="V26" s="781"/>
      <c r="W26" s="781"/>
      <c r="X26" s="781"/>
      <c r="Y26" s="781"/>
      <c r="Z26" s="781"/>
      <c r="AA26" s="781"/>
      <c r="AB26" s="781"/>
      <c r="AC26" s="781"/>
      <c r="AD26" s="781"/>
      <c r="AE26" s="781"/>
      <c r="AF26" s="781"/>
      <c r="AG26" s="781"/>
      <c r="AH26" s="781"/>
      <c r="AI26" s="781"/>
      <c r="AJ26" s="781"/>
      <c r="AK26" s="781"/>
    </row>
    <row r="27" spans="1:37" x14ac:dyDescent="0.3">
      <c r="A27" s="781"/>
      <c r="B27" s="781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  <c r="N27" s="781"/>
      <c r="O27" s="781"/>
      <c r="P27" s="781"/>
      <c r="Q27" s="781"/>
      <c r="R27" s="781"/>
      <c r="S27" s="781"/>
      <c r="T27" s="781"/>
      <c r="U27" s="781"/>
      <c r="V27" s="781"/>
      <c r="W27" s="781"/>
      <c r="X27" s="781"/>
      <c r="Y27" s="781"/>
      <c r="Z27" s="781"/>
      <c r="AA27" s="781"/>
      <c r="AB27" s="781"/>
      <c r="AC27" s="781"/>
      <c r="AD27" s="781"/>
      <c r="AE27" s="781"/>
      <c r="AF27" s="781"/>
      <c r="AG27" s="781"/>
      <c r="AH27" s="781"/>
      <c r="AI27" s="781"/>
      <c r="AJ27" s="781"/>
      <c r="AK27" s="781"/>
    </row>
    <row r="28" spans="1:37" x14ac:dyDescent="0.3">
      <c r="A28" s="781"/>
      <c r="B28" s="781"/>
      <c r="C28" s="781"/>
      <c r="D28" s="781"/>
      <c r="E28" s="781"/>
      <c r="F28" s="781"/>
      <c r="G28" s="781"/>
      <c r="H28" s="781"/>
      <c r="I28" s="781"/>
      <c r="J28" s="781"/>
      <c r="K28" s="781"/>
      <c r="L28" s="781"/>
      <c r="M28" s="781"/>
      <c r="N28" s="781"/>
      <c r="O28" s="781"/>
      <c r="P28" s="781"/>
      <c r="Q28" s="781"/>
      <c r="R28" s="781"/>
      <c r="S28" s="781"/>
      <c r="T28" s="781"/>
      <c r="U28" s="781"/>
      <c r="V28" s="781"/>
      <c r="W28" s="781"/>
      <c r="X28" s="781"/>
      <c r="Y28" s="781"/>
      <c r="Z28" s="781"/>
      <c r="AA28" s="781"/>
      <c r="AB28" s="781"/>
      <c r="AC28" s="781"/>
      <c r="AD28" s="781"/>
      <c r="AE28" s="781"/>
      <c r="AF28" s="781"/>
      <c r="AG28" s="781"/>
      <c r="AH28" s="781"/>
      <c r="AI28" s="781"/>
      <c r="AJ28" s="781"/>
      <c r="AK28" s="781"/>
    </row>
    <row r="29" spans="1:37" x14ac:dyDescent="0.3">
      <c r="A29" s="781"/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  <c r="M29" s="781"/>
      <c r="N29" s="781"/>
      <c r="O29" s="781"/>
      <c r="P29" s="781"/>
      <c r="Q29" s="781"/>
      <c r="R29" s="781"/>
      <c r="S29" s="781"/>
      <c r="T29" s="781"/>
      <c r="U29" s="781"/>
      <c r="V29" s="781"/>
      <c r="W29" s="781"/>
      <c r="X29" s="781"/>
      <c r="Y29" s="781"/>
      <c r="Z29" s="781"/>
      <c r="AA29" s="781"/>
      <c r="AB29" s="781"/>
      <c r="AC29" s="781"/>
      <c r="AD29" s="781"/>
      <c r="AE29" s="781"/>
      <c r="AF29" s="781"/>
      <c r="AG29" s="781"/>
      <c r="AH29" s="781"/>
      <c r="AI29" s="781"/>
      <c r="AJ29" s="781"/>
      <c r="AK29" s="781"/>
    </row>
    <row r="30" spans="1:37" x14ac:dyDescent="0.3">
      <c r="A30" s="781"/>
      <c r="B30" s="781"/>
      <c r="C30" s="781"/>
      <c r="D30" s="781"/>
      <c r="E30" s="781"/>
      <c r="F30" s="781"/>
      <c r="G30" s="781"/>
      <c r="H30" s="781"/>
      <c r="I30" s="781"/>
      <c r="J30" s="781"/>
      <c r="K30" s="781"/>
      <c r="L30" s="781"/>
      <c r="M30" s="781"/>
      <c r="N30" s="781"/>
      <c r="O30" s="781"/>
      <c r="P30" s="781"/>
      <c r="Q30" s="781"/>
      <c r="R30" s="781"/>
      <c r="S30" s="781"/>
      <c r="T30" s="781"/>
      <c r="U30" s="781"/>
      <c r="V30" s="781"/>
      <c r="W30" s="781"/>
      <c r="X30" s="781"/>
      <c r="Y30" s="781"/>
      <c r="Z30" s="781"/>
      <c r="AA30" s="781"/>
      <c r="AB30" s="781"/>
      <c r="AC30" s="781"/>
      <c r="AD30" s="781"/>
      <c r="AE30" s="781"/>
      <c r="AF30" s="781"/>
      <c r="AG30" s="781"/>
      <c r="AH30" s="781"/>
      <c r="AI30" s="781"/>
      <c r="AJ30" s="781"/>
      <c r="AK30" s="781"/>
    </row>
    <row r="31" spans="1:37" x14ac:dyDescent="0.3">
      <c r="A31" s="781"/>
      <c r="B31" s="781"/>
      <c r="C31" s="781"/>
      <c r="D31" s="781"/>
      <c r="E31" s="781"/>
      <c r="F31" s="781"/>
      <c r="G31" s="781"/>
      <c r="H31" s="781"/>
      <c r="I31" s="781"/>
      <c r="J31" s="781"/>
      <c r="K31" s="781"/>
      <c r="L31" s="781"/>
      <c r="M31" s="781"/>
      <c r="N31" s="781"/>
      <c r="O31" s="781"/>
      <c r="P31" s="781"/>
      <c r="Q31" s="781"/>
      <c r="R31" s="781"/>
      <c r="S31" s="781"/>
      <c r="T31" s="781"/>
      <c r="U31" s="781"/>
      <c r="V31" s="781"/>
      <c r="W31" s="781"/>
      <c r="X31" s="781"/>
      <c r="Y31" s="781"/>
      <c r="Z31" s="781"/>
      <c r="AA31" s="781"/>
      <c r="AB31" s="781"/>
      <c r="AC31" s="781"/>
      <c r="AD31" s="781"/>
      <c r="AE31" s="781"/>
      <c r="AF31" s="781"/>
      <c r="AG31" s="781"/>
      <c r="AH31" s="781"/>
      <c r="AI31" s="781"/>
      <c r="AJ31" s="781"/>
      <c r="AK31" s="781"/>
    </row>
    <row r="32" spans="1:37" x14ac:dyDescent="0.3">
      <c r="A32" s="781"/>
      <c r="B32" s="781"/>
      <c r="C32" s="781"/>
      <c r="D32" s="781"/>
      <c r="E32" s="781"/>
      <c r="F32" s="781"/>
      <c r="G32" s="781"/>
      <c r="H32" s="781"/>
      <c r="I32" s="781"/>
      <c r="J32" s="781"/>
      <c r="K32" s="781"/>
      <c r="L32" s="781"/>
      <c r="M32" s="781"/>
      <c r="N32" s="781"/>
      <c r="O32" s="781"/>
      <c r="P32" s="781"/>
      <c r="Q32" s="781"/>
      <c r="R32" s="781"/>
      <c r="S32" s="781"/>
      <c r="T32" s="781"/>
      <c r="U32" s="781"/>
      <c r="V32" s="781"/>
      <c r="W32" s="781"/>
      <c r="X32" s="781"/>
      <c r="Y32" s="781"/>
      <c r="Z32" s="781"/>
      <c r="AA32" s="781"/>
      <c r="AB32" s="781"/>
      <c r="AC32" s="781"/>
      <c r="AD32" s="781"/>
      <c r="AE32" s="781"/>
      <c r="AF32" s="781"/>
      <c r="AG32" s="781"/>
      <c r="AH32" s="781"/>
      <c r="AI32" s="781"/>
      <c r="AJ32" s="781"/>
      <c r="AK32" s="781"/>
    </row>
    <row r="33" spans="1:37" x14ac:dyDescent="0.3">
      <c r="A33" s="781"/>
      <c r="B33" s="781"/>
      <c r="C33" s="781"/>
      <c r="D33" s="781"/>
      <c r="E33" s="781"/>
      <c r="F33" s="781"/>
      <c r="G33" s="781"/>
      <c r="H33" s="781"/>
      <c r="I33" s="781"/>
      <c r="J33" s="781"/>
      <c r="K33" s="781"/>
      <c r="L33" s="781"/>
      <c r="M33" s="781"/>
      <c r="N33" s="781"/>
      <c r="O33" s="781"/>
      <c r="P33" s="781"/>
      <c r="Q33" s="781"/>
      <c r="R33" s="781"/>
      <c r="S33" s="781"/>
      <c r="T33" s="781"/>
      <c r="U33" s="781"/>
      <c r="V33" s="781"/>
      <c r="W33" s="781"/>
      <c r="X33" s="781"/>
      <c r="Y33" s="781"/>
      <c r="Z33" s="781"/>
      <c r="AA33" s="781"/>
      <c r="AB33" s="781"/>
      <c r="AC33" s="781"/>
      <c r="AD33" s="781"/>
      <c r="AE33" s="781"/>
      <c r="AF33" s="781"/>
      <c r="AG33" s="781"/>
      <c r="AH33" s="781"/>
      <c r="AI33" s="781"/>
      <c r="AJ33" s="781"/>
      <c r="AK33" s="781"/>
    </row>
    <row r="34" spans="1:37" x14ac:dyDescent="0.3">
      <c r="A34" s="781"/>
      <c r="B34" s="781"/>
      <c r="C34" s="781"/>
      <c r="D34" s="781"/>
      <c r="E34" s="781"/>
      <c r="F34" s="781"/>
      <c r="G34" s="781"/>
      <c r="H34" s="781"/>
      <c r="I34" s="781"/>
      <c r="J34" s="781"/>
      <c r="K34" s="781"/>
      <c r="L34" s="781"/>
      <c r="M34" s="781"/>
      <c r="N34" s="781"/>
      <c r="O34" s="781"/>
      <c r="P34" s="781"/>
      <c r="Q34" s="781"/>
      <c r="R34" s="781"/>
      <c r="S34" s="781"/>
      <c r="T34" s="781"/>
      <c r="U34" s="781"/>
      <c r="V34" s="781"/>
      <c r="W34" s="781"/>
      <c r="X34" s="781"/>
      <c r="Y34" s="781"/>
      <c r="Z34" s="781"/>
      <c r="AA34" s="781"/>
      <c r="AB34" s="781"/>
      <c r="AC34" s="781"/>
      <c r="AD34" s="781"/>
      <c r="AE34" s="781"/>
      <c r="AF34" s="781"/>
      <c r="AG34" s="781"/>
      <c r="AH34" s="781"/>
      <c r="AI34" s="781"/>
      <c r="AJ34" s="781"/>
      <c r="AK34" s="781"/>
    </row>
    <row r="35" spans="1:37" x14ac:dyDescent="0.3">
      <c r="A35" s="781"/>
      <c r="B35" s="781"/>
      <c r="C35" s="781"/>
      <c r="D35" s="781"/>
      <c r="E35" s="781"/>
      <c r="F35" s="781"/>
      <c r="G35" s="781"/>
      <c r="H35" s="781"/>
      <c r="I35" s="781"/>
      <c r="J35" s="781"/>
      <c r="K35" s="781"/>
      <c r="L35" s="781"/>
      <c r="M35" s="781"/>
      <c r="N35" s="781"/>
      <c r="O35" s="781"/>
      <c r="P35" s="781"/>
      <c r="Q35" s="781"/>
      <c r="R35" s="781"/>
      <c r="S35" s="781"/>
      <c r="T35" s="781"/>
      <c r="U35" s="781"/>
      <c r="V35" s="781"/>
      <c r="W35" s="781"/>
      <c r="X35" s="781"/>
      <c r="Y35" s="781"/>
      <c r="Z35" s="781"/>
      <c r="AA35" s="781"/>
      <c r="AB35" s="781"/>
      <c r="AC35" s="781"/>
      <c r="AD35" s="781"/>
      <c r="AE35" s="781"/>
      <c r="AF35" s="781"/>
      <c r="AG35" s="781"/>
      <c r="AH35" s="781"/>
      <c r="AI35" s="781"/>
      <c r="AJ35" s="781"/>
      <c r="AK35" s="781"/>
    </row>
    <row r="36" spans="1:37" x14ac:dyDescent="0.3">
      <c r="A36" s="781"/>
      <c r="B36" s="781"/>
      <c r="C36" s="781"/>
      <c r="D36" s="781"/>
      <c r="E36" s="781"/>
      <c r="F36" s="781"/>
      <c r="G36" s="781"/>
      <c r="H36" s="781"/>
      <c r="I36" s="781"/>
      <c r="J36" s="781"/>
      <c r="K36" s="781"/>
      <c r="L36" s="781"/>
      <c r="M36" s="781"/>
      <c r="N36" s="781"/>
      <c r="O36" s="781"/>
      <c r="P36" s="781"/>
      <c r="Q36" s="781"/>
      <c r="R36" s="781"/>
      <c r="S36" s="781"/>
      <c r="T36" s="781"/>
      <c r="U36" s="781"/>
      <c r="V36" s="781"/>
      <c r="W36" s="781"/>
      <c r="X36" s="781"/>
      <c r="Y36" s="781"/>
      <c r="Z36" s="781"/>
      <c r="AA36" s="781"/>
      <c r="AB36" s="781"/>
      <c r="AC36" s="781"/>
      <c r="AD36" s="781"/>
      <c r="AE36" s="781"/>
      <c r="AF36" s="781"/>
      <c r="AG36" s="781"/>
      <c r="AH36" s="781"/>
      <c r="AI36" s="781"/>
      <c r="AJ36" s="781"/>
      <c r="AK36" s="781"/>
    </row>
    <row r="37" spans="1:37" x14ac:dyDescent="0.3">
      <c r="A37" s="781"/>
      <c r="B37" s="781"/>
      <c r="C37" s="781"/>
      <c r="D37" s="781"/>
      <c r="E37" s="781"/>
      <c r="F37" s="781"/>
      <c r="G37" s="781"/>
      <c r="H37" s="781"/>
      <c r="I37" s="781"/>
      <c r="J37" s="781"/>
      <c r="K37" s="781"/>
      <c r="L37" s="781"/>
      <c r="M37" s="781"/>
      <c r="N37" s="781"/>
      <c r="O37" s="781"/>
      <c r="P37" s="781"/>
      <c r="Q37" s="781"/>
      <c r="R37" s="781"/>
      <c r="S37" s="781"/>
      <c r="T37" s="781"/>
      <c r="U37" s="781"/>
      <c r="V37" s="781"/>
      <c r="W37" s="781"/>
      <c r="X37" s="781"/>
      <c r="Y37" s="781"/>
      <c r="Z37" s="781"/>
      <c r="AA37" s="781"/>
      <c r="AB37" s="781"/>
      <c r="AC37" s="781"/>
      <c r="AD37" s="781"/>
      <c r="AE37" s="781"/>
      <c r="AF37" s="781"/>
      <c r="AG37" s="781"/>
      <c r="AH37" s="781"/>
      <c r="AI37" s="781"/>
      <c r="AJ37" s="781"/>
      <c r="AK37" s="781"/>
    </row>
    <row r="38" spans="1:37" x14ac:dyDescent="0.3">
      <c r="A38" s="781"/>
      <c r="B38" s="781"/>
      <c r="C38" s="781"/>
      <c r="D38" s="781"/>
      <c r="E38" s="781"/>
      <c r="F38" s="781"/>
      <c r="G38" s="781"/>
      <c r="H38" s="781"/>
      <c r="I38" s="781"/>
      <c r="J38" s="781"/>
      <c r="K38" s="781"/>
      <c r="L38" s="781"/>
      <c r="M38" s="781"/>
      <c r="N38" s="781"/>
      <c r="O38" s="781"/>
      <c r="P38" s="781"/>
      <c r="Q38" s="781"/>
      <c r="R38" s="781"/>
      <c r="S38" s="781"/>
      <c r="T38" s="781"/>
      <c r="U38" s="781"/>
      <c r="V38" s="781"/>
      <c r="W38" s="781"/>
      <c r="X38" s="781"/>
      <c r="Y38" s="781"/>
      <c r="Z38" s="781"/>
      <c r="AA38" s="781"/>
      <c r="AB38" s="781"/>
      <c r="AC38" s="781"/>
      <c r="AD38" s="781"/>
      <c r="AE38" s="781"/>
      <c r="AF38" s="781"/>
      <c r="AG38" s="781"/>
      <c r="AH38" s="781"/>
      <c r="AI38" s="781"/>
      <c r="AJ38" s="781"/>
      <c r="AK38" s="781"/>
    </row>
    <row r="39" spans="1:37" x14ac:dyDescent="0.3">
      <c r="A39" s="781"/>
      <c r="B39" s="781"/>
      <c r="C39" s="781"/>
      <c r="D39" s="781"/>
      <c r="E39" s="781"/>
      <c r="F39" s="781"/>
      <c r="G39" s="781"/>
      <c r="H39" s="781"/>
      <c r="I39" s="781"/>
      <c r="J39" s="781"/>
      <c r="K39" s="781"/>
      <c r="L39" s="781"/>
      <c r="M39" s="781"/>
      <c r="N39" s="781"/>
      <c r="O39" s="781"/>
      <c r="P39" s="781"/>
      <c r="Q39" s="781"/>
      <c r="R39" s="781"/>
      <c r="S39" s="781"/>
      <c r="T39" s="781"/>
      <c r="U39" s="781"/>
      <c r="V39" s="781"/>
      <c r="W39" s="781"/>
      <c r="X39" s="781"/>
      <c r="Y39" s="781"/>
      <c r="Z39" s="781"/>
      <c r="AA39" s="781"/>
      <c r="AB39" s="781"/>
      <c r="AC39" s="781"/>
      <c r="AD39" s="781"/>
      <c r="AE39" s="781"/>
      <c r="AF39" s="781"/>
      <c r="AG39" s="781"/>
      <c r="AH39" s="781"/>
      <c r="AI39" s="781"/>
      <c r="AJ39" s="781"/>
      <c r="AK39" s="781"/>
    </row>
    <row r="40" spans="1:37" x14ac:dyDescent="0.3">
      <c r="A40" s="781"/>
      <c r="B40" s="781"/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781"/>
      <c r="N40" s="781"/>
      <c r="O40" s="781"/>
      <c r="P40" s="781"/>
      <c r="Q40" s="781"/>
      <c r="R40" s="781"/>
      <c r="S40" s="781"/>
      <c r="T40" s="781"/>
      <c r="U40" s="781"/>
      <c r="V40" s="781"/>
      <c r="W40" s="781"/>
      <c r="X40" s="781"/>
      <c r="Y40" s="781"/>
      <c r="Z40" s="781"/>
      <c r="AA40" s="781"/>
      <c r="AB40" s="781"/>
      <c r="AC40" s="781"/>
      <c r="AD40" s="781"/>
      <c r="AE40" s="781"/>
      <c r="AF40" s="781"/>
      <c r="AG40" s="781"/>
      <c r="AH40" s="781"/>
      <c r="AI40" s="781"/>
      <c r="AJ40" s="781"/>
      <c r="AK40" s="781"/>
    </row>
    <row r="41" spans="1:37" x14ac:dyDescent="0.3">
      <c r="A41" s="781"/>
      <c r="B41" s="781"/>
      <c r="C41" s="781"/>
      <c r="D41" s="781"/>
      <c r="E41" s="781"/>
      <c r="F41" s="781"/>
      <c r="G41" s="781"/>
      <c r="H41" s="781"/>
      <c r="I41" s="781"/>
      <c r="J41" s="781"/>
      <c r="K41" s="781"/>
      <c r="L41" s="781"/>
      <c r="M41" s="781"/>
      <c r="N41" s="781"/>
      <c r="O41" s="781"/>
      <c r="P41" s="781"/>
      <c r="Q41" s="781"/>
      <c r="R41" s="781"/>
      <c r="S41" s="781"/>
      <c r="T41" s="781"/>
      <c r="U41" s="781"/>
      <c r="V41" s="781"/>
      <c r="W41" s="781"/>
      <c r="X41" s="781"/>
      <c r="Y41" s="781"/>
      <c r="Z41" s="781"/>
      <c r="AA41" s="781"/>
      <c r="AB41" s="781"/>
      <c r="AC41" s="781"/>
      <c r="AD41" s="781"/>
      <c r="AE41" s="781"/>
      <c r="AF41" s="781"/>
      <c r="AG41" s="781"/>
      <c r="AH41" s="781"/>
      <c r="AI41" s="781"/>
      <c r="AJ41" s="781"/>
      <c r="AK41" s="781"/>
    </row>
    <row r="42" spans="1:37" x14ac:dyDescent="0.3">
      <c r="A42" s="781"/>
      <c r="B42" s="781"/>
      <c r="C42" s="781"/>
      <c r="D42" s="781"/>
      <c r="E42" s="781"/>
      <c r="F42" s="781"/>
      <c r="G42" s="781"/>
      <c r="H42" s="781"/>
      <c r="I42" s="781"/>
      <c r="J42" s="781"/>
      <c r="K42" s="781"/>
      <c r="L42" s="781"/>
      <c r="M42" s="781"/>
      <c r="N42" s="781"/>
      <c r="O42" s="781"/>
      <c r="P42" s="781"/>
      <c r="Q42" s="781"/>
      <c r="R42" s="781"/>
      <c r="S42" s="781"/>
      <c r="T42" s="781"/>
      <c r="U42" s="781"/>
      <c r="V42" s="781"/>
      <c r="W42" s="781"/>
      <c r="X42" s="781"/>
      <c r="Y42" s="781"/>
      <c r="Z42" s="781"/>
      <c r="AA42" s="781"/>
      <c r="AB42" s="781"/>
      <c r="AC42" s="781"/>
      <c r="AD42" s="781"/>
      <c r="AE42" s="781"/>
      <c r="AF42" s="781"/>
      <c r="AG42" s="781"/>
      <c r="AH42" s="781"/>
      <c r="AI42" s="781"/>
      <c r="AJ42" s="781"/>
      <c r="AK42" s="781"/>
    </row>
    <row r="43" spans="1:37" x14ac:dyDescent="0.3">
      <c r="A43" s="781"/>
      <c r="B43" s="781"/>
      <c r="C43" s="781"/>
      <c r="D43" s="781"/>
      <c r="E43" s="781"/>
      <c r="F43" s="781"/>
      <c r="G43" s="781"/>
      <c r="H43" s="781"/>
      <c r="I43" s="781"/>
      <c r="J43" s="781"/>
      <c r="K43" s="781"/>
      <c r="L43" s="781"/>
      <c r="M43" s="781"/>
      <c r="N43" s="781"/>
      <c r="O43" s="781"/>
      <c r="P43" s="781"/>
      <c r="Q43" s="781"/>
      <c r="R43" s="781"/>
      <c r="S43" s="781"/>
      <c r="T43" s="781"/>
      <c r="U43" s="781"/>
      <c r="V43" s="781"/>
      <c r="W43" s="781"/>
      <c r="X43" s="781"/>
      <c r="Y43" s="781"/>
      <c r="Z43" s="781"/>
      <c r="AA43" s="781"/>
      <c r="AB43" s="781"/>
      <c r="AC43" s="781"/>
      <c r="AD43" s="781"/>
      <c r="AE43" s="781"/>
      <c r="AF43" s="781"/>
      <c r="AG43" s="781"/>
      <c r="AH43" s="781"/>
      <c r="AI43" s="781"/>
      <c r="AJ43" s="781"/>
      <c r="AK43" s="781"/>
    </row>
    <row r="44" spans="1:37" x14ac:dyDescent="0.3">
      <c r="A44" s="781"/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N44" s="781"/>
      <c r="O44" s="781"/>
      <c r="P44" s="781"/>
      <c r="Q44" s="781"/>
      <c r="R44" s="781"/>
      <c r="S44" s="781"/>
      <c r="T44" s="781"/>
      <c r="U44" s="781"/>
      <c r="V44" s="781"/>
      <c r="W44" s="781"/>
      <c r="X44" s="781"/>
      <c r="Y44" s="781"/>
      <c r="Z44" s="781"/>
      <c r="AA44" s="781"/>
      <c r="AB44" s="781"/>
      <c r="AC44" s="781"/>
      <c r="AD44" s="781"/>
      <c r="AE44" s="781"/>
      <c r="AF44" s="781"/>
      <c r="AG44" s="781"/>
      <c r="AH44" s="781"/>
      <c r="AI44" s="781"/>
      <c r="AJ44" s="781"/>
      <c r="AK44" s="781"/>
    </row>
    <row r="45" spans="1:37" x14ac:dyDescent="0.3">
      <c r="A45" s="781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  <c r="X45" s="781"/>
      <c r="Y45" s="781"/>
      <c r="Z45" s="781"/>
      <c r="AA45" s="781"/>
      <c r="AB45" s="781"/>
      <c r="AC45" s="781"/>
      <c r="AD45" s="781"/>
      <c r="AE45" s="781"/>
      <c r="AF45" s="781"/>
      <c r="AG45" s="781"/>
      <c r="AH45" s="781"/>
      <c r="AI45" s="781"/>
      <c r="AJ45" s="781"/>
      <c r="AK45" s="781"/>
    </row>
    <row r="46" spans="1:37" x14ac:dyDescent="0.3">
      <c r="A46" s="781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781"/>
      <c r="O46" s="781"/>
      <c r="P46" s="781"/>
      <c r="Q46" s="781"/>
      <c r="R46" s="781"/>
      <c r="S46" s="781"/>
      <c r="T46" s="781"/>
      <c r="U46" s="781"/>
      <c r="V46" s="781"/>
      <c r="W46" s="781"/>
      <c r="X46" s="781"/>
      <c r="Y46" s="781"/>
      <c r="Z46" s="781"/>
      <c r="AA46" s="781"/>
      <c r="AB46" s="781"/>
      <c r="AC46" s="781"/>
      <c r="AD46" s="781"/>
      <c r="AE46" s="781"/>
      <c r="AF46" s="781"/>
      <c r="AG46" s="781"/>
      <c r="AH46" s="781"/>
      <c r="AI46" s="781"/>
      <c r="AJ46" s="781"/>
      <c r="AK46" s="781"/>
    </row>
    <row r="47" spans="1:37" x14ac:dyDescent="0.3">
      <c r="A47" s="781"/>
      <c r="B47" s="781"/>
      <c r="C47" s="781"/>
      <c r="D47" s="781"/>
      <c r="E47" s="781"/>
      <c r="F47" s="781"/>
      <c r="G47" s="781"/>
      <c r="H47" s="781"/>
      <c r="I47" s="781"/>
      <c r="J47" s="781"/>
      <c r="K47" s="781"/>
      <c r="L47" s="781"/>
      <c r="M47" s="781"/>
      <c r="N47" s="781"/>
      <c r="O47" s="781"/>
      <c r="P47" s="781"/>
      <c r="Q47" s="781"/>
      <c r="R47" s="781"/>
      <c r="S47" s="781"/>
      <c r="T47" s="781"/>
      <c r="U47" s="781"/>
      <c r="V47" s="781"/>
      <c r="W47" s="781"/>
      <c r="X47" s="781"/>
      <c r="Y47" s="781"/>
      <c r="Z47" s="781"/>
      <c r="AA47" s="781"/>
      <c r="AB47" s="781"/>
      <c r="AC47" s="781"/>
      <c r="AD47" s="781"/>
      <c r="AE47" s="781"/>
      <c r="AF47" s="781"/>
      <c r="AG47" s="781"/>
      <c r="AH47" s="781"/>
      <c r="AI47" s="781"/>
      <c r="AJ47" s="781"/>
      <c r="AK47" s="781"/>
    </row>
    <row r="48" spans="1:37" x14ac:dyDescent="0.3">
      <c r="A48" s="781"/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  <c r="X48" s="781"/>
      <c r="Y48" s="781"/>
      <c r="Z48" s="781"/>
      <c r="AA48" s="781"/>
      <c r="AB48" s="781"/>
      <c r="AC48" s="781"/>
      <c r="AD48" s="781"/>
      <c r="AE48" s="781"/>
      <c r="AF48" s="781"/>
      <c r="AG48" s="781"/>
      <c r="AH48" s="781"/>
      <c r="AI48" s="781"/>
      <c r="AJ48" s="781"/>
      <c r="AK48" s="781"/>
    </row>
    <row r="49" spans="1:37" x14ac:dyDescent="0.3">
      <c r="A49" s="781"/>
      <c r="B49" s="781"/>
      <c r="C49" s="781"/>
      <c r="D49" s="781"/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  <c r="X49" s="781"/>
      <c r="Y49" s="781"/>
      <c r="Z49" s="781"/>
      <c r="AA49" s="781"/>
      <c r="AB49" s="781"/>
      <c r="AC49" s="781"/>
      <c r="AD49" s="781"/>
      <c r="AE49" s="781"/>
      <c r="AF49" s="781"/>
      <c r="AG49" s="781"/>
      <c r="AH49" s="781"/>
      <c r="AI49" s="781"/>
      <c r="AJ49" s="781"/>
      <c r="AK49" s="781"/>
    </row>
    <row r="50" spans="1:37" x14ac:dyDescent="0.3">
      <c r="A50" s="781"/>
      <c r="B50" s="781"/>
      <c r="C50" s="781"/>
      <c r="D50" s="781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  <c r="X50" s="781"/>
      <c r="Y50" s="781"/>
      <c r="Z50" s="781"/>
      <c r="AA50" s="781"/>
      <c r="AB50" s="781"/>
      <c r="AC50" s="781"/>
      <c r="AD50" s="781"/>
      <c r="AE50" s="781"/>
      <c r="AF50" s="781"/>
      <c r="AG50" s="781"/>
      <c r="AH50" s="781"/>
      <c r="AI50" s="781"/>
      <c r="AJ50" s="781"/>
      <c r="AK50" s="781"/>
    </row>
    <row r="51" spans="1:37" x14ac:dyDescent="0.3">
      <c r="A51" s="781"/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1"/>
      <c r="W51" s="781"/>
      <c r="X51" s="781"/>
      <c r="Y51" s="781"/>
      <c r="Z51" s="781"/>
      <c r="AA51" s="781"/>
      <c r="AB51" s="781"/>
      <c r="AC51" s="781"/>
      <c r="AD51" s="781"/>
      <c r="AE51" s="781"/>
      <c r="AF51" s="781"/>
      <c r="AG51" s="781"/>
      <c r="AH51" s="781"/>
      <c r="AI51" s="781"/>
      <c r="AJ51" s="781"/>
      <c r="AK51" s="781"/>
    </row>
    <row r="52" spans="1:37" x14ac:dyDescent="0.3">
      <c r="A52" s="781"/>
      <c r="B52" s="781"/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  <c r="Y52" s="781"/>
      <c r="Z52" s="781"/>
      <c r="AA52" s="781"/>
      <c r="AB52" s="781"/>
      <c r="AC52" s="781"/>
      <c r="AD52" s="781"/>
      <c r="AE52" s="781"/>
      <c r="AF52" s="781"/>
      <c r="AG52" s="781"/>
      <c r="AH52" s="781"/>
      <c r="AI52" s="781"/>
      <c r="AJ52" s="781"/>
      <c r="AK52" s="781"/>
    </row>
    <row r="53" spans="1:37" x14ac:dyDescent="0.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1"/>
      <c r="Q53" s="781"/>
      <c r="R53" s="781"/>
      <c r="S53" s="781"/>
      <c r="T53" s="781"/>
      <c r="U53" s="781"/>
      <c r="V53" s="781"/>
      <c r="W53" s="781"/>
      <c r="X53" s="781"/>
      <c r="Y53" s="781"/>
      <c r="Z53" s="781"/>
      <c r="AA53" s="781"/>
      <c r="AB53" s="781"/>
      <c r="AC53" s="781"/>
      <c r="AD53" s="781"/>
      <c r="AE53" s="781"/>
      <c r="AF53" s="781"/>
      <c r="AG53" s="781"/>
      <c r="AH53" s="781"/>
      <c r="AI53" s="781"/>
      <c r="AJ53" s="781"/>
      <c r="AK53" s="781"/>
    </row>
    <row r="54" spans="1:37" x14ac:dyDescent="0.3">
      <c r="A54" s="781"/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  <c r="X54" s="781"/>
      <c r="Y54" s="781"/>
      <c r="Z54" s="781"/>
      <c r="AA54" s="781"/>
      <c r="AB54" s="781"/>
      <c r="AC54" s="781"/>
      <c r="AD54" s="781"/>
      <c r="AE54" s="781"/>
      <c r="AF54" s="781"/>
      <c r="AG54" s="781"/>
      <c r="AH54" s="781"/>
      <c r="AI54" s="781"/>
      <c r="AJ54" s="781"/>
      <c r="AK54" s="781"/>
    </row>
    <row r="55" spans="1:37" x14ac:dyDescent="0.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  <c r="N55" s="781"/>
      <c r="O55" s="781"/>
      <c r="P55" s="781"/>
      <c r="Q55" s="781"/>
      <c r="R55" s="781"/>
      <c r="S55" s="781"/>
      <c r="T55" s="781"/>
      <c r="U55" s="781"/>
      <c r="V55" s="781"/>
      <c r="W55" s="781"/>
      <c r="X55" s="781"/>
      <c r="Y55" s="781"/>
      <c r="Z55" s="781"/>
      <c r="AA55" s="781"/>
      <c r="AB55" s="781"/>
      <c r="AC55" s="781"/>
      <c r="AD55" s="781"/>
      <c r="AE55" s="781"/>
      <c r="AF55" s="781"/>
      <c r="AG55" s="781"/>
      <c r="AH55" s="781"/>
      <c r="AI55" s="781"/>
      <c r="AJ55" s="781"/>
      <c r="AK55" s="781"/>
    </row>
    <row r="56" spans="1:37" x14ac:dyDescent="0.3">
      <c r="A56" s="781"/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781"/>
      <c r="Q56" s="781"/>
      <c r="R56" s="781"/>
      <c r="S56" s="781"/>
      <c r="T56" s="781"/>
      <c r="U56" s="781"/>
      <c r="V56" s="781"/>
      <c r="W56" s="781"/>
      <c r="X56" s="781"/>
      <c r="Y56" s="781"/>
      <c r="Z56" s="781"/>
      <c r="AA56" s="781"/>
      <c r="AB56" s="781"/>
      <c r="AC56" s="781"/>
      <c r="AD56" s="781"/>
      <c r="AE56" s="781"/>
      <c r="AF56" s="781"/>
      <c r="AG56" s="781"/>
      <c r="AH56" s="781"/>
      <c r="AI56" s="781"/>
      <c r="AJ56" s="781"/>
      <c r="AK56" s="781"/>
    </row>
    <row r="57" spans="1:37" x14ac:dyDescent="0.3">
      <c r="A57" s="781"/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1"/>
      <c r="P57" s="781"/>
      <c r="Q57" s="781"/>
      <c r="R57" s="781"/>
      <c r="S57" s="781"/>
      <c r="T57" s="781"/>
      <c r="U57" s="781"/>
      <c r="V57" s="781"/>
      <c r="W57" s="781"/>
      <c r="X57" s="781"/>
      <c r="Y57" s="781"/>
      <c r="Z57" s="781"/>
      <c r="AA57" s="781"/>
      <c r="AB57" s="781"/>
      <c r="AC57" s="781"/>
      <c r="AD57" s="781"/>
      <c r="AE57" s="781"/>
      <c r="AF57" s="781"/>
      <c r="AG57" s="781"/>
      <c r="AH57" s="781"/>
      <c r="AI57" s="781"/>
      <c r="AJ57" s="781"/>
      <c r="AK57" s="781"/>
    </row>
    <row r="58" spans="1:37" x14ac:dyDescent="0.3">
      <c r="A58" s="781"/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  <c r="X58" s="781"/>
      <c r="Y58" s="781"/>
      <c r="Z58" s="781"/>
      <c r="AA58" s="781"/>
      <c r="AB58" s="781"/>
      <c r="AC58" s="781"/>
      <c r="AD58" s="781"/>
      <c r="AE58" s="781"/>
      <c r="AF58" s="781"/>
      <c r="AG58" s="781"/>
      <c r="AH58" s="781"/>
      <c r="AI58" s="781"/>
      <c r="AJ58" s="781"/>
      <c r="AK58" s="781"/>
    </row>
    <row r="59" spans="1:37" x14ac:dyDescent="0.3">
      <c r="A59" s="781"/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  <c r="X59" s="781"/>
      <c r="Y59" s="781"/>
      <c r="Z59" s="781"/>
      <c r="AA59" s="781"/>
      <c r="AB59" s="781"/>
      <c r="AC59" s="781"/>
      <c r="AD59" s="781"/>
      <c r="AE59" s="781"/>
      <c r="AF59" s="781"/>
      <c r="AG59" s="781"/>
      <c r="AH59" s="781"/>
      <c r="AI59" s="781"/>
      <c r="AJ59" s="781"/>
      <c r="AK59" s="781"/>
    </row>
    <row r="60" spans="1:37" x14ac:dyDescent="0.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  <c r="X60" s="781"/>
      <c r="Y60" s="781"/>
      <c r="Z60" s="781"/>
      <c r="AA60" s="781"/>
      <c r="AB60" s="781"/>
      <c r="AC60" s="781"/>
      <c r="AD60" s="781"/>
      <c r="AE60" s="781"/>
      <c r="AF60" s="781"/>
      <c r="AG60" s="781"/>
      <c r="AH60" s="781"/>
      <c r="AI60" s="781"/>
      <c r="AJ60" s="781"/>
      <c r="AK60" s="781"/>
    </row>
    <row r="61" spans="1:37" x14ac:dyDescent="0.3">
      <c r="A61" s="781"/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  <c r="X61" s="781"/>
      <c r="Y61" s="781"/>
      <c r="Z61" s="781"/>
      <c r="AA61" s="781"/>
      <c r="AB61" s="781"/>
      <c r="AC61" s="781"/>
      <c r="AD61" s="781"/>
      <c r="AE61" s="781"/>
      <c r="AF61" s="781"/>
      <c r="AG61" s="781"/>
      <c r="AH61" s="781"/>
      <c r="AI61" s="781"/>
      <c r="AJ61" s="781"/>
      <c r="AK61" s="781"/>
    </row>
    <row r="62" spans="1:37" x14ac:dyDescent="0.3">
      <c r="A62" s="781"/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  <c r="X62" s="781"/>
      <c r="Y62" s="781"/>
      <c r="Z62" s="781"/>
      <c r="AA62" s="781"/>
      <c r="AB62" s="781"/>
      <c r="AC62" s="781"/>
      <c r="AD62" s="781"/>
      <c r="AE62" s="781"/>
      <c r="AF62" s="781"/>
      <c r="AG62" s="781"/>
      <c r="AH62" s="781"/>
      <c r="AI62" s="781"/>
      <c r="AJ62" s="781"/>
      <c r="AK62" s="781"/>
    </row>
    <row r="63" spans="1:37" x14ac:dyDescent="0.3">
      <c r="A63" s="781"/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  <c r="X63" s="781"/>
      <c r="Y63" s="781"/>
      <c r="Z63" s="781"/>
      <c r="AA63" s="781"/>
      <c r="AB63" s="781"/>
      <c r="AC63" s="781"/>
      <c r="AD63" s="781"/>
      <c r="AE63" s="781"/>
      <c r="AF63" s="781"/>
      <c r="AG63" s="781"/>
      <c r="AH63" s="781"/>
      <c r="AI63" s="781"/>
      <c r="AJ63" s="781"/>
      <c r="AK63" s="781"/>
    </row>
    <row r="64" spans="1:37" x14ac:dyDescent="0.3">
      <c r="A64" s="781"/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  <c r="X64" s="781"/>
      <c r="Y64" s="781"/>
      <c r="Z64" s="781"/>
      <c r="AA64" s="781"/>
      <c r="AB64" s="781"/>
      <c r="AC64" s="781"/>
      <c r="AD64" s="781"/>
      <c r="AE64" s="781"/>
      <c r="AF64" s="781"/>
      <c r="AG64" s="781"/>
      <c r="AH64" s="781"/>
      <c r="AI64" s="781"/>
      <c r="AJ64" s="781"/>
      <c r="AK64" s="781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2"/>
  <dimension ref="A1:K19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4.6" x14ac:dyDescent="0.4"/>
  <cols>
    <col min="1" max="2" width="3" style="760" customWidth="1"/>
    <col min="3" max="3" width="29.3828125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7.15234375" style="760" bestFit="1" customWidth="1"/>
    <col min="8" max="8" width="22.53515625" style="760" bestFit="1" customWidth="1"/>
    <col min="9" max="9" width="17.3828125" style="760" bestFit="1" customWidth="1"/>
    <col min="10" max="10" width="22.3046875" style="760" bestFit="1" customWidth="1"/>
    <col min="11" max="11" width="10.15234375" style="760" bestFit="1" customWidth="1"/>
  </cols>
  <sheetData>
    <row r="1" spans="1:11" s="769" customFormat="1" ht="15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ht="15" thickTop="1" x14ac:dyDescent="0.4">
      <c r="A2" s="94"/>
      <c r="B2" s="94" t="s">
        <v>1267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x14ac:dyDescent="0.4">
      <c r="A3" s="94"/>
      <c r="B3" s="94"/>
      <c r="C3" s="94" t="s">
        <v>1268</v>
      </c>
      <c r="D3" s="94"/>
      <c r="E3" s="94"/>
      <c r="F3" s="95"/>
      <c r="G3" s="94"/>
      <c r="H3" s="94"/>
      <c r="I3" s="94"/>
      <c r="J3" s="94"/>
      <c r="K3" s="97"/>
    </row>
    <row r="4" spans="1:11" x14ac:dyDescent="0.4">
      <c r="A4" s="94"/>
      <c r="B4" s="94"/>
      <c r="C4" s="94"/>
      <c r="D4" s="94"/>
      <c r="E4" s="94" t="s">
        <v>544</v>
      </c>
      <c r="F4" s="95">
        <v>43838</v>
      </c>
      <c r="G4" s="94" t="s">
        <v>1271</v>
      </c>
      <c r="H4" s="94" t="s">
        <v>1274</v>
      </c>
      <c r="I4" s="94" t="s">
        <v>1275</v>
      </c>
      <c r="J4" s="94" t="s">
        <v>733</v>
      </c>
      <c r="K4" s="97">
        <v>32440.27</v>
      </c>
    </row>
    <row r="5" spans="1:11" x14ac:dyDescent="0.4">
      <c r="A5" s="94"/>
      <c r="B5" s="94"/>
      <c r="C5" s="94"/>
      <c r="D5" s="94"/>
      <c r="E5" s="94" t="s">
        <v>544</v>
      </c>
      <c r="F5" s="95">
        <v>43862</v>
      </c>
      <c r="G5" s="94" t="s">
        <v>1272</v>
      </c>
      <c r="H5" s="94" t="s">
        <v>1274</v>
      </c>
      <c r="I5" s="94" t="s">
        <v>1275</v>
      </c>
      <c r="J5" s="94" t="s">
        <v>733</v>
      </c>
      <c r="K5" s="97">
        <v>32533.54</v>
      </c>
    </row>
    <row r="6" spans="1:11" x14ac:dyDescent="0.4">
      <c r="A6" s="94"/>
      <c r="B6" s="94"/>
      <c r="C6" s="94"/>
      <c r="D6" s="94"/>
      <c r="E6" s="94" t="s">
        <v>544</v>
      </c>
      <c r="F6" s="95">
        <v>43881</v>
      </c>
      <c r="G6" s="94" t="s">
        <v>1273</v>
      </c>
      <c r="H6" s="94" t="s">
        <v>1274</v>
      </c>
      <c r="I6" s="94" t="s">
        <v>1275</v>
      </c>
      <c r="J6" s="94" t="s">
        <v>733</v>
      </c>
      <c r="K6" s="97">
        <v>32627.07</v>
      </c>
    </row>
    <row r="7" spans="1:11" x14ac:dyDescent="0.4">
      <c r="A7" s="94"/>
      <c r="B7" s="94"/>
      <c r="C7" s="94"/>
      <c r="D7" s="94"/>
      <c r="E7" s="94" t="s">
        <v>544</v>
      </c>
      <c r="F7" s="95">
        <v>43922</v>
      </c>
      <c r="G7" s="94" t="s">
        <v>1791</v>
      </c>
      <c r="H7" s="94" t="s">
        <v>1274</v>
      </c>
      <c r="I7" s="94" t="s">
        <v>1275</v>
      </c>
      <c r="J7" s="94" t="s">
        <v>733</v>
      </c>
      <c r="K7" s="97">
        <v>32720.880000000001</v>
      </c>
    </row>
    <row r="8" spans="1:11" x14ac:dyDescent="0.4">
      <c r="A8" s="94"/>
      <c r="B8" s="94"/>
      <c r="C8" s="94"/>
      <c r="D8" s="94"/>
      <c r="E8" s="94" t="s">
        <v>544</v>
      </c>
      <c r="F8" s="95">
        <v>43941</v>
      </c>
      <c r="G8" s="94" t="s">
        <v>1792</v>
      </c>
      <c r="H8" s="94" t="s">
        <v>1274</v>
      </c>
      <c r="I8" s="94" t="s">
        <v>1275</v>
      </c>
      <c r="J8" s="94" t="s">
        <v>733</v>
      </c>
      <c r="K8" s="97">
        <v>32814.949999999997</v>
      </c>
    </row>
    <row r="9" spans="1:11" x14ac:dyDescent="0.4">
      <c r="A9" s="94"/>
      <c r="B9" s="94"/>
      <c r="C9" s="94"/>
      <c r="D9" s="94"/>
      <c r="E9" s="94" t="s">
        <v>544</v>
      </c>
      <c r="F9" s="95">
        <v>43971</v>
      </c>
      <c r="G9" s="94" t="s">
        <v>1886</v>
      </c>
      <c r="H9" s="94" t="s">
        <v>1274</v>
      </c>
      <c r="I9" s="94" t="s">
        <v>1275</v>
      </c>
      <c r="J9" s="94" t="s">
        <v>733</v>
      </c>
      <c r="K9" s="97">
        <v>32909.29</v>
      </c>
    </row>
    <row r="10" spans="1:11" x14ac:dyDescent="0.4">
      <c r="A10" s="94"/>
      <c r="B10" s="94"/>
      <c r="C10" s="94"/>
      <c r="D10" s="94"/>
      <c r="E10" s="94" t="s">
        <v>544</v>
      </c>
      <c r="F10" s="95">
        <v>44002</v>
      </c>
      <c r="G10" s="94" t="s">
        <v>2168</v>
      </c>
      <c r="H10" s="94" t="s">
        <v>1274</v>
      </c>
      <c r="I10" s="94" t="s">
        <v>1275</v>
      </c>
      <c r="J10" s="94" t="s">
        <v>733</v>
      </c>
      <c r="K10" s="97">
        <v>33003.910000000003</v>
      </c>
    </row>
    <row r="11" spans="1:11" x14ac:dyDescent="0.4">
      <c r="A11" s="94"/>
      <c r="B11" s="94"/>
      <c r="C11" s="94"/>
      <c r="D11" s="94"/>
      <c r="E11" s="94" t="s">
        <v>544</v>
      </c>
      <c r="F11" s="95">
        <v>44032</v>
      </c>
      <c r="G11" s="94" t="s">
        <v>2259</v>
      </c>
      <c r="H11" s="94" t="s">
        <v>1274</v>
      </c>
      <c r="I11" s="94" t="s">
        <v>1275</v>
      </c>
      <c r="J11" s="94" t="s">
        <v>733</v>
      </c>
      <c r="K11" s="97">
        <v>33098.79</v>
      </c>
    </row>
    <row r="12" spans="1:11" x14ac:dyDescent="0.4">
      <c r="A12" s="94"/>
      <c r="B12" s="94"/>
      <c r="C12" s="94"/>
      <c r="D12" s="94"/>
      <c r="E12" s="94" t="s">
        <v>544</v>
      </c>
      <c r="F12" s="95">
        <v>44076</v>
      </c>
      <c r="G12" s="94" t="s">
        <v>2529</v>
      </c>
      <c r="H12" s="94" t="s">
        <v>1274</v>
      </c>
      <c r="I12" s="94" t="s">
        <v>1275</v>
      </c>
      <c r="J12" s="94" t="s">
        <v>733</v>
      </c>
      <c r="K12" s="97">
        <v>33193.949999999997</v>
      </c>
    </row>
    <row r="13" spans="1:11" x14ac:dyDescent="0.4">
      <c r="A13" s="94"/>
      <c r="B13" s="94"/>
      <c r="C13" s="94"/>
      <c r="D13" s="94"/>
      <c r="E13" s="94" t="s">
        <v>544</v>
      </c>
      <c r="F13" s="95">
        <v>44103</v>
      </c>
      <c r="G13" s="94" t="s">
        <v>2751</v>
      </c>
      <c r="H13" s="94" t="s">
        <v>1274</v>
      </c>
      <c r="I13" s="94" t="s">
        <v>1275</v>
      </c>
      <c r="J13" s="94" t="s">
        <v>733</v>
      </c>
      <c r="K13" s="97">
        <v>33289.379999999997</v>
      </c>
    </row>
    <row r="14" spans="1:11" x14ac:dyDescent="0.4">
      <c r="A14" s="94"/>
      <c r="B14" s="94"/>
      <c r="C14" s="94"/>
      <c r="D14" s="94"/>
      <c r="E14" s="94" t="s">
        <v>544</v>
      </c>
      <c r="F14" s="95">
        <v>44124</v>
      </c>
      <c r="G14" s="94" t="s">
        <v>2960</v>
      </c>
      <c r="H14" s="94" t="s">
        <v>1274</v>
      </c>
      <c r="I14" s="94" t="s">
        <v>1275</v>
      </c>
      <c r="J14" s="94" t="s">
        <v>733</v>
      </c>
      <c r="K14" s="97">
        <v>33385.089999999997</v>
      </c>
    </row>
    <row r="15" spans="1:11" ht="15" thickBot="1" x14ac:dyDescent="0.45">
      <c r="A15" s="94"/>
      <c r="B15" s="94"/>
      <c r="C15" s="94"/>
      <c r="D15" s="94"/>
      <c r="E15" s="94" t="s">
        <v>544</v>
      </c>
      <c r="F15" s="95">
        <v>44155</v>
      </c>
      <c r="G15" s="94" t="s">
        <v>3324</v>
      </c>
      <c r="H15" s="94" t="s">
        <v>1274</v>
      </c>
      <c r="I15" s="94" t="s">
        <v>1275</v>
      </c>
      <c r="J15" s="94" t="s">
        <v>733</v>
      </c>
      <c r="K15" s="756">
        <v>33481.07</v>
      </c>
    </row>
    <row r="16" spans="1:11" ht="15" thickBot="1" x14ac:dyDescent="0.45">
      <c r="A16" s="94"/>
      <c r="B16" s="94"/>
      <c r="C16" s="94" t="s">
        <v>1269</v>
      </c>
      <c r="D16" s="94"/>
      <c r="E16" s="94"/>
      <c r="F16" s="95"/>
      <c r="G16" s="94"/>
      <c r="H16" s="94"/>
      <c r="I16" s="94"/>
      <c r="J16" s="94"/>
      <c r="K16" s="757">
        <f>ROUND(SUM(K3:K15),5)</f>
        <v>395498.19</v>
      </c>
    </row>
    <row r="17" spans="1:11" ht="15" thickBot="1" x14ac:dyDescent="0.45">
      <c r="A17" s="94"/>
      <c r="B17" s="94" t="s">
        <v>1270</v>
      </c>
      <c r="C17" s="94"/>
      <c r="D17" s="94"/>
      <c r="E17" s="94"/>
      <c r="F17" s="95"/>
      <c r="G17" s="94"/>
      <c r="H17" s="94"/>
      <c r="I17" s="94"/>
      <c r="J17" s="94"/>
      <c r="K17" s="757">
        <f>K16</f>
        <v>395498.19</v>
      </c>
    </row>
    <row r="18" spans="1:11" ht="15" thickBot="1" x14ac:dyDescent="0.45">
      <c r="A18" s="94" t="s">
        <v>98</v>
      </c>
      <c r="B18" s="94"/>
      <c r="C18" s="94"/>
      <c r="D18" s="94"/>
      <c r="E18" s="94"/>
      <c r="F18" s="95"/>
      <c r="G18" s="94"/>
      <c r="H18" s="94"/>
      <c r="I18" s="94"/>
      <c r="J18" s="94"/>
      <c r="K18" s="758">
        <f>K17</f>
        <v>395498.19</v>
      </c>
    </row>
    <row r="19" spans="1:11" ht="15" thickTop="1" x14ac:dyDescent="0.4"/>
  </sheetData>
  <pageMargins left="0.7" right="0.7" top="0.75" bottom="0.75" header="0.1" footer="0.3"/>
  <pageSetup orientation="portrait" r:id="rId1"/>
  <headerFooter>
    <oddHeader>&amp;L&amp;"Arial,Bold"&amp;8 2:06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964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9648" r:id="rId4" name="HEADER"/>
      </mc:Fallback>
    </mc:AlternateContent>
    <mc:AlternateContent xmlns:mc="http://schemas.openxmlformats.org/markup-compatibility/2006">
      <mc:Choice Requires="x14">
        <control shapeId="6964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69647" r:id="rId6" name="FILTER"/>
      </mc:Fallback>
    </mc:AlternateContent>
  </control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5"/>
  <dimension ref="A1:K27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7.3046875" style="760" customWidth="1"/>
    <col min="4" max="4" width="2.3046875" style="760" customWidth="1"/>
    <col min="5" max="5" width="6.3828125" style="760" bestFit="1" customWidth="1"/>
    <col min="6" max="6" width="10.69140625" style="760" bestFit="1" customWidth="1"/>
    <col min="7" max="7" width="13.15234375" style="760" bestFit="1" customWidth="1"/>
    <col min="8" max="8" width="17.84375" style="760" bestFit="1" customWidth="1"/>
    <col min="9" max="9" width="30.69140625" style="760" customWidth="1"/>
    <col min="10" max="10" width="22.3046875" style="760" bestFit="1" customWidth="1"/>
    <col min="11" max="11" width="9.15234375" style="760" bestFit="1" customWidth="1"/>
  </cols>
  <sheetData>
    <row r="1" spans="1:11" s="769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2953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490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44119</v>
      </c>
      <c r="G4" s="94" t="s">
        <v>2938</v>
      </c>
      <c r="H4" s="94" t="s">
        <v>1196</v>
      </c>
      <c r="I4" s="94" t="s">
        <v>2956</v>
      </c>
      <c r="J4" s="94" t="s">
        <v>733</v>
      </c>
      <c r="K4" s="97">
        <v>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44119</v>
      </c>
      <c r="G5" s="94" t="s">
        <v>2938</v>
      </c>
      <c r="H5" s="94" t="s">
        <v>1196</v>
      </c>
      <c r="I5" s="94" t="s">
        <v>2957</v>
      </c>
      <c r="J5" s="94" t="s">
        <v>733</v>
      </c>
      <c r="K5" s="97">
        <v>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44119</v>
      </c>
      <c r="G6" s="94" t="s">
        <v>2938</v>
      </c>
      <c r="H6" s="94" t="s">
        <v>1196</v>
      </c>
      <c r="I6" s="94" t="s">
        <v>2958</v>
      </c>
      <c r="J6" s="94" t="s">
        <v>733</v>
      </c>
      <c r="K6" s="97">
        <v>4899.99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44119</v>
      </c>
      <c r="G7" s="94" t="s">
        <v>2938</v>
      </c>
      <c r="H7" s="94" t="s">
        <v>1196</v>
      </c>
      <c r="I7" s="94" t="s">
        <v>2959</v>
      </c>
      <c r="J7" s="94" t="s">
        <v>733</v>
      </c>
      <c r="K7" s="97">
        <v>1229.99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44119</v>
      </c>
      <c r="G8" s="94" t="s">
        <v>2939</v>
      </c>
      <c r="H8" s="94" t="s">
        <v>1196</v>
      </c>
      <c r="I8" s="94" t="s">
        <v>2956</v>
      </c>
      <c r="J8" s="94" t="s">
        <v>733</v>
      </c>
      <c r="K8" s="97">
        <v>1252.99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44119</v>
      </c>
      <c r="G9" s="94" t="s">
        <v>2939</v>
      </c>
      <c r="H9" s="94" t="s">
        <v>1196</v>
      </c>
      <c r="I9" s="94" t="s">
        <v>2957</v>
      </c>
      <c r="J9" s="94" t="s">
        <v>733</v>
      </c>
      <c r="K9" s="97">
        <v>2924.9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44179</v>
      </c>
      <c r="G10" s="94" t="s">
        <v>3312</v>
      </c>
      <c r="H10" s="94" t="s">
        <v>1196</v>
      </c>
      <c r="I10" s="94" t="s">
        <v>3327</v>
      </c>
      <c r="J10" s="94" t="s">
        <v>733</v>
      </c>
      <c r="K10" s="97">
        <v>13799.98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44181</v>
      </c>
      <c r="G11" s="94" t="s">
        <v>3325</v>
      </c>
      <c r="H11" s="94" t="s">
        <v>1191</v>
      </c>
      <c r="I11" s="94" t="s">
        <v>3328</v>
      </c>
      <c r="J11" s="94" t="s">
        <v>733</v>
      </c>
      <c r="K11" s="97">
        <v>21861.05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44183</v>
      </c>
      <c r="G12" s="94" t="s">
        <v>3013</v>
      </c>
      <c r="H12" s="94" t="s">
        <v>580</v>
      </c>
      <c r="I12" s="94" t="s">
        <v>3329</v>
      </c>
      <c r="J12" s="94" t="s">
        <v>733</v>
      </c>
      <c r="K12" s="97">
        <v>0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44183</v>
      </c>
      <c r="G13" s="94" t="s">
        <v>3013</v>
      </c>
      <c r="H13" s="94" t="s">
        <v>580</v>
      </c>
      <c r="I13" s="94" t="s">
        <v>3330</v>
      </c>
      <c r="J13" s="94" t="s">
        <v>733</v>
      </c>
      <c r="K13" s="97">
        <v>0</v>
      </c>
    </row>
    <row r="14" spans="1:11" ht="15" customHeight="1" x14ac:dyDescent="0.4">
      <c r="A14" s="94"/>
      <c r="B14" s="94"/>
      <c r="C14" s="94"/>
      <c r="D14" s="94"/>
      <c r="E14" s="94" t="s">
        <v>544</v>
      </c>
      <c r="F14" s="95">
        <v>44183</v>
      </c>
      <c r="G14" s="94" t="s">
        <v>3013</v>
      </c>
      <c r="H14" s="94" t="s">
        <v>580</v>
      </c>
      <c r="I14" s="94" t="s">
        <v>3331</v>
      </c>
      <c r="J14" s="94" t="s">
        <v>733</v>
      </c>
      <c r="K14" s="97">
        <v>299.99</v>
      </c>
    </row>
    <row r="15" spans="1:11" ht="15" customHeight="1" x14ac:dyDescent="0.4">
      <c r="A15" s="94"/>
      <c r="B15" s="94"/>
      <c r="C15" s="94"/>
      <c r="D15" s="94"/>
      <c r="E15" s="94" t="s">
        <v>544</v>
      </c>
      <c r="F15" s="95">
        <v>44183</v>
      </c>
      <c r="G15" s="94" t="s">
        <v>3013</v>
      </c>
      <c r="H15" s="94" t="s">
        <v>580</v>
      </c>
      <c r="I15" s="94" t="s">
        <v>3332</v>
      </c>
      <c r="J15" s="94" t="s">
        <v>733</v>
      </c>
      <c r="K15" s="97">
        <v>99.99</v>
      </c>
    </row>
    <row r="16" spans="1:11" ht="15" customHeight="1" x14ac:dyDescent="0.4">
      <c r="A16" s="94"/>
      <c r="B16" s="94"/>
      <c r="C16" s="94"/>
      <c r="D16" s="94"/>
      <c r="E16" s="94" t="s">
        <v>544</v>
      </c>
      <c r="F16" s="95">
        <v>44183</v>
      </c>
      <c r="G16" s="94" t="s">
        <v>3013</v>
      </c>
      <c r="H16" s="94" t="s">
        <v>580</v>
      </c>
      <c r="I16" s="94" t="s">
        <v>3333</v>
      </c>
      <c r="J16" s="94" t="s">
        <v>733</v>
      </c>
      <c r="K16" s="97">
        <v>349.99</v>
      </c>
    </row>
    <row r="17" spans="1:11" ht="15" customHeight="1" x14ac:dyDescent="0.4">
      <c r="A17" s="94"/>
      <c r="B17" s="94"/>
      <c r="C17" s="94"/>
      <c r="D17" s="94"/>
      <c r="E17" s="94" t="s">
        <v>544</v>
      </c>
      <c r="F17" s="95">
        <v>44183</v>
      </c>
      <c r="G17" s="94" t="s">
        <v>3013</v>
      </c>
      <c r="H17" s="94" t="s">
        <v>580</v>
      </c>
      <c r="I17" s="94" t="s">
        <v>3334</v>
      </c>
      <c r="J17" s="94" t="s">
        <v>733</v>
      </c>
      <c r="K17" s="97">
        <v>150.4</v>
      </c>
    </row>
    <row r="18" spans="1:11" ht="15" customHeight="1" x14ac:dyDescent="0.4">
      <c r="A18" s="94"/>
      <c r="B18" s="94"/>
      <c r="C18" s="94"/>
      <c r="D18" s="94"/>
      <c r="E18" s="94" t="s">
        <v>544</v>
      </c>
      <c r="F18" s="95">
        <v>44183</v>
      </c>
      <c r="G18" s="94" t="s">
        <v>3090</v>
      </c>
      <c r="H18" s="94" t="s">
        <v>580</v>
      </c>
      <c r="I18" s="94" t="s">
        <v>3329</v>
      </c>
      <c r="J18" s="94" t="s">
        <v>733</v>
      </c>
      <c r="K18" s="97">
        <v>2735.94</v>
      </c>
    </row>
    <row r="19" spans="1:11" ht="15" customHeight="1" x14ac:dyDescent="0.4">
      <c r="A19" s="94"/>
      <c r="B19" s="94"/>
      <c r="C19" s="94"/>
      <c r="D19" s="94"/>
      <c r="E19" s="94" t="s">
        <v>544</v>
      </c>
      <c r="F19" s="95">
        <v>44183</v>
      </c>
      <c r="G19" s="94" t="s">
        <v>3090</v>
      </c>
      <c r="H19" s="94" t="s">
        <v>580</v>
      </c>
      <c r="I19" s="94" t="s">
        <v>3330</v>
      </c>
      <c r="J19" s="94" t="s">
        <v>733</v>
      </c>
      <c r="K19" s="97">
        <v>0</v>
      </c>
    </row>
    <row r="20" spans="1:11" ht="15" customHeight="1" x14ac:dyDescent="0.4">
      <c r="A20" s="94"/>
      <c r="B20" s="94"/>
      <c r="C20" s="94"/>
      <c r="D20" s="94"/>
      <c r="E20" s="94" t="s">
        <v>544</v>
      </c>
      <c r="F20" s="95">
        <v>44183</v>
      </c>
      <c r="G20" s="94" t="s">
        <v>3091</v>
      </c>
      <c r="H20" s="94" t="s">
        <v>580</v>
      </c>
      <c r="I20" s="94" t="s">
        <v>3330</v>
      </c>
      <c r="J20" s="94" t="s">
        <v>733</v>
      </c>
      <c r="K20" s="97">
        <v>0</v>
      </c>
    </row>
    <row r="21" spans="1:11" ht="15" customHeight="1" x14ac:dyDescent="0.4">
      <c r="A21" s="94"/>
      <c r="B21" s="94"/>
      <c r="C21" s="94"/>
      <c r="D21" s="94"/>
      <c r="E21" s="94" t="s">
        <v>544</v>
      </c>
      <c r="F21" s="95">
        <v>44183</v>
      </c>
      <c r="G21" s="94" t="s">
        <v>3092</v>
      </c>
      <c r="H21" s="94" t="s">
        <v>580</v>
      </c>
      <c r="I21" s="94" t="s">
        <v>3330</v>
      </c>
      <c r="J21" s="94" t="s">
        <v>733</v>
      </c>
      <c r="K21" s="97">
        <v>0</v>
      </c>
    </row>
    <row r="22" spans="1:11" ht="15" customHeight="1" x14ac:dyDescent="0.4">
      <c r="A22" s="94"/>
      <c r="B22" s="94"/>
      <c r="C22" s="94"/>
      <c r="D22" s="94"/>
      <c r="E22" s="94" t="s">
        <v>544</v>
      </c>
      <c r="F22" s="95">
        <v>44183</v>
      </c>
      <c r="G22" s="94" t="s">
        <v>3093</v>
      </c>
      <c r="H22" s="94" t="s">
        <v>580</v>
      </c>
      <c r="I22" s="94" t="s">
        <v>3330</v>
      </c>
      <c r="J22" s="94" t="s">
        <v>733</v>
      </c>
      <c r="K22" s="97">
        <v>4239.76</v>
      </c>
    </row>
    <row r="23" spans="1:11" ht="15" customHeight="1" thickBot="1" x14ac:dyDescent="0.45">
      <c r="A23" s="94"/>
      <c r="B23" s="94"/>
      <c r="C23" s="94"/>
      <c r="D23" s="94"/>
      <c r="E23" s="94" t="s">
        <v>739</v>
      </c>
      <c r="F23" s="95">
        <v>44194</v>
      </c>
      <c r="G23" s="94" t="s">
        <v>3326</v>
      </c>
      <c r="H23" s="94" t="s">
        <v>580</v>
      </c>
      <c r="I23" s="94" t="s">
        <v>3335</v>
      </c>
      <c r="J23" s="94" t="s">
        <v>733</v>
      </c>
      <c r="K23" s="756">
        <v>-349.99</v>
      </c>
    </row>
    <row r="24" spans="1:11" ht="15" customHeight="1" thickBot="1" x14ac:dyDescent="0.45">
      <c r="A24" s="94"/>
      <c r="B24" s="94"/>
      <c r="C24" s="94" t="s">
        <v>2954</v>
      </c>
      <c r="D24" s="94"/>
      <c r="E24" s="94"/>
      <c r="F24" s="95"/>
      <c r="G24" s="94"/>
      <c r="H24" s="94"/>
      <c r="I24" s="94"/>
      <c r="J24" s="94"/>
      <c r="K24" s="757">
        <f>ROUND(SUM(K3:K23),5)</f>
        <v>53494.98</v>
      </c>
    </row>
    <row r="25" spans="1:11" ht="15" customHeight="1" thickBot="1" x14ac:dyDescent="0.45">
      <c r="A25" s="94"/>
      <c r="B25" s="94" t="s">
        <v>2955</v>
      </c>
      <c r="C25" s="94"/>
      <c r="D25" s="94"/>
      <c r="E25" s="94"/>
      <c r="F25" s="95"/>
      <c r="G25" s="94"/>
      <c r="H25" s="94"/>
      <c r="I25" s="94"/>
      <c r="J25" s="94"/>
      <c r="K25" s="757">
        <f>K24</f>
        <v>53494.98</v>
      </c>
    </row>
    <row r="26" spans="1:11" ht="15" customHeight="1" thickBot="1" x14ac:dyDescent="0.45">
      <c r="A26" s="94" t="s">
        <v>98</v>
      </c>
      <c r="B26" s="94"/>
      <c r="C26" s="94"/>
      <c r="D26" s="94"/>
      <c r="E26" s="94"/>
      <c r="F26" s="95"/>
      <c r="G26" s="94"/>
      <c r="H26" s="94"/>
      <c r="I26" s="94"/>
      <c r="J26" s="94"/>
      <c r="K26" s="758">
        <f>K25</f>
        <v>53494.98</v>
      </c>
    </row>
    <row r="27" spans="1:11" ht="15" customHeight="1" thickTop="1" x14ac:dyDescent="0.4"/>
  </sheetData>
  <pageMargins left="0.7" right="0.7" top="0.75" bottom="0.75" header="0.1" footer="0"/>
  <pageSetup orientation="portrait" r:id="rId1"/>
  <headerFooter>
    <oddHeader>&amp;L&amp;"Arial,Bold"&amp;8 2:11 PM
&amp;"Arial,Bold"&amp;8 02/02/21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9318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93188" r:id="rId4" name="HEADER"/>
      </mc:Fallback>
    </mc:AlternateContent>
    <mc:AlternateContent xmlns:mc="http://schemas.openxmlformats.org/markup-compatibility/2006">
      <mc:Choice Requires="x14">
        <control shapeId="9318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93187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W1008"/>
  <sheetViews>
    <sheetView zoomScale="110" zoomScaleNormal="110" workbookViewId="0">
      <pane ySplit="1" topLeftCell="A2" activePane="bottomLeft" state="frozen"/>
      <selection activeCell="A34" sqref="A34:H34"/>
      <selection pane="bottomLeft" activeCell="H8" sqref="H8"/>
    </sheetView>
  </sheetViews>
  <sheetFormatPr defaultColWidth="14.3828125" defaultRowHeight="15" customHeight="1" x14ac:dyDescent="0.4"/>
  <cols>
    <col min="1" max="1" width="20.3828125" customWidth="1"/>
    <col min="2" max="2" width="7.84375" customWidth="1"/>
    <col min="3" max="3" width="54.69140625" customWidth="1"/>
    <col min="4" max="4" width="11" customWidth="1"/>
    <col min="5" max="5" width="12.3046875" customWidth="1"/>
    <col min="6" max="6" width="9.3828125" customWidth="1"/>
    <col min="7" max="7" width="12.3828125" customWidth="1"/>
    <col min="8" max="8" width="16.53515625" style="166" customWidth="1"/>
    <col min="9" max="9" width="14.3046875" style="33" bestFit="1" customWidth="1"/>
    <col min="10" max="10" width="14.15234375" style="33" bestFit="1" customWidth="1"/>
    <col min="11" max="11" width="16.15234375" customWidth="1"/>
    <col min="12" max="12" width="87.3046875" hidden="1" customWidth="1"/>
    <col min="13" max="16" width="13.3046875" style="525" customWidth="1"/>
    <col min="17" max="21" width="13.3046875" customWidth="1"/>
    <col min="22" max="23" width="15.15234375" customWidth="1"/>
  </cols>
  <sheetData>
    <row r="1" spans="1:12" ht="28.75" x14ac:dyDescent="0.4">
      <c r="A1" s="253"/>
      <c r="B1" s="253" t="s">
        <v>99</v>
      </c>
      <c r="C1" s="273" t="s">
        <v>52</v>
      </c>
      <c r="D1" s="323" t="s">
        <v>100</v>
      </c>
      <c r="E1" s="323" t="s">
        <v>101</v>
      </c>
      <c r="F1" s="323" t="s">
        <v>102</v>
      </c>
      <c r="G1" s="273" t="s">
        <v>103</v>
      </c>
      <c r="H1" s="324" t="s">
        <v>540</v>
      </c>
      <c r="I1" s="324" t="s">
        <v>53</v>
      </c>
      <c r="J1" s="324" t="s">
        <v>54</v>
      </c>
      <c r="K1" s="273" t="s">
        <v>104</v>
      </c>
    </row>
    <row r="2" spans="1:12" ht="19.5" customHeight="1" x14ac:dyDescent="0.5">
      <c r="A2" s="777" t="s">
        <v>105</v>
      </c>
      <c r="B2" s="777"/>
      <c r="C2" s="778"/>
      <c r="D2" s="778"/>
      <c r="E2" s="778"/>
      <c r="F2" s="778"/>
      <c r="G2" s="778"/>
      <c r="H2" s="778"/>
      <c r="I2" s="778"/>
      <c r="J2" s="778"/>
      <c r="K2" s="778"/>
    </row>
    <row r="3" spans="1:12" ht="14.6" x14ac:dyDescent="0.4">
      <c r="A3" s="73"/>
      <c r="B3" s="73" t="str">
        <f>LEFT($A$2,4)&amp;"-1"</f>
        <v>6110-1</v>
      </c>
      <c r="C3" s="30" t="s">
        <v>106</v>
      </c>
      <c r="D3" s="31"/>
      <c r="E3" s="32"/>
      <c r="F3" s="65">
        <v>1</v>
      </c>
      <c r="G3" s="39">
        <v>100</v>
      </c>
      <c r="H3" s="33">
        <f t="shared" ref="H3:H14" si="0">(D3+E3+F3)*G3</f>
        <v>100</v>
      </c>
      <c r="I3" s="33">
        <f ca="1">(-SUMIF(INDIRECT(LEFT($A$2,4)&amp;"!I3:I200"),"="&amp;B3&amp;" *",INDIRECT(LEFT($A$2,4)&amp;"!k3:k200")))</f>
        <v>-60.07</v>
      </c>
      <c r="J3" s="33">
        <f ca="1">SUM(H3:I3)</f>
        <v>39.93</v>
      </c>
      <c r="K3" s="33">
        <v>100</v>
      </c>
    </row>
    <row r="4" spans="1:12" ht="14.6" x14ac:dyDescent="0.4">
      <c r="A4" s="218" t="s">
        <v>107</v>
      </c>
      <c r="B4" s="147" t="str">
        <f>LEFT($B3,4)&amp;"-"&amp;VALUE(MID($B3,FIND("-",$B3)+1,256))+1</f>
        <v>6110-2</v>
      </c>
      <c r="C4" s="325" t="s">
        <v>108</v>
      </c>
      <c r="D4" s="326"/>
      <c r="E4" s="327"/>
      <c r="F4" s="326">
        <v>0</v>
      </c>
      <c r="G4" s="328">
        <v>400</v>
      </c>
      <c r="H4" s="153">
        <f t="shared" si="0"/>
        <v>0</v>
      </c>
      <c r="I4" s="329">
        <f t="shared" ref="I4:I14" ca="1" si="1">(-SUMIF(INDIRECT(LEFT($A$2,4)&amp;"!I3:I200"),"="&amp;B4&amp;" *",INDIRECT(LEFT($A$2,4)&amp;"!k3:k200")))</f>
        <v>0</v>
      </c>
      <c r="J4" s="329">
        <f t="shared" ref="J4:J14" ca="1" si="2">SUM(H4:I4)</f>
        <v>0</v>
      </c>
      <c r="K4" s="329">
        <v>0</v>
      </c>
      <c r="L4" s="2"/>
    </row>
    <row r="5" spans="1:12" ht="14.6" x14ac:dyDescent="0.4">
      <c r="A5" s="73" t="s">
        <v>109</v>
      </c>
      <c r="B5" s="219" t="str">
        <f t="shared" ref="B5:B14" si="3">LEFT($B4,4)&amp;"-"&amp;VALUE(MID($B4,FIND("-",$B4)+1,256))+1</f>
        <v>6110-3</v>
      </c>
      <c r="C5" s="111" t="s">
        <v>110</v>
      </c>
      <c r="D5" s="59"/>
      <c r="E5" s="72"/>
      <c r="F5" s="59">
        <v>0</v>
      </c>
      <c r="G5" s="60">
        <v>60</v>
      </c>
      <c r="H5" s="33">
        <f t="shared" si="0"/>
        <v>0</v>
      </c>
      <c r="I5" s="33">
        <f t="shared" ca="1" si="1"/>
        <v>0</v>
      </c>
      <c r="J5" s="33">
        <f t="shared" ca="1" si="2"/>
        <v>0</v>
      </c>
      <c r="K5" s="33">
        <v>240</v>
      </c>
    </row>
    <row r="6" spans="1:12" ht="22.3" x14ac:dyDescent="0.4">
      <c r="A6" s="218" t="s">
        <v>111</v>
      </c>
      <c r="B6" s="218" t="str">
        <f t="shared" si="3"/>
        <v>6110-4</v>
      </c>
      <c r="C6" s="435" t="s">
        <v>112</v>
      </c>
      <c r="D6" s="326"/>
      <c r="E6" s="327"/>
      <c r="F6" s="326">
        <v>0</v>
      </c>
      <c r="G6" s="436">
        <v>120</v>
      </c>
      <c r="H6" s="434"/>
      <c r="I6" s="437">
        <f t="shared" ca="1" si="1"/>
        <v>0</v>
      </c>
      <c r="J6" s="437">
        <f t="shared" ca="1" si="2"/>
        <v>0</v>
      </c>
      <c r="K6" s="329">
        <v>120</v>
      </c>
      <c r="L6" s="2"/>
    </row>
    <row r="7" spans="1:12" ht="14.6" x14ac:dyDescent="0.4">
      <c r="A7" s="73"/>
      <c r="B7" s="73" t="str">
        <f t="shared" si="3"/>
        <v>6110-5</v>
      </c>
      <c r="C7" s="61" t="s">
        <v>113</v>
      </c>
      <c r="D7" s="88">
        <v>32</v>
      </c>
      <c r="E7" s="32"/>
      <c r="F7" s="32"/>
      <c r="G7" s="39">
        <v>30</v>
      </c>
      <c r="H7" s="33">
        <f t="shared" si="0"/>
        <v>960</v>
      </c>
      <c r="I7" s="33">
        <f t="shared" ca="1" si="1"/>
        <v>-1519.15</v>
      </c>
      <c r="J7" s="33">
        <f t="shared" ca="1" si="2"/>
        <v>-559.15000000000009</v>
      </c>
      <c r="K7" s="33">
        <v>900</v>
      </c>
    </row>
    <row r="8" spans="1:12" ht="14.6" x14ac:dyDescent="0.4">
      <c r="A8" s="218"/>
      <c r="B8" s="147" t="str">
        <f t="shared" si="3"/>
        <v>6110-6</v>
      </c>
      <c r="C8" s="325" t="s">
        <v>114</v>
      </c>
      <c r="D8" s="326"/>
      <c r="E8" s="327"/>
      <c r="F8" s="326">
        <v>60</v>
      </c>
      <c r="G8" s="328">
        <v>34</v>
      </c>
      <c r="H8" s="153">
        <f>F8*G8</f>
        <v>2040</v>
      </c>
      <c r="I8" s="329">
        <f t="shared" ca="1" si="1"/>
        <v>-1259.6599999999999</v>
      </c>
      <c r="J8" s="329">
        <f t="shared" ca="1" si="2"/>
        <v>780.34000000000015</v>
      </c>
      <c r="K8" s="329">
        <v>2414</v>
      </c>
      <c r="L8" s="2"/>
    </row>
    <row r="9" spans="1:12" ht="14.6" x14ac:dyDescent="0.4">
      <c r="A9" s="73" t="s">
        <v>107</v>
      </c>
      <c r="B9" s="73" t="str">
        <f t="shared" si="3"/>
        <v>6110-7</v>
      </c>
      <c r="C9" s="61" t="s">
        <v>115</v>
      </c>
      <c r="D9" s="65"/>
      <c r="E9" s="32"/>
      <c r="F9" s="65">
        <v>0</v>
      </c>
      <c r="G9" s="39">
        <v>70</v>
      </c>
      <c r="H9" s="33">
        <f t="shared" si="0"/>
        <v>0</v>
      </c>
      <c r="I9" s="33">
        <f t="shared" ca="1" si="1"/>
        <v>-197.99</v>
      </c>
      <c r="J9" s="33">
        <f t="shared" ca="1" si="2"/>
        <v>-197.99</v>
      </c>
      <c r="K9" s="33">
        <v>420</v>
      </c>
    </row>
    <row r="10" spans="1:12" ht="14.6" x14ac:dyDescent="0.4">
      <c r="A10" s="448"/>
      <c r="B10" s="448" t="str">
        <f t="shared" si="3"/>
        <v>6110-8</v>
      </c>
      <c r="C10" s="449" t="s">
        <v>116</v>
      </c>
      <c r="D10" s="487">
        <v>17</v>
      </c>
      <c r="E10" s="488"/>
      <c r="F10" s="489"/>
      <c r="G10" s="450">
        <v>45</v>
      </c>
      <c r="H10" s="425">
        <f t="shared" si="0"/>
        <v>765</v>
      </c>
      <c r="I10" s="425">
        <f t="shared" ca="1" si="1"/>
        <v>-1109.56</v>
      </c>
      <c r="J10" s="425">
        <f t="shared" ca="1" si="2"/>
        <v>-344.55999999999995</v>
      </c>
      <c r="K10" s="425">
        <v>675</v>
      </c>
      <c r="L10" s="2"/>
    </row>
    <row r="11" spans="1:12" ht="14.6" x14ac:dyDescent="0.4">
      <c r="A11" s="219"/>
      <c r="B11" s="73" t="str">
        <f t="shared" si="3"/>
        <v>6110-9</v>
      </c>
      <c r="C11" s="240" t="s">
        <v>117</v>
      </c>
      <c r="D11" s="330"/>
      <c r="E11" s="242"/>
      <c r="F11" s="330">
        <v>1</v>
      </c>
      <c r="G11" s="243">
        <v>8000</v>
      </c>
      <c r="H11" s="33">
        <f t="shared" si="0"/>
        <v>8000</v>
      </c>
      <c r="I11" s="244">
        <f t="shared" ca="1" si="1"/>
        <v>-5036.96</v>
      </c>
      <c r="J11" s="244">
        <f t="shared" ca="1" si="2"/>
        <v>2963.04</v>
      </c>
      <c r="K11" s="244">
        <v>8000</v>
      </c>
    </row>
    <row r="12" spans="1:12" ht="14.6" x14ac:dyDescent="0.4">
      <c r="A12" s="239"/>
      <c r="B12" s="147" t="str">
        <f t="shared" si="3"/>
        <v>6110-10</v>
      </c>
      <c r="C12" s="148" t="s">
        <v>118</v>
      </c>
      <c r="D12" s="238"/>
      <c r="E12" s="158">
        <v>5</v>
      </c>
      <c r="F12" s="238"/>
      <c r="G12" s="151">
        <v>155</v>
      </c>
      <c r="H12" s="153">
        <f t="shared" si="0"/>
        <v>775</v>
      </c>
      <c r="I12" s="153">
        <f t="shared" ca="1" si="1"/>
        <v>-139.72999999999999</v>
      </c>
      <c r="J12" s="153">
        <f t="shared" ca="1" si="2"/>
        <v>635.27</v>
      </c>
      <c r="K12" s="153">
        <v>775</v>
      </c>
      <c r="L12" s="305"/>
    </row>
    <row r="13" spans="1:12" ht="14.6" x14ac:dyDescent="0.4">
      <c r="A13" s="219"/>
      <c r="B13" s="73" t="str">
        <f t="shared" si="3"/>
        <v>6110-11</v>
      </c>
      <c r="C13" s="331" t="s">
        <v>119</v>
      </c>
      <c r="D13" s="332"/>
      <c r="E13" s="333">
        <v>14</v>
      </c>
      <c r="F13" s="332"/>
      <c r="G13" s="206">
        <v>30</v>
      </c>
      <c r="H13" s="33">
        <f t="shared" si="0"/>
        <v>420</v>
      </c>
      <c r="I13" s="244">
        <f t="shared" ca="1" si="1"/>
        <v>0</v>
      </c>
      <c r="J13" s="244">
        <f t="shared" ca="1" si="2"/>
        <v>420</v>
      </c>
      <c r="K13" s="244">
        <v>420</v>
      </c>
    </row>
    <row r="14" spans="1:12" ht="14.6" x14ac:dyDescent="0.4">
      <c r="A14" s="147" t="s">
        <v>120</v>
      </c>
      <c r="B14" s="147" t="str">
        <f t="shared" si="3"/>
        <v>6110-12</v>
      </c>
      <c r="C14" s="148" t="s">
        <v>121</v>
      </c>
      <c r="D14" s="238"/>
      <c r="E14" s="158"/>
      <c r="F14" s="238">
        <v>100</v>
      </c>
      <c r="G14" s="151">
        <v>5</v>
      </c>
      <c r="H14" s="153">
        <f t="shared" si="0"/>
        <v>500</v>
      </c>
      <c r="I14" s="153">
        <f t="shared" ca="1" si="1"/>
        <v>-487</v>
      </c>
      <c r="J14" s="153">
        <f t="shared" ca="1" si="2"/>
        <v>13</v>
      </c>
      <c r="K14" s="153">
        <v>0</v>
      </c>
      <c r="L14" s="2"/>
    </row>
    <row r="15" spans="1:12" thickBot="1" x14ac:dyDescent="0.45">
      <c r="A15" s="74"/>
      <c r="B15" s="74"/>
      <c r="C15" s="75" t="s">
        <v>66</v>
      </c>
      <c r="D15" s="76"/>
      <c r="E15" s="76"/>
      <c r="F15" s="14" t="s">
        <v>61</v>
      </c>
      <c r="G15" s="334">
        <f>SUM(Summary!$D$9)</f>
        <v>-3.5460992907801421E-2</v>
      </c>
      <c r="H15" s="335">
        <f>SUM(H3:H14)</f>
        <v>13560</v>
      </c>
      <c r="I15" s="336">
        <f ca="1">SUM(I3:I14)</f>
        <v>-9810.119999999999</v>
      </c>
      <c r="J15" s="336">
        <f ca="1">SUM(J3:J14)</f>
        <v>3749.88</v>
      </c>
      <c r="K15" s="336">
        <f>SUM(K3:K14)</f>
        <v>14064</v>
      </c>
    </row>
    <row r="16" spans="1:12" ht="9.75" customHeight="1" thickTop="1" x14ac:dyDescent="0.4">
      <c r="A16" s="49"/>
      <c r="B16" s="49"/>
      <c r="C16" s="79"/>
      <c r="D16" s="80"/>
      <c r="E16" s="80"/>
      <c r="F16" s="80"/>
      <c r="G16" s="55"/>
      <c r="H16" s="81"/>
      <c r="I16" s="81"/>
      <c r="J16" s="81"/>
      <c r="K16" s="81"/>
    </row>
    <row r="17" spans="1:12" ht="19.5" customHeight="1" x14ac:dyDescent="0.5">
      <c r="A17" s="777" t="s">
        <v>122</v>
      </c>
      <c r="B17" s="777"/>
      <c r="C17" s="778"/>
      <c r="D17" s="778"/>
      <c r="E17" s="778"/>
      <c r="F17" s="778"/>
      <c r="G17" s="778"/>
      <c r="H17" s="778"/>
      <c r="I17" s="778"/>
      <c r="J17" s="778"/>
      <c r="K17" s="778"/>
    </row>
    <row r="18" spans="1:12" ht="14.6" x14ac:dyDescent="0.4">
      <c r="A18" s="83"/>
      <c r="B18" s="73" t="str">
        <f>LEFT($A$17,4)&amp;"-1"</f>
        <v>6120-1</v>
      </c>
      <c r="C18" s="84" t="s">
        <v>123</v>
      </c>
      <c r="D18" s="85"/>
      <c r="E18" s="242">
        <v>1</v>
      </c>
      <c r="F18" s="85"/>
      <c r="G18" s="33">
        <v>87150</v>
      </c>
      <c r="H18" s="33">
        <f t="shared" ref="H18:H38" si="4">(D18+E18+F18)*G18</f>
        <v>87150</v>
      </c>
      <c r="I18" s="33">
        <f ca="1">-(SUMIF(INDIRECT(LEFT($A$17,4)&amp;"!I3:I200"),"="&amp;B18&amp;" *",INDIRECT(LEFT($A$17,4)&amp;"!K3:K200")))</f>
        <v>-81748.97</v>
      </c>
      <c r="J18" s="33">
        <f ca="1">SUM(H18:I18)</f>
        <v>5401.0299999999988</v>
      </c>
      <c r="K18" s="33">
        <v>83000</v>
      </c>
      <c r="L18" s="86"/>
    </row>
    <row r="19" spans="1:12" ht="14.6" x14ac:dyDescent="0.4">
      <c r="A19" s="189"/>
      <c r="B19" s="147" t="str">
        <f>LEFT($B18,4)&amp;"-"&amp;VALUE(MID($B18,FIND("-",$B18)+1,256))+1</f>
        <v>6120-2</v>
      </c>
      <c r="C19" s="337" t="s">
        <v>124</v>
      </c>
      <c r="D19" s="504">
        <v>50</v>
      </c>
      <c r="E19" s="504"/>
      <c r="F19" s="505"/>
      <c r="G19" s="210">
        <v>40</v>
      </c>
      <c r="H19" s="338">
        <f t="shared" si="4"/>
        <v>2000</v>
      </c>
      <c r="I19" s="338">
        <f t="shared" ref="I19:I38" ca="1" si="5">-(SUMIF(INDIRECT(LEFT($A$17,4)&amp;"!I3:I200"),"="&amp;B19&amp;" *",INDIRECT(LEFT($A$17,4)&amp;"!K3:K200")))</f>
        <v>0</v>
      </c>
      <c r="J19" s="338">
        <f t="shared" ref="J19:J20" ca="1" si="6">SUM(H19:I19)</f>
        <v>2000</v>
      </c>
      <c r="K19" s="338">
        <v>2000</v>
      </c>
    </row>
    <row r="20" spans="1:12" ht="14.6" x14ac:dyDescent="0.4">
      <c r="A20" s="73"/>
      <c r="B20" s="73" t="str">
        <f t="shared" ref="B20:B33" si="7">LEFT($B19,4)&amp;"-"&amp;VALUE(MID($B19,FIND("-",$B19)+1,256))+1</f>
        <v>6120-3</v>
      </c>
      <c r="C20" s="84" t="s">
        <v>125</v>
      </c>
      <c r="D20" s="85">
        <v>5125</v>
      </c>
      <c r="E20" s="242"/>
      <c r="F20" s="85"/>
      <c r="G20" s="60">
        <v>0.75</v>
      </c>
      <c r="H20" s="244">
        <f t="shared" si="4"/>
        <v>3843.75</v>
      </c>
      <c r="I20" s="33">
        <f t="shared" ca="1" si="5"/>
        <v>-750</v>
      </c>
      <c r="J20" s="33">
        <f t="shared" ca="1" si="6"/>
        <v>3093.75</v>
      </c>
      <c r="K20" s="33">
        <v>4875</v>
      </c>
    </row>
    <row r="21" spans="1:12" ht="14.6" x14ac:dyDescent="0.4">
      <c r="A21" s="218"/>
      <c r="B21" s="189" t="str">
        <f t="shared" si="7"/>
        <v>6120-4</v>
      </c>
      <c r="C21" s="339" t="s">
        <v>126</v>
      </c>
      <c r="D21" s="340">
        <v>750</v>
      </c>
      <c r="E21" s="327">
        <v>300</v>
      </c>
      <c r="F21" s="340">
        <v>150</v>
      </c>
      <c r="G21" s="341">
        <v>4.0599999999999996</v>
      </c>
      <c r="H21" s="338">
        <f>(D21+E21+F21)*G21</f>
        <v>4871.9999999999991</v>
      </c>
      <c r="I21" s="338">
        <f t="shared" ca="1" si="5"/>
        <v>-2000</v>
      </c>
      <c r="J21" s="338">
        <f t="shared" ref="J21:J38" ca="1" si="8">SUM(H21:I21)</f>
        <v>2871.9999999999991</v>
      </c>
      <c r="K21" s="329">
        <v>5238.75</v>
      </c>
    </row>
    <row r="22" spans="1:12" ht="14.6" x14ac:dyDescent="0.4">
      <c r="A22" s="73"/>
      <c r="B22" s="73" t="str">
        <f t="shared" si="7"/>
        <v>6120-5</v>
      </c>
      <c r="C22" s="111" t="s">
        <v>127</v>
      </c>
      <c r="D22" s="72">
        <v>25</v>
      </c>
      <c r="E22" s="242">
        <v>55</v>
      </c>
      <c r="F22" s="72"/>
      <c r="G22" s="60">
        <v>6.91</v>
      </c>
      <c r="H22" s="244">
        <f t="shared" si="4"/>
        <v>552.79999999999995</v>
      </c>
      <c r="I22" s="33">
        <f t="shared" ca="1" si="5"/>
        <v>0</v>
      </c>
      <c r="J22" s="33">
        <f t="shared" ca="1" si="8"/>
        <v>552.79999999999995</v>
      </c>
      <c r="K22" s="33">
        <v>459.2</v>
      </c>
    </row>
    <row r="23" spans="1:12" ht="14.6" x14ac:dyDescent="0.4">
      <c r="A23" s="218"/>
      <c r="B23" s="218" t="str">
        <f t="shared" si="7"/>
        <v>6120-6</v>
      </c>
      <c r="C23" s="325" t="s">
        <v>128</v>
      </c>
      <c r="D23" s="342">
        <v>728</v>
      </c>
      <c r="E23" s="546">
        <v>1550</v>
      </c>
      <c r="F23" s="342"/>
      <c r="G23" s="328">
        <v>0.51</v>
      </c>
      <c r="H23" s="338">
        <f t="shared" si="4"/>
        <v>1161.78</v>
      </c>
      <c r="I23" s="338">
        <f t="shared" ca="1" si="5"/>
        <v>-440</v>
      </c>
      <c r="J23" s="338">
        <f t="shared" ca="1" si="8"/>
        <v>721.78</v>
      </c>
      <c r="K23" s="329">
        <v>1100</v>
      </c>
    </row>
    <row r="24" spans="1:12" ht="14.6" x14ac:dyDescent="0.4">
      <c r="A24" s="73"/>
      <c r="B24" s="73" t="str">
        <f t="shared" si="7"/>
        <v>6120-7</v>
      </c>
      <c r="C24" s="111" t="s">
        <v>129</v>
      </c>
      <c r="D24" s="87"/>
      <c r="E24" s="333">
        <v>19800</v>
      </c>
      <c r="F24" s="72"/>
      <c r="G24" s="60">
        <v>0.35</v>
      </c>
      <c r="H24" s="244">
        <f t="shared" si="4"/>
        <v>6930</v>
      </c>
      <c r="I24" s="33">
        <f t="shared" ca="1" si="5"/>
        <v>-1574.0399999999997</v>
      </c>
      <c r="J24" s="33">
        <f t="shared" ca="1" si="8"/>
        <v>5355.96</v>
      </c>
      <c r="K24" s="33">
        <v>6930</v>
      </c>
    </row>
    <row r="25" spans="1:12" ht="14.6" x14ac:dyDescent="0.4">
      <c r="A25" s="147" t="s">
        <v>310</v>
      </c>
      <c r="B25" s="147" t="s">
        <v>133</v>
      </c>
      <c r="C25" s="148" t="s">
        <v>144</v>
      </c>
      <c r="D25" s="149">
        <v>2000</v>
      </c>
      <c r="E25" s="349"/>
      <c r="F25" s="158"/>
      <c r="G25" s="151">
        <v>0.51</v>
      </c>
      <c r="H25" s="424">
        <f>(D25+E25+F25)*G25</f>
        <v>1020</v>
      </c>
      <c r="I25" s="153">
        <f t="shared" ca="1" si="5"/>
        <v>0</v>
      </c>
      <c r="J25" s="153">
        <f t="shared" ca="1" si="8"/>
        <v>1020</v>
      </c>
      <c r="K25" s="153"/>
    </row>
    <row r="26" spans="1:12" ht="14.6" x14ac:dyDescent="0.4">
      <c r="A26" s="553"/>
      <c r="B26" s="553" t="str">
        <f>LEFT($B24,4)&amp;"-"&amp;VALUE(MID($B24,FIND("-",$B24)+1,256))+1</f>
        <v>6120-8</v>
      </c>
      <c r="C26" s="554" t="s">
        <v>130</v>
      </c>
      <c r="D26" s="587"/>
      <c r="E26" s="588">
        <v>1750</v>
      </c>
      <c r="F26" s="587"/>
      <c r="G26" s="537">
        <v>0.51</v>
      </c>
      <c r="H26" s="538">
        <f t="shared" si="4"/>
        <v>892.5</v>
      </c>
      <c r="I26" s="538">
        <f t="shared" ca="1" si="5"/>
        <v>0</v>
      </c>
      <c r="J26" s="538">
        <f t="shared" ca="1" si="8"/>
        <v>892.5</v>
      </c>
      <c r="K26" s="538">
        <v>925</v>
      </c>
    </row>
    <row r="27" spans="1:12" ht="14.6" x14ac:dyDescent="0.4">
      <c r="A27" s="147"/>
      <c r="B27" s="147" t="str">
        <f t="shared" si="7"/>
        <v>6120-9</v>
      </c>
      <c r="C27" s="171" t="s">
        <v>131</v>
      </c>
      <c r="D27" s="150"/>
      <c r="E27" s="504">
        <v>250</v>
      </c>
      <c r="F27" s="150"/>
      <c r="G27" s="157">
        <v>2</v>
      </c>
      <c r="H27" s="338">
        <f t="shared" si="4"/>
        <v>500</v>
      </c>
      <c r="I27" s="153">
        <f t="shared" ca="1" si="5"/>
        <v>-12.94</v>
      </c>
      <c r="J27" s="153">
        <f t="shared" ca="1" si="8"/>
        <v>487.06</v>
      </c>
      <c r="K27" s="153">
        <v>500</v>
      </c>
    </row>
    <row r="28" spans="1:12" ht="14.6" x14ac:dyDescent="0.4">
      <c r="A28" s="521" t="s">
        <v>132</v>
      </c>
      <c r="B28" s="521" t="s">
        <v>2067</v>
      </c>
      <c r="C28" s="589" t="s">
        <v>134</v>
      </c>
      <c r="D28" s="590"/>
      <c r="E28" s="591">
        <v>1</v>
      </c>
      <c r="F28" s="592"/>
      <c r="G28" s="593">
        <v>1914</v>
      </c>
      <c r="H28" s="538">
        <f>(D28+E28+F28)*G28</f>
        <v>1914</v>
      </c>
      <c r="I28" s="520">
        <f t="shared" ca="1" si="5"/>
        <v>0</v>
      </c>
      <c r="J28" s="520">
        <f t="shared" ca="1" si="8"/>
        <v>1914</v>
      </c>
      <c r="K28" s="520"/>
    </row>
    <row r="29" spans="1:12" ht="14.6" x14ac:dyDescent="0.4">
      <c r="A29" s="147"/>
      <c r="B29" s="189" t="str">
        <f>LEFT($B27,4)&amp;"-"&amp;VALUE(MID($B27,FIND("-",$B27)+1,256))+1</f>
        <v>6120-10</v>
      </c>
      <c r="C29" s="598" t="s">
        <v>135</v>
      </c>
      <c r="D29" s="150"/>
      <c r="E29" s="504"/>
      <c r="F29" s="150"/>
      <c r="G29" s="157">
        <v>6000</v>
      </c>
      <c r="H29" s="338">
        <f t="shared" si="4"/>
        <v>0</v>
      </c>
      <c r="I29" s="338">
        <f t="shared" ca="1" si="5"/>
        <v>0</v>
      </c>
      <c r="J29" s="338">
        <f t="shared" ca="1" si="8"/>
        <v>0</v>
      </c>
      <c r="K29" s="153">
        <v>6000</v>
      </c>
    </row>
    <row r="30" spans="1:12" ht="14.6" x14ac:dyDescent="0.4">
      <c r="A30" s="553"/>
      <c r="B30" s="521" t="str">
        <f t="shared" si="7"/>
        <v>6120-11</v>
      </c>
      <c r="C30" s="549" t="s">
        <v>136</v>
      </c>
      <c r="D30" s="594"/>
      <c r="E30" s="588">
        <v>1</v>
      </c>
      <c r="F30" s="588"/>
      <c r="G30" s="537">
        <v>500</v>
      </c>
      <c r="H30" s="538">
        <f t="shared" si="4"/>
        <v>500</v>
      </c>
      <c r="I30" s="520">
        <f t="shared" ca="1" si="5"/>
        <v>-202.04</v>
      </c>
      <c r="J30" s="520">
        <f t="shared" ca="1" si="8"/>
        <v>297.96000000000004</v>
      </c>
      <c r="K30" s="538">
        <v>500</v>
      </c>
    </row>
    <row r="31" spans="1:12" ht="14.6" x14ac:dyDescent="0.4">
      <c r="A31" s="147"/>
      <c r="B31" s="189" t="str">
        <f t="shared" si="7"/>
        <v>6120-12</v>
      </c>
      <c r="C31" s="154" t="s">
        <v>137</v>
      </c>
      <c r="D31" s="155"/>
      <c r="E31" s="504">
        <v>1</v>
      </c>
      <c r="F31" s="156"/>
      <c r="G31" s="157">
        <v>1500</v>
      </c>
      <c r="H31" s="338">
        <f t="shared" si="4"/>
        <v>1500</v>
      </c>
      <c r="I31" s="338">
        <f t="shared" ca="1" si="5"/>
        <v>960.66</v>
      </c>
      <c r="J31" s="338">
        <f t="shared" ca="1" si="8"/>
        <v>2460.66</v>
      </c>
      <c r="K31" s="153">
        <v>1500</v>
      </c>
      <c r="L31" s="2"/>
    </row>
    <row r="32" spans="1:12" ht="14.6" x14ac:dyDescent="0.4">
      <c r="A32" s="553"/>
      <c r="B32" s="521" t="str">
        <f t="shared" si="7"/>
        <v>6120-13</v>
      </c>
      <c r="C32" s="547" t="s">
        <v>138</v>
      </c>
      <c r="D32" s="596"/>
      <c r="E32" s="588">
        <v>3</v>
      </c>
      <c r="F32" s="591"/>
      <c r="G32" s="597">
        <v>500</v>
      </c>
      <c r="H32" s="538">
        <f t="shared" si="4"/>
        <v>1500</v>
      </c>
      <c r="I32" s="520">
        <f t="shared" ca="1" si="5"/>
        <v>-500</v>
      </c>
      <c r="J32" s="520">
        <f t="shared" ca="1" si="8"/>
        <v>1000</v>
      </c>
      <c r="K32" s="538">
        <v>1500</v>
      </c>
    </row>
    <row r="33" spans="1:12" ht="14.6" x14ac:dyDescent="0.4">
      <c r="A33" s="147"/>
      <c r="B33" s="189" t="str">
        <f t="shared" si="7"/>
        <v>6120-14</v>
      </c>
      <c r="C33" s="171" t="s">
        <v>139</v>
      </c>
      <c r="D33" s="150">
        <v>19000</v>
      </c>
      <c r="E33" s="504"/>
      <c r="F33" s="150"/>
      <c r="G33" s="153">
        <v>0.45</v>
      </c>
      <c r="H33" s="338">
        <f t="shared" si="4"/>
        <v>8550</v>
      </c>
      <c r="I33" s="338">
        <f t="shared" ca="1" si="5"/>
        <v>-6126.92</v>
      </c>
      <c r="J33" s="338">
        <f t="shared" ca="1" si="8"/>
        <v>2423.08</v>
      </c>
      <c r="K33" s="153">
        <v>8170</v>
      </c>
    </row>
    <row r="34" spans="1:12" ht="15" customHeight="1" x14ac:dyDescent="0.4">
      <c r="A34" s="553"/>
      <c r="B34" s="521" t="str">
        <f>LEFT($B33,4)&amp;"-"&amp;VALUE(MID($B33,FIND("-",$B33)+1,256))+1</f>
        <v>6120-15</v>
      </c>
      <c r="C34" s="554" t="s">
        <v>140</v>
      </c>
      <c r="D34" s="587">
        <v>11700</v>
      </c>
      <c r="E34" s="588"/>
      <c r="F34" s="587"/>
      <c r="G34" s="537">
        <v>0.28000000000000003</v>
      </c>
      <c r="H34" s="538">
        <f t="shared" si="4"/>
        <v>3276.0000000000005</v>
      </c>
      <c r="I34" s="520">
        <f t="shared" ca="1" si="5"/>
        <v>0</v>
      </c>
      <c r="J34" s="520">
        <f t="shared" ca="1" si="8"/>
        <v>3276.0000000000005</v>
      </c>
      <c r="K34" s="538">
        <v>3220.0000000000005</v>
      </c>
    </row>
    <row r="35" spans="1:12" ht="14.6" x14ac:dyDescent="0.4">
      <c r="A35" s="147"/>
      <c r="B35" s="189" t="str">
        <f>LEFT($B34,4)&amp;"-"&amp;VALUE(MID($B34,FIND("-",$B34)+1,256))+1</f>
        <v>6120-16</v>
      </c>
      <c r="C35" s="599" t="s">
        <v>141</v>
      </c>
      <c r="D35" s="600">
        <v>7000</v>
      </c>
      <c r="E35" s="504"/>
      <c r="F35" s="600"/>
      <c r="G35" s="151">
        <v>0.51</v>
      </c>
      <c r="H35" s="338">
        <f t="shared" si="4"/>
        <v>3570</v>
      </c>
      <c r="I35" s="338">
        <f t="shared" ca="1" si="5"/>
        <v>0</v>
      </c>
      <c r="J35" s="338">
        <f t="shared" ca="1" si="8"/>
        <v>3570</v>
      </c>
      <c r="K35" s="153">
        <v>2087.5</v>
      </c>
    </row>
    <row r="36" spans="1:12" ht="14.6" x14ac:dyDescent="0.4">
      <c r="A36" s="553"/>
      <c r="B36" s="521" t="str">
        <f>LEFT($B35,4)&amp;"-"&amp;VALUE(MID($B35,FIND("-",$B35)+1,256))+1</f>
        <v>6120-17</v>
      </c>
      <c r="C36" s="554" t="s">
        <v>142</v>
      </c>
      <c r="D36" s="587">
        <v>1200</v>
      </c>
      <c r="E36" s="588"/>
      <c r="F36" s="587"/>
      <c r="G36" s="537">
        <v>0.51</v>
      </c>
      <c r="H36" s="538">
        <f t="shared" si="4"/>
        <v>612</v>
      </c>
      <c r="I36" s="520">
        <f t="shared" ca="1" si="5"/>
        <v>0</v>
      </c>
      <c r="J36" s="520">
        <f t="shared" ca="1" si="8"/>
        <v>612</v>
      </c>
      <c r="K36" s="538">
        <v>600</v>
      </c>
    </row>
    <row r="37" spans="1:12" ht="14.6" x14ac:dyDescent="0.4">
      <c r="A37" s="189" t="s">
        <v>530</v>
      </c>
      <c r="B37" s="147" t="s">
        <v>2068</v>
      </c>
      <c r="C37" s="368" t="s">
        <v>529</v>
      </c>
      <c r="D37" s="703">
        <v>220000</v>
      </c>
      <c r="E37" s="504"/>
      <c r="F37" s="703"/>
      <c r="G37" s="210">
        <v>0.36</v>
      </c>
      <c r="H37" s="338">
        <f t="shared" si="4"/>
        <v>79200</v>
      </c>
      <c r="I37" s="153">
        <f t="shared" ca="1" si="5"/>
        <v>-51222.91</v>
      </c>
      <c r="J37" s="153">
        <f t="shared" ca="1" si="8"/>
        <v>27977.089999999997</v>
      </c>
      <c r="K37" s="338"/>
    </row>
    <row r="38" spans="1:12" ht="14.6" x14ac:dyDescent="0.4">
      <c r="A38" s="73"/>
      <c r="B38" s="73" t="str">
        <f>LEFT($B36,4)&amp;"-"&amp;VALUE(MID($B36,FIND("-",$B36)+1,256))+1</f>
        <v>6120-18</v>
      </c>
      <c r="C38" s="111" t="s">
        <v>143</v>
      </c>
      <c r="D38" s="87"/>
      <c r="E38" s="242"/>
      <c r="F38" s="72">
        <v>2500</v>
      </c>
      <c r="G38" s="60">
        <v>0.51</v>
      </c>
      <c r="H38" s="244">
        <f t="shared" si="4"/>
        <v>1275</v>
      </c>
      <c r="I38" s="244">
        <f t="shared" ca="1" si="5"/>
        <v>0</v>
      </c>
      <c r="J38" s="244">
        <f t="shared" ca="1" si="8"/>
        <v>1275</v>
      </c>
      <c r="K38" s="33">
        <v>1250</v>
      </c>
    </row>
    <row r="39" spans="1:12" thickBot="1" x14ac:dyDescent="0.45">
      <c r="A39" s="74"/>
      <c r="B39" s="74"/>
      <c r="C39" s="75" t="s">
        <v>66</v>
      </c>
      <c r="D39" s="76"/>
      <c r="E39" s="76"/>
      <c r="F39" s="14" t="s">
        <v>61</v>
      </c>
      <c r="G39" s="334">
        <f>SUM(Summary!$D$10)</f>
        <v>0.62355658198614317</v>
      </c>
      <c r="H39" s="336">
        <f>SUM(H18:H38)</f>
        <v>210819.83000000002</v>
      </c>
      <c r="I39" s="336">
        <f ca="1">SUM(I18:I38)</f>
        <v>-143617.15999999997</v>
      </c>
      <c r="J39" s="336">
        <f ca="1">SUM(J18:J38)</f>
        <v>67202.67</v>
      </c>
      <c r="K39" s="336">
        <f>SUM(K18:K38)</f>
        <v>129855.45</v>
      </c>
    </row>
    <row r="40" spans="1:12" ht="9.75" customHeight="1" thickTop="1" x14ac:dyDescent="0.4">
      <c r="A40" s="74"/>
      <c r="B40" s="74"/>
      <c r="C40" s="75"/>
      <c r="D40" s="76"/>
      <c r="E40" s="76"/>
      <c r="F40" s="14"/>
      <c r="G40" s="77"/>
      <c r="H40" s="91"/>
      <c r="I40" s="91"/>
      <c r="J40" s="91"/>
      <c r="K40" s="91"/>
    </row>
    <row r="41" spans="1:12" ht="20.25" customHeight="1" x14ac:dyDescent="0.5">
      <c r="A41" s="777" t="s">
        <v>145</v>
      </c>
      <c r="B41" s="777"/>
      <c r="C41" s="778"/>
      <c r="D41" s="778"/>
      <c r="E41" s="778"/>
      <c r="F41" s="778"/>
      <c r="G41" s="778"/>
      <c r="H41" s="778"/>
      <c r="I41" s="778" t="e">
        <f ca="1">-(SUMIF(INDIRECT(LEFT($A$40,4)&amp;"!E3:E200"),"="&amp;B41&amp;" *",INDIRECT(LEFT($A$40,4)&amp;"!F3:F200")))</f>
        <v>#REF!</v>
      </c>
      <c r="J41" s="778" t="e">
        <f ca="1">SUM(H41:I41)</f>
        <v>#REF!</v>
      </c>
      <c r="K41" s="778"/>
    </row>
    <row r="42" spans="1:12" ht="14.6" x14ac:dyDescent="0.4">
      <c r="A42" s="73" t="s">
        <v>146</v>
      </c>
      <c r="B42" s="219" t="str">
        <f>LEFT($A41,4)&amp;"-1"</f>
        <v>6130-1</v>
      </c>
      <c r="C42" s="30" t="s">
        <v>495</v>
      </c>
      <c r="D42" s="85"/>
      <c r="E42" s="85">
        <v>441000</v>
      </c>
      <c r="F42" s="31"/>
      <c r="G42" s="39">
        <v>0.04</v>
      </c>
      <c r="H42" s="33">
        <f t="shared" ref="H42:H62" si="9">(D42+E42+F42)*G42</f>
        <v>17640</v>
      </c>
      <c r="I42" s="33">
        <f ca="1">-(SUMIF(INDIRECT(LEFT($A$41,4)&amp;"!I3:I300"),"="&amp;B42&amp;" *",INDIRECT(LEFT($A$41,4)&amp;"!K3:K300")))</f>
        <v>-27001.789999999994</v>
      </c>
      <c r="J42" s="33">
        <f ca="1">SUM(H42:I42)</f>
        <v>-9361.7899999999936</v>
      </c>
      <c r="K42" s="33">
        <v>16800</v>
      </c>
      <c r="L42" s="345"/>
    </row>
    <row r="43" spans="1:12" ht="15.75" customHeight="1" x14ac:dyDescent="0.4">
      <c r="A43" s="218" t="s">
        <v>147</v>
      </c>
      <c r="B43" s="147" t="str">
        <f t="shared" ref="B43:B61" si="10">LEFT($B42,4)&amp;"-"&amp;VALUE(MID($B42,FIND("-",$B42)+1,256))+1</f>
        <v>6130-2</v>
      </c>
      <c r="C43" s="339" t="s">
        <v>148</v>
      </c>
      <c r="D43" s="342"/>
      <c r="E43" s="342">
        <v>88200</v>
      </c>
      <c r="F43" s="340"/>
      <c r="G43" s="341">
        <v>0.04</v>
      </c>
      <c r="H43" s="329">
        <f t="shared" si="9"/>
        <v>3528</v>
      </c>
      <c r="I43" s="153">
        <f t="shared" ref="I43:I62" ca="1" si="11">-(SUMIF(INDIRECT(LEFT($A$41,4)&amp;"!I3:I300"),"="&amp;B43&amp;" *",INDIRECT(LEFT($A$41,4)&amp;"!K3:K300")))</f>
        <v>0</v>
      </c>
      <c r="J43" s="329">
        <f t="shared" ref="J43:J44" ca="1" si="12">SUM(H43:I43)</f>
        <v>3528</v>
      </c>
      <c r="K43" s="329">
        <v>3360</v>
      </c>
      <c r="L43" s="345"/>
    </row>
    <row r="44" spans="1:12" ht="14.6" x14ac:dyDescent="0.4">
      <c r="A44" s="73"/>
      <c r="B44" s="73" t="str">
        <f t="shared" si="10"/>
        <v>6130-3</v>
      </c>
      <c r="C44" s="30" t="s">
        <v>149</v>
      </c>
      <c r="D44" s="85"/>
      <c r="E44" s="85">
        <v>1</v>
      </c>
      <c r="F44" s="31"/>
      <c r="G44" s="39">
        <v>300</v>
      </c>
      <c r="H44" s="33">
        <f t="shared" si="9"/>
        <v>300</v>
      </c>
      <c r="I44" s="33">
        <f t="shared" ca="1" si="11"/>
        <v>-32.9</v>
      </c>
      <c r="J44" s="33">
        <f t="shared" ca="1" si="12"/>
        <v>267.10000000000002</v>
      </c>
      <c r="K44" s="33">
        <v>300</v>
      </c>
      <c r="L44" s="345"/>
    </row>
    <row r="45" spans="1:12" ht="14.6" x14ac:dyDescent="0.4">
      <c r="A45" s="147"/>
      <c r="B45" s="189" t="str">
        <f t="shared" si="10"/>
        <v>6130-4</v>
      </c>
      <c r="C45" s="148" t="s">
        <v>150</v>
      </c>
      <c r="D45" s="149"/>
      <c r="E45" s="149">
        <v>203975</v>
      </c>
      <c r="F45" s="150"/>
      <c r="G45" s="151">
        <v>2.1999999999999999E-2</v>
      </c>
      <c r="H45" s="153">
        <f t="shared" si="9"/>
        <v>4487.45</v>
      </c>
      <c r="I45" s="153">
        <f t="shared" ca="1" si="11"/>
        <v>-5838.6900000000005</v>
      </c>
      <c r="J45" s="329">
        <f t="shared" ref="J45:J61" ca="1" si="13">SUM(H45:I45)</f>
        <v>-1351.2400000000007</v>
      </c>
      <c r="K45" s="153">
        <v>4273.5</v>
      </c>
    </row>
    <row r="46" spans="1:12" ht="14.6" x14ac:dyDescent="0.4">
      <c r="A46" s="219" t="s">
        <v>151</v>
      </c>
      <c r="B46" s="219" t="str">
        <f t="shared" si="10"/>
        <v>6130-5</v>
      </c>
      <c r="C46" s="240" t="s">
        <v>152</v>
      </c>
      <c r="D46" s="241"/>
      <c r="E46" s="241">
        <v>203975</v>
      </c>
      <c r="F46" s="333"/>
      <c r="G46" s="243">
        <v>2.5499999999999998E-2</v>
      </c>
      <c r="H46" s="33">
        <f t="shared" si="9"/>
        <v>5201.3624999999993</v>
      </c>
      <c r="I46" s="33">
        <f t="shared" ca="1" si="11"/>
        <v>-4856.13</v>
      </c>
      <c r="J46" s="33">
        <f t="shared" ca="1" si="13"/>
        <v>345.23249999999916</v>
      </c>
      <c r="K46" s="244">
        <v>4953.375</v>
      </c>
    </row>
    <row r="47" spans="1:12" ht="14.6" x14ac:dyDescent="0.4">
      <c r="A47" s="147" t="s">
        <v>153</v>
      </c>
      <c r="B47" s="147" t="str">
        <f t="shared" si="10"/>
        <v>6130-6</v>
      </c>
      <c r="C47" s="154" t="s">
        <v>154</v>
      </c>
      <c r="D47" s="155"/>
      <c r="E47" s="155">
        <v>21830</v>
      </c>
      <c r="F47" s="156"/>
      <c r="G47" s="151">
        <v>0.02</v>
      </c>
      <c r="H47" s="153">
        <f t="shared" si="9"/>
        <v>436.6</v>
      </c>
      <c r="I47" s="153">
        <f t="shared" ca="1" si="11"/>
        <v>-4.38</v>
      </c>
      <c r="J47" s="329">
        <f t="shared" ca="1" si="13"/>
        <v>432.22</v>
      </c>
      <c r="K47" s="153">
        <v>415.8</v>
      </c>
    </row>
    <row r="48" spans="1:12" ht="14.6" x14ac:dyDescent="0.4">
      <c r="A48" s="219"/>
      <c r="B48" s="219" t="str">
        <f t="shared" si="10"/>
        <v>6130-7</v>
      </c>
      <c r="C48" s="331" t="s">
        <v>155</v>
      </c>
      <c r="D48" s="343"/>
      <c r="E48" s="343">
        <v>203975</v>
      </c>
      <c r="F48" s="333"/>
      <c r="G48" s="206">
        <v>3.5000000000000003E-2</v>
      </c>
      <c r="H48" s="33">
        <f t="shared" si="9"/>
        <v>7139.1250000000009</v>
      </c>
      <c r="I48" s="33">
        <f t="shared" ca="1" si="11"/>
        <v>-8156.09</v>
      </c>
      <c r="J48" s="33">
        <f t="shared" ca="1" si="13"/>
        <v>-1016.9649999999992</v>
      </c>
      <c r="K48" s="244">
        <v>6798.7500000000009</v>
      </c>
    </row>
    <row r="49" spans="1:11" ht="14.6" x14ac:dyDescent="0.4">
      <c r="A49" s="147"/>
      <c r="B49" s="147" t="str">
        <f t="shared" si="10"/>
        <v>6130-8</v>
      </c>
      <c r="C49" s="148" t="s">
        <v>156</v>
      </c>
      <c r="D49" s="149"/>
      <c r="E49" s="149">
        <v>203975</v>
      </c>
      <c r="F49" s="156"/>
      <c r="G49" s="151">
        <v>8.0000000000000002E-3</v>
      </c>
      <c r="H49" s="153">
        <f t="shared" si="9"/>
        <v>1631.8</v>
      </c>
      <c r="I49" s="153">
        <f t="shared" ca="1" si="11"/>
        <v>-2028.27</v>
      </c>
      <c r="J49" s="329">
        <f t="shared" ca="1" si="13"/>
        <v>-396.47</v>
      </c>
      <c r="K49" s="153">
        <v>1554</v>
      </c>
    </row>
    <row r="50" spans="1:11" ht="14.6" x14ac:dyDescent="0.4">
      <c r="A50" s="219"/>
      <c r="B50" s="219" t="str">
        <f t="shared" si="10"/>
        <v>6130-9</v>
      </c>
      <c r="C50" s="331" t="s">
        <v>157</v>
      </c>
      <c r="D50" s="343"/>
      <c r="E50" s="343">
        <v>3350</v>
      </c>
      <c r="F50" s="333"/>
      <c r="G50" s="243">
        <v>0.5</v>
      </c>
      <c r="H50" s="33">
        <f t="shared" si="9"/>
        <v>1675</v>
      </c>
      <c r="I50" s="33">
        <f t="shared" ca="1" si="11"/>
        <v>-2104.6999999999994</v>
      </c>
      <c r="J50" s="33">
        <f t="shared" ca="1" si="13"/>
        <v>-429.69999999999936</v>
      </c>
      <c r="K50" s="244">
        <v>1600</v>
      </c>
    </row>
    <row r="51" spans="1:11" ht="14.6" x14ac:dyDescent="0.4">
      <c r="A51" s="147"/>
      <c r="B51" s="147" t="str">
        <f t="shared" si="10"/>
        <v>6130-10</v>
      </c>
      <c r="C51" s="154" t="s">
        <v>158</v>
      </c>
      <c r="D51" s="155"/>
      <c r="E51" s="155">
        <v>2</v>
      </c>
      <c r="F51" s="156"/>
      <c r="G51" s="157">
        <v>76</v>
      </c>
      <c r="H51" s="153">
        <f t="shared" si="9"/>
        <v>152</v>
      </c>
      <c r="I51" s="153">
        <f t="shared" ca="1" si="11"/>
        <v>0</v>
      </c>
      <c r="J51" s="329">
        <f t="shared" ca="1" si="13"/>
        <v>152</v>
      </c>
      <c r="K51" s="153">
        <v>152</v>
      </c>
    </row>
    <row r="52" spans="1:11" ht="14.6" x14ac:dyDescent="0.4">
      <c r="A52" s="73"/>
      <c r="B52" s="73" t="str">
        <f t="shared" si="10"/>
        <v>6130-11</v>
      </c>
      <c r="C52" s="61" t="s">
        <v>159</v>
      </c>
      <c r="D52" s="32"/>
      <c r="E52" s="32">
        <v>8825</v>
      </c>
      <c r="F52" s="32">
        <f>IF((7500-D52-E52)&gt;0,(7500-D52-E52),0)</f>
        <v>0</v>
      </c>
      <c r="G52" s="39">
        <v>0.06</v>
      </c>
      <c r="H52" s="33">
        <f t="shared" si="9"/>
        <v>529.5</v>
      </c>
      <c r="I52" s="33">
        <f t="shared" ca="1" si="11"/>
        <v>-236.25</v>
      </c>
      <c r="J52" s="244">
        <f t="shared" ca="1" si="13"/>
        <v>293.25</v>
      </c>
      <c r="K52" s="33">
        <v>554.4</v>
      </c>
    </row>
    <row r="53" spans="1:11" ht="14.6" x14ac:dyDescent="0.4">
      <c r="A53" s="346"/>
      <c r="B53" s="147" t="str">
        <f t="shared" si="10"/>
        <v>6130-12</v>
      </c>
      <c r="C53" s="347" t="s">
        <v>160</v>
      </c>
      <c r="D53" s="348">
        <v>2500</v>
      </c>
      <c r="E53" s="349"/>
      <c r="F53" s="438">
        <f>IF((17500-D53-E53)&gt;0,(17500-D53-E53),0)</f>
        <v>15000</v>
      </c>
      <c r="G53" s="350">
        <v>0.08</v>
      </c>
      <c r="H53" s="153">
        <f t="shared" si="9"/>
        <v>1400</v>
      </c>
      <c r="I53" s="153">
        <f t="shared" ca="1" si="11"/>
        <v>-997.97</v>
      </c>
      <c r="J53" s="153">
        <f t="shared" ca="1" si="13"/>
        <v>402.03</v>
      </c>
      <c r="K53" s="338">
        <v>1236</v>
      </c>
    </row>
    <row r="54" spans="1:11" ht="22.3" x14ac:dyDescent="0.4">
      <c r="A54" s="73" t="s">
        <v>161</v>
      </c>
      <c r="B54" s="73" t="str">
        <f t="shared" si="10"/>
        <v>6130-13</v>
      </c>
      <c r="C54" s="111" t="s">
        <v>162</v>
      </c>
      <c r="D54" s="87"/>
      <c r="E54" s="72"/>
      <c r="F54" s="72">
        <v>2500</v>
      </c>
      <c r="G54" s="60">
        <v>0.06</v>
      </c>
      <c r="H54" s="33">
        <f t="shared" si="9"/>
        <v>150</v>
      </c>
      <c r="I54" s="33">
        <f t="shared" ca="1" si="11"/>
        <v>0</v>
      </c>
      <c r="J54" s="244">
        <f t="shared" ca="1" si="13"/>
        <v>150</v>
      </c>
      <c r="K54" s="33">
        <v>0</v>
      </c>
    </row>
    <row r="55" spans="1:11" ht="14.6" x14ac:dyDescent="0.4">
      <c r="A55" s="189"/>
      <c r="B55" s="147" t="str">
        <f t="shared" si="10"/>
        <v>6130-14</v>
      </c>
      <c r="C55" s="190" t="s">
        <v>163</v>
      </c>
      <c r="D55" s="351"/>
      <c r="E55" s="349">
        <v>21800</v>
      </c>
      <c r="F55" s="349"/>
      <c r="G55" s="350">
        <v>0.08</v>
      </c>
      <c r="H55" s="153">
        <f t="shared" si="9"/>
        <v>1744</v>
      </c>
      <c r="I55" s="153">
        <f t="shared" ca="1" si="11"/>
        <v>-390.09000000000003</v>
      </c>
      <c r="J55" s="153">
        <f t="shared" ca="1" si="13"/>
        <v>1353.9099999999999</v>
      </c>
      <c r="K55" s="338">
        <v>1584</v>
      </c>
    </row>
    <row r="56" spans="1:11" ht="14.6" x14ac:dyDescent="0.4">
      <c r="A56" s="506" t="s">
        <v>310</v>
      </c>
      <c r="B56" s="506" t="s">
        <v>494</v>
      </c>
      <c r="C56" s="514" t="s">
        <v>493</v>
      </c>
      <c r="D56" s="515">
        <v>2000</v>
      </c>
      <c r="E56" s="516"/>
      <c r="F56" s="516"/>
      <c r="G56" s="509">
        <v>0.41</v>
      </c>
      <c r="H56" s="497">
        <f t="shared" ref="H56" si="14">(D56+E56+F56)*G56</f>
        <v>820</v>
      </c>
      <c r="I56" s="33">
        <f t="shared" ca="1" si="11"/>
        <v>0</v>
      </c>
      <c r="J56" s="520">
        <f t="shared" ref="J56" ca="1" si="15">SUM(H56:I56)</f>
        <v>820</v>
      </c>
      <c r="K56" s="497"/>
    </row>
    <row r="57" spans="1:11" ht="14.6" x14ac:dyDescent="0.4">
      <c r="A57" s="189"/>
      <c r="B57" s="147" t="str">
        <f>LEFT($B61,4)&amp;"-"&amp;VALUE(MID($B61,FIND("-",$B61)+1,256))+1</f>
        <v>6130-19</v>
      </c>
      <c r="C57" s="360" t="s">
        <v>168</v>
      </c>
      <c r="D57" s="349"/>
      <c r="E57" s="349"/>
      <c r="F57" s="349">
        <v>1</v>
      </c>
      <c r="G57" s="350">
        <v>1300</v>
      </c>
      <c r="H57" s="153">
        <f>(D57+E57+F57)*G57</f>
        <v>1300</v>
      </c>
      <c r="I57" s="153">
        <f t="shared" ca="1" si="11"/>
        <v>-1218.52</v>
      </c>
      <c r="J57" s="338">
        <f ca="1">SUM(H57:I57)</f>
        <v>81.480000000000018</v>
      </c>
      <c r="K57" s="338">
        <v>1300</v>
      </c>
    </row>
    <row r="58" spans="1:11" ht="14.6" x14ac:dyDescent="0.4">
      <c r="A58" s="507"/>
      <c r="B58" s="506" t="str">
        <f>LEFT($B55,4)&amp;"-"&amp;VALUE(MID($B55,FIND("-",$B55)+1,256))+1</f>
        <v>6130-15</v>
      </c>
      <c r="C58" s="513" t="s">
        <v>135</v>
      </c>
      <c r="D58" s="510"/>
      <c r="E58" s="511"/>
      <c r="F58" s="511"/>
      <c r="G58" s="512">
        <v>4000</v>
      </c>
      <c r="H58" s="497">
        <f t="shared" si="9"/>
        <v>0</v>
      </c>
      <c r="I58" s="33">
        <f t="shared" ca="1" si="11"/>
        <v>0</v>
      </c>
      <c r="J58" s="508">
        <f t="shared" ca="1" si="13"/>
        <v>0</v>
      </c>
      <c r="K58" s="508">
        <v>4000</v>
      </c>
    </row>
    <row r="59" spans="1:11" ht="14.6" x14ac:dyDescent="0.4">
      <c r="A59" s="147"/>
      <c r="B59" s="147" t="str">
        <f t="shared" si="10"/>
        <v>6130-16</v>
      </c>
      <c r="C59" s="148" t="s">
        <v>164</v>
      </c>
      <c r="D59" s="158">
        <v>19000</v>
      </c>
      <c r="E59" s="158"/>
      <c r="F59" s="149"/>
      <c r="G59" s="151">
        <v>0.41</v>
      </c>
      <c r="H59" s="153">
        <f t="shared" si="9"/>
        <v>7789.9999999999991</v>
      </c>
      <c r="I59" s="153">
        <f t="shared" ca="1" si="11"/>
        <v>-3395.88</v>
      </c>
      <c r="J59" s="153">
        <f t="shared" ca="1" si="13"/>
        <v>4394.119999999999</v>
      </c>
      <c r="K59" s="153">
        <v>7789.9999999999991</v>
      </c>
    </row>
    <row r="60" spans="1:11" ht="14.6" x14ac:dyDescent="0.4">
      <c r="A60" s="219"/>
      <c r="B60" s="73" t="str">
        <f t="shared" si="10"/>
        <v>6130-17</v>
      </c>
      <c r="C60" s="240" t="s">
        <v>165</v>
      </c>
      <c r="D60" s="242">
        <v>11700</v>
      </c>
      <c r="E60" s="242"/>
      <c r="F60" s="241"/>
      <c r="G60" s="243">
        <v>0.12</v>
      </c>
      <c r="H60" s="33">
        <f t="shared" si="9"/>
        <v>1404</v>
      </c>
      <c r="I60" s="33">
        <f t="shared" ca="1" si="11"/>
        <v>0</v>
      </c>
      <c r="J60" s="244">
        <f t="shared" ca="1" si="13"/>
        <v>1404</v>
      </c>
      <c r="K60" s="244">
        <v>920</v>
      </c>
    </row>
    <row r="61" spans="1:11" ht="14.6" x14ac:dyDescent="0.4">
      <c r="A61" s="147" t="s">
        <v>166</v>
      </c>
      <c r="B61" s="147" t="str">
        <f t="shared" si="10"/>
        <v>6130-18</v>
      </c>
      <c r="C61" s="154" t="s">
        <v>167</v>
      </c>
      <c r="D61" s="155">
        <v>600</v>
      </c>
      <c r="E61" s="156">
        <v>11400</v>
      </c>
      <c r="F61" s="156"/>
      <c r="G61" s="157">
        <v>0.1</v>
      </c>
      <c r="H61" s="153">
        <f t="shared" si="9"/>
        <v>1200</v>
      </c>
      <c r="I61" s="153">
        <f t="shared" ca="1" si="11"/>
        <v>-304.39</v>
      </c>
      <c r="J61" s="153">
        <f t="shared" ca="1" si="13"/>
        <v>895.61</v>
      </c>
      <c r="K61" s="153">
        <v>1200</v>
      </c>
    </row>
    <row r="62" spans="1:11" s="525" customFormat="1" ht="14.6" x14ac:dyDescent="0.4">
      <c r="A62" s="521" t="s">
        <v>310</v>
      </c>
      <c r="B62" s="521" t="str">
        <f>LEFT($B56,4)&amp;"-"&amp;VALUE(MID($B56,FIND("-",$B56)+1,256))+1</f>
        <v>6130-21</v>
      </c>
      <c r="C62" s="704" t="s">
        <v>529</v>
      </c>
      <c r="D62" s="705">
        <v>220000</v>
      </c>
      <c r="E62" s="595"/>
      <c r="F62" s="595"/>
      <c r="G62" s="526">
        <v>0.12</v>
      </c>
      <c r="H62" s="520">
        <f t="shared" si="9"/>
        <v>26400</v>
      </c>
      <c r="I62" s="33">
        <f t="shared" ca="1" si="11"/>
        <v>-10822.36</v>
      </c>
      <c r="J62" s="520">
        <f ca="1">SUM(H62:I62)</f>
        <v>15577.64</v>
      </c>
      <c r="K62" s="520"/>
    </row>
    <row r="63" spans="1:11" thickBot="1" x14ac:dyDescent="0.45">
      <c r="A63" s="49"/>
      <c r="C63" s="75" t="s">
        <v>66</v>
      </c>
      <c r="D63" s="76"/>
      <c r="E63" s="76"/>
      <c r="F63" s="14" t="s">
        <v>61</v>
      </c>
      <c r="G63" s="334">
        <f>SUM(Summary!$D$11)</f>
        <v>0.445578231292517</v>
      </c>
      <c r="H63" s="335">
        <f>SUM(H42:H62)</f>
        <v>84928.837499999994</v>
      </c>
      <c r="I63" s="335">
        <f ca="1">SUM(I42:I62)</f>
        <v>-67388.409999999974</v>
      </c>
      <c r="J63" s="335">
        <f ca="1">SUM(J42:J62)</f>
        <v>17540.427500000005</v>
      </c>
      <c r="K63" s="336">
        <f>SUM(K42:K62)</f>
        <v>58791.825000000004</v>
      </c>
    </row>
    <row r="64" spans="1:11" ht="10.5" customHeight="1" thickTop="1" x14ac:dyDescent="0.4">
      <c r="A64" s="49"/>
      <c r="B64" s="49"/>
      <c r="C64" s="75"/>
      <c r="D64" s="76"/>
      <c r="E64" s="76"/>
      <c r="F64" s="14"/>
      <c r="G64" s="92"/>
      <c r="H64" s="91"/>
      <c r="I64" s="91"/>
      <c r="J64" s="91"/>
      <c r="K64" s="91"/>
    </row>
    <row r="65" spans="1:12" ht="19.5" customHeight="1" x14ac:dyDescent="0.5">
      <c r="A65" s="777" t="s">
        <v>169</v>
      </c>
      <c r="B65" s="777"/>
      <c r="C65" s="778"/>
      <c r="D65" s="778"/>
      <c r="E65" s="778"/>
      <c r="F65" s="778"/>
      <c r="G65" s="778"/>
      <c r="H65" s="778"/>
      <c r="I65" s="778"/>
      <c r="J65" s="778"/>
      <c r="K65" s="778"/>
    </row>
    <row r="66" spans="1:12" thickBot="1" x14ac:dyDescent="0.45">
      <c r="A66" s="101" t="s">
        <v>170</v>
      </c>
      <c r="B66" s="101" t="str">
        <f>LEFT($A65,4)&amp;"-1"</f>
        <v>6140-1</v>
      </c>
      <c r="C66" s="93" t="s">
        <v>171</v>
      </c>
      <c r="D66" s="56"/>
      <c r="E66" s="56"/>
      <c r="F66" s="56">
        <v>12</v>
      </c>
      <c r="G66" s="57">
        <f>ROUNDUP(6243.11/12, -2)</f>
        <v>600</v>
      </c>
      <c r="H66" s="224">
        <f>(D66+E66+F66)*G66</f>
        <v>7200</v>
      </c>
      <c r="I66" s="224">
        <f ca="1">-(SUMIF(INDIRECT(LEFT($A$65,4)&amp;"!I3:I200"),"="&amp;B66&amp;" *",INDIRECT(LEFT($A$65,4)&amp;"!K3:K200")))</f>
        <v>-5469.75</v>
      </c>
      <c r="J66" s="224">
        <f ca="1">SUM(H66:I66)</f>
        <v>1730.25</v>
      </c>
      <c r="K66" s="35">
        <v>7200</v>
      </c>
    </row>
    <row r="67" spans="1:12" ht="15.75" customHeight="1" thickTop="1" thickBot="1" x14ac:dyDescent="0.45">
      <c r="A67" s="49"/>
      <c r="B67" s="219" t="str">
        <f>LEFT($A66,4)&amp;"-1"</f>
        <v>Incr-1</v>
      </c>
      <c r="C67" s="79" t="s">
        <v>66</v>
      </c>
      <c r="D67" s="80"/>
      <c r="E67" s="80"/>
      <c r="F67" s="14" t="s">
        <v>61</v>
      </c>
      <c r="G67" s="334">
        <f>SUM(Summary!$D$12)</f>
        <v>0</v>
      </c>
      <c r="H67" s="335">
        <f>SUM(H66)</f>
        <v>7200</v>
      </c>
      <c r="I67" s="335">
        <f t="shared" ref="I67:J67" ca="1" si="16">SUM(I66)</f>
        <v>-5469.75</v>
      </c>
      <c r="J67" s="335">
        <f t="shared" ca="1" si="16"/>
        <v>1730.25</v>
      </c>
      <c r="K67" s="353">
        <f>SUM(K66)</f>
        <v>7200</v>
      </c>
    </row>
    <row r="68" spans="1:12" ht="9.75" customHeight="1" thickTop="1" x14ac:dyDescent="0.4">
      <c r="A68" s="49"/>
      <c r="B68" s="49"/>
      <c r="C68" s="79"/>
      <c r="D68" s="80"/>
      <c r="E68" s="80"/>
      <c r="F68" s="80"/>
      <c r="G68" s="55"/>
      <c r="H68" s="35"/>
      <c r="I68" s="35"/>
      <c r="J68" s="35"/>
      <c r="K68" s="35"/>
    </row>
    <row r="69" spans="1:12" ht="19.5" customHeight="1" x14ac:dyDescent="0.5">
      <c r="A69" s="779" t="s">
        <v>172</v>
      </c>
      <c r="B69" s="779"/>
      <c r="C69" s="778"/>
      <c r="D69" s="778"/>
      <c r="E69" s="778"/>
      <c r="F69" s="778"/>
      <c r="G69" s="778"/>
      <c r="H69" s="778"/>
      <c r="I69" s="778"/>
      <c r="J69" s="778"/>
      <c r="K69" s="778"/>
    </row>
    <row r="70" spans="1:12" ht="14.6" x14ac:dyDescent="0.4">
      <c r="A70" s="73"/>
      <c r="B70" s="73" t="str">
        <f>LEFT($A69,4)&amp;"-1"</f>
        <v>6150-1</v>
      </c>
      <c r="C70" s="96" t="s">
        <v>173</v>
      </c>
      <c r="D70" s="98"/>
      <c r="E70" s="51">
        <v>10</v>
      </c>
      <c r="F70" s="99"/>
      <c r="G70" s="60">
        <v>200</v>
      </c>
      <c r="H70" s="33">
        <f t="shared" ref="H70:H71" si="17">SUM((D70+E70+F70)*G70)</f>
        <v>2000</v>
      </c>
      <c r="I70" s="33">
        <f ca="1">-(SUMIF(INDIRECT(LEFT($A$69,4)&amp;"!I3:I200"),"="&amp;B70&amp;" *",INDIRECT(LEFT($A$69,4)&amp;"!K3:K200")))</f>
        <v>0</v>
      </c>
      <c r="J70" s="33">
        <f t="shared" ref="J70:J71" ca="1" si="18">SUM(H70:I70)</f>
        <v>2000</v>
      </c>
      <c r="K70" s="54">
        <v>2000</v>
      </c>
    </row>
    <row r="71" spans="1:12" ht="14.6" x14ac:dyDescent="0.4">
      <c r="A71" s="220"/>
      <c r="B71" s="147" t="str">
        <f t="shared" ref="B71:B84" si="19">LEFT($B70,4)&amp;"-"&amp;VALUE(MID($B70,FIND("-",$B70)+1,256))+1</f>
        <v>6150-2</v>
      </c>
      <c r="C71" s="325" t="s">
        <v>174</v>
      </c>
      <c r="D71" s="299"/>
      <c r="E71" s="354">
        <v>6</v>
      </c>
      <c r="F71" s="299"/>
      <c r="G71" s="328">
        <v>550</v>
      </c>
      <c r="H71" s="329">
        <f t="shared" si="17"/>
        <v>3300</v>
      </c>
      <c r="I71" s="329">
        <f t="shared" ref="I71:I84" ca="1" si="20">-(SUMIF(INDIRECT(LEFT($A$69,4)&amp;"!I3:I200"),"="&amp;B71&amp;" *",INDIRECT(LEFT($A$69,4)&amp;"!K3:K200")))</f>
        <v>-6326.8600000000006</v>
      </c>
      <c r="J71" s="329">
        <f t="shared" ca="1" si="18"/>
        <v>-3026.8600000000006</v>
      </c>
      <c r="K71" s="355">
        <v>2100</v>
      </c>
    </row>
    <row r="72" spans="1:12" ht="14.6" x14ac:dyDescent="0.4">
      <c r="A72" s="221"/>
      <c r="B72" s="73" t="str">
        <f t="shared" si="19"/>
        <v>6150-3</v>
      </c>
      <c r="C72" s="240" t="s">
        <v>175</v>
      </c>
      <c r="D72" s="205"/>
      <c r="E72" s="205">
        <v>7</v>
      </c>
      <c r="F72" s="205"/>
      <c r="G72" s="243">
        <v>320</v>
      </c>
      <c r="H72" s="244">
        <f t="shared" ref="H72" si="21">(D72+E72+F72)*G72</f>
        <v>2240</v>
      </c>
      <c r="I72" s="244">
        <f t="shared" ca="1" si="20"/>
        <v>-2289.92</v>
      </c>
      <c r="J72" s="244">
        <f t="shared" ref="J72:J84" ca="1" si="22">SUM(H72:I72)</f>
        <v>-49.920000000000073</v>
      </c>
      <c r="K72" s="215">
        <v>2240</v>
      </c>
    </row>
    <row r="73" spans="1:12" ht="14.6" x14ac:dyDescent="0.4">
      <c r="A73" s="159"/>
      <c r="B73" s="147" t="str">
        <f t="shared" si="19"/>
        <v>6150-4</v>
      </c>
      <c r="C73" s="154" t="s">
        <v>176</v>
      </c>
      <c r="D73" s="161"/>
      <c r="E73" s="161">
        <v>2</v>
      </c>
      <c r="F73" s="161"/>
      <c r="G73" s="151">
        <v>2000</v>
      </c>
      <c r="H73" s="153">
        <f>(D73+E73+F73)*G73</f>
        <v>4000</v>
      </c>
      <c r="I73" s="153">
        <f t="shared" ca="1" si="20"/>
        <v>-601.5</v>
      </c>
      <c r="J73" s="153">
        <f t="shared" ca="1" si="22"/>
        <v>3398.5</v>
      </c>
      <c r="K73" s="162">
        <v>3000</v>
      </c>
      <c r="L73" s="102"/>
    </row>
    <row r="74" spans="1:12" ht="22.3" x14ac:dyDescent="0.4">
      <c r="A74" s="356" t="s">
        <v>177</v>
      </c>
      <c r="B74" s="73" t="str">
        <f t="shared" si="19"/>
        <v>6150-5</v>
      </c>
      <c r="C74" s="248" t="s">
        <v>178</v>
      </c>
      <c r="D74" s="51"/>
      <c r="E74" s="100">
        <v>7</v>
      </c>
      <c r="F74" s="100"/>
      <c r="G74" s="60">
        <v>2000</v>
      </c>
      <c r="H74" s="33">
        <f>(D74+E74+F74)*G74</f>
        <v>14000</v>
      </c>
      <c r="I74" s="244">
        <f t="shared" ca="1" si="20"/>
        <v>-6999.5</v>
      </c>
      <c r="J74" s="244">
        <f t="shared" ca="1" si="22"/>
        <v>7000.5</v>
      </c>
      <c r="K74" s="54">
        <v>14000</v>
      </c>
    </row>
    <row r="75" spans="1:12" ht="14.6" x14ac:dyDescent="0.4">
      <c r="A75" s="357" t="s">
        <v>179</v>
      </c>
      <c r="B75" s="147" t="str">
        <f t="shared" si="19"/>
        <v>6150-6</v>
      </c>
      <c r="C75" s="185" t="s">
        <v>180</v>
      </c>
      <c r="D75" s="194"/>
      <c r="E75" s="161">
        <v>4</v>
      </c>
      <c r="F75" s="161"/>
      <c r="G75" s="151">
        <v>2500</v>
      </c>
      <c r="H75" s="153">
        <f t="shared" ref="H75:H76" si="23">(D75+E75+F75)*G75</f>
        <v>10000</v>
      </c>
      <c r="I75" s="329">
        <f t="shared" ca="1" si="20"/>
        <v>-11013.79</v>
      </c>
      <c r="J75" s="329">
        <f t="shared" ca="1" si="22"/>
        <v>-1013.7900000000009</v>
      </c>
      <c r="K75" s="162">
        <v>10000</v>
      </c>
    </row>
    <row r="76" spans="1:12" ht="14.6" x14ac:dyDescent="0.4">
      <c r="A76" s="221"/>
      <c r="B76" s="73" t="str">
        <f t="shared" si="19"/>
        <v>6150-7</v>
      </c>
      <c r="C76" s="331" t="s">
        <v>181</v>
      </c>
      <c r="D76" s="358"/>
      <c r="E76" s="358">
        <v>1</v>
      </c>
      <c r="F76" s="358"/>
      <c r="G76" s="243">
        <v>5000</v>
      </c>
      <c r="H76" s="33">
        <f t="shared" si="23"/>
        <v>5000</v>
      </c>
      <c r="I76" s="33">
        <f t="shared" ca="1" si="20"/>
        <v>-13254.349999999997</v>
      </c>
      <c r="J76" s="33">
        <f t="shared" ca="1" si="22"/>
        <v>-8254.3499999999967</v>
      </c>
      <c r="K76" s="215">
        <v>5000</v>
      </c>
    </row>
    <row r="77" spans="1:12" ht="14.6" x14ac:dyDescent="0.4">
      <c r="A77" s="159"/>
      <c r="B77" s="147" t="str">
        <f t="shared" si="19"/>
        <v>6150-8</v>
      </c>
      <c r="C77" s="148" t="s">
        <v>182</v>
      </c>
      <c r="D77" s="195"/>
      <c r="E77" s="164">
        <v>2</v>
      </c>
      <c r="F77" s="175"/>
      <c r="G77" s="151">
        <v>3500</v>
      </c>
      <c r="H77" s="153">
        <f t="shared" ref="H77:H83" si="24">SUM((D77+E77+F77)*G77)</f>
        <v>7000</v>
      </c>
      <c r="I77" s="153">
        <f t="shared" ca="1" si="20"/>
        <v>-1791.79</v>
      </c>
      <c r="J77" s="329">
        <f t="shared" ca="1" si="22"/>
        <v>5208.21</v>
      </c>
      <c r="K77" s="153">
        <v>7000</v>
      </c>
    </row>
    <row r="78" spans="1:12" ht="14.6" x14ac:dyDescent="0.4">
      <c r="A78" s="221" t="s">
        <v>183</v>
      </c>
      <c r="B78" s="73" t="str">
        <f t="shared" si="19"/>
        <v>6150-9</v>
      </c>
      <c r="C78" s="240" t="s">
        <v>184</v>
      </c>
      <c r="D78" s="205"/>
      <c r="E78" s="205">
        <v>18</v>
      </c>
      <c r="F78" s="359"/>
      <c r="G78" s="243">
        <v>1300</v>
      </c>
      <c r="H78" s="33">
        <f t="shared" si="24"/>
        <v>23400</v>
      </c>
      <c r="I78" s="33">
        <f t="shared" ca="1" si="20"/>
        <v>-22954</v>
      </c>
      <c r="J78" s="33">
        <f t="shared" ca="1" si="22"/>
        <v>446</v>
      </c>
      <c r="K78" s="215">
        <v>23400</v>
      </c>
    </row>
    <row r="79" spans="1:12" ht="14.6" x14ac:dyDescent="0.4">
      <c r="A79" s="207" t="s">
        <v>185</v>
      </c>
      <c r="B79" s="147" t="str">
        <f t="shared" si="19"/>
        <v>6150-10</v>
      </c>
      <c r="C79" s="360" t="s">
        <v>186</v>
      </c>
      <c r="D79" s="208"/>
      <c r="E79" s="208">
        <v>2</v>
      </c>
      <c r="F79" s="361"/>
      <c r="G79" s="350">
        <v>1500</v>
      </c>
      <c r="H79" s="153">
        <f t="shared" si="24"/>
        <v>3000</v>
      </c>
      <c r="I79" s="153">
        <f t="shared" ca="1" si="20"/>
        <v>-525</v>
      </c>
      <c r="J79" s="153">
        <f t="shared" ca="1" si="22"/>
        <v>2475</v>
      </c>
      <c r="K79" s="214">
        <v>3000</v>
      </c>
    </row>
    <row r="80" spans="1:12" ht="14.6" x14ac:dyDescent="0.4">
      <c r="A80" s="101"/>
      <c r="B80" s="73" t="str">
        <f t="shared" si="19"/>
        <v>6150-11</v>
      </c>
      <c r="C80" s="111" t="s">
        <v>187</v>
      </c>
      <c r="D80" s="51"/>
      <c r="E80" s="51">
        <v>5</v>
      </c>
      <c r="F80" s="105"/>
      <c r="G80" s="60">
        <v>300</v>
      </c>
      <c r="H80" s="33">
        <f t="shared" si="24"/>
        <v>1500</v>
      </c>
      <c r="I80" s="244">
        <f t="shared" ca="1" si="20"/>
        <v>0</v>
      </c>
      <c r="J80" s="244">
        <f t="shared" ca="1" si="22"/>
        <v>1500</v>
      </c>
      <c r="K80" s="54">
        <v>1500</v>
      </c>
    </row>
    <row r="81" spans="1:12" ht="14.6" x14ac:dyDescent="0.4">
      <c r="A81" s="207"/>
      <c r="B81" s="147" t="str">
        <f t="shared" si="19"/>
        <v>6150-12</v>
      </c>
      <c r="C81" s="517" t="s">
        <v>188</v>
      </c>
      <c r="D81" s="208"/>
      <c r="E81" s="208"/>
      <c r="F81" s="361">
        <v>0</v>
      </c>
      <c r="G81" s="350">
        <v>400</v>
      </c>
      <c r="H81" s="153">
        <f t="shared" si="24"/>
        <v>0</v>
      </c>
      <c r="I81" s="153">
        <f t="shared" ca="1" si="20"/>
        <v>-359.98</v>
      </c>
      <c r="J81" s="153">
        <f t="shared" ca="1" si="22"/>
        <v>-359.98</v>
      </c>
      <c r="K81" s="214">
        <v>800</v>
      </c>
    </row>
    <row r="82" spans="1:12" ht="14.6" x14ac:dyDescent="0.4">
      <c r="A82" s="534"/>
      <c r="B82" s="521" t="str">
        <f t="shared" si="19"/>
        <v>6150-13</v>
      </c>
      <c r="C82" s="589" t="s">
        <v>189</v>
      </c>
      <c r="D82" s="524"/>
      <c r="E82" s="524">
        <v>1</v>
      </c>
      <c r="F82" s="523"/>
      <c r="G82" s="593">
        <v>350</v>
      </c>
      <c r="H82" s="520">
        <f t="shared" si="24"/>
        <v>350</v>
      </c>
      <c r="I82" s="538">
        <f t="shared" ca="1" si="20"/>
        <v>0</v>
      </c>
      <c r="J82" s="538">
        <f t="shared" ca="1" si="22"/>
        <v>350</v>
      </c>
      <c r="K82" s="528">
        <v>350</v>
      </c>
    </row>
    <row r="83" spans="1:12" ht="14.6" x14ac:dyDescent="0.4">
      <c r="A83" s="207" t="s">
        <v>190</v>
      </c>
      <c r="B83" s="147" t="str">
        <f t="shared" si="19"/>
        <v>6150-14</v>
      </c>
      <c r="C83" s="362" t="s">
        <v>191</v>
      </c>
      <c r="D83" s="208"/>
      <c r="E83" s="208">
        <v>4</v>
      </c>
      <c r="F83" s="361"/>
      <c r="G83" s="350">
        <v>750</v>
      </c>
      <c r="H83" s="153">
        <f t="shared" si="24"/>
        <v>3000</v>
      </c>
      <c r="I83" s="153">
        <f t="shared" ca="1" si="20"/>
        <v>-3289.16</v>
      </c>
      <c r="J83" s="153">
        <f t="shared" ca="1" si="22"/>
        <v>-289.15999999999985</v>
      </c>
      <c r="K83" s="214">
        <v>2500</v>
      </c>
      <c r="L83" s="193"/>
    </row>
    <row r="84" spans="1:12" ht="14.6" x14ac:dyDescent="0.4">
      <c r="A84" s="742"/>
      <c r="B84" s="521" t="str">
        <f t="shared" si="19"/>
        <v>6150-15</v>
      </c>
      <c r="C84" s="616" t="s">
        <v>192</v>
      </c>
      <c r="D84" s="524">
        <v>5</v>
      </c>
      <c r="E84" s="605">
        <v>3</v>
      </c>
      <c r="F84" s="605"/>
      <c r="G84" s="593">
        <v>250</v>
      </c>
      <c r="H84" s="520">
        <f t="shared" ref="H84" si="25">(D84+E84+F84)*G84</f>
        <v>2000</v>
      </c>
      <c r="I84" s="538">
        <f t="shared" ca="1" si="20"/>
        <v>-586.57999999999993</v>
      </c>
      <c r="J84" s="538">
        <f t="shared" ca="1" si="22"/>
        <v>1413.42</v>
      </c>
      <c r="K84" s="528">
        <v>2000</v>
      </c>
    </row>
    <row r="85" spans="1:12" thickBot="1" x14ac:dyDescent="0.45">
      <c r="A85" s="73"/>
      <c r="C85" s="75" t="s">
        <v>66</v>
      </c>
      <c r="D85" s="76"/>
      <c r="E85" s="76"/>
      <c r="F85" s="14" t="s">
        <v>61</v>
      </c>
      <c r="G85" s="334">
        <f>SUM(Summary!$D$13)</f>
        <v>2.4081115335868188E-2</v>
      </c>
      <c r="H85" s="335">
        <f>SUM(H70:H84)</f>
        <v>80790</v>
      </c>
      <c r="I85" s="335">
        <f ca="1">SUM(I70:I84)</f>
        <v>-69992.429999999993</v>
      </c>
      <c r="J85" s="335">
        <f ca="1">SUM(J70:J84)</f>
        <v>10797.570000000002</v>
      </c>
      <c r="K85" s="363">
        <f>SUM(K70:K84)</f>
        <v>78890</v>
      </c>
    </row>
    <row r="86" spans="1:12" ht="9.75" customHeight="1" thickTop="1" x14ac:dyDescent="0.4">
      <c r="A86" s="73"/>
      <c r="C86" s="75"/>
      <c r="D86" s="76"/>
      <c r="E86" s="76"/>
      <c r="F86" s="14"/>
      <c r="G86" s="52"/>
      <c r="H86" s="91"/>
      <c r="I86" s="91"/>
      <c r="J86" s="91"/>
      <c r="K86" s="106"/>
    </row>
    <row r="87" spans="1:12" ht="19.5" customHeight="1" x14ac:dyDescent="0.5">
      <c r="A87" s="777" t="s">
        <v>193</v>
      </c>
      <c r="B87" s="777"/>
      <c r="C87" s="778"/>
      <c r="D87" s="778"/>
      <c r="E87" s="778"/>
      <c r="F87" s="778"/>
      <c r="G87" s="778"/>
      <c r="H87" s="778"/>
      <c r="I87" s="778" t="e">
        <f t="shared" ref="I87" ca="1" si="26">-(SUMIF(INDIRECT(LEFT($A$70,4)&amp;"!E3:E200"),"="&amp;B87&amp;" *",INDIRECT(LEFT($A$70,4)&amp;"!F3:F200")))</f>
        <v>#REF!</v>
      </c>
      <c r="J87" s="778" t="e">
        <f t="shared" ref="J87:J88" ca="1" si="27">SUM(H87:I87)</f>
        <v>#REF!</v>
      </c>
      <c r="K87" s="778"/>
    </row>
    <row r="88" spans="1:12" ht="14.6" x14ac:dyDescent="0.4">
      <c r="A88" s="101"/>
      <c r="B88" s="221" t="str">
        <f>LEFT($A87,4)&amp;"-1"</f>
        <v>6160-1</v>
      </c>
      <c r="C88" s="111" t="s">
        <v>194</v>
      </c>
      <c r="D88" s="104"/>
      <c r="E88" s="51">
        <v>2</v>
      </c>
      <c r="F88" s="104"/>
      <c r="G88" s="60">
        <v>250</v>
      </c>
      <c r="H88" s="33">
        <v>250</v>
      </c>
      <c r="I88" s="33">
        <f ca="1">-(SUMIF(INDIRECT(LEFT($A$87,4)&amp;"!I3:I200"),"="&amp;B88&amp;" *",INDIRECT(LEFT($A$87,4)&amp;"!k3:k200")))</f>
        <v>-207.36</v>
      </c>
      <c r="J88" s="33">
        <f t="shared" ca="1" si="27"/>
        <v>42.639999999999986</v>
      </c>
      <c r="K88" s="54">
        <v>250</v>
      </c>
    </row>
    <row r="89" spans="1:12" ht="14.6" x14ac:dyDescent="0.4">
      <c r="A89" s="159"/>
      <c r="B89" s="159" t="str">
        <f>LEFT($B88,4)&amp;"-"&amp;VALUE(MID($B88,FIND("-",$B88)+1,256))+1</f>
        <v>6160-2</v>
      </c>
      <c r="C89" s="171" t="s">
        <v>195</v>
      </c>
      <c r="D89" s="170"/>
      <c r="E89" s="161">
        <v>10</v>
      </c>
      <c r="F89" s="170"/>
      <c r="G89" s="151">
        <v>65</v>
      </c>
      <c r="H89" s="153">
        <f t="shared" ref="H89:H99" si="28">(D89+E89+F89)*G89</f>
        <v>650</v>
      </c>
      <c r="I89" s="153">
        <f t="shared" ref="I89:I99" ca="1" si="29">-(SUMIF(INDIRECT(LEFT($A$87,4)&amp;"!I3:I200"),"="&amp;B89&amp;" *",INDIRECT(LEFT($A$87,4)&amp;"!k3:k200")))</f>
        <v>0</v>
      </c>
      <c r="J89" s="153">
        <f t="shared" ref="J89" ca="1" si="30">SUM(H89:I89)</f>
        <v>650</v>
      </c>
      <c r="K89" s="162">
        <v>650</v>
      </c>
    </row>
    <row r="90" spans="1:12" ht="14.6" x14ac:dyDescent="0.4">
      <c r="A90" s="221"/>
      <c r="B90" s="101" t="str">
        <f t="shared" ref="B90:B99" si="31">LEFT($B89,4)&amp;"-"&amp;VALUE(MID($B89,FIND("-",$B89)+1,256))+1</f>
        <v>6160-3</v>
      </c>
      <c r="C90" s="331" t="s">
        <v>196</v>
      </c>
      <c r="D90" s="364"/>
      <c r="E90" s="358">
        <v>3</v>
      </c>
      <c r="F90" s="364"/>
      <c r="G90" s="243">
        <v>95</v>
      </c>
      <c r="H90" s="33">
        <f t="shared" si="28"/>
        <v>285</v>
      </c>
      <c r="I90" s="33">
        <f t="shared" ca="1" si="29"/>
        <v>0</v>
      </c>
      <c r="J90" s="33">
        <f t="shared" ref="J90:J99" ca="1" si="32">SUM(H90:I90)</f>
        <v>285</v>
      </c>
      <c r="K90" s="215">
        <v>285</v>
      </c>
    </row>
    <row r="91" spans="1:12" ht="14.6" x14ac:dyDescent="0.4">
      <c r="A91" s="159"/>
      <c r="B91" s="159" t="str">
        <f t="shared" si="31"/>
        <v>6160-4</v>
      </c>
      <c r="C91" s="154" t="s">
        <v>197</v>
      </c>
      <c r="D91" s="160"/>
      <c r="E91" s="161">
        <v>0</v>
      </c>
      <c r="F91" s="160"/>
      <c r="G91" s="151">
        <v>110</v>
      </c>
      <c r="H91" s="153">
        <v>550</v>
      </c>
      <c r="I91" s="153">
        <f t="shared" ca="1" si="29"/>
        <v>0</v>
      </c>
      <c r="J91" s="153">
        <f t="shared" ca="1" si="32"/>
        <v>550</v>
      </c>
      <c r="K91" s="162">
        <v>550</v>
      </c>
    </row>
    <row r="92" spans="1:12" ht="14.6" x14ac:dyDescent="0.4">
      <c r="A92" s="221"/>
      <c r="B92" s="101" t="str">
        <f t="shared" si="31"/>
        <v>6160-5</v>
      </c>
      <c r="C92" s="331" t="s">
        <v>198</v>
      </c>
      <c r="D92" s="358"/>
      <c r="E92" s="358">
        <v>1</v>
      </c>
      <c r="F92" s="364"/>
      <c r="G92" s="243">
        <v>350</v>
      </c>
      <c r="H92" s="33">
        <f t="shared" si="28"/>
        <v>350</v>
      </c>
      <c r="I92" s="33">
        <f t="shared" ca="1" si="29"/>
        <v>-86.740000000000009</v>
      </c>
      <c r="J92" s="33">
        <f t="shared" ca="1" si="32"/>
        <v>263.26</v>
      </c>
      <c r="K92" s="215">
        <v>350</v>
      </c>
    </row>
    <row r="93" spans="1:12" ht="14.6" x14ac:dyDescent="0.4">
      <c r="A93" s="249"/>
      <c r="B93" s="159" t="str">
        <f t="shared" si="31"/>
        <v>6160-6</v>
      </c>
      <c r="C93" s="250" t="s">
        <v>199</v>
      </c>
      <c r="D93" s="173"/>
      <c r="E93" s="164">
        <v>4</v>
      </c>
      <c r="F93" s="174"/>
      <c r="G93" s="350">
        <v>1200</v>
      </c>
      <c r="H93" s="153">
        <f>(D93+E93+F93)*G93</f>
        <v>4800</v>
      </c>
      <c r="I93" s="153">
        <f t="shared" ca="1" si="29"/>
        <v>-11115.380000000001</v>
      </c>
      <c r="J93" s="153">
        <f t="shared" ca="1" si="32"/>
        <v>-6315.380000000001</v>
      </c>
      <c r="K93" s="251">
        <v>4800</v>
      </c>
    </row>
    <row r="94" spans="1:12" ht="14.6" x14ac:dyDescent="0.4">
      <c r="A94" s="101"/>
      <c r="B94" s="101" t="str">
        <f t="shared" si="31"/>
        <v>6160-7</v>
      </c>
      <c r="C94" s="61" t="s">
        <v>200</v>
      </c>
      <c r="D94" s="108">
        <v>5</v>
      </c>
      <c r="E94" s="100"/>
      <c r="F94" s="108"/>
      <c r="G94" s="60">
        <v>10</v>
      </c>
      <c r="H94" s="33">
        <f t="shared" si="28"/>
        <v>50</v>
      </c>
      <c r="I94" s="33">
        <f t="shared" ca="1" si="29"/>
        <v>0</v>
      </c>
      <c r="J94" s="33">
        <f t="shared" ca="1" si="32"/>
        <v>50</v>
      </c>
      <c r="K94" s="54">
        <v>150</v>
      </c>
    </row>
    <row r="95" spans="1:12" ht="14.6" x14ac:dyDescent="0.4">
      <c r="A95" s="159"/>
      <c r="B95" s="159" t="str">
        <f t="shared" si="31"/>
        <v>6160-8</v>
      </c>
      <c r="C95" s="154" t="s">
        <v>201</v>
      </c>
      <c r="D95" s="160"/>
      <c r="E95" s="161">
        <v>0</v>
      </c>
      <c r="F95" s="160"/>
      <c r="G95" s="151">
        <v>300</v>
      </c>
      <c r="H95" s="153">
        <f t="shared" si="28"/>
        <v>0</v>
      </c>
      <c r="I95" s="153">
        <f t="shared" ca="1" si="29"/>
        <v>0</v>
      </c>
      <c r="J95" s="153">
        <f t="shared" ca="1" si="32"/>
        <v>0</v>
      </c>
      <c r="K95" s="162">
        <v>900</v>
      </c>
    </row>
    <row r="96" spans="1:12" ht="14.6" x14ac:dyDescent="0.4">
      <c r="A96" s="221"/>
      <c r="B96" s="101" t="str">
        <f t="shared" si="31"/>
        <v>6160-9</v>
      </c>
      <c r="C96" s="331" t="s">
        <v>202</v>
      </c>
      <c r="D96" s="358"/>
      <c r="E96" s="305">
        <v>1</v>
      </c>
      <c r="F96" s="364"/>
      <c r="G96" s="243">
        <v>5000</v>
      </c>
      <c r="H96" s="33">
        <f t="shared" si="28"/>
        <v>5000</v>
      </c>
      <c r="I96" s="33">
        <f t="shared" ca="1" si="29"/>
        <v>-982.50000000000023</v>
      </c>
      <c r="J96" s="33">
        <f t="shared" ca="1" si="32"/>
        <v>4017.5</v>
      </c>
      <c r="K96" s="215">
        <v>5000</v>
      </c>
    </row>
    <row r="97" spans="1:12" ht="14.6" x14ac:dyDescent="0.4">
      <c r="A97" s="159"/>
      <c r="B97" s="159" t="str">
        <f t="shared" si="31"/>
        <v>6160-10</v>
      </c>
      <c r="C97" s="154" t="s">
        <v>203</v>
      </c>
      <c r="D97" s="160"/>
      <c r="E97" s="161">
        <v>10</v>
      </c>
      <c r="F97" s="160"/>
      <c r="G97" s="151">
        <v>30</v>
      </c>
      <c r="H97" s="153">
        <f t="shared" si="28"/>
        <v>300</v>
      </c>
      <c r="I97" s="153">
        <f t="shared" ca="1" si="29"/>
        <v>0</v>
      </c>
      <c r="J97" s="153">
        <f t="shared" ca="1" si="32"/>
        <v>300</v>
      </c>
      <c r="K97" s="162">
        <v>120</v>
      </c>
    </row>
    <row r="98" spans="1:12" ht="14.6" x14ac:dyDescent="0.4">
      <c r="A98" s="101"/>
      <c r="B98" s="101" t="str">
        <f t="shared" si="31"/>
        <v>6160-11</v>
      </c>
      <c r="C98" s="61" t="s">
        <v>204</v>
      </c>
      <c r="D98" s="108"/>
      <c r="E98" s="100">
        <v>30</v>
      </c>
      <c r="F98" s="100"/>
      <c r="G98" s="60">
        <v>7</v>
      </c>
      <c r="H98" s="33">
        <f t="shared" si="28"/>
        <v>210</v>
      </c>
      <c r="I98" s="33">
        <f t="shared" ca="1" si="29"/>
        <v>0</v>
      </c>
      <c r="J98" s="33">
        <f t="shared" ca="1" si="32"/>
        <v>210</v>
      </c>
      <c r="K98" s="54">
        <v>210</v>
      </c>
    </row>
    <row r="99" spans="1:12" ht="14.6" x14ac:dyDescent="0.4">
      <c r="A99" s="207"/>
      <c r="B99" s="159" t="str">
        <f t="shared" si="31"/>
        <v>6160-12</v>
      </c>
      <c r="C99" s="347" t="s">
        <v>205</v>
      </c>
      <c r="D99" s="361"/>
      <c r="E99" s="365">
        <v>1</v>
      </c>
      <c r="F99" s="361"/>
      <c r="G99" s="350">
        <v>1000</v>
      </c>
      <c r="H99" s="153">
        <f t="shared" si="28"/>
        <v>1000</v>
      </c>
      <c r="I99" s="153">
        <f t="shared" ca="1" si="29"/>
        <v>-650.09000000000015</v>
      </c>
      <c r="J99" s="153">
        <f t="shared" ca="1" si="32"/>
        <v>349.90999999999985</v>
      </c>
      <c r="K99" s="214">
        <v>1000</v>
      </c>
    </row>
    <row r="100" spans="1:12" thickBot="1" x14ac:dyDescent="0.45">
      <c r="A100" s="49"/>
      <c r="B100" s="221"/>
      <c r="C100" s="75" t="s">
        <v>66</v>
      </c>
      <c r="D100" s="76"/>
      <c r="E100" s="76"/>
      <c r="F100" s="518"/>
      <c r="G100" s="334">
        <f>SUM(Summary!$D$14)</f>
        <v>-5.5944055944055944E-2</v>
      </c>
      <c r="H100" s="335">
        <f>SUM(H88:H99)</f>
        <v>13445</v>
      </c>
      <c r="I100" s="335">
        <f ca="1">SUM(I88:I99)</f>
        <v>-13042.070000000002</v>
      </c>
      <c r="J100" s="335">
        <f ca="1">SUM(J88:J99)</f>
        <v>402.92999999999847</v>
      </c>
      <c r="K100" s="363">
        <f>SUM(K88:K99)</f>
        <v>14265</v>
      </c>
    </row>
    <row r="101" spans="1:12" ht="9.75" customHeight="1" thickTop="1" x14ac:dyDescent="0.4">
      <c r="A101" s="49"/>
      <c r="B101" s="101"/>
      <c r="C101" s="79"/>
      <c r="D101" s="80"/>
      <c r="E101" s="80"/>
      <c r="F101" s="80"/>
      <c r="G101" s="55"/>
      <c r="H101" s="35"/>
      <c r="I101" s="35"/>
      <c r="J101" s="35"/>
      <c r="K101" s="35"/>
    </row>
    <row r="102" spans="1:12" ht="19.5" customHeight="1" x14ac:dyDescent="0.5">
      <c r="A102" s="777" t="s">
        <v>206</v>
      </c>
      <c r="B102" s="777"/>
      <c r="C102" s="778"/>
      <c r="D102" s="778"/>
      <c r="E102" s="778"/>
      <c r="F102" s="778"/>
      <c r="G102" s="778"/>
      <c r="H102" s="778"/>
      <c r="I102" s="778" t="e">
        <f t="shared" ref="I102" ca="1" si="33">-(SUMIF(INDIRECT(LEFT($A$95,4)&amp;"!E3:E200"),"="&amp;B102&amp;" *",INDIRECT(LEFT($A$95,4)&amp;"!F3:F200")))</f>
        <v>#REF!</v>
      </c>
      <c r="J102" s="778" t="e">
        <f t="shared" ref="J102:J103" ca="1" si="34">SUM(H102:I102)</f>
        <v>#REF!</v>
      </c>
      <c r="K102" s="778"/>
    </row>
    <row r="103" spans="1:12" ht="14.6" x14ac:dyDescent="0.4">
      <c r="A103" s="427" t="s">
        <v>207</v>
      </c>
      <c r="B103" s="428" t="str">
        <f>LEFT($A102,4)&amp;"-1"</f>
        <v>6210-1</v>
      </c>
      <c r="C103" s="429" t="s">
        <v>208</v>
      </c>
      <c r="D103" s="430"/>
      <c r="E103" s="431"/>
      <c r="F103" s="430"/>
      <c r="G103" s="454">
        <v>4000</v>
      </c>
      <c r="H103" s="33">
        <f>SUM((D103+E103+F103)*G103)</f>
        <v>0</v>
      </c>
      <c r="I103" s="432">
        <f ca="1">-(SUMIF(INDIRECT(LEFT($A$102,4)&amp;"!I3:I400"),"="&amp;B103&amp;" *",INDIRECT(LEFT($A$102,4)&amp;"!K3:K400")))</f>
        <v>0</v>
      </c>
      <c r="J103" s="432">
        <f t="shared" ca="1" si="34"/>
        <v>0</v>
      </c>
      <c r="K103" s="179">
        <v>4000</v>
      </c>
      <c r="L103" s="128"/>
    </row>
    <row r="104" spans="1:12" ht="14.6" x14ac:dyDescent="0.4">
      <c r="A104" s="207"/>
      <c r="B104" s="207" t="str">
        <f>LEFT($A102,4)&amp;"-1"</f>
        <v>6210-1</v>
      </c>
      <c r="C104" s="360" t="s">
        <v>209</v>
      </c>
      <c r="D104" s="361"/>
      <c r="E104" s="366">
        <v>1</v>
      </c>
      <c r="F104" s="361"/>
      <c r="G104" s="350">
        <v>300</v>
      </c>
      <c r="H104" s="153">
        <f t="shared" ref="H104:H112" si="35">SUM((D104+E104+F104)*G104)</f>
        <v>300</v>
      </c>
      <c r="I104" s="153">
        <f ca="1">-(SUMIF(INDIRECT(LEFT($A$102,4)&amp;"!I3:I400"),"="&amp;B104&amp;" *",INDIRECT(LEFT($A$102,4)&amp;"!K3:K400")))</f>
        <v>0</v>
      </c>
      <c r="J104" s="153">
        <f t="shared" ref="J104:J105" ca="1" si="36">SUM(H104:I104)</f>
        <v>300</v>
      </c>
      <c r="K104" s="367">
        <v>300</v>
      </c>
    </row>
    <row r="105" spans="1:12" s="525" customFormat="1" ht="14.6" x14ac:dyDescent="0.4">
      <c r="A105" s="521" t="s">
        <v>519</v>
      </c>
      <c r="B105" s="534" t="str">
        <f>LEFT($B104,4)&amp;"-"&amp;VALUE(MID($B104,FIND("-",$B104)+1,256))+1</f>
        <v>6210-2</v>
      </c>
      <c r="C105" s="704" t="s">
        <v>210</v>
      </c>
      <c r="D105" s="611"/>
      <c r="E105" s="605"/>
      <c r="F105" s="605">
        <v>2</v>
      </c>
      <c r="G105" s="526">
        <v>384</v>
      </c>
      <c r="H105" s="520">
        <f t="shared" si="35"/>
        <v>768</v>
      </c>
      <c r="I105" s="520">
        <f t="shared" ref="I105:I138" ca="1" si="37">-(SUMIF(INDIRECT(LEFT($A$102,4)&amp;"!I3:I400"),"="&amp;B105&amp;" *",INDIRECT(LEFT($A$102,4)&amp;"!K3:K400")))</f>
        <v>-559.20000000000005</v>
      </c>
      <c r="J105" s="520">
        <f t="shared" ca="1" si="36"/>
        <v>208.79999999999995</v>
      </c>
      <c r="K105" s="528">
        <v>720</v>
      </c>
    </row>
    <row r="106" spans="1:12" ht="14.6" x14ac:dyDescent="0.4">
      <c r="A106" s="189"/>
      <c r="B106" s="207" t="str">
        <f t="shared" ref="B106:B138" si="38">LEFT($B105,4)&amp;"-"&amp;VALUE(MID($B105,FIND("-",$B105)+1,256))+1</f>
        <v>6210-3</v>
      </c>
      <c r="C106" s="190" t="s">
        <v>211</v>
      </c>
      <c r="D106" s="209"/>
      <c r="E106" s="208"/>
      <c r="F106" s="208">
        <v>1</v>
      </c>
      <c r="G106" s="210">
        <v>4000</v>
      </c>
      <c r="H106" s="153">
        <f t="shared" si="35"/>
        <v>4000</v>
      </c>
      <c r="I106" s="153">
        <f t="shared" ca="1" si="37"/>
        <v>-4440.9799999999996</v>
      </c>
      <c r="J106" s="153">
        <f t="shared" ref="J106:J138" ca="1" si="39">SUM(H106:I106)</f>
        <v>-440.97999999999956</v>
      </c>
      <c r="K106" s="214">
        <v>4000</v>
      </c>
    </row>
    <row r="107" spans="1:12" ht="14.6" x14ac:dyDescent="0.4">
      <c r="A107" s="73" t="s">
        <v>212</v>
      </c>
      <c r="B107" s="101" t="str">
        <f t="shared" si="38"/>
        <v>6210-4</v>
      </c>
      <c r="C107" s="61" t="s">
        <v>213</v>
      </c>
      <c r="D107" s="100"/>
      <c r="E107" s="100">
        <v>2</v>
      </c>
      <c r="F107" s="100"/>
      <c r="G107" s="39">
        <v>3000</v>
      </c>
      <c r="H107" s="33">
        <f t="shared" si="35"/>
        <v>6000</v>
      </c>
      <c r="I107" s="520">
        <f t="shared" ca="1" si="37"/>
        <v>0</v>
      </c>
      <c r="J107" s="33">
        <f t="shared" ca="1" si="39"/>
        <v>6000</v>
      </c>
      <c r="K107" s="54">
        <v>6000</v>
      </c>
      <c r="L107" s="83"/>
    </row>
    <row r="108" spans="1:12" ht="14.6" x14ac:dyDescent="0.4">
      <c r="A108" s="147" t="s">
        <v>212</v>
      </c>
      <c r="B108" s="159" t="str">
        <f t="shared" si="38"/>
        <v>6210-5</v>
      </c>
      <c r="C108" s="148" t="s">
        <v>214</v>
      </c>
      <c r="D108" s="557"/>
      <c r="E108" s="558">
        <v>2</v>
      </c>
      <c r="F108" s="557"/>
      <c r="G108" s="157">
        <v>2000</v>
      </c>
      <c r="H108" s="153">
        <f t="shared" si="35"/>
        <v>4000</v>
      </c>
      <c r="I108" s="153">
        <f t="shared" ca="1" si="37"/>
        <v>0</v>
      </c>
      <c r="J108" s="153">
        <f t="shared" ca="1" si="39"/>
        <v>4000</v>
      </c>
      <c r="K108" s="162">
        <v>6000</v>
      </c>
      <c r="L108" s="83"/>
    </row>
    <row r="109" spans="1:12" ht="14.6" x14ac:dyDescent="0.4">
      <c r="A109" s="553"/>
      <c r="B109" s="548" t="str">
        <f t="shared" si="38"/>
        <v>6210-6</v>
      </c>
      <c r="C109" s="549" t="s">
        <v>215</v>
      </c>
      <c r="D109" s="536"/>
      <c r="E109" s="536"/>
      <c r="F109" s="536">
        <v>3</v>
      </c>
      <c r="G109" s="537">
        <v>1000</v>
      </c>
      <c r="H109" s="520">
        <f t="shared" si="35"/>
        <v>3000</v>
      </c>
      <c r="I109" s="520">
        <f t="shared" ca="1" si="37"/>
        <v>-99</v>
      </c>
      <c r="J109" s="520">
        <f t="shared" ca="1" si="39"/>
        <v>2901</v>
      </c>
      <c r="K109" s="539">
        <v>3000</v>
      </c>
    </row>
    <row r="110" spans="1:12" ht="14.6" x14ac:dyDescent="0.4">
      <c r="A110" s="159"/>
      <c r="B110" s="159" t="str">
        <f t="shared" si="38"/>
        <v>6210-7</v>
      </c>
      <c r="C110" s="154" t="s">
        <v>216</v>
      </c>
      <c r="D110" s="170"/>
      <c r="E110" s="161"/>
      <c r="F110" s="170">
        <v>2</v>
      </c>
      <c r="G110" s="157">
        <v>4000</v>
      </c>
      <c r="H110" s="153">
        <f t="shared" si="35"/>
        <v>8000</v>
      </c>
      <c r="I110" s="153">
        <f t="shared" ca="1" si="37"/>
        <v>-3280.98</v>
      </c>
      <c r="J110" s="153">
        <f t="shared" ca="1" si="39"/>
        <v>4719.0200000000004</v>
      </c>
      <c r="K110" s="162">
        <v>4000</v>
      </c>
    </row>
    <row r="111" spans="1:12" ht="14.6" x14ac:dyDescent="0.4">
      <c r="A111" s="548"/>
      <c r="B111" s="534" t="str">
        <f t="shared" si="38"/>
        <v>6210-8</v>
      </c>
      <c r="C111" s="554" t="s">
        <v>217</v>
      </c>
      <c r="D111" s="535"/>
      <c r="E111" s="536"/>
      <c r="F111" s="535">
        <v>2</v>
      </c>
      <c r="G111" s="537">
        <v>1800</v>
      </c>
      <c r="H111" s="520">
        <f t="shared" si="35"/>
        <v>3600</v>
      </c>
      <c r="I111" s="520">
        <f t="shared" ca="1" si="37"/>
        <v>-98.899999999999636</v>
      </c>
      <c r="J111" s="520">
        <f t="shared" ca="1" si="39"/>
        <v>3501.1000000000004</v>
      </c>
      <c r="K111" s="539">
        <v>5400</v>
      </c>
    </row>
    <row r="112" spans="1:12" ht="14.6" x14ac:dyDescent="0.4">
      <c r="A112" s="559"/>
      <c r="B112" s="207" t="str">
        <f t="shared" si="38"/>
        <v>6210-9</v>
      </c>
      <c r="C112" s="171" t="s">
        <v>218</v>
      </c>
      <c r="D112" s="170"/>
      <c r="E112" s="161"/>
      <c r="F112" s="170">
        <v>2</v>
      </c>
      <c r="G112" s="157">
        <v>1500</v>
      </c>
      <c r="H112" s="153">
        <f t="shared" si="35"/>
        <v>3000</v>
      </c>
      <c r="I112" s="153">
        <f t="shared" ca="1" si="37"/>
        <v>0</v>
      </c>
      <c r="J112" s="153">
        <f t="shared" ca="1" si="39"/>
        <v>3000</v>
      </c>
      <c r="K112" s="162">
        <v>0</v>
      </c>
    </row>
    <row r="113" spans="1:12" ht="22.3" x14ac:dyDescent="0.4">
      <c r="A113" s="553" t="s">
        <v>219</v>
      </c>
      <c r="B113" s="534" t="str">
        <f t="shared" si="38"/>
        <v>6210-10</v>
      </c>
      <c r="C113" s="554" t="s">
        <v>220</v>
      </c>
      <c r="D113" s="535">
        <v>7</v>
      </c>
      <c r="E113" s="536">
        <v>4</v>
      </c>
      <c r="F113" s="535">
        <v>2</v>
      </c>
      <c r="G113" s="537">
        <v>210</v>
      </c>
      <c r="H113" s="520">
        <f>SUM((D113+E113+F113)*G113)+(160*5)+(80*3)+(50*6)</f>
        <v>4070</v>
      </c>
      <c r="I113" s="520">
        <f t="shared" ca="1" si="37"/>
        <v>-562.5</v>
      </c>
      <c r="J113" s="520">
        <f t="shared" ca="1" si="39"/>
        <v>3507.5</v>
      </c>
      <c r="K113" s="539">
        <v>4260</v>
      </c>
    </row>
    <row r="114" spans="1:12" ht="14.6" x14ac:dyDescent="0.4">
      <c r="A114" s="159"/>
      <c r="B114" s="159" t="str">
        <f t="shared" si="38"/>
        <v>6210-11</v>
      </c>
      <c r="C114" s="148" t="s">
        <v>221</v>
      </c>
      <c r="D114" s="560">
        <v>8</v>
      </c>
      <c r="E114" s="164"/>
      <c r="F114" s="164"/>
      <c r="G114" s="157">
        <v>600</v>
      </c>
      <c r="H114" s="153">
        <f t="shared" ref="H114:H120" si="40">SUM((D114+E114+F114)*G114)</f>
        <v>4800</v>
      </c>
      <c r="I114" s="153">
        <f t="shared" ca="1" si="37"/>
        <v>-3457.62</v>
      </c>
      <c r="J114" s="153">
        <f t="shared" ca="1" si="39"/>
        <v>1342.38</v>
      </c>
      <c r="K114" s="162">
        <v>4800</v>
      </c>
    </row>
    <row r="115" spans="1:12" ht="15" customHeight="1" x14ac:dyDescent="0.4">
      <c r="A115" s="548" t="s">
        <v>388</v>
      </c>
      <c r="B115" s="548" t="str">
        <f t="shared" si="38"/>
        <v>6210-12</v>
      </c>
      <c r="C115" s="547" t="s">
        <v>500</v>
      </c>
      <c r="D115" s="555">
        <v>2</v>
      </c>
      <c r="E115" s="551">
        <v>2</v>
      </c>
      <c r="F115" s="551"/>
      <c r="G115" s="537">
        <v>1500</v>
      </c>
      <c r="H115" s="520">
        <f t="shared" si="40"/>
        <v>6000</v>
      </c>
      <c r="I115" s="520">
        <f t="shared" ca="1" si="37"/>
        <v>-959</v>
      </c>
      <c r="J115" s="520">
        <f t="shared" ca="1" si="39"/>
        <v>5041</v>
      </c>
      <c r="K115" s="539">
        <v>0</v>
      </c>
    </row>
    <row r="116" spans="1:12" ht="29.15" x14ac:dyDescent="0.4">
      <c r="A116" s="561" t="s">
        <v>222</v>
      </c>
      <c r="B116" s="159" t="str">
        <f t="shared" si="38"/>
        <v>6210-13</v>
      </c>
      <c r="C116" s="154" t="s">
        <v>223</v>
      </c>
      <c r="D116" s="160">
        <v>2</v>
      </c>
      <c r="E116" s="161"/>
      <c r="F116" s="161"/>
      <c r="G116" s="157">
        <v>295</v>
      </c>
      <c r="H116" s="153">
        <f t="shared" si="40"/>
        <v>590</v>
      </c>
      <c r="I116" s="153">
        <f t="shared" ca="1" si="37"/>
        <v>0</v>
      </c>
      <c r="J116" s="153">
        <f t="shared" ca="1" si="39"/>
        <v>590</v>
      </c>
      <c r="K116" s="162">
        <v>0</v>
      </c>
    </row>
    <row r="117" spans="1:12" ht="14.6" x14ac:dyDescent="0.4">
      <c r="A117" s="548"/>
      <c r="B117" s="534" t="str">
        <f t="shared" si="38"/>
        <v>6210-14</v>
      </c>
      <c r="C117" s="547" t="s">
        <v>224</v>
      </c>
      <c r="D117" s="556"/>
      <c r="E117" s="551">
        <v>2</v>
      </c>
      <c r="F117" s="551"/>
      <c r="G117" s="537">
        <v>2800</v>
      </c>
      <c r="H117" s="520">
        <f t="shared" si="40"/>
        <v>5600</v>
      </c>
      <c r="I117" s="520">
        <f t="shared" ca="1" si="37"/>
        <v>0</v>
      </c>
      <c r="J117" s="520">
        <f t="shared" ca="1" si="39"/>
        <v>5600</v>
      </c>
      <c r="K117" s="539">
        <v>5600</v>
      </c>
      <c r="L117" s="83"/>
    </row>
    <row r="118" spans="1:12" ht="14.6" x14ac:dyDescent="0.4">
      <c r="A118" s="159"/>
      <c r="B118" s="207" t="str">
        <f t="shared" si="38"/>
        <v>6210-15</v>
      </c>
      <c r="C118" s="563" t="s">
        <v>225</v>
      </c>
      <c r="D118" s="564"/>
      <c r="E118" s="564"/>
      <c r="F118" s="564"/>
      <c r="G118" s="565">
        <v>100</v>
      </c>
      <c r="H118" s="153">
        <f t="shared" si="40"/>
        <v>0</v>
      </c>
      <c r="I118" s="153">
        <f t="shared" ca="1" si="37"/>
        <v>0</v>
      </c>
      <c r="J118" s="153">
        <f t="shared" ca="1" si="39"/>
        <v>0</v>
      </c>
      <c r="K118" s="162">
        <v>500</v>
      </c>
    </row>
    <row r="119" spans="1:12" ht="14.6" x14ac:dyDescent="0.4">
      <c r="A119" s="548"/>
      <c r="B119" s="534" t="str">
        <f t="shared" si="38"/>
        <v>6210-16</v>
      </c>
      <c r="C119" s="547" t="s">
        <v>226</v>
      </c>
      <c r="D119" s="551"/>
      <c r="E119" s="551">
        <v>3</v>
      </c>
      <c r="F119" s="551"/>
      <c r="G119" s="537">
        <v>2800</v>
      </c>
      <c r="H119" s="520">
        <f t="shared" si="40"/>
        <v>8400</v>
      </c>
      <c r="I119" s="520">
        <f t="shared" ca="1" si="37"/>
        <v>-3825</v>
      </c>
      <c r="J119" s="520">
        <f t="shared" ca="1" si="39"/>
        <v>4575</v>
      </c>
      <c r="K119" s="539">
        <v>8400</v>
      </c>
    </row>
    <row r="120" spans="1:12" ht="14.6" x14ac:dyDescent="0.4">
      <c r="A120" s="159"/>
      <c r="B120" s="159" t="str">
        <f t="shared" si="38"/>
        <v>6210-17</v>
      </c>
      <c r="C120" s="148" t="s">
        <v>227</v>
      </c>
      <c r="D120" s="557"/>
      <c r="E120" s="558"/>
      <c r="F120" s="557">
        <v>1</v>
      </c>
      <c r="G120" s="157">
        <v>1000</v>
      </c>
      <c r="H120" s="153">
        <f t="shared" si="40"/>
        <v>1000</v>
      </c>
      <c r="I120" s="153">
        <f t="shared" ca="1" si="37"/>
        <v>-2103</v>
      </c>
      <c r="J120" s="153">
        <f t="shared" ca="1" si="39"/>
        <v>-1103</v>
      </c>
      <c r="K120" s="162">
        <v>1000</v>
      </c>
    </row>
    <row r="121" spans="1:12" ht="14.6" x14ac:dyDescent="0.4">
      <c r="A121" s="548"/>
      <c r="B121" s="548" t="str">
        <f t="shared" si="38"/>
        <v>6210-18</v>
      </c>
      <c r="C121" s="549" t="s">
        <v>228</v>
      </c>
      <c r="D121" s="536"/>
      <c r="E121" s="536"/>
      <c r="F121" s="536">
        <v>1</v>
      </c>
      <c r="G121" s="537">
        <v>1500</v>
      </c>
      <c r="H121" s="520">
        <f t="shared" ref="H121:H131" si="41">SUM((D121+E121+F121)*G121)</f>
        <v>1500</v>
      </c>
      <c r="I121" s="520">
        <f t="shared" ca="1" si="37"/>
        <v>-1088.97</v>
      </c>
      <c r="J121" s="520">
        <f t="shared" ca="1" si="39"/>
        <v>411.03</v>
      </c>
      <c r="K121" s="539">
        <v>500</v>
      </c>
    </row>
    <row r="122" spans="1:12" ht="14.6" x14ac:dyDescent="0.4">
      <c r="A122" s="159"/>
      <c r="B122" s="159" t="str">
        <f t="shared" si="38"/>
        <v>6210-19</v>
      </c>
      <c r="C122" s="154" t="s">
        <v>229</v>
      </c>
      <c r="D122" s="170"/>
      <c r="E122" s="161"/>
      <c r="F122" s="170">
        <v>1</v>
      </c>
      <c r="G122" s="157">
        <v>2000</v>
      </c>
      <c r="H122" s="153">
        <f t="shared" si="41"/>
        <v>2000</v>
      </c>
      <c r="I122" s="153">
        <f t="shared" ca="1" si="37"/>
        <v>-11683.3</v>
      </c>
      <c r="J122" s="153">
        <f t="shared" ca="1" si="39"/>
        <v>-9683.2999999999993</v>
      </c>
      <c r="K122" s="162">
        <v>2000</v>
      </c>
    </row>
    <row r="123" spans="1:12" ht="14.6" x14ac:dyDescent="0.4">
      <c r="A123" s="548"/>
      <c r="B123" s="534" t="str">
        <f t="shared" si="38"/>
        <v>6210-20</v>
      </c>
      <c r="C123" s="554" t="s">
        <v>230</v>
      </c>
      <c r="D123" s="535"/>
      <c r="E123" s="536"/>
      <c r="F123" s="535">
        <v>1</v>
      </c>
      <c r="G123" s="537">
        <v>110</v>
      </c>
      <c r="H123" s="520">
        <f t="shared" si="41"/>
        <v>110</v>
      </c>
      <c r="I123" s="520">
        <f t="shared" ca="1" si="37"/>
        <v>-267.83999999999997</v>
      </c>
      <c r="J123" s="520">
        <f t="shared" ca="1" si="39"/>
        <v>-157.83999999999997</v>
      </c>
      <c r="K123" s="539">
        <v>110</v>
      </c>
    </row>
    <row r="124" spans="1:12" ht="14.6" x14ac:dyDescent="0.4">
      <c r="A124" s="159"/>
      <c r="B124" s="207" t="str">
        <f t="shared" si="38"/>
        <v>6210-21</v>
      </c>
      <c r="C124" s="171" t="s">
        <v>231</v>
      </c>
      <c r="D124" s="170">
        <v>2</v>
      </c>
      <c r="E124" s="161">
        <v>2</v>
      </c>
      <c r="F124" s="170">
        <v>3</v>
      </c>
      <c r="G124" s="157">
        <v>205</v>
      </c>
      <c r="H124" s="153">
        <f t="shared" si="41"/>
        <v>1435</v>
      </c>
      <c r="I124" s="153">
        <f t="shared" ca="1" si="37"/>
        <v>-792</v>
      </c>
      <c r="J124" s="153">
        <f t="shared" ca="1" si="39"/>
        <v>643</v>
      </c>
      <c r="K124" s="162">
        <v>2050</v>
      </c>
    </row>
    <row r="125" spans="1:12" ht="14.6" x14ac:dyDescent="0.4">
      <c r="A125" s="548" t="s">
        <v>492</v>
      </c>
      <c r="B125" s="534" t="str">
        <f t="shared" si="38"/>
        <v>6210-22</v>
      </c>
      <c r="C125" s="554" t="s">
        <v>232</v>
      </c>
      <c r="D125" s="535">
        <v>4</v>
      </c>
      <c r="E125" s="536">
        <v>2</v>
      </c>
      <c r="F125" s="535">
        <v>4</v>
      </c>
      <c r="G125" s="537">
        <v>1000</v>
      </c>
      <c r="H125" s="520">
        <f t="shared" si="41"/>
        <v>10000</v>
      </c>
      <c r="I125" s="520">
        <f t="shared" ca="1" si="37"/>
        <v>-11279.16</v>
      </c>
      <c r="J125" s="520">
        <f t="shared" ca="1" si="39"/>
        <v>-1279.1599999999999</v>
      </c>
      <c r="K125" s="539">
        <v>5500</v>
      </c>
    </row>
    <row r="126" spans="1:12" ht="14.6" x14ac:dyDescent="0.4">
      <c r="A126" s="159" t="s">
        <v>233</v>
      </c>
      <c r="B126" s="159" t="str">
        <f t="shared" si="38"/>
        <v>6210-23</v>
      </c>
      <c r="C126" s="148" t="s">
        <v>234</v>
      </c>
      <c r="D126" s="560"/>
      <c r="E126" s="164"/>
      <c r="F126" s="164"/>
      <c r="G126" s="157">
        <v>700</v>
      </c>
      <c r="H126" s="153">
        <f t="shared" si="41"/>
        <v>0</v>
      </c>
      <c r="I126" s="153">
        <f t="shared" ca="1" si="37"/>
        <v>0</v>
      </c>
      <c r="J126" s="153">
        <f t="shared" ca="1" si="39"/>
        <v>0</v>
      </c>
      <c r="K126" s="162">
        <v>5600</v>
      </c>
    </row>
    <row r="127" spans="1:12" ht="14.6" x14ac:dyDescent="0.4">
      <c r="A127" s="548"/>
      <c r="B127" s="548" t="str">
        <f t="shared" si="38"/>
        <v>6210-24</v>
      </c>
      <c r="C127" s="547" t="s">
        <v>235</v>
      </c>
      <c r="D127" s="555"/>
      <c r="E127" s="551"/>
      <c r="F127" s="551">
        <v>1</v>
      </c>
      <c r="G127" s="537">
        <v>2000</v>
      </c>
      <c r="H127" s="520">
        <f t="shared" si="41"/>
        <v>2000</v>
      </c>
      <c r="I127" s="520">
        <f t="shared" ca="1" si="37"/>
        <v>-2000</v>
      </c>
      <c r="J127" s="520">
        <f t="shared" ca="1" si="39"/>
        <v>0</v>
      </c>
      <c r="K127" s="539">
        <v>2000</v>
      </c>
    </row>
    <row r="128" spans="1:12" ht="14.6" x14ac:dyDescent="0.4">
      <c r="A128" s="159"/>
      <c r="B128" s="159" t="str">
        <f t="shared" si="38"/>
        <v>6210-25</v>
      </c>
      <c r="C128" s="154" t="s">
        <v>236</v>
      </c>
      <c r="D128" s="160">
        <v>4</v>
      </c>
      <c r="E128" s="161"/>
      <c r="F128" s="161"/>
      <c r="G128" s="157">
        <v>500</v>
      </c>
      <c r="H128" s="153">
        <f t="shared" si="41"/>
        <v>2000</v>
      </c>
      <c r="I128" s="153">
        <f t="shared" ca="1" si="37"/>
        <v>0</v>
      </c>
      <c r="J128" s="153">
        <f t="shared" ca="1" si="39"/>
        <v>2000</v>
      </c>
      <c r="K128" s="162">
        <v>2000</v>
      </c>
    </row>
    <row r="129" spans="1:12" ht="14.6" x14ac:dyDescent="0.4">
      <c r="A129" s="548"/>
      <c r="B129" s="534" t="str">
        <f t="shared" si="38"/>
        <v>6210-26</v>
      </c>
      <c r="C129" s="547" t="s">
        <v>237</v>
      </c>
      <c r="D129" s="556">
        <v>2</v>
      </c>
      <c r="E129" s="551"/>
      <c r="F129" s="551"/>
      <c r="G129" s="537">
        <v>700</v>
      </c>
      <c r="H129" s="520">
        <f t="shared" si="41"/>
        <v>1400</v>
      </c>
      <c r="I129" s="520">
        <f t="shared" ca="1" si="37"/>
        <v>-1050</v>
      </c>
      <c r="J129" s="520">
        <f t="shared" ca="1" si="39"/>
        <v>350</v>
      </c>
      <c r="K129" s="539">
        <v>1400</v>
      </c>
    </row>
    <row r="130" spans="1:12" ht="26.25" customHeight="1" x14ac:dyDescent="0.4">
      <c r="A130" s="562"/>
      <c r="B130" s="207" t="str">
        <f t="shared" si="38"/>
        <v>6210-27</v>
      </c>
      <c r="C130" s="154" t="s">
        <v>238</v>
      </c>
      <c r="D130" s="161">
        <v>40</v>
      </c>
      <c r="E130" s="161"/>
      <c r="F130" s="161"/>
      <c r="G130" s="157">
        <f>250+15</f>
        <v>265</v>
      </c>
      <c r="H130" s="153">
        <f t="shared" si="41"/>
        <v>10600</v>
      </c>
      <c r="I130" s="153">
        <f t="shared" ca="1" si="37"/>
        <v>-13827.9</v>
      </c>
      <c r="J130" s="153">
        <f t="shared" ca="1" si="39"/>
        <v>-3227.8999999999996</v>
      </c>
      <c r="K130" s="162">
        <v>10600</v>
      </c>
    </row>
    <row r="131" spans="1:12" ht="14.6" x14ac:dyDescent="0.4">
      <c r="A131" s="548"/>
      <c r="B131" s="534" t="str">
        <f t="shared" si="38"/>
        <v>6210-28</v>
      </c>
      <c r="C131" s="547" t="s">
        <v>239</v>
      </c>
      <c r="D131" s="551">
        <v>3</v>
      </c>
      <c r="E131" s="551"/>
      <c r="F131" s="551"/>
      <c r="G131" s="537">
        <v>1000</v>
      </c>
      <c r="H131" s="520">
        <f t="shared" si="41"/>
        <v>3000</v>
      </c>
      <c r="I131" s="520">
        <f t="shared" ca="1" si="37"/>
        <v>0</v>
      </c>
      <c r="J131" s="520">
        <f t="shared" ca="1" si="39"/>
        <v>3000</v>
      </c>
      <c r="K131" s="539">
        <v>3000</v>
      </c>
    </row>
    <row r="132" spans="1:12" ht="14.6" x14ac:dyDescent="0.4">
      <c r="A132" s="159"/>
      <c r="B132" s="159" t="str">
        <f t="shared" si="38"/>
        <v>6210-29</v>
      </c>
      <c r="C132" s="148" t="s">
        <v>240</v>
      </c>
      <c r="D132" s="557">
        <v>6</v>
      </c>
      <c r="E132" s="558">
        <v>3</v>
      </c>
      <c r="F132" s="557">
        <v>2</v>
      </c>
      <c r="G132" s="157">
        <v>90</v>
      </c>
      <c r="H132" s="153">
        <f>SUM((D132+E132+F132)*G132)+(15*4)</f>
        <v>1050</v>
      </c>
      <c r="I132" s="153">
        <f t="shared" ca="1" si="37"/>
        <v>-720</v>
      </c>
      <c r="J132" s="153">
        <f t="shared" ca="1" si="39"/>
        <v>330</v>
      </c>
      <c r="K132" s="162">
        <v>950</v>
      </c>
    </row>
    <row r="133" spans="1:12" ht="14.6" x14ac:dyDescent="0.4">
      <c r="A133" s="548"/>
      <c r="B133" s="548" t="str">
        <f t="shared" si="38"/>
        <v>6210-30</v>
      </c>
      <c r="C133" s="549" t="s">
        <v>241</v>
      </c>
      <c r="D133" s="536">
        <v>2</v>
      </c>
      <c r="E133" s="536"/>
      <c r="F133" s="536">
        <v>1</v>
      </c>
      <c r="G133" s="537">
        <v>1000</v>
      </c>
      <c r="H133" s="520">
        <f t="shared" ref="H133:H134" si="42">SUM((D133+E133+F133)*G133)</f>
        <v>3000</v>
      </c>
      <c r="I133" s="520">
        <f t="shared" ca="1" si="37"/>
        <v>0</v>
      </c>
      <c r="J133" s="520">
        <f t="shared" ca="1" si="39"/>
        <v>3000</v>
      </c>
      <c r="K133" s="539">
        <v>2000</v>
      </c>
    </row>
    <row r="134" spans="1:12" ht="14.6" x14ac:dyDescent="0.4">
      <c r="A134" s="159"/>
      <c r="B134" s="159" t="str">
        <f t="shared" si="38"/>
        <v>6210-31</v>
      </c>
      <c r="C134" s="154" t="s">
        <v>242</v>
      </c>
      <c r="D134" s="170"/>
      <c r="E134" s="161"/>
      <c r="F134" s="170">
        <v>2</v>
      </c>
      <c r="G134" s="157">
        <v>350</v>
      </c>
      <c r="H134" s="153">
        <f t="shared" si="42"/>
        <v>700</v>
      </c>
      <c r="I134" s="153">
        <f t="shared" ca="1" si="37"/>
        <v>0</v>
      </c>
      <c r="J134" s="153">
        <f t="shared" ca="1" si="39"/>
        <v>700</v>
      </c>
      <c r="K134" s="162">
        <v>700</v>
      </c>
    </row>
    <row r="135" spans="1:12" ht="14.6" x14ac:dyDescent="0.4">
      <c r="A135" s="548"/>
      <c r="B135" s="534" t="str">
        <f t="shared" si="38"/>
        <v>6210-32</v>
      </c>
      <c r="C135" s="554" t="s">
        <v>243</v>
      </c>
      <c r="D135" s="535">
        <v>35</v>
      </c>
      <c r="E135" s="536">
        <v>3</v>
      </c>
      <c r="F135" s="535">
        <v>2</v>
      </c>
      <c r="G135" s="537">
        <v>60</v>
      </c>
      <c r="H135" s="520">
        <f>SUM((D135+E135+F135)*G135)+(125*2)</f>
        <v>2650</v>
      </c>
      <c r="I135" s="520">
        <f t="shared" ca="1" si="37"/>
        <v>-1902.5</v>
      </c>
      <c r="J135" s="520">
        <f t="shared" ca="1" si="39"/>
        <v>747.5</v>
      </c>
      <c r="K135" s="539">
        <v>2530</v>
      </c>
    </row>
    <row r="136" spans="1:12" ht="15" customHeight="1" x14ac:dyDescent="0.4">
      <c r="A136" s="159"/>
      <c r="B136" s="207" t="str">
        <f t="shared" si="38"/>
        <v>6210-33</v>
      </c>
      <c r="C136" s="171" t="s">
        <v>244</v>
      </c>
      <c r="D136" s="170">
        <v>2</v>
      </c>
      <c r="E136" s="161"/>
      <c r="F136" s="170"/>
      <c r="G136" s="157">
        <v>450</v>
      </c>
      <c r="H136" s="153">
        <f t="shared" ref="H136:H137" si="43">SUM((D136+E136+F136)*G136)</f>
        <v>900</v>
      </c>
      <c r="I136" s="153">
        <f t="shared" ca="1" si="37"/>
        <v>-2013</v>
      </c>
      <c r="J136" s="153">
        <f t="shared" ca="1" si="39"/>
        <v>-1113</v>
      </c>
      <c r="K136" s="162">
        <v>1800</v>
      </c>
    </row>
    <row r="137" spans="1:12" ht="14.6" x14ac:dyDescent="0.4">
      <c r="A137" s="548"/>
      <c r="B137" s="534" t="str">
        <f t="shared" si="38"/>
        <v>6210-34</v>
      </c>
      <c r="C137" s="554" t="s">
        <v>245</v>
      </c>
      <c r="D137" s="535">
        <v>1</v>
      </c>
      <c r="E137" s="536"/>
      <c r="F137" s="535">
        <v>2</v>
      </c>
      <c r="G137" s="537">
        <v>2000</v>
      </c>
      <c r="H137" s="520">
        <f t="shared" si="43"/>
        <v>6000</v>
      </c>
      <c r="I137" s="520">
        <f t="shared" ca="1" si="37"/>
        <v>-1507.9100000000008</v>
      </c>
      <c r="J137" s="520">
        <f t="shared" ca="1" si="39"/>
        <v>4492.0899999999992</v>
      </c>
      <c r="K137" s="539">
        <v>6000</v>
      </c>
    </row>
    <row r="138" spans="1:12" ht="14.6" x14ac:dyDescent="0.4">
      <c r="A138" s="159"/>
      <c r="B138" s="159" t="str">
        <f t="shared" si="38"/>
        <v>6210-35</v>
      </c>
      <c r="C138" s="148" t="s">
        <v>246</v>
      </c>
      <c r="D138" s="560">
        <v>2</v>
      </c>
      <c r="E138" s="164"/>
      <c r="F138" s="164"/>
      <c r="G138" s="157">
        <v>75</v>
      </c>
      <c r="H138" s="153">
        <f>SUM((D138+E138+F138)*G138)</f>
        <v>150</v>
      </c>
      <c r="I138" s="153">
        <f t="shared" ca="1" si="37"/>
        <v>-25</v>
      </c>
      <c r="J138" s="153">
        <f t="shared" ca="1" si="39"/>
        <v>125</v>
      </c>
      <c r="K138" s="162">
        <v>150</v>
      </c>
    </row>
    <row r="139" spans="1:12" thickBot="1" x14ac:dyDescent="0.45">
      <c r="A139" s="112"/>
      <c r="B139" s="548"/>
      <c r="C139" s="75" t="s">
        <v>247</v>
      </c>
      <c r="D139" s="76"/>
      <c r="E139" s="76"/>
      <c r="F139" s="14" t="s">
        <v>61</v>
      </c>
      <c r="G139" s="334">
        <f>SUM(Summary!$D$15)</f>
        <v>4.4901777362020577E-2</v>
      </c>
      <c r="H139" s="335">
        <f>SUM(H103:H138)</f>
        <v>111623</v>
      </c>
      <c r="I139" s="335">
        <f ca="1">SUM(I103:I138)</f>
        <v>-67543.760000000009</v>
      </c>
      <c r="J139" s="335">
        <f ca="1">SUM(J103:J138)</f>
        <v>44079.24</v>
      </c>
      <c r="K139" s="363">
        <f>SUM(K103:K138)</f>
        <v>106870</v>
      </c>
    </row>
    <row r="140" spans="1:12" ht="0.75" customHeight="1" thickTop="1" x14ac:dyDescent="0.5">
      <c r="A140" s="370"/>
      <c r="B140" s="221"/>
      <c r="C140" s="370"/>
      <c r="D140" s="370"/>
      <c r="E140" s="370"/>
      <c r="F140" s="370"/>
      <c r="G140" s="370"/>
      <c r="H140" s="371"/>
      <c r="I140" s="371"/>
      <c r="J140" s="371"/>
      <c r="K140" s="370"/>
      <c r="L140" s="372"/>
    </row>
    <row r="141" spans="1:12" ht="19.5" customHeight="1" x14ac:dyDescent="0.5">
      <c r="A141" s="777" t="s">
        <v>248</v>
      </c>
      <c r="B141" s="777"/>
      <c r="C141" s="778"/>
      <c r="D141" s="778"/>
      <c r="E141" s="778"/>
      <c r="F141" s="778"/>
      <c r="G141" s="778"/>
      <c r="H141" s="778"/>
      <c r="I141" s="778" t="e">
        <f t="shared" ref="I141:I150" ca="1" si="44">-(SUMIF(INDIRECT(LEFT($A$111,4)&amp;"!E3:E500"),"="&amp;B141&amp;" *",INDIRECT(LEFT($A$111,4)&amp;"!F3:F500")))</f>
        <v>#REF!</v>
      </c>
      <c r="J141" s="778" t="e">
        <f t="shared" ref="J141:J151" ca="1" si="45">SUM(H141:I141)</f>
        <v>#REF!</v>
      </c>
      <c r="K141" s="778"/>
    </row>
    <row r="142" spans="1:12" ht="14.6" x14ac:dyDescent="0.4">
      <c r="A142" s="62" t="s">
        <v>249</v>
      </c>
      <c r="B142" s="101" t="str">
        <f>LEFT($A141,4)&amp;"-1"</f>
        <v>6215-1</v>
      </c>
      <c r="C142" s="111" t="s">
        <v>250</v>
      </c>
      <c r="D142" s="104"/>
      <c r="E142" s="51">
        <v>12</v>
      </c>
      <c r="F142" s="51"/>
      <c r="G142" s="39">
        <v>250</v>
      </c>
      <c r="H142" s="33">
        <f t="shared" ref="H142:H147" si="46">((D142+E142+F142)*G142)</f>
        <v>3000</v>
      </c>
      <c r="I142" s="33">
        <f ca="1">-(SUMIF(INDIRECT(LEFT($A$141,4)&amp;"!I3:I500"),"="&amp;B142&amp;" *",INDIRECT(LEFT($A$141,4)&amp;"!K3:K500")))</f>
        <v>-465.56</v>
      </c>
      <c r="J142" s="33">
        <f t="shared" ca="1" si="45"/>
        <v>2534.44</v>
      </c>
      <c r="K142" s="33">
        <v>3000</v>
      </c>
    </row>
    <row r="143" spans="1:12" ht="14.6" x14ac:dyDescent="0.4">
      <c r="A143" s="220"/>
      <c r="B143" s="189" t="str">
        <f t="shared" ref="B143:B147" si="47">LEFT($B142,4)&amp;"-"&amp;VALUE(MID($B142,FIND("-",$B142)+1,256))+1</f>
        <v>6215-2</v>
      </c>
      <c r="C143" s="373" t="s">
        <v>251</v>
      </c>
      <c r="D143" s="374"/>
      <c r="E143" s="375">
        <v>12</v>
      </c>
      <c r="F143" s="375"/>
      <c r="G143" s="341">
        <v>418.7</v>
      </c>
      <c r="H143" s="329">
        <f t="shared" si="46"/>
        <v>5024.3999999999996</v>
      </c>
      <c r="I143" s="329">
        <f t="shared" ref="I143:I147" ca="1" si="48">-(SUMIF(INDIRECT(LEFT($A$141,4)&amp;"!I3:I500"),"="&amp;B143&amp;" *",INDIRECT(LEFT($A$141,4)&amp;"!K3:K500")))</f>
        <v>-4839.24</v>
      </c>
      <c r="J143" s="329">
        <f t="shared" ca="1" si="45"/>
        <v>185.15999999999985</v>
      </c>
      <c r="K143" s="329">
        <v>5024.3999999999996</v>
      </c>
    </row>
    <row r="144" spans="1:12" ht="14.6" x14ac:dyDescent="0.4">
      <c r="A144" s="62"/>
      <c r="B144" s="73" t="str">
        <f t="shared" si="47"/>
        <v>6215-3</v>
      </c>
      <c r="C144" s="84" t="s">
        <v>252</v>
      </c>
      <c r="D144" s="105"/>
      <c r="E144" s="51">
        <v>4</v>
      </c>
      <c r="F144" s="113"/>
      <c r="G144" s="39">
        <v>1168.6199999999999</v>
      </c>
      <c r="H144" s="33">
        <f t="shared" si="46"/>
        <v>4674.4799999999996</v>
      </c>
      <c r="I144" s="33">
        <f t="shared" ca="1" si="48"/>
        <v>-5196.18</v>
      </c>
      <c r="J144" s="33">
        <f t="shared" ref="J144:J147" ca="1" si="49">SUM(H144:I144)</f>
        <v>-521.70000000000073</v>
      </c>
      <c r="K144" s="33">
        <v>4674.4799999999996</v>
      </c>
    </row>
    <row r="145" spans="1:12" ht="15.75" customHeight="1" x14ac:dyDescent="0.4">
      <c r="A145" s="376" t="s">
        <v>249</v>
      </c>
      <c r="B145" s="207" t="str">
        <f t="shared" si="47"/>
        <v>6215-4</v>
      </c>
      <c r="C145" s="377" t="s">
        <v>253</v>
      </c>
      <c r="D145" s="378"/>
      <c r="E145" s="379">
        <v>12</v>
      </c>
      <c r="F145" s="380"/>
      <c r="G145" s="381">
        <f>1292+345</f>
        <v>1637</v>
      </c>
      <c r="H145" s="382">
        <f t="shared" si="46"/>
        <v>19644</v>
      </c>
      <c r="I145" s="329">
        <f t="shared" ca="1" si="48"/>
        <v>-19644</v>
      </c>
      <c r="J145" s="329">
        <f t="shared" ca="1" si="49"/>
        <v>0</v>
      </c>
      <c r="K145" s="382">
        <v>19644</v>
      </c>
    </row>
    <row r="146" spans="1:12" ht="14.6" x14ac:dyDescent="0.4">
      <c r="A146" s="62"/>
      <c r="B146" s="221" t="str">
        <f>LEFT($B145,4)&amp;"-"&amp;VALUE(MID($B145,FIND("-",$B145)+1,256))+1</f>
        <v>6215-5</v>
      </c>
      <c r="C146" s="84" t="s">
        <v>254</v>
      </c>
      <c r="D146" s="105"/>
      <c r="E146" s="51">
        <v>1</v>
      </c>
      <c r="F146" s="105"/>
      <c r="G146" s="39">
        <v>2500</v>
      </c>
      <c r="H146" s="33">
        <f t="shared" si="46"/>
        <v>2500</v>
      </c>
      <c r="I146" s="33">
        <f t="shared" ca="1" si="48"/>
        <v>-1287.06</v>
      </c>
      <c r="J146" s="33">
        <f t="shared" ca="1" si="49"/>
        <v>1212.94</v>
      </c>
      <c r="K146" s="33">
        <v>2500</v>
      </c>
    </row>
    <row r="147" spans="1:12" ht="14.6" x14ac:dyDescent="0.4">
      <c r="A147" s="383"/>
      <c r="B147" s="159" t="str">
        <f t="shared" si="47"/>
        <v>6215-6</v>
      </c>
      <c r="C147" s="325" t="s">
        <v>255</v>
      </c>
      <c r="D147" s="384"/>
      <c r="E147" s="354">
        <v>12</v>
      </c>
      <c r="F147" s="354"/>
      <c r="G147" s="341">
        <v>428.56</v>
      </c>
      <c r="H147" s="329">
        <f t="shared" si="46"/>
        <v>5142.72</v>
      </c>
      <c r="I147" s="329">
        <f t="shared" ca="1" si="48"/>
        <v>0</v>
      </c>
      <c r="J147" s="329">
        <f t="shared" ca="1" si="49"/>
        <v>5142.72</v>
      </c>
      <c r="K147" s="329">
        <v>5142.72</v>
      </c>
    </row>
    <row r="148" spans="1:12" thickBot="1" x14ac:dyDescent="0.45">
      <c r="A148" s="49"/>
      <c r="B148" s="221"/>
      <c r="C148" s="75" t="s">
        <v>66</v>
      </c>
      <c r="D148" s="76"/>
      <c r="E148" s="76"/>
      <c r="F148" s="14" t="s">
        <v>61</v>
      </c>
      <c r="G148" s="334">
        <f>SUM(Summary!D16)</f>
        <v>0</v>
      </c>
      <c r="H148" s="336">
        <f>SUM(H142:H147)</f>
        <v>39985.599999999999</v>
      </c>
      <c r="I148" s="336">
        <f t="shared" ref="I148:J148" ca="1" si="50">SUM(I142:I147)</f>
        <v>-31432.04</v>
      </c>
      <c r="J148" s="336">
        <f t="shared" ca="1" si="50"/>
        <v>8553.56</v>
      </c>
      <c r="K148" s="336">
        <f>SUM(K142:K147)</f>
        <v>39985.599999999999</v>
      </c>
    </row>
    <row r="149" spans="1:12" ht="10.5" customHeight="1" thickTop="1" x14ac:dyDescent="0.5">
      <c r="A149" s="370"/>
      <c r="B149" s="73"/>
      <c r="C149" s="370"/>
      <c r="D149" s="370"/>
      <c r="E149" s="370"/>
      <c r="F149" s="370"/>
      <c r="G149" s="370"/>
      <c r="H149" s="371"/>
      <c r="I149" s="371"/>
      <c r="J149" s="371"/>
      <c r="K149" s="370"/>
      <c r="L149" s="372"/>
    </row>
    <row r="150" spans="1:12" ht="20.25" customHeight="1" x14ac:dyDescent="0.5">
      <c r="A150" s="777" t="s">
        <v>256</v>
      </c>
      <c r="B150" s="777"/>
      <c r="C150" s="778"/>
      <c r="D150" s="778"/>
      <c r="E150" s="778"/>
      <c r="F150" s="778"/>
      <c r="G150" s="778"/>
      <c r="H150" s="778"/>
      <c r="I150" s="778" t="e">
        <f t="shared" ca="1" si="44"/>
        <v>#REF!</v>
      </c>
      <c r="J150" s="778" t="e">
        <f t="shared" ca="1" si="45"/>
        <v>#REF!</v>
      </c>
      <c r="K150" s="778"/>
    </row>
    <row r="151" spans="1:12" ht="15" customHeight="1" x14ac:dyDescent="0.4">
      <c r="A151" s="462" t="s">
        <v>257</v>
      </c>
      <c r="B151" s="73" t="str">
        <f>LEFT($A150,4)&amp;"-1"</f>
        <v>6220-1</v>
      </c>
      <c r="C151" s="84" t="s">
        <v>258</v>
      </c>
      <c r="D151" s="105"/>
      <c r="E151" s="51">
        <v>12</v>
      </c>
      <c r="F151" s="105"/>
      <c r="G151" s="39">
        <f>1900*0.75</f>
        <v>1425</v>
      </c>
      <c r="H151" s="33">
        <f>(D151+E151+F151)*G151</f>
        <v>17100</v>
      </c>
      <c r="I151" s="33">
        <f ca="1">-(SUMIF(INDIRECT(LEFT($A$150,4)&amp;"!I3:I500"),"="&amp;B151&amp;" *",INDIRECT(LEFT($A$150,4)&amp;"!K3:K500")))</f>
        <v>-27713.77</v>
      </c>
      <c r="J151" s="33">
        <f t="shared" ca="1" si="45"/>
        <v>-10613.77</v>
      </c>
      <c r="K151" s="33">
        <v>11700</v>
      </c>
    </row>
    <row r="152" spans="1:12" ht="15" customHeight="1" x14ac:dyDescent="0.4">
      <c r="A152" s="571"/>
      <c r="B152" s="147"/>
      <c r="C152" s="572" t="s">
        <v>515</v>
      </c>
      <c r="D152" s="573"/>
      <c r="E152" s="195"/>
      <c r="F152" s="573"/>
      <c r="G152" s="574"/>
      <c r="H152" s="153">
        <v>0</v>
      </c>
      <c r="I152" s="153">
        <f t="shared" ref="I152:I160" ca="1" si="51">-(SUMIF(INDIRECT(LEFT($A$150,4)&amp;"!I3:I500"),"="&amp;B152&amp;" *",INDIRECT(LEFT($A$150,4)&amp;"!K3:K500")))</f>
        <v>0</v>
      </c>
      <c r="J152" s="153"/>
      <c r="K152" s="153">
        <v>6273.54</v>
      </c>
    </row>
    <row r="153" spans="1:12" ht="14.6" x14ac:dyDescent="0.4">
      <c r="A153" s="534"/>
      <c r="B153" s="566" t="str">
        <f>LEFT($B151,4)&amp;"-"&amp;VALUE(MID($B151,FIND("-",$B151)+1,256))+1</f>
        <v>6220-2</v>
      </c>
      <c r="C153" s="567" t="s">
        <v>259</v>
      </c>
      <c r="D153" s="523"/>
      <c r="E153" s="524">
        <v>12</v>
      </c>
      <c r="F153" s="523"/>
      <c r="G153" s="526">
        <v>1585</v>
      </c>
      <c r="H153" s="568">
        <f>(D153+E153+F153)*G153</f>
        <v>19020</v>
      </c>
      <c r="I153" s="520">
        <f t="shared" ca="1" si="51"/>
        <v>-17580</v>
      </c>
      <c r="J153" s="520">
        <f t="shared" ref="J153:J160" ca="1" si="52">SUM(H153:I153)</f>
        <v>1440</v>
      </c>
      <c r="K153" s="520">
        <v>10500</v>
      </c>
    </row>
    <row r="154" spans="1:12" ht="14.6" x14ac:dyDescent="0.4">
      <c r="A154" s="386"/>
      <c r="B154" s="575" t="str">
        <f t="shared" ref="B154:B160" si="53">LEFT($B153,4)&amp;"-"&amp;VALUE(MID($B153,FIND("-",$B153)+1,256))+1</f>
        <v>6220-3</v>
      </c>
      <c r="C154" s="576" t="s">
        <v>260</v>
      </c>
      <c r="D154" s="361"/>
      <c r="E154" s="208">
        <v>12</v>
      </c>
      <c r="F154" s="361"/>
      <c r="G154" s="210">
        <v>155</v>
      </c>
      <c r="H154" s="157">
        <f t="shared" ref="H154:H160" si="54">SUM((D154+E154+F154)*G154)</f>
        <v>1860</v>
      </c>
      <c r="I154" s="153">
        <f t="shared" ca="1" si="51"/>
        <v>-1152.25</v>
      </c>
      <c r="J154" s="153">
        <f t="shared" ca="1" si="52"/>
        <v>707.75</v>
      </c>
      <c r="K154" s="338">
        <v>1860</v>
      </c>
    </row>
    <row r="155" spans="1:12" ht="14.6" x14ac:dyDescent="0.4">
      <c r="A155" s="534"/>
      <c r="B155" s="566" t="str">
        <f t="shared" si="53"/>
        <v>6220-4</v>
      </c>
      <c r="C155" s="567" t="s">
        <v>261</v>
      </c>
      <c r="D155" s="523"/>
      <c r="E155" s="524">
        <v>12</v>
      </c>
      <c r="F155" s="523"/>
      <c r="G155" s="526">
        <v>2600</v>
      </c>
      <c r="H155" s="570">
        <f t="shared" si="54"/>
        <v>31200</v>
      </c>
      <c r="I155" s="520">
        <f t="shared" ca="1" si="51"/>
        <v>-54579.83</v>
      </c>
      <c r="J155" s="520">
        <f t="shared" ca="1" si="52"/>
        <v>-23379.83</v>
      </c>
      <c r="K155" s="520">
        <v>32000</v>
      </c>
    </row>
    <row r="156" spans="1:12" ht="15.75" customHeight="1" x14ac:dyDescent="0.4">
      <c r="A156" s="207"/>
      <c r="B156" s="575" t="str">
        <f t="shared" si="53"/>
        <v>6220-5</v>
      </c>
      <c r="C156" s="211" t="s">
        <v>262</v>
      </c>
      <c r="D156" s="212"/>
      <c r="E156" s="213">
        <v>12</v>
      </c>
      <c r="F156" s="212"/>
      <c r="G156" s="210">
        <v>380</v>
      </c>
      <c r="H156" s="338">
        <f t="shared" si="54"/>
        <v>4560</v>
      </c>
      <c r="I156" s="153">
        <f t="shared" ca="1" si="51"/>
        <v>-5222.67</v>
      </c>
      <c r="J156" s="153">
        <f t="shared" ca="1" si="52"/>
        <v>-662.67000000000007</v>
      </c>
      <c r="K156" s="338">
        <v>4560</v>
      </c>
    </row>
    <row r="157" spans="1:12" ht="14.6" x14ac:dyDescent="0.4">
      <c r="A157" s="548"/>
      <c r="B157" s="566" t="str">
        <f t="shared" si="53"/>
        <v>6220-6</v>
      </c>
      <c r="C157" s="549" t="s">
        <v>263</v>
      </c>
      <c r="D157" s="536"/>
      <c r="E157" s="536">
        <v>12</v>
      </c>
      <c r="F157" s="536"/>
      <c r="G157" s="537">
        <v>1300</v>
      </c>
      <c r="H157" s="538">
        <f t="shared" si="54"/>
        <v>15600</v>
      </c>
      <c r="I157" s="520">
        <f t="shared" ca="1" si="51"/>
        <v>-27132.25</v>
      </c>
      <c r="J157" s="520">
        <f t="shared" ca="1" si="52"/>
        <v>-11532.25</v>
      </c>
      <c r="K157" s="538">
        <v>15600</v>
      </c>
    </row>
    <row r="158" spans="1:12" ht="14.6" x14ac:dyDescent="0.4">
      <c r="A158" s="577"/>
      <c r="B158" s="575" t="str">
        <f t="shared" si="53"/>
        <v>6220-7</v>
      </c>
      <c r="C158" s="171" t="s">
        <v>264</v>
      </c>
      <c r="D158" s="170"/>
      <c r="E158" s="161">
        <v>1</v>
      </c>
      <c r="F158" s="170"/>
      <c r="G158" s="157">
        <v>100</v>
      </c>
      <c r="H158" s="338">
        <f t="shared" si="54"/>
        <v>100</v>
      </c>
      <c r="I158" s="153">
        <f t="shared" ca="1" si="51"/>
        <v>-15</v>
      </c>
      <c r="J158" s="153">
        <f t="shared" ca="1" si="52"/>
        <v>85</v>
      </c>
      <c r="K158" s="153">
        <v>100</v>
      </c>
    </row>
    <row r="159" spans="1:12" ht="14.6" x14ac:dyDescent="0.4">
      <c r="A159" s="569"/>
      <c r="B159" s="566" t="str">
        <f t="shared" si="53"/>
        <v>6220-8</v>
      </c>
      <c r="C159" s="554" t="s">
        <v>265</v>
      </c>
      <c r="D159" s="535"/>
      <c r="E159" s="536">
        <v>12</v>
      </c>
      <c r="F159" s="535"/>
      <c r="G159" s="537">
        <f>75.98</f>
        <v>75.98</v>
      </c>
      <c r="H159" s="538">
        <f t="shared" si="54"/>
        <v>911.76</v>
      </c>
      <c r="I159" s="520">
        <f t="shared" ca="1" si="51"/>
        <v>-531.88000000000011</v>
      </c>
      <c r="J159" s="520">
        <f t="shared" ca="1" si="52"/>
        <v>379.87999999999988</v>
      </c>
      <c r="K159" s="538">
        <v>911.76</v>
      </c>
    </row>
    <row r="160" spans="1:12" ht="14.6" x14ac:dyDescent="0.4">
      <c r="A160" s="159"/>
      <c r="B160" s="575" t="str">
        <f t="shared" si="53"/>
        <v>6220-9</v>
      </c>
      <c r="C160" s="148" t="s">
        <v>266</v>
      </c>
      <c r="D160" s="172"/>
      <c r="E160" s="164"/>
      <c r="F160" s="164">
        <v>12</v>
      </c>
      <c r="G160" s="157">
        <f>6100*105%</f>
        <v>6405</v>
      </c>
      <c r="H160" s="338">
        <f t="shared" si="54"/>
        <v>76860</v>
      </c>
      <c r="I160" s="153">
        <f t="shared" ca="1" si="51"/>
        <v>-70654.28</v>
      </c>
      <c r="J160" s="153">
        <f t="shared" ca="1" si="52"/>
        <v>6205.7200000000012</v>
      </c>
      <c r="K160" s="153">
        <v>74806.200000000012</v>
      </c>
    </row>
    <row r="161" spans="1:11" ht="15.75" customHeight="1" thickBot="1" x14ac:dyDescent="0.45">
      <c r="A161" s="49"/>
      <c r="B161" s="49"/>
      <c r="C161" s="75" t="s">
        <v>66</v>
      </c>
      <c r="D161" s="105"/>
      <c r="E161" s="51"/>
      <c r="F161" s="14" t="s">
        <v>61</v>
      </c>
      <c r="G161" s="334">
        <f>SUM(Summary!D17)</f>
        <v>5.6186868686868688E-2</v>
      </c>
      <c r="H161" s="336">
        <f>SUM(H151:H160)</f>
        <v>167211.76</v>
      </c>
      <c r="I161" s="336">
        <f ca="1">SUM(I151:I160)</f>
        <v>-204581.93000000002</v>
      </c>
      <c r="J161" s="336">
        <f ca="1">SUM(J151:J160)</f>
        <v>-37370.170000000006</v>
      </c>
      <c r="K161" s="336">
        <f>SUM(K151:K160)</f>
        <v>158311.5</v>
      </c>
    </row>
    <row r="162" spans="1:11" ht="9.75" customHeight="1" thickTop="1" x14ac:dyDescent="0.5">
      <c r="B162" s="219"/>
      <c r="C162" s="114"/>
      <c r="D162" s="114"/>
      <c r="E162" s="114"/>
      <c r="F162" s="114"/>
      <c r="G162" s="114"/>
      <c r="H162" s="223"/>
      <c r="I162" s="223"/>
      <c r="J162" s="223"/>
      <c r="K162" s="114"/>
    </row>
    <row r="163" spans="1:11" ht="19.5" customHeight="1" x14ac:dyDescent="0.5">
      <c r="A163" s="777" t="s">
        <v>267</v>
      </c>
      <c r="B163" s="777"/>
      <c r="C163" s="778"/>
      <c r="D163" s="778"/>
      <c r="E163" s="778"/>
      <c r="F163" s="778"/>
      <c r="G163" s="778"/>
      <c r="H163" s="778"/>
      <c r="I163" s="778" t="e">
        <f t="shared" ref="I163" ca="1" si="55">-(SUMIF(INDIRECT(LEFT($A$161,4)&amp;"!E3:E200"),"="&amp;B163&amp;" *",INDIRECT(LEFT($A$161,4)&amp;"!F3:F200")))</f>
        <v>#REF!</v>
      </c>
      <c r="J163" s="778" t="e">
        <f t="shared" ref="J163:J165" ca="1" si="56">SUM(H163:I163)</f>
        <v>#REF!</v>
      </c>
      <c r="K163" s="778"/>
    </row>
    <row r="164" spans="1:11" ht="14.6" x14ac:dyDescent="0.4">
      <c r="A164" s="101"/>
      <c r="B164" s="101" t="str">
        <f>LEFT($A163,4)&amp;"-1"</f>
        <v>6225-1</v>
      </c>
      <c r="C164" s="84" t="s">
        <v>268</v>
      </c>
      <c r="D164" s="105"/>
      <c r="E164" s="51">
        <v>12</v>
      </c>
      <c r="F164" s="105"/>
      <c r="G164" s="39">
        <v>825</v>
      </c>
      <c r="H164" s="33">
        <f t="shared" ref="H164:H168" si="57">SUM(D164+E164+F164)*G164</f>
        <v>9900</v>
      </c>
      <c r="I164" s="33">
        <f ca="1">-(SUMIF(INDIRECT(LEFT($A$163,4)&amp;"!I3:I200"),"="&amp;B164&amp;" *",INDIRECT(LEFT($A$163,4)&amp;"!K3:K200")))</f>
        <v>-13250.000000000002</v>
      </c>
      <c r="J164" s="33">
        <f t="shared" ca="1" si="56"/>
        <v>-3350.0000000000018</v>
      </c>
      <c r="K164" s="54">
        <v>11600</v>
      </c>
    </row>
    <row r="165" spans="1:11" ht="14.6" x14ac:dyDescent="0.4">
      <c r="A165" s="220"/>
      <c r="B165" s="220" t="str">
        <f t="shared" ref="B165:B188" si="58">LEFT($B164,4)&amp;"-"&amp;VALUE(MID($B164,FIND("-",$B164)+1,256))+1</f>
        <v>6225-2</v>
      </c>
      <c r="C165" s="339" t="s">
        <v>269</v>
      </c>
      <c r="D165" s="387"/>
      <c r="E165" s="375">
        <v>3</v>
      </c>
      <c r="F165" s="387"/>
      <c r="G165" s="341">
        <v>5200</v>
      </c>
      <c r="H165" s="329">
        <f t="shared" si="57"/>
        <v>15600</v>
      </c>
      <c r="I165" s="329">
        <f t="shared" ref="I165:I188" ca="1" si="59">-(SUMIF(INDIRECT(LEFT($A$163,4)&amp;"!I3:I200"),"="&amp;B165&amp;" *",INDIRECT(LEFT($A$163,4)&amp;"!K3:K200")))</f>
        <v>-9089.68</v>
      </c>
      <c r="J165" s="329">
        <f t="shared" ca="1" si="56"/>
        <v>6510.32</v>
      </c>
      <c r="K165" s="355">
        <v>15600</v>
      </c>
    </row>
    <row r="166" spans="1:11" ht="14.6" x14ac:dyDescent="0.4">
      <c r="A166" s="73"/>
      <c r="B166" s="101" t="str">
        <f t="shared" si="58"/>
        <v>6225-3</v>
      </c>
      <c r="C166" s="61" t="s">
        <v>270</v>
      </c>
      <c r="D166" s="107"/>
      <c r="E166" s="100">
        <v>3</v>
      </c>
      <c r="F166" s="107"/>
      <c r="G166" s="39">
        <v>190</v>
      </c>
      <c r="H166" s="33">
        <f t="shared" si="57"/>
        <v>570</v>
      </c>
      <c r="I166" s="33">
        <f t="shared" ca="1" si="59"/>
        <v>0</v>
      </c>
      <c r="J166" s="33">
        <f t="shared" ref="J166:J188" ca="1" si="60">SUM(H166:I166)</f>
        <v>570</v>
      </c>
      <c r="K166" s="54">
        <v>570</v>
      </c>
    </row>
    <row r="167" spans="1:11" ht="14.6" x14ac:dyDescent="0.4">
      <c r="A167" s="218"/>
      <c r="B167" s="220" t="str">
        <f t="shared" si="58"/>
        <v>6225-4</v>
      </c>
      <c r="C167" s="325" t="s">
        <v>271</v>
      </c>
      <c r="D167" s="388"/>
      <c r="E167" s="354">
        <v>1</v>
      </c>
      <c r="F167" s="388"/>
      <c r="G167" s="341">
        <v>900</v>
      </c>
      <c r="H167" s="329">
        <f t="shared" si="57"/>
        <v>900</v>
      </c>
      <c r="I167" s="329">
        <f t="shared" ca="1" si="59"/>
        <v>0</v>
      </c>
      <c r="J167" s="329">
        <f t="shared" ca="1" si="60"/>
        <v>900</v>
      </c>
      <c r="K167" s="355">
        <v>900</v>
      </c>
    </row>
    <row r="168" spans="1:11" ht="14.6" x14ac:dyDescent="0.4">
      <c r="A168" s="73"/>
      <c r="B168" s="101" t="str">
        <f t="shared" si="58"/>
        <v>6225-5</v>
      </c>
      <c r="C168" s="111" t="s">
        <v>272</v>
      </c>
      <c r="D168" s="105"/>
      <c r="E168" s="51">
        <v>1</v>
      </c>
      <c r="F168" s="105"/>
      <c r="G168" s="39">
        <v>2200</v>
      </c>
      <c r="H168" s="33">
        <f t="shared" si="57"/>
        <v>2200</v>
      </c>
      <c r="I168" s="33">
        <f t="shared" ca="1" si="59"/>
        <v>-150</v>
      </c>
      <c r="J168" s="33">
        <f t="shared" ca="1" si="60"/>
        <v>2050</v>
      </c>
      <c r="K168" s="54">
        <v>2200</v>
      </c>
    </row>
    <row r="169" spans="1:11" ht="14.6" x14ac:dyDescent="0.4">
      <c r="A169" s="159"/>
      <c r="B169" s="220" t="str">
        <f t="shared" si="58"/>
        <v>6225-6</v>
      </c>
      <c r="C169" s="148" t="s">
        <v>273</v>
      </c>
      <c r="D169" s="165"/>
      <c r="E169" s="164">
        <v>12</v>
      </c>
      <c r="F169" s="165"/>
      <c r="G169" s="157">
        <v>2200</v>
      </c>
      <c r="H169" s="153">
        <f t="shared" ref="H169:H175" si="61">SUM(D169+E169+F169)*G169</f>
        <v>26400</v>
      </c>
      <c r="I169" s="329">
        <f t="shared" ca="1" si="59"/>
        <v>-26724</v>
      </c>
      <c r="J169" s="329">
        <f t="shared" ca="1" si="60"/>
        <v>-324</v>
      </c>
      <c r="K169" s="162">
        <v>24000</v>
      </c>
    </row>
    <row r="170" spans="1:11" ht="14.6" x14ac:dyDescent="0.4">
      <c r="A170" s="219"/>
      <c r="B170" s="101" t="str">
        <f t="shared" si="58"/>
        <v>6225-7</v>
      </c>
      <c r="C170" s="331" t="s">
        <v>274</v>
      </c>
      <c r="D170" s="385"/>
      <c r="E170" s="358">
        <v>1</v>
      </c>
      <c r="F170" s="385"/>
      <c r="G170" s="206">
        <v>7500</v>
      </c>
      <c r="H170" s="244">
        <f t="shared" si="61"/>
        <v>7500</v>
      </c>
      <c r="I170" s="33">
        <f t="shared" ca="1" si="59"/>
        <v>-18675</v>
      </c>
      <c r="J170" s="33">
        <f t="shared" ca="1" si="60"/>
        <v>-11175</v>
      </c>
      <c r="K170" s="215">
        <v>7500</v>
      </c>
    </row>
    <row r="171" spans="1:11" ht="14.6" x14ac:dyDescent="0.4">
      <c r="A171" s="159"/>
      <c r="B171" s="220" t="str">
        <f t="shared" si="58"/>
        <v>6225-8</v>
      </c>
      <c r="C171" s="154" t="s">
        <v>275</v>
      </c>
      <c r="D171" s="170"/>
      <c r="E171" s="161">
        <v>1</v>
      </c>
      <c r="F171" s="170"/>
      <c r="G171" s="157">
        <v>3400</v>
      </c>
      <c r="H171" s="153">
        <f t="shared" si="61"/>
        <v>3400</v>
      </c>
      <c r="I171" s="329">
        <f t="shared" ca="1" si="59"/>
        <v>-3547.07</v>
      </c>
      <c r="J171" s="329">
        <f t="shared" ca="1" si="60"/>
        <v>-147.07000000000016</v>
      </c>
      <c r="K171" s="162">
        <v>3400</v>
      </c>
    </row>
    <row r="172" spans="1:11" ht="14.6" x14ac:dyDescent="0.4">
      <c r="A172" s="221"/>
      <c r="B172" s="101" t="str">
        <f t="shared" si="58"/>
        <v>6225-9</v>
      </c>
      <c r="C172" s="240" t="s">
        <v>276</v>
      </c>
      <c r="D172" s="252"/>
      <c r="E172" s="205">
        <v>1</v>
      </c>
      <c r="F172" s="252"/>
      <c r="G172" s="206">
        <v>450</v>
      </c>
      <c r="H172" s="244">
        <f t="shared" si="61"/>
        <v>450</v>
      </c>
      <c r="I172" s="33">
        <f t="shared" ca="1" si="59"/>
        <v>-410</v>
      </c>
      <c r="J172" s="33">
        <f t="shared" ca="1" si="60"/>
        <v>40</v>
      </c>
      <c r="K172" s="215">
        <v>450</v>
      </c>
    </row>
    <row r="173" spans="1:11" ht="14.6" x14ac:dyDescent="0.4">
      <c r="A173" s="159"/>
      <c r="B173" s="220" t="str">
        <f t="shared" si="58"/>
        <v>6225-10</v>
      </c>
      <c r="C173" s="154" t="s">
        <v>277</v>
      </c>
      <c r="D173" s="170"/>
      <c r="E173" s="161">
        <v>1</v>
      </c>
      <c r="F173" s="170"/>
      <c r="G173" s="157">
        <v>20</v>
      </c>
      <c r="H173" s="153">
        <f t="shared" si="61"/>
        <v>20</v>
      </c>
      <c r="I173" s="329">
        <f t="shared" ca="1" si="59"/>
        <v>-20</v>
      </c>
      <c r="J173" s="329">
        <f t="shared" ca="1" si="60"/>
        <v>0</v>
      </c>
      <c r="K173" s="162">
        <v>20</v>
      </c>
    </row>
    <row r="174" spans="1:11" ht="14.6" x14ac:dyDescent="0.4">
      <c r="A174" s="221"/>
      <c r="B174" s="101" t="str">
        <f t="shared" si="58"/>
        <v>6225-11</v>
      </c>
      <c r="C174" s="240" t="s">
        <v>278</v>
      </c>
      <c r="D174" s="252"/>
      <c r="E174" s="205">
        <v>1</v>
      </c>
      <c r="F174" s="252"/>
      <c r="G174" s="206">
        <v>1100</v>
      </c>
      <c r="H174" s="244">
        <f t="shared" si="61"/>
        <v>1100</v>
      </c>
      <c r="I174" s="33">
        <f t="shared" ca="1" si="59"/>
        <v>-192</v>
      </c>
      <c r="J174" s="33">
        <f t="shared" ca="1" si="60"/>
        <v>908</v>
      </c>
      <c r="K174" s="215">
        <v>1100</v>
      </c>
    </row>
    <row r="175" spans="1:11" ht="14.6" x14ac:dyDescent="0.4">
      <c r="A175" s="159" t="s">
        <v>279</v>
      </c>
      <c r="B175" s="220" t="str">
        <f t="shared" si="58"/>
        <v>6225-12</v>
      </c>
      <c r="C175" s="154" t="s">
        <v>280</v>
      </c>
      <c r="D175" s="170"/>
      <c r="E175" s="161">
        <v>0</v>
      </c>
      <c r="F175" s="170"/>
      <c r="G175" s="157">
        <v>45</v>
      </c>
      <c r="H175" s="338">
        <f t="shared" si="61"/>
        <v>0</v>
      </c>
      <c r="I175" s="329">
        <f t="shared" ca="1" si="59"/>
        <v>0</v>
      </c>
      <c r="J175" s="329">
        <f t="shared" ca="1" si="60"/>
        <v>0</v>
      </c>
      <c r="K175" s="162">
        <v>0</v>
      </c>
    </row>
    <row r="176" spans="1:11" ht="14.6" x14ac:dyDescent="0.4">
      <c r="A176" s="389"/>
      <c r="B176" s="101" t="str">
        <f t="shared" si="58"/>
        <v>6225-13</v>
      </c>
      <c r="C176" s="240" t="s">
        <v>281</v>
      </c>
      <c r="D176" s="252"/>
      <c r="E176" s="205">
        <v>12</v>
      </c>
      <c r="F176" s="252"/>
      <c r="G176" s="390">
        <f>1200+135</f>
        <v>1335</v>
      </c>
      <c r="H176" s="244">
        <f t="shared" ref="H176:H184" si="62">SUM(D176+E176+F176)*G176</f>
        <v>16020</v>
      </c>
      <c r="I176" s="33">
        <f t="shared" ca="1" si="59"/>
        <v>-10100</v>
      </c>
      <c r="J176" s="33">
        <f t="shared" ca="1" si="60"/>
        <v>5920</v>
      </c>
      <c r="K176" s="215">
        <v>16020</v>
      </c>
    </row>
    <row r="177" spans="1:11" ht="14.6" x14ac:dyDescent="0.4">
      <c r="A177" s="147"/>
      <c r="B177" s="220" t="str">
        <f t="shared" si="58"/>
        <v>6225-14</v>
      </c>
      <c r="C177" s="154" t="s">
        <v>282</v>
      </c>
      <c r="D177" s="170"/>
      <c r="E177" s="161">
        <v>2</v>
      </c>
      <c r="F177" s="170"/>
      <c r="G177" s="157">
        <v>500</v>
      </c>
      <c r="H177" s="153">
        <f t="shared" si="62"/>
        <v>1000</v>
      </c>
      <c r="I177" s="329">
        <f t="shared" ca="1" si="59"/>
        <v>-227.82999999999998</v>
      </c>
      <c r="J177" s="329">
        <f t="shared" ca="1" si="60"/>
        <v>772.17000000000007</v>
      </c>
      <c r="K177" s="162">
        <v>600</v>
      </c>
    </row>
    <row r="178" spans="1:11" ht="14.6" x14ac:dyDescent="0.4">
      <c r="A178" s="221"/>
      <c r="B178" s="101" t="str">
        <f t="shared" si="58"/>
        <v>6225-15</v>
      </c>
      <c r="C178" s="240" t="s">
        <v>283</v>
      </c>
      <c r="D178" s="391"/>
      <c r="E178" s="205">
        <v>6</v>
      </c>
      <c r="F178" s="392"/>
      <c r="G178" s="206">
        <v>248</v>
      </c>
      <c r="H178" s="244">
        <f t="shared" si="62"/>
        <v>1488</v>
      </c>
      <c r="I178" s="33">
        <f t="shared" ca="1" si="59"/>
        <v>-1474.37</v>
      </c>
      <c r="J178" s="33">
        <f t="shared" ca="1" si="60"/>
        <v>13.630000000000109</v>
      </c>
      <c r="K178" s="206">
        <v>1488</v>
      </c>
    </row>
    <row r="179" spans="1:11" ht="14.6" x14ac:dyDescent="0.4">
      <c r="A179" s="393"/>
      <c r="B179" s="220" t="str">
        <f t="shared" si="58"/>
        <v>6225-16</v>
      </c>
      <c r="C179" s="154" t="s">
        <v>284</v>
      </c>
      <c r="D179" s="170"/>
      <c r="E179" s="161">
        <v>2</v>
      </c>
      <c r="F179" s="170"/>
      <c r="G179" s="157">
        <v>7800</v>
      </c>
      <c r="H179" s="153">
        <f t="shared" si="62"/>
        <v>15600</v>
      </c>
      <c r="I179" s="329">
        <f t="shared" ca="1" si="59"/>
        <v>-19285.349999999999</v>
      </c>
      <c r="J179" s="329">
        <f t="shared" ca="1" si="60"/>
        <v>-3685.3499999999985</v>
      </c>
      <c r="K179" s="162">
        <v>15600</v>
      </c>
    </row>
    <row r="180" spans="1:11" ht="14.6" x14ac:dyDescent="0.4">
      <c r="A180" s="221"/>
      <c r="B180" s="101" t="str">
        <f t="shared" si="58"/>
        <v>6225-17</v>
      </c>
      <c r="C180" s="331" t="s">
        <v>285</v>
      </c>
      <c r="D180" s="385"/>
      <c r="E180" s="358">
        <v>1</v>
      </c>
      <c r="F180" s="385"/>
      <c r="G180" s="206">
        <v>1600</v>
      </c>
      <c r="H180" s="244">
        <f t="shared" si="62"/>
        <v>1600</v>
      </c>
      <c r="I180" s="33">
        <f t="shared" ca="1" si="59"/>
        <v>-1014.36</v>
      </c>
      <c r="J180" s="33">
        <f t="shared" ca="1" si="60"/>
        <v>585.64</v>
      </c>
      <c r="K180" s="215">
        <v>1600</v>
      </c>
    </row>
    <row r="181" spans="1:11" ht="14.6" x14ac:dyDescent="0.4">
      <c r="A181" s="147"/>
      <c r="B181" s="220" t="str">
        <f t="shared" si="58"/>
        <v>6225-18</v>
      </c>
      <c r="C181" s="148" t="s">
        <v>286</v>
      </c>
      <c r="D181" s="165"/>
      <c r="E181" s="164">
        <v>1</v>
      </c>
      <c r="F181" s="165"/>
      <c r="G181" s="157">
        <v>2000</v>
      </c>
      <c r="H181" s="153">
        <f t="shared" si="62"/>
        <v>2000</v>
      </c>
      <c r="I181" s="329">
        <f t="shared" ca="1" si="59"/>
        <v>0</v>
      </c>
      <c r="J181" s="329">
        <f t="shared" ca="1" si="60"/>
        <v>2000</v>
      </c>
      <c r="K181" s="162">
        <v>2000</v>
      </c>
    </row>
    <row r="182" spans="1:11" ht="14.6" x14ac:dyDescent="0.4">
      <c r="A182" s="221"/>
      <c r="B182" s="101" t="str">
        <f t="shared" si="58"/>
        <v>6225-19</v>
      </c>
      <c r="C182" s="331" t="s">
        <v>287</v>
      </c>
      <c r="D182" s="385"/>
      <c r="E182" s="358">
        <v>10</v>
      </c>
      <c r="F182" s="385"/>
      <c r="G182" s="206">
        <v>140</v>
      </c>
      <c r="H182" s="244">
        <f t="shared" si="62"/>
        <v>1400</v>
      </c>
      <c r="I182" s="33">
        <f t="shared" ca="1" si="59"/>
        <v>-1264.24</v>
      </c>
      <c r="J182" s="33">
        <f t="shared" ca="1" si="60"/>
        <v>135.76</v>
      </c>
      <c r="K182" s="215">
        <v>1120</v>
      </c>
    </row>
    <row r="183" spans="1:11" ht="14.6" x14ac:dyDescent="0.4">
      <c r="A183" s="147"/>
      <c r="B183" s="220" t="str">
        <f t="shared" si="58"/>
        <v>6225-20</v>
      </c>
      <c r="C183" s="148" t="s">
        <v>288</v>
      </c>
      <c r="D183" s="165"/>
      <c r="E183" s="164">
        <v>1</v>
      </c>
      <c r="F183" s="165"/>
      <c r="G183" s="157">
        <v>5399</v>
      </c>
      <c r="H183" s="153">
        <f t="shared" si="62"/>
        <v>5399</v>
      </c>
      <c r="I183" s="329">
        <f t="shared" ca="1" si="59"/>
        <v>0</v>
      </c>
      <c r="J183" s="329">
        <f t="shared" ca="1" si="60"/>
        <v>5399</v>
      </c>
      <c r="K183" s="162">
        <v>5399</v>
      </c>
    </row>
    <row r="184" spans="1:11" ht="14.6" x14ac:dyDescent="0.4">
      <c r="A184" s="221"/>
      <c r="B184" s="101" t="str">
        <f t="shared" si="58"/>
        <v>6225-21</v>
      </c>
      <c r="C184" s="240" t="s">
        <v>289</v>
      </c>
      <c r="D184" s="252"/>
      <c r="E184" s="205">
        <v>1</v>
      </c>
      <c r="F184" s="252"/>
      <c r="G184" s="206">
        <v>2000</v>
      </c>
      <c r="H184" s="244">
        <f t="shared" si="62"/>
        <v>2000</v>
      </c>
      <c r="I184" s="33">
        <f t="shared" ca="1" si="59"/>
        <v>0</v>
      </c>
      <c r="J184" s="33">
        <f t="shared" ca="1" si="60"/>
        <v>2000</v>
      </c>
      <c r="K184" s="215">
        <v>2000</v>
      </c>
    </row>
    <row r="185" spans="1:11" ht="14.6" x14ac:dyDescent="0.4">
      <c r="A185" s="207"/>
      <c r="B185" s="220" t="str">
        <f t="shared" si="58"/>
        <v>6225-22</v>
      </c>
      <c r="C185" s="368" t="s">
        <v>290</v>
      </c>
      <c r="D185" s="212"/>
      <c r="E185" s="213">
        <v>12</v>
      </c>
      <c r="F185" s="212"/>
      <c r="G185" s="210">
        <v>420</v>
      </c>
      <c r="H185" s="338">
        <f t="shared" ref="H185:H188" si="63">SUM(D185+E185+F185)*G185</f>
        <v>5040</v>
      </c>
      <c r="I185" s="329">
        <f t="shared" ca="1" si="59"/>
        <v>-929</v>
      </c>
      <c r="J185" s="329">
        <f t="shared" ca="1" si="60"/>
        <v>4111</v>
      </c>
      <c r="K185" s="210">
        <v>5040</v>
      </c>
    </row>
    <row r="186" spans="1:11" ht="14.6" x14ac:dyDescent="0.4">
      <c r="A186" s="101"/>
      <c r="B186" s="101" t="str">
        <f t="shared" si="58"/>
        <v>6225-23</v>
      </c>
      <c r="C186" s="61" t="s">
        <v>291</v>
      </c>
      <c r="D186" s="107"/>
      <c r="E186" s="100">
        <v>1</v>
      </c>
      <c r="F186" s="107"/>
      <c r="G186" s="39">
        <v>2000</v>
      </c>
      <c r="H186" s="33">
        <v>2000</v>
      </c>
      <c r="I186" s="33">
        <f t="shared" ca="1" si="59"/>
        <v>0</v>
      </c>
      <c r="J186" s="33">
        <f t="shared" ca="1" si="60"/>
        <v>2000</v>
      </c>
      <c r="K186" s="54">
        <v>2000</v>
      </c>
    </row>
    <row r="187" spans="1:11" ht="14.6" x14ac:dyDescent="0.4">
      <c r="A187" s="189"/>
      <c r="B187" s="220" t="str">
        <f t="shared" si="58"/>
        <v>6225-24</v>
      </c>
      <c r="C187" s="190" t="s">
        <v>292</v>
      </c>
      <c r="D187" s="361"/>
      <c r="E187" s="208">
        <v>1</v>
      </c>
      <c r="F187" s="361"/>
      <c r="G187" s="210">
        <v>6800</v>
      </c>
      <c r="H187" s="338">
        <v>6800</v>
      </c>
      <c r="I187" s="329">
        <f t="shared" ca="1" si="59"/>
        <v>-3701.25</v>
      </c>
      <c r="J187" s="329">
        <f t="shared" ca="1" si="60"/>
        <v>3098.75</v>
      </c>
      <c r="K187" s="214">
        <v>6800</v>
      </c>
    </row>
    <row r="188" spans="1:11" ht="14.6" x14ac:dyDescent="0.4">
      <c r="A188" s="73"/>
      <c r="B188" s="101" t="str">
        <f t="shared" si="58"/>
        <v>6225-25</v>
      </c>
      <c r="C188" s="111" t="s">
        <v>293</v>
      </c>
      <c r="D188" s="105"/>
      <c r="E188" s="51">
        <v>1</v>
      </c>
      <c r="F188" s="105"/>
      <c r="G188" s="39">
        <v>900</v>
      </c>
      <c r="H188" s="33">
        <f t="shared" si="63"/>
        <v>900</v>
      </c>
      <c r="I188" s="33">
        <f t="shared" ca="1" si="59"/>
        <v>0</v>
      </c>
      <c r="J188" s="33">
        <f t="shared" ca="1" si="60"/>
        <v>900</v>
      </c>
      <c r="K188" s="54">
        <v>900</v>
      </c>
    </row>
    <row r="189" spans="1:11" thickBot="1" x14ac:dyDescent="0.45">
      <c r="A189" s="49"/>
      <c r="B189" s="101"/>
      <c r="C189" s="75" t="s">
        <v>66</v>
      </c>
      <c r="D189" s="76"/>
      <c r="E189" s="76"/>
      <c r="F189" s="14" t="s">
        <v>61</v>
      </c>
      <c r="G189" s="334">
        <f>SUM(Summary!D18)</f>
        <v>1.015625E-2</v>
      </c>
      <c r="H189" s="336">
        <f>SUM(H164:H188)</f>
        <v>129287</v>
      </c>
      <c r="I189" s="336">
        <f t="shared" ref="I189:J189" ca="1" si="64">SUM(I164:I188)</f>
        <v>-110054.15</v>
      </c>
      <c r="J189" s="336">
        <f t="shared" ca="1" si="64"/>
        <v>19232.849999999999</v>
      </c>
      <c r="K189" s="363">
        <f>SUM(K164:K188)</f>
        <v>127907</v>
      </c>
    </row>
    <row r="190" spans="1:11" ht="10.5" customHeight="1" thickTop="1" x14ac:dyDescent="0.4">
      <c r="A190" s="49"/>
      <c r="B190" s="221"/>
      <c r="C190" s="75"/>
      <c r="D190" s="76"/>
      <c r="E190" s="76"/>
      <c r="F190" s="14"/>
      <c r="G190" s="119"/>
      <c r="H190" s="91"/>
      <c r="I190" s="91"/>
      <c r="J190" s="91"/>
      <c r="K190" s="106"/>
    </row>
    <row r="191" spans="1:11" ht="19.5" customHeight="1" x14ac:dyDescent="0.5">
      <c r="A191" s="777" t="s">
        <v>294</v>
      </c>
      <c r="B191" s="777"/>
      <c r="C191" s="778"/>
      <c r="D191" s="778"/>
      <c r="E191" s="778"/>
      <c r="F191" s="778"/>
      <c r="G191" s="778"/>
      <c r="H191" s="778"/>
      <c r="I191" s="778" t="e">
        <f t="shared" ref="I191:I197" ca="1" si="65">-(SUMIF(INDIRECT(LEFT($A$173,4)&amp;"!E3:E200"),"="&amp;B191&amp;" *",INDIRECT(LEFT($A$173,4)&amp;"!F3:F200")))</f>
        <v>#REF!</v>
      </c>
      <c r="J191" s="778" t="e">
        <f t="shared" ref="J191:J197" ca="1" si="66">SUM(H191:I191)</f>
        <v>#REF!</v>
      </c>
      <c r="K191" s="778"/>
    </row>
    <row r="192" spans="1:11" ht="23.15" x14ac:dyDescent="0.5">
      <c r="A192" s="37" t="s">
        <v>295</v>
      </c>
      <c r="B192" s="219" t="str">
        <f>LEFT($A191,4)&amp;"-1"</f>
        <v>6235-1</v>
      </c>
      <c r="C192" s="2" t="s">
        <v>296</v>
      </c>
      <c r="D192" s="120"/>
      <c r="E192" s="121"/>
      <c r="F192" s="105">
        <v>12</v>
      </c>
      <c r="G192" s="60">
        <v>700</v>
      </c>
      <c r="H192" s="33">
        <f t="shared" ref="H192:H194" si="67">SUM((D192+E192+F192)*G192)</f>
        <v>8400</v>
      </c>
      <c r="I192" s="124">
        <f ca="1">-(SUMIF(INDIRECT(LEFT($A$191,4)&amp;"!I3:I200"),"="&amp;B192&amp;" *",INDIRECT(LEFT($A$191,4)&amp;"!K3:K200")))</f>
        <v>-9300</v>
      </c>
      <c r="J192" s="124">
        <f t="shared" ca="1" si="66"/>
        <v>-900</v>
      </c>
      <c r="K192" s="33">
        <v>7800</v>
      </c>
    </row>
    <row r="193" spans="1:11" ht="14.6" x14ac:dyDescent="0.4">
      <c r="A193" s="394"/>
      <c r="B193" s="159" t="str">
        <f t="shared" ref="B193:B194" si="68">LEFT($B192,4)&amp;"-"&amp;VALUE(MID($B192,FIND("-",$B192)+1,256))+1</f>
        <v>6235-2</v>
      </c>
      <c r="C193" s="395" t="s">
        <v>297</v>
      </c>
      <c r="D193" s="388"/>
      <c r="E193" s="354"/>
      <c r="F193" s="293">
        <v>12</v>
      </c>
      <c r="G193" s="328">
        <v>150</v>
      </c>
      <c r="H193" s="329">
        <f t="shared" si="67"/>
        <v>1800</v>
      </c>
      <c r="I193" s="329">
        <f t="shared" ref="I193:I194" ca="1" si="69">-(SUMIF(INDIRECT(LEFT($A$191,4)&amp;"!I3:I200"),"="&amp;B193&amp;" *",INDIRECT(LEFT($A$191,4)&amp;"!K3:K200")))</f>
        <v>-1800</v>
      </c>
      <c r="J193" s="329">
        <f t="shared" ca="1" si="66"/>
        <v>0</v>
      </c>
      <c r="K193" s="355">
        <v>1800</v>
      </c>
    </row>
    <row r="194" spans="1:11" ht="22.3" x14ac:dyDescent="0.4">
      <c r="A194" s="521" t="s">
        <v>298</v>
      </c>
      <c r="B194" s="521" t="str">
        <f t="shared" si="68"/>
        <v>6235-3</v>
      </c>
      <c r="C194" s="522" t="s">
        <v>299</v>
      </c>
      <c r="D194" s="523"/>
      <c r="E194" s="524"/>
      <c r="F194" s="525"/>
      <c r="G194" s="526">
        <v>500</v>
      </c>
      <c r="H194" s="520">
        <f t="shared" si="67"/>
        <v>0</v>
      </c>
      <c r="I194" s="527">
        <f t="shared" ca="1" si="69"/>
        <v>0</v>
      </c>
      <c r="J194" s="527">
        <f t="shared" ref="J194" ca="1" si="70">SUM(H194:I194)</f>
        <v>0</v>
      </c>
      <c r="K194" s="528">
        <v>500</v>
      </c>
    </row>
    <row r="195" spans="1:11" thickBot="1" x14ac:dyDescent="0.45">
      <c r="A195" s="74"/>
      <c r="B195" s="221"/>
      <c r="C195" s="75" t="s">
        <v>66</v>
      </c>
      <c r="D195" s="105"/>
      <c r="E195" s="51"/>
      <c r="F195" s="14" t="s">
        <v>61</v>
      </c>
      <c r="G195" s="334">
        <f>SUM(Summary!D19)</f>
        <v>9.9009900990099011E-3</v>
      </c>
      <c r="H195" s="336">
        <f>SUM(H192:H194)</f>
        <v>10200</v>
      </c>
      <c r="I195" s="336">
        <f t="shared" ref="I195:J195" ca="1" si="71">SUM(I192:I194)</f>
        <v>-11100</v>
      </c>
      <c r="J195" s="336">
        <f t="shared" ca="1" si="71"/>
        <v>-900</v>
      </c>
      <c r="K195" s="336">
        <f>SUM(K192:K194)</f>
        <v>10100</v>
      </c>
    </row>
    <row r="196" spans="1:11" ht="10.5" customHeight="1" thickTop="1" x14ac:dyDescent="0.4">
      <c r="A196" s="74"/>
      <c r="B196" s="221"/>
      <c r="C196" s="75"/>
      <c r="D196" s="105"/>
      <c r="E196" s="51"/>
      <c r="F196" s="14"/>
      <c r="G196" s="39"/>
      <c r="H196" s="91"/>
      <c r="I196" s="91"/>
      <c r="J196" s="91"/>
      <c r="K196" s="91"/>
    </row>
    <row r="197" spans="1:11" ht="20.25" customHeight="1" x14ac:dyDescent="0.5">
      <c r="A197" s="777" t="s">
        <v>300</v>
      </c>
      <c r="B197" s="777"/>
      <c r="C197" s="778"/>
      <c r="D197" s="778"/>
      <c r="E197" s="778"/>
      <c r="F197" s="778"/>
      <c r="G197" s="778"/>
      <c r="H197" s="778"/>
      <c r="I197" s="778" t="e">
        <f t="shared" ca="1" si="65"/>
        <v>#REF!</v>
      </c>
      <c r="J197" s="778" t="e">
        <f t="shared" ca="1" si="66"/>
        <v>#REF!</v>
      </c>
      <c r="K197" s="778"/>
    </row>
    <row r="198" spans="1:11" ht="26.25" customHeight="1" x14ac:dyDescent="0.4">
      <c r="A198" s="122"/>
      <c r="B198" s="221" t="str">
        <f>LEFT($A197,4)&amp;"-1"</f>
        <v>6236-1</v>
      </c>
      <c r="C198" s="109" t="s">
        <v>301</v>
      </c>
      <c r="D198" s="109"/>
      <c r="E198" s="109"/>
      <c r="F198" s="123">
        <v>6</v>
      </c>
      <c r="G198" s="124">
        <v>1000</v>
      </c>
      <c r="H198" s="33">
        <f>SUM(D198+E198+F198)*G198</f>
        <v>6000</v>
      </c>
      <c r="I198" s="33">
        <f ca="1">-(SUMIF(INDIRECT(LEFT($A$197,4)&amp;"!I3:I200"),"="&amp;B198&amp;" *",INDIRECT(LEFT($A$197,4)&amp;"!K3:K200")))</f>
        <v>-3934.3799999999992</v>
      </c>
      <c r="J198" s="33">
        <f ca="1">SUM(H198:I198)</f>
        <v>2065.6200000000008</v>
      </c>
      <c r="K198" s="33">
        <v>6000</v>
      </c>
    </row>
    <row r="199" spans="1:11" thickBot="1" x14ac:dyDescent="0.45">
      <c r="A199" s="109"/>
      <c r="B199" s="101"/>
      <c r="C199" s="109"/>
      <c r="D199" s="109"/>
      <c r="E199" s="109"/>
      <c r="F199" s="14" t="s">
        <v>61</v>
      </c>
      <c r="G199" s="334">
        <f>SUM(Summary!D20)</f>
        <v>0</v>
      </c>
      <c r="H199" s="336">
        <f>SUM(H198)</f>
        <v>6000</v>
      </c>
      <c r="I199" s="336">
        <f t="shared" ref="I199:J199" ca="1" si="72">SUM(I198)</f>
        <v>-3934.3799999999992</v>
      </c>
      <c r="J199" s="336">
        <f t="shared" ca="1" si="72"/>
        <v>2065.6200000000008</v>
      </c>
      <c r="K199" s="396">
        <f>SUM(K198)</f>
        <v>6000</v>
      </c>
    </row>
    <row r="200" spans="1:11" ht="9.75" customHeight="1" thickTop="1" x14ac:dyDescent="0.4">
      <c r="A200" s="49"/>
      <c r="B200" s="219"/>
      <c r="C200" s="49"/>
      <c r="D200" s="125"/>
      <c r="E200" s="56"/>
      <c r="F200" s="125"/>
      <c r="G200" s="57"/>
      <c r="H200" s="35"/>
      <c r="I200" s="35"/>
      <c r="J200" s="35"/>
      <c r="K200" s="35"/>
    </row>
    <row r="201" spans="1:11" ht="19.5" customHeight="1" x14ac:dyDescent="0.5">
      <c r="A201" s="777" t="s">
        <v>302</v>
      </c>
      <c r="B201" s="777"/>
      <c r="C201" s="778"/>
      <c r="D201" s="778"/>
      <c r="E201" s="778"/>
      <c r="F201" s="778"/>
      <c r="G201" s="778"/>
      <c r="H201" s="778"/>
      <c r="I201" s="778" t="e">
        <f ca="1">SUM(I174:I200)</f>
        <v>#REF!</v>
      </c>
      <c r="J201" s="778" t="e">
        <f ca="1">SUM(J174:J200)</f>
        <v>#REF!</v>
      </c>
      <c r="K201" s="778"/>
    </row>
    <row r="202" spans="1:11" ht="14.6" x14ac:dyDescent="0.4">
      <c r="A202" s="101"/>
      <c r="B202" s="163" t="str">
        <f>LEFT($A201,4)&amp;"-1"</f>
        <v>6240-1</v>
      </c>
      <c r="C202" s="111" t="s">
        <v>303</v>
      </c>
      <c r="D202" s="105">
        <v>1</v>
      </c>
      <c r="E202" s="51"/>
      <c r="F202" s="105"/>
      <c r="G202" s="39">
        <v>160</v>
      </c>
      <c r="H202" s="33">
        <f t="shared" ref="H202:H211" si="73">(D202+E202+F202)*G202</f>
        <v>160</v>
      </c>
      <c r="I202" s="33">
        <f ca="1">-(SUMIF(INDIRECT(LEFT($A$201,4)&amp;"!I3:I200"),"="&amp;B202&amp;" *",INDIRECT(LEFT($A$201,4)&amp;"!K3:K200")))</f>
        <v>0</v>
      </c>
      <c r="J202" s="33">
        <f ca="1">SUM(H202:I202)</f>
        <v>160</v>
      </c>
      <c r="K202" s="54">
        <v>160</v>
      </c>
    </row>
    <row r="203" spans="1:11" ht="14.6" x14ac:dyDescent="0.4">
      <c r="A203" s="220"/>
      <c r="B203" s="220" t="str">
        <f t="shared" ref="B203:B233" si="74">LEFT($B202,4)&amp;"-"&amp;VALUE(MID($B202,FIND("-",$B202)+1,256))+1</f>
        <v>6240-2</v>
      </c>
      <c r="C203" s="397" t="s">
        <v>304</v>
      </c>
      <c r="D203" s="387">
        <v>1</v>
      </c>
      <c r="E203" s="375"/>
      <c r="F203" s="387"/>
      <c r="G203" s="341">
        <v>100</v>
      </c>
      <c r="H203" s="329">
        <f t="shared" si="73"/>
        <v>100</v>
      </c>
      <c r="I203" s="153">
        <f t="shared" ref="I203:I235" ca="1" si="75">-(SUMIF(INDIRECT(LEFT($A$201,4)&amp;"!I3:I200"),"="&amp;B203&amp;" *",INDIRECT(LEFT($A$201,4)&amp;"!K3:K200")))</f>
        <v>0</v>
      </c>
      <c r="J203" s="153">
        <f ca="1">SUM(H203:I203)</f>
        <v>100</v>
      </c>
      <c r="K203" s="355">
        <v>100</v>
      </c>
    </row>
    <row r="204" spans="1:11" ht="14.6" x14ac:dyDescent="0.4">
      <c r="A204" s="101"/>
      <c r="B204" s="221" t="str">
        <f t="shared" si="74"/>
        <v>6240-3</v>
      </c>
      <c r="C204" s="61" t="s">
        <v>305</v>
      </c>
      <c r="D204" s="107"/>
      <c r="E204" s="100"/>
      <c r="F204" s="107">
        <v>1</v>
      </c>
      <c r="G204" s="39">
        <f>(8.99+9.99)</f>
        <v>18.98</v>
      </c>
      <c r="H204" s="33">
        <f t="shared" si="73"/>
        <v>18.98</v>
      </c>
      <c r="I204" s="33">
        <f t="shared" ca="1" si="75"/>
        <v>-119.88</v>
      </c>
      <c r="J204" s="33">
        <f t="shared" ref="J204:J235" ca="1" si="76">SUM(H204:I204)</f>
        <v>-100.89999999999999</v>
      </c>
      <c r="K204" s="54">
        <v>227.76</v>
      </c>
    </row>
    <row r="205" spans="1:11" ht="14.6" x14ac:dyDescent="0.4">
      <c r="A205" s="220" t="s">
        <v>306</v>
      </c>
      <c r="B205" s="220" t="str">
        <f t="shared" si="74"/>
        <v>6240-4</v>
      </c>
      <c r="C205" s="398" t="s">
        <v>307</v>
      </c>
      <c r="D205" s="388"/>
      <c r="E205" s="354"/>
      <c r="F205" s="388"/>
      <c r="G205" s="341">
        <v>225</v>
      </c>
      <c r="H205" s="329">
        <f t="shared" si="73"/>
        <v>0</v>
      </c>
      <c r="I205" s="153">
        <f t="shared" ca="1" si="75"/>
        <v>-95</v>
      </c>
      <c r="J205" s="153">
        <f t="shared" ca="1" si="76"/>
        <v>-95</v>
      </c>
      <c r="K205" s="355">
        <v>225</v>
      </c>
    </row>
    <row r="206" spans="1:11" ht="14.6" x14ac:dyDescent="0.4">
      <c r="A206" s="126"/>
      <c r="B206" s="221" t="str">
        <f t="shared" si="74"/>
        <v>6240-5</v>
      </c>
      <c r="C206" s="167" t="s">
        <v>308</v>
      </c>
      <c r="D206" s="100">
        <v>1</v>
      </c>
      <c r="E206" s="100"/>
      <c r="F206" s="108"/>
      <c r="G206" s="39">
        <v>2575</v>
      </c>
      <c r="H206" s="244">
        <f t="shared" si="73"/>
        <v>2575</v>
      </c>
      <c r="I206" s="33">
        <f t="shared" ca="1" si="75"/>
        <v>0</v>
      </c>
      <c r="J206" s="33">
        <f t="shared" ca="1" si="76"/>
        <v>2575</v>
      </c>
      <c r="K206" s="54">
        <v>2535</v>
      </c>
    </row>
    <row r="207" spans="1:11" ht="14.6" x14ac:dyDescent="0.4">
      <c r="A207" s="168"/>
      <c r="B207" s="220" t="str">
        <f t="shared" si="74"/>
        <v>6240-6</v>
      </c>
      <c r="C207" s="169" t="s">
        <v>309</v>
      </c>
      <c r="D207" s="170">
        <v>1</v>
      </c>
      <c r="E207" s="161"/>
      <c r="F207" s="170"/>
      <c r="G207" s="157">
        <v>225</v>
      </c>
      <c r="H207" s="329">
        <f t="shared" si="73"/>
        <v>225</v>
      </c>
      <c r="I207" s="153">
        <f t="shared" ca="1" si="75"/>
        <v>0</v>
      </c>
      <c r="J207" s="153">
        <f t="shared" ca="1" si="76"/>
        <v>225</v>
      </c>
      <c r="K207" s="162">
        <v>200</v>
      </c>
    </row>
    <row r="208" spans="1:11" ht="14.6" x14ac:dyDescent="0.4">
      <c r="A208" s="221" t="s">
        <v>310</v>
      </c>
      <c r="B208" s="221"/>
      <c r="C208" s="547" t="s">
        <v>311</v>
      </c>
      <c r="D208" s="205">
        <v>1</v>
      </c>
      <c r="E208" s="205"/>
      <c r="F208" s="252"/>
      <c r="G208" s="206">
        <v>5000</v>
      </c>
      <c r="H208" s="244">
        <f>(D208+E208+F208)*G208</f>
        <v>5000</v>
      </c>
      <c r="I208" s="520">
        <f t="shared" ca="1" si="75"/>
        <v>0</v>
      </c>
      <c r="J208" s="520">
        <f t="shared" ca="1" si="76"/>
        <v>5000</v>
      </c>
      <c r="K208" s="215"/>
    </row>
    <row r="209" spans="1:12" ht="14.6" x14ac:dyDescent="0.4">
      <c r="A209" s="419"/>
      <c r="B209" s="419" t="str">
        <f>LEFT($B207,4)&amp;"-"&amp;VALUE(MID($B207,FIND("-",$B207)+1,256))+1</f>
        <v>6240-7</v>
      </c>
      <c r="C209" s="420" t="s">
        <v>312</v>
      </c>
      <c r="D209" s="421">
        <v>1</v>
      </c>
      <c r="E209" s="421"/>
      <c r="F209" s="465"/>
      <c r="G209" s="423">
        <v>175</v>
      </c>
      <c r="H209" s="424">
        <f t="shared" si="73"/>
        <v>175</v>
      </c>
      <c r="I209" s="425">
        <f t="shared" ca="1" si="75"/>
        <v>0</v>
      </c>
      <c r="J209" s="425">
        <f t="shared" ca="1" si="76"/>
        <v>175</v>
      </c>
      <c r="K209" s="426">
        <v>150</v>
      </c>
    </row>
    <row r="210" spans="1:12" ht="14.6" x14ac:dyDescent="0.4">
      <c r="A210" s="101"/>
      <c r="B210" s="221" t="str">
        <f t="shared" si="74"/>
        <v>6240-8</v>
      </c>
      <c r="C210" s="61" t="s">
        <v>313</v>
      </c>
      <c r="D210" s="100">
        <v>1</v>
      </c>
      <c r="E210" s="100"/>
      <c r="F210" s="108"/>
      <c r="G210" s="39">
        <v>700</v>
      </c>
      <c r="H210" s="244">
        <f t="shared" si="73"/>
        <v>700</v>
      </c>
      <c r="I210" s="33">
        <f t="shared" ca="1" si="75"/>
        <v>-150</v>
      </c>
      <c r="J210" s="33">
        <f t="shared" ca="1" si="76"/>
        <v>550</v>
      </c>
      <c r="K210" s="54">
        <v>650</v>
      </c>
    </row>
    <row r="211" spans="1:12" ht="14.6" x14ac:dyDescent="0.4">
      <c r="A211" s="466"/>
      <c r="B211" s="419" t="str">
        <f t="shared" si="74"/>
        <v>6240-9</v>
      </c>
      <c r="C211" s="453" t="s">
        <v>314</v>
      </c>
      <c r="D211" s="467">
        <v>12</v>
      </c>
      <c r="E211" s="468"/>
      <c r="F211" s="467"/>
      <c r="G211" s="423">
        <v>1528.84</v>
      </c>
      <c r="H211" s="424">
        <f t="shared" si="73"/>
        <v>18346.079999999998</v>
      </c>
      <c r="I211" s="425">
        <f t="shared" ca="1" si="75"/>
        <v>-36984</v>
      </c>
      <c r="J211" s="425">
        <f t="shared" ca="1" si="76"/>
        <v>-18637.920000000002</v>
      </c>
      <c r="K211" s="426">
        <v>17556</v>
      </c>
    </row>
    <row r="212" spans="1:12" ht="15" customHeight="1" x14ac:dyDescent="0.4">
      <c r="A212" s="73" t="s">
        <v>315</v>
      </c>
      <c r="B212" s="221" t="str">
        <f t="shared" si="74"/>
        <v>6240-10</v>
      </c>
      <c r="C212" s="111" t="s">
        <v>316</v>
      </c>
      <c r="D212" s="51"/>
      <c r="E212" s="38"/>
      <c r="F212" s="464">
        <v>1</v>
      </c>
      <c r="G212" s="39">
        <v>2000</v>
      </c>
      <c r="H212" s="33">
        <f t="shared" ref="H212:H218" si="77">(D212+E212+F212)*G212</f>
        <v>2000</v>
      </c>
      <c r="I212" s="33">
        <f t="shared" ca="1" si="75"/>
        <v>-1936.88</v>
      </c>
      <c r="J212" s="33">
        <f t="shared" ca="1" si="76"/>
        <v>63.119999999999891</v>
      </c>
      <c r="K212" s="54">
        <v>1000</v>
      </c>
    </row>
    <row r="213" spans="1:12" ht="18" customHeight="1" x14ac:dyDescent="0.4">
      <c r="A213" s="451" t="s">
        <v>317</v>
      </c>
      <c r="B213" s="419" t="str">
        <f t="shared" si="74"/>
        <v>6240-11</v>
      </c>
      <c r="C213" s="420" t="s">
        <v>318</v>
      </c>
      <c r="D213" s="421">
        <v>1</v>
      </c>
      <c r="E213" s="421"/>
      <c r="F213" s="465"/>
      <c r="G213" s="423">
        <v>5000</v>
      </c>
      <c r="H213" s="424">
        <f t="shared" si="77"/>
        <v>5000</v>
      </c>
      <c r="I213" s="425">
        <f t="shared" ca="1" si="75"/>
        <v>-4900</v>
      </c>
      <c r="J213" s="425">
        <f t="shared" ca="1" si="76"/>
        <v>100</v>
      </c>
      <c r="K213" s="426">
        <v>5000</v>
      </c>
    </row>
    <row r="214" spans="1:12" ht="14.6" x14ac:dyDescent="0.4">
      <c r="A214" s="492"/>
      <c r="B214" s="499" t="str">
        <f t="shared" si="74"/>
        <v>6240-12</v>
      </c>
      <c r="C214" s="500" t="s">
        <v>319</v>
      </c>
      <c r="D214" s="501"/>
      <c r="E214" s="502"/>
      <c r="F214" s="501"/>
      <c r="G214" s="496">
        <v>100</v>
      </c>
      <c r="H214" s="497">
        <v>100</v>
      </c>
      <c r="I214" s="497">
        <f t="shared" ca="1" si="75"/>
        <v>-115.22999999999999</v>
      </c>
      <c r="J214" s="497">
        <f t="shared" ca="1" si="76"/>
        <v>-15.22999999999999</v>
      </c>
      <c r="K214" s="498">
        <v>100</v>
      </c>
    </row>
    <row r="215" spans="1:12" ht="14.6" x14ac:dyDescent="0.4">
      <c r="A215" s="419"/>
      <c r="B215" s="419" t="str">
        <f t="shared" si="74"/>
        <v>6240-13</v>
      </c>
      <c r="C215" s="452" t="s">
        <v>320</v>
      </c>
      <c r="D215" s="468"/>
      <c r="E215" s="468"/>
      <c r="F215" s="468">
        <v>4</v>
      </c>
      <c r="G215" s="423">
        <v>400</v>
      </c>
      <c r="H215" s="424">
        <f t="shared" si="77"/>
        <v>1600</v>
      </c>
      <c r="I215" s="425">
        <f t="shared" ca="1" si="75"/>
        <v>0</v>
      </c>
      <c r="J215" s="425">
        <f t="shared" ca="1" si="76"/>
        <v>1600</v>
      </c>
      <c r="K215" s="426">
        <v>1600</v>
      </c>
    </row>
    <row r="216" spans="1:12" ht="27.75" customHeight="1" x14ac:dyDescent="0.4">
      <c r="A216" s="73" t="s">
        <v>321</v>
      </c>
      <c r="B216" s="221" t="str">
        <f t="shared" si="74"/>
        <v>6240-14</v>
      </c>
      <c r="C216" s="111" t="s">
        <v>322</v>
      </c>
      <c r="D216" s="51"/>
      <c r="E216" s="51"/>
      <c r="F216" s="104"/>
      <c r="G216" s="39">
        <v>75</v>
      </c>
      <c r="H216" s="33">
        <f t="shared" si="77"/>
        <v>0</v>
      </c>
      <c r="I216" s="33">
        <f t="shared" ca="1" si="75"/>
        <v>0</v>
      </c>
      <c r="J216" s="33">
        <f t="shared" ca="1" si="76"/>
        <v>0</v>
      </c>
      <c r="K216" s="54">
        <v>75</v>
      </c>
    </row>
    <row r="217" spans="1:12" ht="14.6" x14ac:dyDescent="0.4">
      <c r="A217" s="419"/>
      <c r="B217" s="419" t="str">
        <f t="shared" si="74"/>
        <v>6240-15</v>
      </c>
      <c r="C217" s="420" t="s">
        <v>323</v>
      </c>
      <c r="D217" s="421"/>
      <c r="E217" s="421"/>
      <c r="F217" s="421">
        <v>2</v>
      </c>
      <c r="G217" s="423">
        <v>700</v>
      </c>
      <c r="H217" s="424">
        <f t="shared" si="77"/>
        <v>1400</v>
      </c>
      <c r="I217" s="425">
        <f t="shared" ca="1" si="75"/>
        <v>0</v>
      </c>
      <c r="J217" s="425">
        <f t="shared" ca="1" si="76"/>
        <v>1400</v>
      </c>
      <c r="K217" s="426">
        <v>1400</v>
      </c>
    </row>
    <row r="218" spans="1:12" ht="14.6" x14ac:dyDescent="0.4">
      <c r="A218" s="101"/>
      <c r="B218" s="221" t="str">
        <f t="shared" si="74"/>
        <v>6240-16</v>
      </c>
      <c r="C218" s="167" t="s">
        <v>324</v>
      </c>
      <c r="D218" s="100">
        <v>1</v>
      </c>
      <c r="E218" s="100"/>
      <c r="F218" s="108"/>
      <c r="G218" s="39">
        <v>1625</v>
      </c>
      <c r="H218" s="244">
        <f t="shared" si="77"/>
        <v>1625</v>
      </c>
      <c r="I218" s="33">
        <f t="shared" ca="1" si="75"/>
        <v>-719.45</v>
      </c>
      <c r="J218" s="33">
        <f t="shared" ca="1" si="76"/>
        <v>905.55</v>
      </c>
      <c r="K218" s="54">
        <v>1535</v>
      </c>
    </row>
    <row r="219" spans="1:12" ht="14.6" x14ac:dyDescent="0.4">
      <c r="A219" s="473"/>
      <c r="B219" s="419" t="str">
        <f t="shared" si="74"/>
        <v>6240-17</v>
      </c>
      <c r="C219" s="449" t="s">
        <v>325</v>
      </c>
      <c r="D219" s="474"/>
      <c r="E219" s="474">
        <v>1</v>
      </c>
      <c r="F219" s="475"/>
      <c r="G219" s="463">
        <v>250</v>
      </c>
      <c r="H219" s="425">
        <f>(D219+E219+F219)*G219</f>
        <v>250</v>
      </c>
      <c r="I219" s="425">
        <f t="shared" ca="1" si="75"/>
        <v>0</v>
      </c>
      <c r="J219" s="425">
        <f t="shared" ca="1" si="76"/>
        <v>250</v>
      </c>
      <c r="K219" s="472">
        <v>250</v>
      </c>
    </row>
    <row r="220" spans="1:12" ht="30" customHeight="1" x14ac:dyDescent="0.4">
      <c r="A220" s="222"/>
      <c r="B220" s="221" t="str">
        <f t="shared" si="74"/>
        <v>6240-18</v>
      </c>
      <c r="C220" s="344" t="s">
        <v>326</v>
      </c>
      <c r="D220" s="385">
        <v>1</v>
      </c>
      <c r="E220" s="358"/>
      <c r="F220" s="385"/>
      <c r="G220" s="206">
        <v>7100</v>
      </c>
      <c r="H220" s="33">
        <f>(D220+E220+F220)*G220</f>
        <v>7100</v>
      </c>
      <c r="I220" s="33">
        <f t="shared" ca="1" si="75"/>
        <v>-6644.95</v>
      </c>
      <c r="J220" s="33">
        <f t="shared" ca="1" si="76"/>
        <v>455.05000000000018</v>
      </c>
      <c r="K220" s="215">
        <v>6720</v>
      </c>
    </row>
    <row r="221" spans="1:12" ht="14.6" x14ac:dyDescent="0.4">
      <c r="A221" s="469"/>
      <c r="B221" s="419" t="str">
        <f t="shared" si="74"/>
        <v>6240-19</v>
      </c>
      <c r="C221" s="476" t="s">
        <v>327</v>
      </c>
      <c r="D221" s="477"/>
      <c r="E221" s="474"/>
      <c r="F221" s="477">
        <v>1</v>
      </c>
      <c r="G221" s="463">
        <v>3500</v>
      </c>
      <c r="H221" s="425">
        <f>(D221+E221+F221)*G221</f>
        <v>3500</v>
      </c>
      <c r="I221" s="425">
        <f t="shared" ca="1" si="75"/>
        <v>-4255.4400000000005</v>
      </c>
      <c r="J221" s="425">
        <f t="shared" ca="1" si="76"/>
        <v>-755.44000000000051</v>
      </c>
      <c r="K221" s="472">
        <v>3500</v>
      </c>
      <c r="L221" s="83"/>
    </row>
    <row r="222" spans="1:12" ht="14.6" x14ac:dyDescent="0.4">
      <c r="A222" s="222"/>
      <c r="B222" s="221" t="str">
        <f t="shared" si="74"/>
        <v>6240-20</v>
      </c>
      <c r="C222" s="369" t="s">
        <v>328</v>
      </c>
      <c r="D222" s="252"/>
      <c r="E222" s="205"/>
      <c r="F222" s="252"/>
      <c r="G222" s="206">
        <v>70</v>
      </c>
      <c r="H222" s="244">
        <f t="shared" ref="H222:H224" si="78">(D222+E222+F222)*G222</f>
        <v>0</v>
      </c>
      <c r="I222" s="33">
        <f t="shared" ca="1" si="75"/>
        <v>-1350</v>
      </c>
      <c r="J222" s="33">
        <f t="shared" ca="1" si="76"/>
        <v>-1350</v>
      </c>
      <c r="K222" s="215">
        <v>1540</v>
      </c>
    </row>
    <row r="223" spans="1:12" ht="14.6" x14ac:dyDescent="0.4">
      <c r="A223" s="469"/>
      <c r="B223" s="419" t="str">
        <f t="shared" si="74"/>
        <v>6240-21</v>
      </c>
      <c r="C223" s="449" t="s">
        <v>329</v>
      </c>
      <c r="D223" s="474">
        <v>1</v>
      </c>
      <c r="E223" s="474"/>
      <c r="F223" s="478"/>
      <c r="G223" s="463">
        <v>40</v>
      </c>
      <c r="H223" s="425">
        <f t="shared" si="78"/>
        <v>40</v>
      </c>
      <c r="I223" s="425">
        <f t="shared" ca="1" si="75"/>
        <v>0</v>
      </c>
      <c r="J223" s="425">
        <f t="shared" ca="1" si="76"/>
        <v>40</v>
      </c>
      <c r="K223" s="472">
        <v>40</v>
      </c>
    </row>
    <row r="224" spans="1:12" ht="14.6" x14ac:dyDescent="0.4">
      <c r="A224" s="221"/>
      <c r="B224" s="221" t="str">
        <f t="shared" si="74"/>
        <v>6240-22</v>
      </c>
      <c r="C224" s="331" t="s">
        <v>330</v>
      </c>
      <c r="D224" s="358">
        <v>1</v>
      </c>
      <c r="E224" s="358"/>
      <c r="F224" s="364"/>
      <c r="G224" s="206">
        <v>475</v>
      </c>
      <c r="H224" s="33">
        <f t="shared" si="78"/>
        <v>475</v>
      </c>
      <c r="I224" s="33">
        <f t="shared" ca="1" si="75"/>
        <v>0</v>
      </c>
      <c r="J224" s="33">
        <f t="shared" ca="1" si="76"/>
        <v>475</v>
      </c>
      <c r="K224" s="215">
        <v>450</v>
      </c>
    </row>
    <row r="225" spans="1:12" ht="14.6" x14ac:dyDescent="0.4">
      <c r="A225" s="469"/>
      <c r="B225" s="419" t="str">
        <f t="shared" si="74"/>
        <v>6240-23</v>
      </c>
      <c r="C225" s="449" t="s">
        <v>331</v>
      </c>
      <c r="D225" s="474">
        <v>1</v>
      </c>
      <c r="E225" s="474"/>
      <c r="F225" s="478"/>
      <c r="G225" s="463">
        <v>100</v>
      </c>
      <c r="H225" s="425">
        <f t="shared" ref="H225:H235" si="79">(D225+E225+F225)*G225</f>
        <v>100</v>
      </c>
      <c r="I225" s="425">
        <f t="shared" ca="1" si="75"/>
        <v>0</v>
      </c>
      <c r="J225" s="425">
        <f t="shared" ca="1" si="76"/>
        <v>100</v>
      </c>
      <c r="K225" s="472">
        <v>100</v>
      </c>
    </row>
    <row r="226" spans="1:12" ht="14.6" x14ac:dyDescent="0.4">
      <c r="A226" s="221"/>
      <c r="B226" s="221" t="str">
        <f t="shared" si="74"/>
        <v>6240-24</v>
      </c>
      <c r="C226" s="331" t="s">
        <v>332</v>
      </c>
      <c r="D226" s="358">
        <v>1</v>
      </c>
      <c r="E226" s="358"/>
      <c r="F226" s="364"/>
      <c r="G226" s="206">
        <v>85</v>
      </c>
      <c r="H226" s="244">
        <f t="shared" si="79"/>
        <v>85</v>
      </c>
      <c r="I226" s="33">
        <f t="shared" ca="1" si="75"/>
        <v>0</v>
      </c>
      <c r="J226" s="33">
        <f t="shared" ca="1" si="76"/>
        <v>85</v>
      </c>
      <c r="K226" s="215">
        <v>85</v>
      </c>
    </row>
    <row r="227" spans="1:12" ht="14.6" x14ac:dyDescent="0.4">
      <c r="A227" s="469"/>
      <c r="B227" s="419" t="str">
        <f t="shared" si="74"/>
        <v>6240-25</v>
      </c>
      <c r="C227" s="479" t="s">
        <v>333</v>
      </c>
      <c r="D227" s="470">
        <v>1</v>
      </c>
      <c r="E227" s="470"/>
      <c r="F227" s="471"/>
      <c r="G227" s="463">
        <v>585</v>
      </c>
      <c r="H227" s="424">
        <f t="shared" si="79"/>
        <v>585</v>
      </c>
      <c r="I227" s="425">
        <f t="shared" ca="1" si="75"/>
        <v>-545</v>
      </c>
      <c r="J227" s="425">
        <f t="shared" ca="1" si="76"/>
        <v>40</v>
      </c>
      <c r="K227" s="472">
        <v>560</v>
      </c>
    </row>
    <row r="228" spans="1:12" ht="14.6" x14ac:dyDescent="0.4">
      <c r="A228" s="548"/>
      <c r="B228" s="548" t="str">
        <f>LEFT($B227,4)&amp;"-"&amp;VALUE(MID($B227,FIND("-",$B227)+1,256))+1</f>
        <v>6240-26</v>
      </c>
      <c r="C228" s="549" t="s">
        <v>334</v>
      </c>
      <c r="D228" s="536">
        <v>1</v>
      </c>
      <c r="E228" s="536"/>
      <c r="F228" s="550"/>
      <c r="G228" s="537">
        <v>250</v>
      </c>
      <c r="H228" s="538">
        <f t="shared" si="79"/>
        <v>250</v>
      </c>
      <c r="I228" s="520">
        <f t="shared" ca="1" si="75"/>
        <v>-200</v>
      </c>
      <c r="J228" s="520">
        <f t="shared" ca="1" si="76"/>
        <v>50</v>
      </c>
      <c r="K228" s="539">
        <v>225</v>
      </c>
    </row>
    <row r="229" spans="1:12" ht="14.6" x14ac:dyDescent="0.4">
      <c r="A229" s="159"/>
      <c r="B229" s="207" t="str">
        <f t="shared" si="74"/>
        <v>6240-27</v>
      </c>
      <c r="C229" s="148" t="s">
        <v>335</v>
      </c>
      <c r="D229" s="164">
        <v>1</v>
      </c>
      <c r="E229" s="164"/>
      <c r="F229" s="172"/>
      <c r="G229" s="157">
        <v>150</v>
      </c>
      <c r="H229" s="338">
        <f t="shared" si="79"/>
        <v>150</v>
      </c>
      <c r="I229" s="153">
        <f t="shared" ca="1" si="75"/>
        <v>-2.8799999999999955</v>
      </c>
      <c r="J229" s="153">
        <f t="shared" ca="1" si="76"/>
        <v>147.12</v>
      </c>
      <c r="K229" s="162">
        <v>125</v>
      </c>
      <c r="L229" s="128"/>
    </row>
    <row r="230" spans="1:12" ht="14.6" x14ac:dyDescent="0.4">
      <c r="A230" s="548"/>
      <c r="B230" s="548" t="str">
        <f t="shared" si="74"/>
        <v>6240-28</v>
      </c>
      <c r="C230" s="549" t="s">
        <v>336</v>
      </c>
      <c r="D230" s="536">
        <v>1</v>
      </c>
      <c r="E230" s="536"/>
      <c r="F230" s="535"/>
      <c r="G230" s="537">
        <v>250</v>
      </c>
      <c r="H230" s="538">
        <f t="shared" si="79"/>
        <v>250</v>
      </c>
      <c r="I230" s="520">
        <f t="shared" ca="1" si="75"/>
        <v>-177.89999999999998</v>
      </c>
      <c r="J230" s="520">
        <f t="shared" ca="1" si="76"/>
        <v>72.100000000000023</v>
      </c>
      <c r="K230" s="539">
        <v>225</v>
      </c>
    </row>
    <row r="231" spans="1:12" ht="14.6" x14ac:dyDescent="0.4">
      <c r="A231" s="168"/>
      <c r="B231" s="207" t="str">
        <f t="shared" si="74"/>
        <v>6240-29</v>
      </c>
      <c r="C231" s="171" t="s">
        <v>337</v>
      </c>
      <c r="D231" s="170">
        <v>1</v>
      </c>
      <c r="E231" s="161"/>
      <c r="F231" s="170"/>
      <c r="G231" s="157">
        <v>650</v>
      </c>
      <c r="H231" s="338">
        <f t="shared" si="79"/>
        <v>650</v>
      </c>
      <c r="I231" s="153">
        <f t="shared" ca="1" si="75"/>
        <v>-795</v>
      </c>
      <c r="J231" s="153">
        <f t="shared" ca="1" si="76"/>
        <v>-145</v>
      </c>
      <c r="K231" s="162">
        <v>625</v>
      </c>
    </row>
    <row r="232" spans="1:12" ht="14.6" x14ac:dyDescent="0.4">
      <c r="A232" s="548"/>
      <c r="B232" s="548" t="str">
        <f t="shared" si="74"/>
        <v>6240-30</v>
      </c>
      <c r="C232" s="547" t="s">
        <v>338</v>
      </c>
      <c r="D232" s="551">
        <v>1</v>
      </c>
      <c r="E232" s="551"/>
      <c r="F232" s="552"/>
      <c r="G232" s="537">
        <v>225</v>
      </c>
      <c r="H232" s="538">
        <f t="shared" si="79"/>
        <v>225</v>
      </c>
      <c r="I232" s="520">
        <f t="shared" ca="1" si="75"/>
        <v>-350</v>
      </c>
      <c r="J232" s="520">
        <f t="shared" ca="1" si="76"/>
        <v>-125</v>
      </c>
      <c r="K232" s="539">
        <v>200</v>
      </c>
    </row>
    <row r="233" spans="1:12" ht="14.6" x14ac:dyDescent="0.4">
      <c r="A233" s="207" t="s">
        <v>310</v>
      </c>
      <c r="B233" s="207" t="str">
        <f t="shared" si="74"/>
        <v>6240-31</v>
      </c>
      <c r="C233" s="190" t="s">
        <v>339</v>
      </c>
      <c r="D233" s="208">
        <v>1</v>
      </c>
      <c r="E233" s="208"/>
      <c r="F233" s="361"/>
      <c r="G233" s="210">
        <v>150</v>
      </c>
      <c r="H233" s="338">
        <f t="shared" si="79"/>
        <v>150</v>
      </c>
      <c r="I233" s="153">
        <f t="shared" ca="1" si="75"/>
        <v>-150</v>
      </c>
      <c r="J233" s="153">
        <f t="shared" ca="1" si="76"/>
        <v>0</v>
      </c>
      <c r="K233" s="214"/>
    </row>
    <row r="234" spans="1:12" ht="14.6" x14ac:dyDescent="0.4">
      <c r="A234" s="221" t="s">
        <v>310</v>
      </c>
      <c r="B234" s="221"/>
      <c r="C234" s="240" t="s">
        <v>342</v>
      </c>
      <c r="D234" s="205">
        <v>1</v>
      </c>
      <c r="E234" s="205"/>
      <c r="F234" s="252"/>
      <c r="G234" s="206">
        <v>50</v>
      </c>
      <c r="H234" s="503">
        <f>(D234+E234+F234)*G234</f>
        <v>50</v>
      </c>
      <c r="I234" s="520">
        <f t="shared" ca="1" si="75"/>
        <v>0</v>
      </c>
      <c r="J234" s="520">
        <f t="shared" ca="1" si="76"/>
        <v>50</v>
      </c>
      <c r="K234" s="215"/>
    </row>
    <row r="235" spans="1:12" ht="14.6" x14ac:dyDescent="0.4">
      <c r="A235" s="419" t="s">
        <v>340</v>
      </c>
      <c r="B235" s="220" t="str">
        <f>LEFT($B233,4)&amp;"-"&amp;VALUE(MID($B233,FIND("-",$B233)+1,256))+1</f>
        <v>6240-32</v>
      </c>
      <c r="C235" s="420" t="s">
        <v>341</v>
      </c>
      <c r="D235" s="421">
        <v>12</v>
      </c>
      <c r="E235" s="421"/>
      <c r="F235" s="422"/>
      <c r="G235" s="423">
        <v>2700</v>
      </c>
      <c r="H235" s="329">
        <f t="shared" si="79"/>
        <v>32400</v>
      </c>
      <c r="I235" s="153">
        <f t="shared" ca="1" si="75"/>
        <v>-32760</v>
      </c>
      <c r="J235" s="153">
        <f t="shared" ca="1" si="76"/>
        <v>-360</v>
      </c>
      <c r="K235" s="426"/>
    </row>
    <row r="236" spans="1:12" thickBot="1" x14ac:dyDescent="0.45">
      <c r="A236" s="74"/>
      <c r="B236" s="101"/>
      <c r="C236" s="75" t="s">
        <v>66</v>
      </c>
      <c r="D236" s="105"/>
      <c r="E236" s="51"/>
      <c r="F236" s="14" t="s">
        <v>61</v>
      </c>
      <c r="G236" s="334">
        <f>SUM(Summary!D21)</f>
        <v>0.80720338983050843</v>
      </c>
      <c r="H236" s="336">
        <f>SUM(H202:H235)</f>
        <v>85285.06</v>
      </c>
      <c r="I236" s="336">
        <f ca="1">SUM(I202:I235)</f>
        <v>-92251.609999999986</v>
      </c>
      <c r="J236" s="336">
        <f ca="1">SUM(J202:J235)</f>
        <v>-6966.55</v>
      </c>
      <c r="K236" s="363">
        <f>SUM(K202:K235)</f>
        <v>47158.76</v>
      </c>
    </row>
    <row r="237" spans="1:12" ht="7.5" customHeight="1" thickTop="1" x14ac:dyDescent="0.4">
      <c r="A237" s="49"/>
      <c r="B237" s="221"/>
      <c r="C237" s="79"/>
      <c r="D237" s="125"/>
      <c r="E237" s="56"/>
      <c r="F237" s="125"/>
      <c r="G237" s="57"/>
      <c r="H237" s="81"/>
      <c r="I237" s="81"/>
      <c r="J237" s="81"/>
      <c r="K237" s="81"/>
    </row>
    <row r="238" spans="1:12" ht="19.5" customHeight="1" x14ac:dyDescent="0.5">
      <c r="A238" s="777" t="s">
        <v>343</v>
      </c>
      <c r="B238" s="777"/>
      <c r="C238" s="778"/>
      <c r="D238" s="778"/>
      <c r="E238" s="778"/>
      <c r="F238" s="778"/>
      <c r="G238" s="778"/>
      <c r="H238" s="778"/>
      <c r="I238" s="778" t="e">
        <f t="shared" ref="I238:I242" ca="1" si="80">-(SUMIF(INDIRECT(LEFT($A$215,4)&amp;"!E3:E200"),"="&amp;B238&amp;" *",INDIRECT(LEFT($A$215,4)&amp;"!F3:F200")))</f>
        <v>#REF!</v>
      </c>
      <c r="J238" s="778" t="e">
        <f t="shared" ref="J238:J244" ca="1" si="81">SUM(H238:I238)</f>
        <v>#REF!</v>
      </c>
      <c r="K238" s="778"/>
      <c r="L238" s="129"/>
    </row>
    <row r="239" spans="1:12" ht="14.6" x14ac:dyDescent="0.4">
      <c r="A239" s="62"/>
      <c r="B239" s="101" t="str">
        <f>LEFT($A238,4)&amp;"-1"</f>
        <v>6250-1</v>
      </c>
      <c r="C239" s="84" t="s">
        <v>344</v>
      </c>
      <c r="D239" s="105"/>
      <c r="E239" s="51"/>
      <c r="F239" s="110">
        <v>1</v>
      </c>
      <c r="G239" s="60">
        <v>500</v>
      </c>
      <c r="H239" s="33">
        <f>(D239+E239+F239)*G239</f>
        <v>500</v>
      </c>
      <c r="I239" s="33">
        <f ca="1">-(SUMIF(INDIRECT(LEFT(A238,4)&amp;"!I3:I200"),"="&amp;B239&amp;" *",INDIRECT(LEFT(A238,4)&amp;"!K3:K200")))</f>
        <v>-289.65000000000407</v>
      </c>
      <c r="J239" s="33">
        <f t="shared" ca="1" si="81"/>
        <v>210.34999999999593</v>
      </c>
      <c r="K239" s="33">
        <v>500</v>
      </c>
      <c r="L239" s="63"/>
    </row>
    <row r="240" spans="1:12" ht="14.25" customHeight="1" thickBot="1" x14ac:dyDescent="0.45">
      <c r="A240" s="35"/>
      <c r="B240" s="222"/>
      <c r="C240" s="75" t="s">
        <v>66</v>
      </c>
      <c r="D240" s="105"/>
      <c r="E240" s="51"/>
      <c r="F240" s="130"/>
      <c r="G240" s="334">
        <f>SUM(Summary!D22)</f>
        <v>0</v>
      </c>
      <c r="H240" s="336">
        <f>SUM(H239)</f>
        <v>500</v>
      </c>
      <c r="I240" s="336">
        <f t="shared" ref="I240:J240" ca="1" si="82">SUM(I239)</f>
        <v>-289.65000000000407</v>
      </c>
      <c r="J240" s="336">
        <f t="shared" ca="1" si="82"/>
        <v>210.34999999999593</v>
      </c>
      <c r="K240" s="336">
        <f>SUM(K239)</f>
        <v>500</v>
      </c>
      <c r="L240" s="63"/>
    </row>
    <row r="241" spans="1:12" ht="9.75" hidden="1" customHeight="1" thickBot="1" x14ac:dyDescent="0.45">
      <c r="A241" s="49"/>
      <c r="B241" s="101"/>
      <c r="C241" s="49"/>
      <c r="D241" s="125"/>
      <c r="E241" s="56"/>
      <c r="F241" s="125"/>
      <c r="G241" s="57"/>
      <c r="H241" s="35"/>
      <c r="I241" s="35"/>
      <c r="J241" s="35"/>
      <c r="K241" s="35"/>
    </row>
    <row r="242" spans="1:12" ht="19.5" customHeight="1" thickTop="1" x14ac:dyDescent="0.5">
      <c r="A242" s="777" t="s">
        <v>345</v>
      </c>
      <c r="B242" s="777"/>
      <c r="C242" s="778"/>
      <c r="D242" s="778"/>
      <c r="E242" s="778"/>
      <c r="F242" s="778"/>
      <c r="G242" s="778"/>
      <c r="H242" s="778"/>
      <c r="I242" s="778" t="e">
        <f t="shared" ca="1" si="80"/>
        <v>#REF!</v>
      </c>
      <c r="J242" s="778" t="e">
        <f t="shared" ca="1" si="81"/>
        <v>#REF!</v>
      </c>
      <c r="K242" s="778"/>
    </row>
    <row r="243" spans="1:12" ht="14.6" x14ac:dyDescent="0.4">
      <c r="A243" s="101"/>
      <c r="B243" s="101" t="str">
        <f>LEFT($A242,4)&amp;"-1"</f>
        <v>6260-1</v>
      </c>
      <c r="C243" s="84" t="s">
        <v>346</v>
      </c>
      <c r="D243" s="105"/>
      <c r="E243" s="51"/>
      <c r="F243" s="110">
        <v>1</v>
      </c>
      <c r="G243" s="39">
        <v>10000</v>
      </c>
      <c r="H243" s="33">
        <f t="shared" ref="H243:H252" si="83">(D243+E243+F243)*G243</f>
        <v>10000</v>
      </c>
      <c r="I243" s="33">
        <f ca="1">-(SUMIF(INDIRECT(LEFT($A$242,4)&amp;"!I3:I200"),"="&amp;B243&amp;" *",INDIRECT(LEFT($A$242,4)&amp;"!K3:K200")))</f>
        <v>-6900</v>
      </c>
      <c r="J243" s="33">
        <f t="shared" ca="1" si="81"/>
        <v>3100</v>
      </c>
      <c r="K243" s="54">
        <v>10000</v>
      </c>
      <c r="L243" t="s">
        <v>347</v>
      </c>
    </row>
    <row r="244" spans="1:12" ht="14.6" x14ac:dyDescent="0.4">
      <c r="A244" s="207"/>
      <c r="B244" s="207" t="str">
        <f t="shared" ref="B244:B259" si="84">LEFT($B243,4)&amp;"-"&amp;VALUE(MID($B243,FIND("-",$B243)+1,256))+1</f>
        <v>6260-2</v>
      </c>
      <c r="C244" s="368" t="s">
        <v>348</v>
      </c>
      <c r="D244" s="212"/>
      <c r="E244" s="213"/>
      <c r="F244" s="212">
        <v>1</v>
      </c>
      <c r="G244" s="210">
        <v>35000</v>
      </c>
      <c r="H244" s="153">
        <f t="shared" si="83"/>
        <v>35000</v>
      </c>
      <c r="I244" s="338">
        <f t="shared" ref="I244:I258" ca="1" si="85">-(SUMIF(INDIRECT(LEFT($A$242,4)&amp;"!I3:I200"),"="&amp;B244&amp;" *",INDIRECT(LEFT($A$242,4)&amp;"!K3:K200")))</f>
        <v>-2700</v>
      </c>
      <c r="J244" s="338">
        <f t="shared" ca="1" si="81"/>
        <v>32300</v>
      </c>
      <c r="K244" s="214">
        <v>35000</v>
      </c>
    </row>
    <row r="245" spans="1:12" ht="14.6" x14ac:dyDescent="0.4">
      <c r="A245" s="221" t="s">
        <v>349</v>
      </c>
      <c r="B245" s="101" t="str">
        <f t="shared" si="84"/>
        <v>6260-3</v>
      </c>
      <c r="C245" s="240" t="s">
        <v>350</v>
      </c>
      <c r="D245" s="205"/>
      <c r="E245" s="205">
        <v>12</v>
      </c>
      <c r="F245" s="392"/>
      <c r="G245" s="206">
        <v>1400</v>
      </c>
      <c r="H245" s="244">
        <f>(D245+E245+F245)*G245</f>
        <v>16800</v>
      </c>
      <c r="I245" s="33">
        <f t="shared" ca="1" si="85"/>
        <v>-16800</v>
      </c>
      <c r="J245" s="33">
        <f t="shared" ref="J245:J258" ca="1" si="86">SUM(H245:I245)</f>
        <v>0</v>
      </c>
      <c r="K245" s="215">
        <v>16800</v>
      </c>
    </row>
    <row r="246" spans="1:12" ht="14.6" x14ac:dyDescent="0.4">
      <c r="A246" s="207" t="s">
        <v>132</v>
      </c>
      <c r="B246" s="207" t="str">
        <f t="shared" si="84"/>
        <v>6260-4</v>
      </c>
      <c r="C246" s="190" t="s">
        <v>491</v>
      </c>
      <c r="D246" s="208"/>
      <c r="E246" s="208"/>
      <c r="F246" s="208">
        <v>1</v>
      </c>
      <c r="G246" s="210">
        <v>30000</v>
      </c>
      <c r="H246" s="338">
        <f>(D246+E246+F246)*G246</f>
        <v>30000</v>
      </c>
      <c r="I246" s="338">
        <f t="shared" ca="1" si="85"/>
        <v>-16525</v>
      </c>
      <c r="J246" s="338">
        <f t="shared" ca="1" si="86"/>
        <v>13475</v>
      </c>
      <c r="K246" s="214">
        <v>13500</v>
      </c>
    </row>
    <row r="247" spans="1:12" ht="14.6" x14ac:dyDescent="0.4">
      <c r="A247" s="221"/>
      <c r="B247" s="221" t="str">
        <f t="shared" si="84"/>
        <v>6260-5</v>
      </c>
      <c r="C247" s="240" t="s">
        <v>351</v>
      </c>
      <c r="D247" s="490">
        <v>1</v>
      </c>
      <c r="E247" s="205"/>
      <c r="F247" s="252"/>
      <c r="G247" s="206">
        <v>5000</v>
      </c>
      <c r="H247" s="244">
        <f t="shared" si="83"/>
        <v>5000</v>
      </c>
      <c r="I247" s="33">
        <f t="shared" ca="1" si="85"/>
        <v>0</v>
      </c>
      <c r="J247" s="33">
        <f t="shared" ca="1" si="86"/>
        <v>5000</v>
      </c>
      <c r="K247" s="206">
        <v>5000</v>
      </c>
    </row>
    <row r="248" spans="1:12" ht="14.6" x14ac:dyDescent="0.4">
      <c r="A248" s="469"/>
      <c r="B248" s="419" t="str">
        <f t="shared" si="84"/>
        <v>6260-6</v>
      </c>
      <c r="C248" s="486" t="s">
        <v>352</v>
      </c>
      <c r="D248" s="482">
        <v>1</v>
      </c>
      <c r="E248" s="470"/>
      <c r="F248" s="482"/>
      <c r="G248" s="463">
        <v>66084</v>
      </c>
      <c r="H248" s="425">
        <f t="shared" si="83"/>
        <v>66084</v>
      </c>
      <c r="I248" s="424">
        <f t="shared" ca="1" si="85"/>
        <v>-69631.570000000007</v>
      </c>
      <c r="J248" s="424">
        <f t="shared" ca="1" si="86"/>
        <v>-3547.570000000007</v>
      </c>
      <c r="K248" s="463">
        <v>66084</v>
      </c>
    </row>
    <row r="249" spans="1:12" ht="14.6" x14ac:dyDescent="0.4">
      <c r="A249" s="491"/>
      <c r="B249" s="492" t="str">
        <f t="shared" si="84"/>
        <v>6260-7</v>
      </c>
      <c r="C249" s="493" t="s">
        <v>353</v>
      </c>
      <c r="D249" s="494"/>
      <c r="E249" s="495"/>
      <c r="F249" s="494">
        <v>1</v>
      </c>
      <c r="G249" s="496">
        <v>45000</v>
      </c>
      <c r="H249" s="520">
        <f t="shared" si="83"/>
        <v>45000</v>
      </c>
      <c r="I249" s="497">
        <f t="shared" ca="1" si="85"/>
        <v>-25292.5</v>
      </c>
      <c r="J249" s="497">
        <f t="shared" ca="1" si="86"/>
        <v>19707.5</v>
      </c>
      <c r="K249" s="498">
        <v>45000</v>
      </c>
    </row>
    <row r="250" spans="1:12" ht="14.6" x14ac:dyDescent="0.4">
      <c r="A250" s="207" t="s">
        <v>513</v>
      </c>
      <c r="B250" s="439" t="str">
        <f t="shared" si="84"/>
        <v>6260-8</v>
      </c>
      <c r="C250" s="440" t="s">
        <v>354</v>
      </c>
      <c r="D250" s="441"/>
      <c r="E250" s="442">
        <v>0</v>
      </c>
      <c r="F250" s="443"/>
      <c r="G250" s="455">
        <v>1500</v>
      </c>
      <c r="H250" s="338">
        <f t="shared" si="83"/>
        <v>0</v>
      </c>
      <c r="I250" s="444">
        <f t="shared" ca="1" si="85"/>
        <v>0</v>
      </c>
      <c r="J250" s="444">
        <f t="shared" ca="1" si="86"/>
        <v>0</v>
      </c>
      <c r="K250" s="480">
        <v>1500</v>
      </c>
    </row>
    <row r="251" spans="1:12" ht="14.6" x14ac:dyDescent="0.4">
      <c r="A251" s="101"/>
      <c r="B251" s="127" t="str">
        <f t="shared" si="84"/>
        <v>6260-9</v>
      </c>
      <c r="C251" s="61" t="s">
        <v>355</v>
      </c>
      <c r="D251" s="107"/>
      <c r="E251" s="100"/>
      <c r="F251" s="107">
        <v>5</v>
      </c>
      <c r="G251" s="39">
        <v>45</v>
      </c>
      <c r="H251" s="33">
        <f t="shared" si="83"/>
        <v>225</v>
      </c>
      <c r="I251" s="33">
        <f t="shared" ca="1" si="85"/>
        <v>-684.90000000000009</v>
      </c>
      <c r="J251" s="33">
        <f t="shared" ca="1" si="86"/>
        <v>-459.90000000000009</v>
      </c>
      <c r="K251" s="54">
        <v>225</v>
      </c>
    </row>
    <row r="252" spans="1:12" ht="14.6" x14ac:dyDescent="0.4">
      <c r="A252" s="207"/>
      <c r="B252" s="207" t="str">
        <f t="shared" si="84"/>
        <v>6260-10</v>
      </c>
      <c r="C252" s="347" t="s">
        <v>356</v>
      </c>
      <c r="D252" s="361"/>
      <c r="E252" s="208"/>
      <c r="F252" s="361">
        <v>1</v>
      </c>
      <c r="G252" s="210">
        <v>300000</v>
      </c>
      <c r="H252" s="153">
        <f t="shared" si="83"/>
        <v>300000</v>
      </c>
      <c r="I252" s="338">
        <f t="shared" ca="1" si="85"/>
        <v>-235870.57</v>
      </c>
      <c r="J252" s="338">
        <f t="shared" ca="1" si="86"/>
        <v>64129.429999999993</v>
      </c>
      <c r="K252" s="214">
        <v>300000</v>
      </c>
    </row>
    <row r="253" spans="1:12" ht="14.6" x14ac:dyDescent="0.4">
      <c r="A253" s="101" t="s">
        <v>357</v>
      </c>
      <c r="B253" s="127" t="str">
        <f t="shared" si="84"/>
        <v>6260-11</v>
      </c>
      <c r="C253" s="84" t="s">
        <v>358</v>
      </c>
      <c r="D253" s="105">
        <v>1</v>
      </c>
      <c r="E253" s="51"/>
      <c r="F253" s="110"/>
      <c r="G253" s="39">
        <v>76050</v>
      </c>
      <c r="H253" s="33">
        <f t="shared" ref="H253:H258" si="87">(D253+E253+F253)*G253</f>
        <v>76050</v>
      </c>
      <c r="I253" s="33">
        <f t="shared" ca="1" si="85"/>
        <v>-96050</v>
      </c>
      <c r="J253" s="33">
        <f t="shared" ca="1" si="86"/>
        <v>-20000</v>
      </c>
      <c r="K253" s="54">
        <v>76050</v>
      </c>
    </row>
    <row r="254" spans="1:12" ht="14.6" x14ac:dyDescent="0.4">
      <c r="A254" s="601" t="s">
        <v>359</v>
      </c>
      <c r="B254" s="207" t="str">
        <f t="shared" si="84"/>
        <v>6260-12</v>
      </c>
      <c r="C254" s="368" t="s">
        <v>360</v>
      </c>
      <c r="D254" s="212"/>
      <c r="E254" s="213">
        <v>1</v>
      </c>
      <c r="F254" s="212"/>
      <c r="G254" s="210">
        <v>197817</v>
      </c>
      <c r="H254" s="338">
        <f t="shared" si="87"/>
        <v>197817</v>
      </c>
      <c r="I254" s="382">
        <f t="shared" ca="1" si="85"/>
        <v>-197817</v>
      </c>
      <c r="J254" s="382">
        <f t="shared" ca="1" si="86"/>
        <v>0</v>
      </c>
      <c r="K254" s="214">
        <v>197817</v>
      </c>
      <c r="L254" s="186"/>
    </row>
    <row r="255" spans="1:12" ht="14.6" x14ac:dyDescent="0.4">
      <c r="A255" s="126" t="s">
        <v>361</v>
      </c>
      <c r="B255" s="127" t="str">
        <f t="shared" si="84"/>
        <v>6260-13</v>
      </c>
      <c r="C255" s="191" t="s">
        <v>362</v>
      </c>
      <c r="D255" s="107"/>
      <c r="E255" s="100"/>
      <c r="F255" s="107"/>
      <c r="G255" s="39">
        <v>9200</v>
      </c>
      <c r="H255" s="33">
        <f t="shared" si="87"/>
        <v>0</v>
      </c>
      <c r="I255" s="33">
        <f t="shared" ca="1" si="85"/>
        <v>0</v>
      </c>
      <c r="J255" s="33">
        <f t="shared" ca="1" si="86"/>
        <v>0</v>
      </c>
      <c r="K255" s="39">
        <v>0</v>
      </c>
    </row>
    <row r="256" spans="1:12" ht="14.6" x14ac:dyDescent="0.4">
      <c r="A256" s="189"/>
      <c r="B256" s="207" t="str">
        <f t="shared" si="84"/>
        <v>6260-14</v>
      </c>
      <c r="C256" s="190" t="s">
        <v>536</v>
      </c>
      <c r="D256" s="399"/>
      <c r="E256" s="208">
        <v>12</v>
      </c>
      <c r="F256" s="209"/>
      <c r="G256" s="210">
        <v>100</v>
      </c>
      <c r="H256" s="338">
        <f t="shared" si="87"/>
        <v>1200</v>
      </c>
      <c r="I256" s="382">
        <f t="shared" ca="1" si="85"/>
        <v>-414</v>
      </c>
      <c r="J256" s="382">
        <f t="shared" ca="1" si="86"/>
        <v>786</v>
      </c>
      <c r="K256" s="214">
        <v>1200</v>
      </c>
      <c r="L256" t="s">
        <v>363</v>
      </c>
    </row>
    <row r="257" spans="1:12" s="525" customFormat="1" ht="14.6" x14ac:dyDescent="0.4">
      <c r="A257" s="534"/>
      <c r="B257" s="762" t="str">
        <f>LEFT($B256,4)&amp;"-"&amp;VALUE(MID($B256,FIND("-",$B256)+1,256))+1</f>
        <v>6260-15</v>
      </c>
      <c r="C257" s="704" t="s">
        <v>366</v>
      </c>
      <c r="D257" s="604"/>
      <c r="E257" s="605">
        <v>12</v>
      </c>
      <c r="F257" s="604"/>
      <c r="G257" s="526">
        <v>5000</v>
      </c>
      <c r="H257" s="520">
        <f t="shared" si="87"/>
        <v>60000</v>
      </c>
      <c r="I257" s="520">
        <f t="shared" ca="1" si="85"/>
        <v>-60000</v>
      </c>
      <c r="J257" s="520">
        <f t="shared" ca="1" si="86"/>
        <v>0</v>
      </c>
      <c r="K257" s="528">
        <v>60000</v>
      </c>
    </row>
    <row r="258" spans="1:12" ht="14.6" x14ac:dyDescent="0.4">
      <c r="A258" s="469"/>
      <c r="B258" s="481" t="str">
        <f t="shared" si="84"/>
        <v>6260-16</v>
      </c>
      <c r="C258" s="479" t="s">
        <v>367</v>
      </c>
      <c r="D258" s="482"/>
      <c r="E258" s="470">
        <v>100</v>
      </c>
      <c r="F258" s="482"/>
      <c r="G258" s="463">
        <v>125</v>
      </c>
      <c r="H258" s="425">
        <f t="shared" si="87"/>
        <v>12500</v>
      </c>
      <c r="I258" s="425">
        <f t="shared" ca="1" si="85"/>
        <v>0</v>
      </c>
      <c r="J258" s="425">
        <f t="shared" ca="1" si="86"/>
        <v>12500</v>
      </c>
      <c r="K258" s="472">
        <v>12500</v>
      </c>
    </row>
    <row r="259" spans="1:12" ht="14.6" x14ac:dyDescent="0.4">
      <c r="A259" s="101" t="s">
        <v>364</v>
      </c>
      <c r="B259" s="221" t="str">
        <f t="shared" si="84"/>
        <v>6260-17</v>
      </c>
      <c r="C259" s="61" t="s">
        <v>365</v>
      </c>
      <c r="D259" s="107"/>
      <c r="E259" s="100">
        <v>1</v>
      </c>
      <c r="F259" s="107"/>
      <c r="G259" s="39">
        <v>2000</v>
      </c>
      <c r="H259" s="33">
        <f t="shared" ref="H259" si="88">(D259+E259+F259)*G259</f>
        <v>2000</v>
      </c>
      <c r="I259" s="33">
        <f ca="1">-(SUMIF(INDIRECT(LEFT($A$242,4)&amp;"!I3:I200"),"="&amp;B259&amp;" *",INDIRECT(LEFT($A$242,4)&amp;"!K3:K200")))</f>
        <v>-581.9</v>
      </c>
      <c r="J259" s="33">
        <f ca="1">SUM(H259:I259)</f>
        <v>1418.1</v>
      </c>
      <c r="K259" s="54">
        <v>0</v>
      </c>
    </row>
    <row r="260" spans="1:12" thickBot="1" x14ac:dyDescent="0.45">
      <c r="A260" s="131"/>
      <c r="B260" s="219"/>
      <c r="C260" s="75" t="s">
        <v>66</v>
      </c>
      <c r="D260" s="76"/>
      <c r="E260" s="76"/>
      <c r="F260" s="14" t="s">
        <v>61</v>
      </c>
      <c r="G260" s="334">
        <f>SUM(Summary!D23)</f>
        <v>1.7842274295230165E-2</v>
      </c>
      <c r="H260" s="336">
        <f>SUM(H243:H258)</f>
        <v>855676</v>
      </c>
      <c r="I260" s="336">
        <f ca="1">SUM(I243:I259)</f>
        <v>-729267.44000000006</v>
      </c>
      <c r="J260" s="336">
        <f ca="1">SUM(J243:J259)</f>
        <v>128408.56</v>
      </c>
      <c r="K260" s="336">
        <f>SUM(K243:K259)</f>
        <v>840676</v>
      </c>
    </row>
    <row r="261" spans="1:12" ht="10.5" customHeight="1" thickTop="1" x14ac:dyDescent="0.4">
      <c r="A261" s="131"/>
      <c r="B261" s="101"/>
      <c r="C261" s="75"/>
      <c r="D261" s="76"/>
      <c r="E261" s="76"/>
      <c r="F261" s="14"/>
      <c r="G261" s="39"/>
      <c r="H261" s="91"/>
      <c r="I261" s="91"/>
      <c r="J261" s="91"/>
      <c r="K261" s="106"/>
    </row>
    <row r="262" spans="1:12" ht="19.5" customHeight="1" x14ac:dyDescent="0.5">
      <c r="A262" s="777" t="s">
        <v>368</v>
      </c>
      <c r="B262" s="777"/>
      <c r="C262" s="778"/>
      <c r="D262" s="778"/>
      <c r="E262" s="778"/>
      <c r="F262" s="778"/>
      <c r="G262" s="778"/>
      <c r="H262" s="778"/>
      <c r="I262" s="778" t="e">
        <f t="shared" ref="I262" ca="1" si="89">-(SUMIF(INDIRECT(LEFT($A$257,4)&amp;"!E3:E200"),"="&amp;B262&amp;" *",INDIRECT(LEFT($A$257,4)&amp;"!F3:F200")))</f>
        <v>#REF!</v>
      </c>
      <c r="J262" s="778" t="e">
        <f t="shared" ref="J262" ca="1" si="90">SUM(H262:I262)</f>
        <v>#REF!</v>
      </c>
      <c r="K262" s="778"/>
    </row>
    <row r="263" spans="1:12" ht="14.6" x14ac:dyDescent="0.4">
      <c r="A263" s="221"/>
      <c r="B263" s="221" t="str">
        <f>LEFT($A262,4)&amp;"-1"</f>
        <v>6280-1</v>
      </c>
      <c r="C263" s="305" t="s">
        <v>369</v>
      </c>
      <c r="D263" s="385">
        <v>1</v>
      </c>
      <c r="E263" s="358"/>
      <c r="F263" s="385"/>
      <c r="G263" s="206">
        <v>5180</v>
      </c>
      <c r="H263" s="244">
        <f t="shared" ref="H263" si="91">(D263+E263+F263)*G263</f>
        <v>5180</v>
      </c>
      <c r="I263" s="244">
        <f ca="1">-(SUMIF(INDIRECT(LEFT($A$262,4)&amp;"!I3:I200"),"="&amp;B263&amp;" *",INDIRECT(LEFT($A$262,4)&amp;"!K3:K200")))</f>
        <v>-4180</v>
      </c>
      <c r="J263" s="244">
        <f t="shared" ref="J263" ca="1" si="92">SUM(H263:I263)</f>
        <v>1000</v>
      </c>
      <c r="K263" s="215">
        <v>5180</v>
      </c>
    </row>
    <row r="264" spans="1:12" ht="14.6" x14ac:dyDescent="0.4">
      <c r="A264" s="207"/>
      <c r="B264" s="433" t="str">
        <f t="shared" ref="B264:B269" si="93">LEFT($B263,4)&amp;"-"&amp;VALUE(MID($B263,FIND("-",$B263)+1,256))+1</f>
        <v>6280-2</v>
      </c>
      <c r="C264" s="456" t="s">
        <v>370</v>
      </c>
      <c r="D264" s="457"/>
      <c r="E264" s="458">
        <v>0</v>
      </c>
      <c r="F264" s="457"/>
      <c r="G264" s="455">
        <v>700</v>
      </c>
      <c r="H264" s="153">
        <v>0</v>
      </c>
      <c r="I264" s="338">
        <f t="shared" ref="I264:I310" ca="1" si="94">-(SUMIF(INDIRECT(LEFT($A$262,4)&amp;"!I3:I200"),"="&amp;B264&amp;" *",INDIRECT(LEFT($A$262,4)&amp;"!K3:K200")))</f>
        <v>0</v>
      </c>
      <c r="J264" s="338">
        <f t="shared" ref="J264:J310" ca="1" si="95">SUM(H264:I264)</f>
        <v>0</v>
      </c>
      <c r="K264" s="483">
        <v>600</v>
      </c>
      <c r="L264" s="372"/>
    </row>
    <row r="265" spans="1:12" ht="14.6" x14ac:dyDescent="0.4">
      <c r="A265" s="445"/>
      <c r="B265" s="446" t="str">
        <f t="shared" si="93"/>
        <v>6280-3</v>
      </c>
      <c r="C265" s="459" t="s">
        <v>371</v>
      </c>
      <c r="D265" s="401"/>
      <c r="E265" s="460">
        <v>0</v>
      </c>
      <c r="F265" s="401"/>
      <c r="G265" s="461">
        <v>500</v>
      </c>
      <c r="H265" s="244">
        <f t="shared" ref="H265:H275" si="96">SUM(D265:F265)*G265</f>
        <v>0</v>
      </c>
      <c r="I265" s="244">
        <f t="shared" ca="1" si="94"/>
        <v>0</v>
      </c>
      <c r="J265" s="244">
        <f t="shared" ca="1" si="95"/>
        <v>0</v>
      </c>
      <c r="K265" s="484">
        <v>500</v>
      </c>
    </row>
    <row r="266" spans="1:12" ht="14.6" x14ac:dyDescent="0.4">
      <c r="A266" s="602" t="s">
        <v>511</v>
      </c>
      <c r="B266" s="159" t="str">
        <f t="shared" si="93"/>
        <v>6280-4</v>
      </c>
      <c r="C266" s="211" t="s">
        <v>372</v>
      </c>
      <c r="D266" s="212"/>
      <c r="E266" s="213">
        <v>1</v>
      </c>
      <c r="F266" s="212"/>
      <c r="G266" s="210">
        <v>12000</v>
      </c>
      <c r="H266" s="153">
        <f t="shared" si="96"/>
        <v>12000</v>
      </c>
      <c r="I266" s="338">
        <f t="shared" ca="1" si="94"/>
        <v>-12000</v>
      </c>
      <c r="J266" s="338">
        <f t="shared" ca="1" si="95"/>
        <v>0</v>
      </c>
      <c r="K266" s="214">
        <v>6000</v>
      </c>
    </row>
    <row r="267" spans="1:12" s="525" customFormat="1" ht="14.6" x14ac:dyDescent="0.4">
      <c r="A267" s="706" t="s">
        <v>388</v>
      </c>
      <c r="B267" s="534" t="str">
        <f t="shared" si="93"/>
        <v>6280-5</v>
      </c>
      <c r="C267" s="606" t="s">
        <v>528</v>
      </c>
      <c r="D267" s="535"/>
      <c r="E267" s="536">
        <v>1</v>
      </c>
      <c r="F267" s="535"/>
      <c r="G267" s="537">
        <v>8000</v>
      </c>
      <c r="H267" s="520">
        <f>(D267+E267+F267)*G267</f>
        <v>8000</v>
      </c>
      <c r="I267" s="538">
        <f t="shared" ca="1" si="94"/>
        <v>0</v>
      </c>
      <c r="J267" s="538">
        <f t="shared" ca="1" si="95"/>
        <v>8000</v>
      </c>
      <c r="K267" s="539">
        <v>0</v>
      </c>
    </row>
    <row r="268" spans="1:12" s="525" customFormat="1" ht="14.6" x14ac:dyDescent="0.4">
      <c r="A268" s="578"/>
      <c r="B268" s="579" t="str">
        <f t="shared" si="93"/>
        <v>6280-6</v>
      </c>
      <c r="C268" s="580" t="s">
        <v>527</v>
      </c>
      <c r="D268" s="581"/>
      <c r="E268" s="582">
        <v>1</v>
      </c>
      <c r="F268" s="581"/>
      <c r="G268" s="583">
        <v>1200</v>
      </c>
      <c r="H268" s="584">
        <f>(D268+E268+F268)*G268</f>
        <v>1200</v>
      </c>
      <c r="I268" s="585">
        <f t="shared" ca="1" si="94"/>
        <v>-1200</v>
      </c>
      <c r="J268" s="585">
        <f ca="1">SUM(H268:I268)</f>
        <v>0</v>
      </c>
      <c r="K268" s="586">
        <v>1200</v>
      </c>
    </row>
    <row r="269" spans="1:12" ht="14.6" x14ac:dyDescent="0.4">
      <c r="A269" s="221"/>
      <c r="B269" s="221" t="str">
        <f t="shared" si="93"/>
        <v>6280-7</v>
      </c>
      <c r="C269" s="369" t="s">
        <v>373</v>
      </c>
      <c r="D269" s="385"/>
      <c r="E269" s="358">
        <v>1</v>
      </c>
      <c r="F269" s="385"/>
      <c r="G269" s="206">
        <v>10300</v>
      </c>
      <c r="H269" s="244">
        <f t="shared" si="96"/>
        <v>10300</v>
      </c>
      <c r="I269" s="244">
        <f t="shared" ca="1" si="94"/>
        <v>-22502.260000000002</v>
      </c>
      <c r="J269" s="244">
        <f t="shared" ca="1" si="95"/>
        <v>-12202.260000000002</v>
      </c>
      <c r="K269" s="215">
        <v>10300</v>
      </c>
    </row>
    <row r="270" spans="1:12" ht="14.6" x14ac:dyDescent="0.4">
      <c r="A270" s="147"/>
      <c r="B270" s="159" t="str">
        <f t="shared" ref="B270:B281" si="97">LEFT($B269,4)&amp;"-"&amp;VALUE(MID($B269,FIND("-",$B269)+1,256))+1</f>
        <v>6280-8</v>
      </c>
      <c r="C270" s="185" t="s">
        <v>374</v>
      </c>
      <c r="D270" s="170"/>
      <c r="E270" s="161">
        <v>1</v>
      </c>
      <c r="F270" s="170"/>
      <c r="G270" s="157">
        <v>500</v>
      </c>
      <c r="H270" s="153">
        <f t="shared" si="96"/>
        <v>500</v>
      </c>
      <c r="I270" s="338">
        <f t="shared" ca="1" si="94"/>
        <v>-1092.83</v>
      </c>
      <c r="J270" s="338">
        <f t="shared" ca="1" si="95"/>
        <v>-592.82999999999993</v>
      </c>
      <c r="K270" s="162">
        <v>500</v>
      </c>
    </row>
    <row r="271" spans="1:12" ht="14.6" x14ac:dyDescent="0.4">
      <c r="A271" s="126"/>
      <c r="B271" s="219" t="str">
        <f t="shared" si="97"/>
        <v>6280-9</v>
      </c>
      <c r="C271" s="184" t="s">
        <v>375</v>
      </c>
      <c r="D271" s="107"/>
      <c r="E271" s="100">
        <v>8</v>
      </c>
      <c r="F271" s="107"/>
      <c r="G271" s="39">
        <v>1100</v>
      </c>
      <c r="H271" s="244">
        <f t="shared" si="96"/>
        <v>8800</v>
      </c>
      <c r="I271" s="244">
        <f t="shared" ca="1" si="94"/>
        <v>0</v>
      </c>
      <c r="J271" s="244">
        <f t="shared" ca="1" si="95"/>
        <v>8800</v>
      </c>
      <c r="K271" s="54">
        <v>8800</v>
      </c>
    </row>
    <row r="272" spans="1:12" ht="14.6" x14ac:dyDescent="0.4">
      <c r="A272" s="207"/>
      <c r="B272" s="159" t="str">
        <f t="shared" si="97"/>
        <v>6280-10</v>
      </c>
      <c r="C272" s="400" t="s">
        <v>376</v>
      </c>
      <c r="D272" s="212"/>
      <c r="E272" s="213">
        <v>1</v>
      </c>
      <c r="F272" s="212"/>
      <c r="G272" s="210">
        <v>750</v>
      </c>
      <c r="H272" s="153">
        <f t="shared" si="96"/>
        <v>750</v>
      </c>
      <c r="I272" s="338">
        <f t="shared" ca="1" si="94"/>
        <v>0</v>
      </c>
      <c r="J272" s="338">
        <f t="shared" ca="1" si="95"/>
        <v>750</v>
      </c>
      <c r="K272" s="214">
        <v>750</v>
      </c>
    </row>
    <row r="273" spans="1:12" ht="14.6" x14ac:dyDescent="0.4">
      <c r="A273" s="101"/>
      <c r="B273" s="101" t="str">
        <f t="shared" si="97"/>
        <v>6280-11</v>
      </c>
      <c r="C273" s="96" t="s">
        <v>377</v>
      </c>
      <c r="D273" s="105"/>
      <c r="E273" s="51">
        <v>1</v>
      </c>
      <c r="F273" s="105"/>
      <c r="G273" s="39">
        <v>2800</v>
      </c>
      <c r="H273" s="244">
        <f t="shared" si="96"/>
        <v>2800</v>
      </c>
      <c r="I273" s="244">
        <f t="shared" ca="1" si="94"/>
        <v>0</v>
      </c>
      <c r="J273" s="244">
        <f t="shared" ca="1" si="95"/>
        <v>2800</v>
      </c>
      <c r="K273" s="54">
        <v>2800</v>
      </c>
    </row>
    <row r="274" spans="1:12" ht="14.6" x14ac:dyDescent="0.4">
      <c r="A274" s="159"/>
      <c r="B274" s="159" t="str">
        <f t="shared" si="97"/>
        <v>6280-12</v>
      </c>
      <c r="C274" s="187" t="s">
        <v>510</v>
      </c>
      <c r="D274" s="165"/>
      <c r="E274" s="164">
        <v>1</v>
      </c>
      <c r="F274" s="165"/>
      <c r="G274" s="157">
        <v>400</v>
      </c>
      <c r="H274" s="338">
        <f t="shared" si="96"/>
        <v>400</v>
      </c>
      <c r="I274" s="338">
        <f t="shared" ca="1" si="94"/>
        <v>0</v>
      </c>
      <c r="J274" s="338">
        <f t="shared" ca="1" si="95"/>
        <v>400</v>
      </c>
      <c r="K274" s="162">
        <v>0</v>
      </c>
    </row>
    <row r="275" spans="1:12" ht="14.6" x14ac:dyDescent="0.4">
      <c r="A275" s="534"/>
      <c r="B275" s="534" t="str">
        <f>LEFT($B274,4)&amp;"-"&amp;VALUE(MID($B274,FIND("-",$B274)+1,256))+1</f>
        <v>6280-13</v>
      </c>
      <c r="C275" s="540" t="s">
        <v>378</v>
      </c>
      <c r="D275" s="604"/>
      <c r="E275" s="605">
        <v>0</v>
      </c>
      <c r="F275" s="604"/>
      <c r="G275" s="526">
        <v>2200</v>
      </c>
      <c r="H275" s="520">
        <f t="shared" si="96"/>
        <v>0</v>
      </c>
      <c r="I275" s="538">
        <f t="shared" ca="1" si="94"/>
        <v>0</v>
      </c>
      <c r="J275" s="538">
        <f t="shared" ca="1" si="95"/>
        <v>0</v>
      </c>
      <c r="K275" s="528">
        <v>19800</v>
      </c>
    </row>
    <row r="276" spans="1:12" ht="15" customHeight="1" x14ac:dyDescent="0.4">
      <c r="A276" s="207"/>
      <c r="B276" s="159" t="str">
        <f t="shared" si="97"/>
        <v>6280-14</v>
      </c>
      <c r="C276" s="211" t="s">
        <v>379</v>
      </c>
      <c r="D276" s="613"/>
      <c r="E276" s="213">
        <v>1</v>
      </c>
      <c r="F276" s="613"/>
      <c r="G276" s="210">
        <v>3100</v>
      </c>
      <c r="H276" s="338">
        <f t="shared" ref="H276:H281" si="98">SUM(D276:F276)*G276</f>
        <v>3100</v>
      </c>
      <c r="I276" s="338">
        <f t="shared" ca="1" si="94"/>
        <v>-3022.5</v>
      </c>
      <c r="J276" s="338">
        <f t="shared" ca="1" si="95"/>
        <v>77.5</v>
      </c>
      <c r="K276" s="210">
        <v>3000</v>
      </c>
    </row>
    <row r="277" spans="1:12" ht="15" customHeight="1" x14ac:dyDescent="0.4">
      <c r="A277" s="607"/>
      <c r="B277" s="534" t="str">
        <f t="shared" si="97"/>
        <v>6280-15</v>
      </c>
      <c r="C277" s="603" t="s">
        <v>380</v>
      </c>
      <c r="D277" s="603"/>
      <c r="E277" s="524">
        <v>1</v>
      </c>
      <c r="F277" s="603"/>
      <c r="G277" s="603">
        <v>1250</v>
      </c>
      <c r="H277" s="520">
        <f t="shared" si="98"/>
        <v>1250</v>
      </c>
      <c r="I277" s="538">
        <f t="shared" ca="1" si="94"/>
        <v>-1209</v>
      </c>
      <c r="J277" s="538">
        <f t="shared" ca="1" si="95"/>
        <v>41</v>
      </c>
      <c r="K277" s="603">
        <v>1200</v>
      </c>
    </row>
    <row r="278" spans="1:12" ht="15" customHeight="1" x14ac:dyDescent="0.4">
      <c r="A278" s="207"/>
      <c r="B278" s="159" t="str">
        <f t="shared" si="97"/>
        <v>6280-16</v>
      </c>
      <c r="C278" s="614" t="s">
        <v>381</v>
      </c>
      <c r="D278" s="613"/>
      <c r="E278" s="213">
        <v>1</v>
      </c>
      <c r="F278" s="613"/>
      <c r="G278" s="210">
        <v>1550</v>
      </c>
      <c r="H278" s="338">
        <f t="shared" si="98"/>
        <v>1550</v>
      </c>
      <c r="I278" s="338">
        <f t="shared" ca="1" si="94"/>
        <v>-1511.25</v>
      </c>
      <c r="J278" s="338">
        <f t="shared" ca="1" si="95"/>
        <v>38.75</v>
      </c>
      <c r="K278" s="214">
        <v>1500</v>
      </c>
    </row>
    <row r="279" spans="1:12" ht="15.75" customHeight="1" x14ac:dyDescent="0.4">
      <c r="A279" s="609"/>
      <c r="B279" s="534" t="str">
        <f t="shared" si="97"/>
        <v>6280-17</v>
      </c>
      <c r="C279" s="610" t="s">
        <v>382</v>
      </c>
      <c r="D279" s="611"/>
      <c r="E279" s="524">
        <v>5</v>
      </c>
      <c r="F279" s="612"/>
      <c r="G279" s="526">
        <v>1230</v>
      </c>
      <c r="H279" s="520">
        <f t="shared" si="98"/>
        <v>6150</v>
      </c>
      <c r="I279" s="538">
        <f t="shared" ca="1" si="94"/>
        <v>-4836</v>
      </c>
      <c r="J279" s="538">
        <f t="shared" ca="1" si="95"/>
        <v>1314</v>
      </c>
      <c r="K279" s="528">
        <v>6000</v>
      </c>
      <c r="L279" s="83"/>
    </row>
    <row r="280" spans="1:12" s="525" customFormat="1" ht="14.6" x14ac:dyDescent="0.4">
      <c r="A280" s="548"/>
      <c r="B280" s="534" t="str">
        <f>LEFT($B279,4)&amp;"-"&amp;VALUE(MID($B279,FIND("-",$B279)+1,256))+1</f>
        <v>6280-18</v>
      </c>
      <c r="C280" s="608" t="s">
        <v>383</v>
      </c>
      <c r="D280" s="550"/>
      <c r="E280" s="536">
        <v>1</v>
      </c>
      <c r="F280" s="535"/>
      <c r="G280" s="537">
        <v>410</v>
      </c>
      <c r="H280" s="538">
        <f t="shared" si="98"/>
        <v>410</v>
      </c>
      <c r="I280" s="538">
        <f t="shared" ca="1" si="94"/>
        <v>-403</v>
      </c>
      <c r="J280" s="538">
        <f t="shared" ca="1" si="95"/>
        <v>7</v>
      </c>
      <c r="K280" s="539">
        <v>400</v>
      </c>
    </row>
    <row r="281" spans="1:12" ht="14.6" x14ac:dyDescent="0.4">
      <c r="A281" s="196"/>
      <c r="B281" s="159" t="str">
        <f t="shared" si="97"/>
        <v>6280-19</v>
      </c>
      <c r="C281" s="148" t="s">
        <v>384</v>
      </c>
      <c r="D281" s="148"/>
      <c r="E281" s="164">
        <v>2</v>
      </c>
      <c r="F281" s="148"/>
      <c r="G281" s="157">
        <v>310</v>
      </c>
      <c r="H281" s="153">
        <f t="shared" si="98"/>
        <v>620</v>
      </c>
      <c r="I281" s="338">
        <f t="shared" ca="1" si="94"/>
        <v>-604.5</v>
      </c>
      <c r="J281" s="338">
        <f t="shared" ca="1" si="95"/>
        <v>15.5</v>
      </c>
      <c r="K281" s="151">
        <v>600</v>
      </c>
    </row>
    <row r="282" spans="1:12" ht="14.6" x14ac:dyDescent="0.4">
      <c r="A282" s="221"/>
      <c r="B282" s="101" t="str">
        <f>LEFT($B281,4)&amp;"-"&amp;VALUE(MID($B281,FIND("-",$B281)+1,256))+1</f>
        <v>6280-20</v>
      </c>
      <c r="C282" s="344" t="s">
        <v>385</v>
      </c>
      <c r="D282" s="364"/>
      <c r="E282" s="358">
        <v>2</v>
      </c>
      <c r="F282" s="385"/>
      <c r="G282" s="206">
        <v>5150</v>
      </c>
      <c r="H282" s="244">
        <f t="shared" ref="H282:H310" si="99">(D282+E282+F282)*G282</f>
        <v>10300</v>
      </c>
      <c r="I282" s="244">
        <f t="shared" ca="1" si="94"/>
        <v>-10075</v>
      </c>
      <c r="J282" s="244">
        <f t="shared" ca="1" si="95"/>
        <v>225</v>
      </c>
      <c r="K282" s="215">
        <v>10000</v>
      </c>
    </row>
    <row r="283" spans="1:12" ht="14.6" x14ac:dyDescent="0.4">
      <c r="A283" s="159"/>
      <c r="B283" s="159" t="str">
        <f t="shared" ref="B283:B307" si="100">LEFT($B282,4)&amp;"-"&amp;VALUE(MID($B282,FIND("-",$B282)+1,256))+1</f>
        <v>6280-21</v>
      </c>
      <c r="C283" s="148" t="s">
        <v>386</v>
      </c>
      <c r="D283" s="160"/>
      <c r="E283" s="164">
        <v>1</v>
      </c>
      <c r="F283" s="172"/>
      <c r="G283" s="157">
        <v>515</v>
      </c>
      <c r="H283" s="153">
        <f t="shared" si="99"/>
        <v>515</v>
      </c>
      <c r="I283" s="338">
        <f t="shared" ca="1" si="94"/>
        <v>-503.75</v>
      </c>
      <c r="J283" s="338">
        <f t="shared" ca="1" si="95"/>
        <v>11.25</v>
      </c>
      <c r="K283" s="162">
        <v>500</v>
      </c>
    </row>
    <row r="284" spans="1:12" ht="14.6" x14ac:dyDescent="0.4">
      <c r="A284" s="221"/>
      <c r="B284" s="101" t="str">
        <f>LEFT($B283,4)&amp;"-"&amp;VALUE(MID($B283,FIND("-",$B283)+1,256))+1</f>
        <v>6280-22</v>
      </c>
      <c r="C284" s="240" t="s">
        <v>387</v>
      </c>
      <c r="D284" s="364"/>
      <c r="E284" s="205">
        <v>1</v>
      </c>
      <c r="F284" s="392"/>
      <c r="G284" s="206">
        <v>515</v>
      </c>
      <c r="H284" s="244">
        <f t="shared" ref="H284" si="101">(D284+E284+F284)*G284</f>
        <v>515</v>
      </c>
      <c r="I284" s="244">
        <f t="shared" ca="1" si="94"/>
        <v>-503.75</v>
      </c>
      <c r="J284" s="244">
        <f t="shared" ref="J284" ca="1" si="102">SUM(H284:I284)</f>
        <v>11.25</v>
      </c>
      <c r="K284" s="215">
        <v>500</v>
      </c>
    </row>
    <row r="285" spans="1:12" ht="29.15" x14ac:dyDescent="0.4">
      <c r="A285" s="419" t="s">
        <v>388</v>
      </c>
      <c r="B285" s="469" t="str">
        <f>LEFT($B283,4)&amp;"-"&amp;VALUE(MID($B284,FIND("-",$B284)+1,256))+1</f>
        <v>6280-23</v>
      </c>
      <c r="C285" s="420" t="s">
        <v>389</v>
      </c>
      <c r="D285" s="485"/>
      <c r="E285" s="421">
        <v>1</v>
      </c>
      <c r="F285" s="465"/>
      <c r="G285" s="423">
        <v>600</v>
      </c>
      <c r="H285" s="424">
        <f t="shared" si="99"/>
        <v>600</v>
      </c>
      <c r="I285" s="424">
        <f t="shared" ca="1" si="94"/>
        <v>-503.75</v>
      </c>
      <c r="J285" s="424">
        <f t="shared" ca="1" si="95"/>
        <v>96.25</v>
      </c>
      <c r="K285" s="426">
        <v>0</v>
      </c>
    </row>
    <row r="286" spans="1:12" s="525" customFormat="1" ht="14.6" x14ac:dyDescent="0.4">
      <c r="A286" s="548" t="s">
        <v>388</v>
      </c>
      <c r="B286" s="534" t="str">
        <f>LEFT($B284,4)&amp;"-"&amp;VALUE(MID($B285,FIND("-",$B285)+1,256))+1</f>
        <v>6280-24</v>
      </c>
      <c r="C286" s="547" t="s">
        <v>531</v>
      </c>
      <c r="D286" s="550"/>
      <c r="E286" s="551">
        <v>1</v>
      </c>
      <c r="F286" s="556"/>
      <c r="G286" s="537">
        <v>500</v>
      </c>
      <c r="H286" s="538">
        <f t="shared" si="99"/>
        <v>500</v>
      </c>
      <c r="I286" s="538">
        <f t="shared" ca="1" si="94"/>
        <v>-508.66</v>
      </c>
      <c r="J286" s="538">
        <f t="shared" ca="1" si="95"/>
        <v>-8.660000000000025</v>
      </c>
      <c r="K286" s="539"/>
    </row>
    <row r="287" spans="1:12" ht="14.6" x14ac:dyDescent="0.4">
      <c r="A287" s="147"/>
      <c r="B287" s="159" t="str">
        <f>LEFT($B285,4)&amp;"-"&amp;VALUE(MID($B286,FIND("-",$B286)+1,256))+1</f>
        <v>6280-25</v>
      </c>
      <c r="C287" s="599" t="s">
        <v>390</v>
      </c>
      <c r="D287" s="164"/>
      <c r="E287" s="164">
        <v>50</v>
      </c>
      <c r="F287" s="165"/>
      <c r="G287" s="151">
        <v>205</v>
      </c>
      <c r="H287" s="153">
        <f t="shared" si="99"/>
        <v>10250</v>
      </c>
      <c r="I287" s="338">
        <f t="shared" ca="1" si="94"/>
        <v>0</v>
      </c>
      <c r="J287" s="338">
        <f t="shared" ca="1" si="95"/>
        <v>10250</v>
      </c>
      <c r="K287" s="151">
        <v>10000</v>
      </c>
      <c r="L287" s="83"/>
    </row>
    <row r="288" spans="1:12" ht="14.6" x14ac:dyDescent="0.4">
      <c r="A288" s="548"/>
      <c r="B288" s="534" t="str">
        <f t="shared" si="100"/>
        <v>6280-26</v>
      </c>
      <c r="C288" s="554" t="s">
        <v>391</v>
      </c>
      <c r="D288" s="615"/>
      <c r="E288" s="536">
        <v>1</v>
      </c>
      <c r="F288" s="615"/>
      <c r="G288" s="537">
        <v>2500</v>
      </c>
      <c r="H288" s="538">
        <f t="shared" si="99"/>
        <v>2500</v>
      </c>
      <c r="I288" s="538">
        <f t="shared" ca="1" si="94"/>
        <v>-10075</v>
      </c>
      <c r="J288" s="538">
        <f t="shared" ca="1" si="95"/>
        <v>-7575</v>
      </c>
      <c r="K288" s="539">
        <v>2500</v>
      </c>
    </row>
    <row r="289" spans="1:11" ht="14.6" x14ac:dyDescent="0.4">
      <c r="A289" s="159"/>
      <c r="B289" s="159" t="str">
        <f t="shared" si="100"/>
        <v>6280-27</v>
      </c>
      <c r="C289" s="599" t="s">
        <v>392</v>
      </c>
      <c r="D289" s="165"/>
      <c r="E289" s="164"/>
      <c r="F289" s="165">
        <v>1</v>
      </c>
      <c r="G289" s="157">
        <v>1500</v>
      </c>
      <c r="H289" s="153">
        <f t="shared" si="99"/>
        <v>1500</v>
      </c>
      <c r="I289" s="338">
        <f t="shared" ca="1" si="94"/>
        <v>-1637.94</v>
      </c>
      <c r="J289" s="338">
        <f t="shared" ca="1" si="95"/>
        <v>-137.94000000000005</v>
      </c>
      <c r="K289" s="162">
        <v>1500</v>
      </c>
    </row>
    <row r="290" spans="1:11" ht="14.6" x14ac:dyDescent="0.4">
      <c r="A290" s="548"/>
      <c r="B290" s="534" t="str">
        <f t="shared" si="100"/>
        <v>6280-28</v>
      </c>
      <c r="C290" s="554" t="s">
        <v>393</v>
      </c>
      <c r="D290" s="535"/>
      <c r="E290" s="536">
        <v>1</v>
      </c>
      <c r="F290" s="535"/>
      <c r="G290" s="537">
        <v>1950</v>
      </c>
      <c r="H290" s="520">
        <f t="shared" si="99"/>
        <v>1950</v>
      </c>
      <c r="I290" s="538">
        <f t="shared" ca="1" si="94"/>
        <v>0</v>
      </c>
      <c r="J290" s="538">
        <f t="shared" ca="1" si="95"/>
        <v>1950</v>
      </c>
      <c r="K290" s="539">
        <v>1950</v>
      </c>
    </row>
    <row r="291" spans="1:11" ht="15" customHeight="1" x14ac:dyDescent="0.4">
      <c r="A291" s="159"/>
      <c r="B291" s="159" t="str">
        <f>LEFT($B290,4)&amp;"-"&amp;VALUE(MID($B290,FIND("-",$B290)+1,256))+1</f>
        <v>6280-29</v>
      </c>
      <c r="C291" s="185" t="s">
        <v>394</v>
      </c>
      <c r="D291" s="170"/>
      <c r="E291" s="161">
        <v>8</v>
      </c>
      <c r="F291" s="170"/>
      <c r="G291" s="157">
        <v>100</v>
      </c>
      <c r="H291" s="153">
        <f t="shared" si="99"/>
        <v>800</v>
      </c>
      <c r="I291" s="338">
        <f t="shared" ca="1" si="94"/>
        <v>-432.94000000000005</v>
      </c>
      <c r="J291" s="338">
        <f t="shared" ca="1" si="95"/>
        <v>367.05999999999995</v>
      </c>
      <c r="K291" s="162">
        <v>100</v>
      </c>
    </row>
    <row r="292" spans="1:11" ht="14.6" x14ac:dyDescent="0.4">
      <c r="A292" s="534"/>
      <c r="B292" s="534" t="str">
        <f t="shared" si="100"/>
        <v>6280-30</v>
      </c>
      <c r="C292" s="616" t="s">
        <v>395</v>
      </c>
      <c r="D292" s="604"/>
      <c r="E292" s="605">
        <v>1</v>
      </c>
      <c r="F292" s="604"/>
      <c r="G292" s="526">
        <v>1500</v>
      </c>
      <c r="H292" s="520">
        <f t="shared" si="99"/>
        <v>1500</v>
      </c>
      <c r="I292" s="538">
        <f t="shared" ca="1" si="94"/>
        <v>0</v>
      </c>
      <c r="J292" s="538">
        <f t="shared" ca="1" si="95"/>
        <v>1500</v>
      </c>
      <c r="K292" s="528">
        <v>1500</v>
      </c>
    </row>
    <row r="293" spans="1:11" ht="14.6" x14ac:dyDescent="0.4">
      <c r="A293" s="207"/>
      <c r="B293" s="159" t="str">
        <f t="shared" si="100"/>
        <v>6280-31</v>
      </c>
      <c r="C293" s="190" t="s">
        <v>396</v>
      </c>
      <c r="D293" s="619"/>
      <c r="E293" s="208">
        <v>1</v>
      </c>
      <c r="F293" s="209"/>
      <c r="G293" s="210">
        <v>500</v>
      </c>
      <c r="H293" s="338">
        <f t="shared" si="99"/>
        <v>500</v>
      </c>
      <c r="I293" s="338">
        <f t="shared" ca="1" si="94"/>
        <v>0</v>
      </c>
      <c r="J293" s="338">
        <f t="shared" ca="1" si="95"/>
        <v>500</v>
      </c>
      <c r="K293" s="214">
        <v>500</v>
      </c>
    </row>
    <row r="294" spans="1:11" ht="14.6" x14ac:dyDescent="0.4">
      <c r="A294" s="548"/>
      <c r="B294" s="534" t="str">
        <f>LEFT($B293,4)&amp;"-"&amp;VALUE(MID($B293,FIND("-",$B293)+1,256))+1</f>
        <v>6280-32</v>
      </c>
      <c r="C294" s="618" t="s">
        <v>397</v>
      </c>
      <c r="D294" s="535"/>
      <c r="E294" s="536">
        <v>1</v>
      </c>
      <c r="F294" s="535"/>
      <c r="G294" s="537">
        <v>4500</v>
      </c>
      <c r="H294" s="537">
        <f t="shared" si="99"/>
        <v>4500</v>
      </c>
      <c r="I294" s="538">
        <f t="shared" ca="1" si="94"/>
        <v>-4952.55</v>
      </c>
      <c r="J294" s="538">
        <f t="shared" ca="1" si="95"/>
        <v>-452.55000000000018</v>
      </c>
      <c r="K294" s="539">
        <v>4500</v>
      </c>
    </row>
    <row r="295" spans="1:11" ht="14.6" x14ac:dyDescent="0.4">
      <c r="A295" s="620"/>
      <c r="B295" s="159" t="str">
        <f t="shared" si="100"/>
        <v>6280-33</v>
      </c>
      <c r="C295" s="171" t="s">
        <v>398</v>
      </c>
      <c r="D295" s="170"/>
      <c r="E295" s="161">
        <v>1</v>
      </c>
      <c r="F295" s="160"/>
      <c r="G295" s="157">
        <v>6061</v>
      </c>
      <c r="H295" s="153">
        <f t="shared" si="99"/>
        <v>6061</v>
      </c>
      <c r="I295" s="338">
        <f t="shared" ca="1" si="94"/>
        <v>-2728.95</v>
      </c>
      <c r="J295" s="338">
        <f t="shared" ca="1" si="95"/>
        <v>3332.05</v>
      </c>
      <c r="K295" s="162">
        <v>5885</v>
      </c>
    </row>
    <row r="296" spans="1:11" ht="14.6" x14ac:dyDescent="0.4">
      <c r="A296" s="548"/>
      <c r="B296" s="534" t="str">
        <f t="shared" si="100"/>
        <v>6280-34</v>
      </c>
      <c r="C296" s="549" t="s">
        <v>399</v>
      </c>
      <c r="D296" s="550"/>
      <c r="E296" s="536">
        <v>1</v>
      </c>
      <c r="F296" s="550"/>
      <c r="G296" s="537">
        <v>3225</v>
      </c>
      <c r="H296" s="538">
        <f t="shared" si="99"/>
        <v>3225</v>
      </c>
      <c r="I296" s="538">
        <f t="shared" ca="1" si="94"/>
        <v>-2893</v>
      </c>
      <c r="J296" s="538">
        <f t="shared" ca="1" si="95"/>
        <v>332</v>
      </c>
      <c r="K296" s="539">
        <v>3131</v>
      </c>
    </row>
    <row r="297" spans="1:11" ht="14.6" x14ac:dyDescent="0.4">
      <c r="A297" s="159"/>
      <c r="B297" s="159" t="str">
        <f t="shared" si="100"/>
        <v>6280-35</v>
      </c>
      <c r="C297" s="154" t="s">
        <v>400</v>
      </c>
      <c r="D297" s="160"/>
      <c r="E297" s="161">
        <v>1</v>
      </c>
      <c r="F297" s="160"/>
      <c r="G297" s="157">
        <v>3000</v>
      </c>
      <c r="H297" s="153">
        <f t="shared" si="99"/>
        <v>3000</v>
      </c>
      <c r="I297" s="338">
        <f t="shared" ca="1" si="94"/>
        <v>-3150</v>
      </c>
      <c r="J297" s="338">
        <f t="shared" ca="1" si="95"/>
        <v>-150</v>
      </c>
      <c r="K297" s="162">
        <v>3000</v>
      </c>
    </row>
    <row r="298" spans="1:11" ht="14.6" x14ac:dyDescent="0.4">
      <c r="A298" s="548"/>
      <c r="B298" s="534" t="str">
        <f t="shared" si="100"/>
        <v>6280-36</v>
      </c>
      <c r="C298" s="547" t="s">
        <v>401</v>
      </c>
      <c r="D298" s="551"/>
      <c r="E298" s="551">
        <v>1</v>
      </c>
      <c r="F298" s="617"/>
      <c r="G298" s="537">
        <v>2200</v>
      </c>
      <c r="H298" s="520">
        <f t="shared" si="99"/>
        <v>2200</v>
      </c>
      <c r="I298" s="538">
        <f t="shared" ca="1" si="94"/>
        <v>-1389.15</v>
      </c>
      <c r="J298" s="538">
        <f t="shared" ca="1" si="95"/>
        <v>810.84999999999991</v>
      </c>
      <c r="K298" s="539">
        <v>2200</v>
      </c>
    </row>
    <row r="299" spans="1:11" ht="14.6" x14ac:dyDescent="0.4">
      <c r="A299" s="159" t="s">
        <v>520</v>
      </c>
      <c r="B299" s="159" t="str">
        <f t="shared" si="100"/>
        <v>6280-37</v>
      </c>
      <c r="C299" s="148" t="s">
        <v>402</v>
      </c>
      <c r="D299" s="164"/>
      <c r="E299" s="164">
        <v>14</v>
      </c>
      <c r="F299" s="621"/>
      <c r="G299" s="157">
        <v>600</v>
      </c>
      <c r="H299" s="153">
        <f t="shared" si="99"/>
        <v>8400</v>
      </c>
      <c r="I299" s="338">
        <f t="shared" ca="1" si="94"/>
        <v>-6125.01</v>
      </c>
      <c r="J299" s="338">
        <f t="shared" ca="1" si="95"/>
        <v>2274.9899999999998</v>
      </c>
      <c r="K299" s="162">
        <v>6860</v>
      </c>
    </row>
    <row r="300" spans="1:11" ht="14.6" x14ac:dyDescent="0.4">
      <c r="A300" s="548"/>
      <c r="B300" s="534" t="str">
        <f t="shared" si="100"/>
        <v>6280-38</v>
      </c>
      <c r="C300" s="618" t="s">
        <v>403</v>
      </c>
      <c r="D300" s="552"/>
      <c r="E300" s="551">
        <v>1</v>
      </c>
      <c r="F300" s="552"/>
      <c r="G300" s="537">
        <v>117234</v>
      </c>
      <c r="H300" s="538">
        <f t="shared" si="99"/>
        <v>117234</v>
      </c>
      <c r="I300" s="538">
        <f t="shared" ca="1" si="94"/>
        <v>-112725</v>
      </c>
      <c r="J300" s="538">
        <f t="shared" ca="1" si="95"/>
        <v>4509</v>
      </c>
      <c r="K300" s="539">
        <v>112725</v>
      </c>
    </row>
    <row r="301" spans="1:11" ht="14.6" x14ac:dyDescent="0.4">
      <c r="A301" s="159"/>
      <c r="B301" s="159" t="str">
        <f t="shared" si="100"/>
        <v>6280-39</v>
      </c>
      <c r="C301" s="599" t="s">
        <v>404</v>
      </c>
      <c r="D301" s="165"/>
      <c r="E301" s="164">
        <v>1</v>
      </c>
      <c r="F301" s="165"/>
      <c r="G301" s="157">
        <v>1726</v>
      </c>
      <c r="H301" s="153">
        <f t="shared" si="99"/>
        <v>1726</v>
      </c>
      <c r="I301" s="338">
        <f t="shared" ca="1" si="94"/>
        <v>-1660</v>
      </c>
      <c r="J301" s="338">
        <f t="shared" ca="1" si="95"/>
        <v>66</v>
      </c>
      <c r="K301" s="162">
        <v>1660</v>
      </c>
    </row>
    <row r="302" spans="1:11" ht="14.6" x14ac:dyDescent="0.4">
      <c r="A302" s="548"/>
      <c r="B302" s="534" t="str">
        <f t="shared" si="100"/>
        <v>6280-40</v>
      </c>
      <c r="C302" s="549" t="s">
        <v>405</v>
      </c>
      <c r="D302" s="550"/>
      <c r="E302" s="536">
        <v>1</v>
      </c>
      <c r="F302" s="550"/>
      <c r="G302" s="537">
        <v>4077</v>
      </c>
      <c r="H302" s="538">
        <f t="shared" si="99"/>
        <v>4077</v>
      </c>
      <c r="I302" s="538">
        <f t="shared" ca="1" si="94"/>
        <v>-3915</v>
      </c>
      <c r="J302" s="538">
        <f t="shared" ca="1" si="95"/>
        <v>162</v>
      </c>
      <c r="K302" s="539">
        <v>3920</v>
      </c>
    </row>
    <row r="303" spans="1:11" ht="14.6" x14ac:dyDescent="0.4">
      <c r="A303" s="147"/>
      <c r="B303" s="159" t="str">
        <f t="shared" si="100"/>
        <v>6280-41</v>
      </c>
      <c r="C303" s="154" t="s">
        <v>406</v>
      </c>
      <c r="D303" s="160"/>
      <c r="E303" s="161">
        <v>1</v>
      </c>
      <c r="F303" s="160"/>
      <c r="G303" s="157">
        <v>3520</v>
      </c>
      <c r="H303" s="153">
        <f t="shared" si="99"/>
        <v>3520</v>
      </c>
      <c r="I303" s="338">
        <f t="shared" ca="1" si="94"/>
        <v>-3385</v>
      </c>
      <c r="J303" s="338">
        <f t="shared" ca="1" si="95"/>
        <v>135</v>
      </c>
      <c r="K303" s="162">
        <v>3385</v>
      </c>
    </row>
    <row r="304" spans="1:11" ht="14.6" x14ac:dyDescent="0.4">
      <c r="A304" s="553"/>
      <c r="B304" s="534" t="str">
        <f t="shared" si="100"/>
        <v>6280-42</v>
      </c>
      <c r="C304" s="549" t="s">
        <v>407</v>
      </c>
      <c r="D304" s="550"/>
      <c r="E304" s="536">
        <v>1</v>
      </c>
      <c r="F304" s="550"/>
      <c r="G304" s="537">
        <v>1726</v>
      </c>
      <c r="H304" s="538">
        <f t="shared" si="99"/>
        <v>1726</v>
      </c>
      <c r="I304" s="538">
        <f t="shared" ca="1" si="94"/>
        <v>0</v>
      </c>
      <c r="J304" s="538">
        <f t="shared" ca="1" si="95"/>
        <v>1726</v>
      </c>
      <c r="K304" s="539">
        <v>1660</v>
      </c>
    </row>
    <row r="305" spans="1:23" ht="14.6" x14ac:dyDescent="0.4">
      <c r="A305" s="147"/>
      <c r="B305" s="159" t="str">
        <f t="shared" si="100"/>
        <v>6280-43</v>
      </c>
      <c r="C305" s="154" t="s">
        <v>408</v>
      </c>
      <c r="D305" s="160"/>
      <c r="E305" s="161">
        <v>2</v>
      </c>
      <c r="F305" s="160"/>
      <c r="G305" s="157">
        <v>3515</v>
      </c>
      <c r="H305" s="153">
        <f t="shared" si="99"/>
        <v>7030</v>
      </c>
      <c r="I305" s="338">
        <f t="shared" ca="1" si="94"/>
        <v>0</v>
      </c>
      <c r="J305" s="338">
        <f t="shared" ca="1" si="95"/>
        <v>7030</v>
      </c>
      <c r="K305" s="162">
        <v>3380</v>
      </c>
    </row>
    <row r="306" spans="1:23" ht="14.6" x14ac:dyDescent="0.4">
      <c r="A306" s="548"/>
      <c r="B306" s="534" t="str">
        <f t="shared" si="100"/>
        <v>6280-44</v>
      </c>
      <c r="C306" s="547" t="s">
        <v>409</v>
      </c>
      <c r="D306" s="551"/>
      <c r="E306" s="551">
        <v>1</v>
      </c>
      <c r="F306" s="617"/>
      <c r="G306" s="537">
        <v>2907</v>
      </c>
      <c r="H306" s="538">
        <f t="shared" si="99"/>
        <v>2907</v>
      </c>
      <c r="I306" s="538">
        <f t="shared" ca="1" si="94"/>
        <v>-2815</v>
      </c>
      <c r="J306" s="538">
        <f t="shared" ca="1" si="95"/>
        <v>92</v>
      </c>
      <c r="K306" s="539">
        <v>2795</v>
      </c>
    </row>
    <row r="307" spans="1:23" ht="14.6" x14ac:dyDescent="0.4">
      <c r="A307" s="147" t="s">
        <v>410</v>
      </c>
      <c r="B307" s="159" t="str">
        <f t="shared" si="100"/>
        <v>6280-45</v>
      </c>
      <c r="C307" s="148" t="s">
        <v>411</v>
      </c>
      <c r="D307" s="164"/>
      <c r="E307" s="164">
        <v>1</v>
      </c>
      <c r="F307" s="621"/>
      <c r="G307" s="157">
        <v>12000</v>
      </c>
      <c r="H307" s="153">
        <f t="shared" si="99"/>
        <v>12000</v>
      </c>
      <c r="I307" s="338">
        <f t="shared" ca="1" si="94"/>
        <v>-11535</v>
      </c>
      <c r="J307" s="338">
        <f t="shared" ca="1" si="95"/>
        <v>465</v>
      </c>
      <c r="K307" s="162">
        <v>16000</v>
      </c>
    </row>
    <row r="308" spans="1:23" ht="14.6" x14ac:dyDescent="0.4">
      <c r="A308" s="548"/>
      <c r="B308" s="534" t="str">
        <f>LEFT($B307,4)&amp;"-"&amp;VALUE(MID($B307,FIND("-",$B307)+1,256))+1</f>
        <v>6280-46</v>
      </c>
      <c r="C308" s="606" t="s">
        <v>412</v>
      </c>
      <c r="D308" s="535"/>
      <c r="E308" s="536">
        <v>2</v>
      </c>
      <c r="F308" s="535"/>
      <c r="G308" s="537">
        <v>2500</v>
      </c>
      <c r="H308" s="520">
        <f t="shared" si="99"/>
        <v>5000</v>
      </c>
      <c r="I308" s="538">
        <f t="shared" ca="1" si="94"/>
        <v>-2287.98</v>
      </c>
      <c r="J308" s="538">
        <f t="shared" ref="J308" ca="1" si="103">SUM(H308:I308)</f>
        <v>2712.02</v>
      </c>
      <c r="K308" s="539">
        <v>0</v>
      </c>
    </row>
    <row r="309" spans="1:23" ht="14.6" x14ac:dyDescent="0.4">
      <c r="A309" s="207"/>
      <c r="B309" s="159" t="str">
        <f>LEFT($B308,4)&amp;"-"&amp;VALUE(MID($B308,FIND("-",$B308)+1,256))+1</f>
        <v>6280-47</v>
      </c>
      <c r="C309" s="211" t="s">
        <v>413</v>
      </c>
      <c r="D309" s="212"/>
      <c r="E309" s="213">
        <v>2</v>
      </c>
      <c r="F309" s="212"/>
      <c r="G309" s="210">
        <v>250</v>
      </c>
      <c r="H309" s="153">
        <f t="shared" si="99"/>
        <v>500</v>
      </c>
      <c r="I309" s="338">
        <f t="shared" ca="1" si="94"/>
        <v>0</v>
      </c>
      <c r="J309" s="338">
        <f t="shared" ca="1" si="95"/>
        <v>500</v>
      </c>
      <c r="K309" s="214">
        <v>250</v>
      </c>
    </row>
    <row r="310" spans="1:23" ht="14.6" x14ac:dyDescent="0.4">
      <c r="A310" s="548"/>
      <c r="B310" s="534" t="str">
        <f>LEFT($B309,4)&amp;"-"&amp;VALUE(MID($B309,FIND("-",$B309)+1,256))+1</f>
        <v>6280-48</v>
      </c>
      <c r="C310" s="606" t="s">
        <v>514</v>
      </c>
      <c r="D310" s="535"/>
      <c r="E310" s="536">
        <v>0</v>
      </c>
      <c r="F310" s="535"/>
      <c r="G310" s="537">
        <v>1200</v>
      </c>
      <c r="H310" s="520">
        <f t="shared" si="99"/>
        <v>0</v>
      </c>
      <c r="I310" s="538">
        <f t="shared" ca="1" si="94"/>
        <v>0</v>
      </c>
      <c r="J310" s="538">
        <f t="shared" ca="1" si="95"/>
        <v>0</v>
      </c>
      <c r="K310" s="539">
        <v>1200</v>
      </c>
    </row>
    <row r="311" spans="1:23" thickBot="1" x14ac:dyDescent="0.45">
      <c r="A311" s="96"/>
      <c r="B311" s="101"/>
      <c r="C311" s="75" t="s">
        <v>66</v>
      </c>
      <c r="D311" s="76"/>
      <c r="E311" s="76"/>
      <c r="F311" s="14" t="s">
        <v>61</v>
      </c>
      <c r="G311" s="334">
        <f>SUM(Summary!D25)</f>
        <v>2.5110782865583457E-2</v>
      </c>
      <c r="H311" s="336">
        <f>SUM(H263:H310)</f>
        <v>277546</v>
      </c>
      <c r="I311" s="336">
        <f ca="1">SUM(I263:I310)</f>
        <v>-236363.77</v>
      </c>
      <c r="J311" s="336">
        <f ca="1">SUM(J263:J310)</f>
        <v>41182.229999999996</v>
      </c>
      <c r="K311" s="363">
        <f>SUM(K263:L310)</f>
        <v>270731</v>
      </c>
    </row>
    <row r="312" spans="1:23" ht="11.25" customHeight="1" thickTop="1" x14ac:dyDescent="0.4">
      <c r="A312" s="96"/>
      <c r="B312" s="101"/>
      <c r="C312" s="75"/>
      <c r="D312" s="76"/>
      <c r="E312" s="76"/>
      <c r="F312" s="14"/>
      <c r="G312" s="334"/>
      <c r="H312" s="544"/>
      <c r="I312" s="544"/>
      <c r="J312" s="544"/>
      <c r="K312" s="545"/>
    </row>
    <row r="313" spans="1:23" ht="19.5" customHeight="1" x14ac:dyDescent="0.5">
      <c r="A313" s="777" t="s">
        <v>414</v>
      </c>
      <c r="B313" s="777"/>
      <c r="C313" s="778"/>
      <c r="D313" s="778"/>
      <c r="E313" s="778"/>
      <c r="F313" s="778"/>
      <c r="G313" s="778"/>
      <c r="H313" s="778"/>
      <c r="I313" s="778" t="e">
        <f t="shared" ref="I313" ca="1" si="104">-(SUMIF(INDIRECT(LEFT($A$279,4)&amp;"!E3:E200"),"="&amp;B313&amp;" *",INDIRECT(LEFT($A$279,4)&amp;"!F3:F200")))</f>
        <v>#REF!</v>
      </c>
      <c r="J313" s="778" t="e">
        <f t="shared" ref="J313:J315" ca="1" si="105">SUM(H313:I313)</f>
        <v>#REF!</v>
      </c>
      <c r="K313" s="778"/>
    </row>
    <row r="314" spans="1:23" ht="14.6" x14ac:dyDescent="0.4">
      <c r="A314" s="101"/>
      <c r="B314" s="101" t="str">
        <f>LEFT($A313,4)&amp;"-1"</f>
        <v>6285-1</v>
      </c>
      <c r="C314" s="111" t="s">
        <v>415</v>
      </c>
      <c r="D314" s="48"/>
      <c r="E314" s="358">
        <v>14</v>
      </c>
      <c r="F314" s="48"/>
      <c r="G314" s="39">
        <v>204</v>
      </c>
      <c r="H314" s="33">
        <f t="shared" ref="H314:H329" si="106">(D314+E314+F314)*G314</f>
        <v>2856</v>
      </c>
      <c r="I314" s="33">
        <f ca="1">-(SUMIF(INDIRECT(LEFT($A$313,4)&amp;"!i3:I200"),"="&amp;B314&amp;" *",INDIRECT(LEFT($A$313,4)&amp;"!K3:K200")))</f>
        <v>-1427.16</v>
      </c>
      <c r="J314" s="33">
        <f t="shared" ca="1" si="105"/>
        <v>1428.84</v>
      </c>
      <c r="K314" s="54">
        <v>1079.28</v>
      </c>
      <c r="L314" s="83"/>
    </row>
    <row r="315" spans="1:23" ht="14.6" x14ac:dyDescent="0.4">
      <c r="A315" s="159"/>
      <c r="B315" s="207" t="str">
        <f t="shared" ref="B315:B329" si="107">LEFT($B314,4)&amp;"-"&amp;VALUE(MID($B314,FIND("-",$B314)+1,256))+1</f>
        <v>6285-2</v>
      </c>
      <c r="C315" s="171" t="s">
        <v>416</v>
      </c>
      <c r="D315" s="170"/>
      <c r="E315" s="161">
        <v>12</v>
      </c>
      <c r="F315" s="170"/>
      <c r="G315" s="157">
        <v>250</v>
      </c>
      <c r="H315" s="338">
        <f t="shared" si="106"/>
        <v>3000</v>
      </c>
      <c r="I315" s="153">
        <f t="shared" ref="I315:I329" ca="1" si="108">-(SUMIF(INDIRECT(LEFT($A$313,4)&amp;"!i3:I200"),"="&amp;B315&amp;" *",INDIRECT(LEFT($A$313,4)&amp;"!K3:K200")))</f>
        <v>-3820</v>
      </c>
      <c r="J315" s="153">
        <f t="shared" ca="1" si="105"/>
        <v>-820</v>
      </c>
      <c r="K315" s="162">
        <v>2400</v>
      </c>
    </row>
    <row r="316" spans="1:23" ht="14.6" x14ac:dyDescent="0.4">
      <c r="A316" s="101"/>
      <c r="B316" s="101" t="str">
        <f t="shared" si="107"/>
        <v>6285-3</v>
      </c>
      <c r="C316" s="84" t="s">
        <v>417</v>
      </c>
      <c r="D316" s="105"/>
      <c r="E316" s="51">
        <v>3</v>
      </c>
      <c r="F316" s="105"/>
      <c r="G316" s="39">
        <v>500</v>
      </c>
      <c r="H316" s="33">
        <f t="shared" si="106"/>
        <v>1500</v>
      </c>
      <c r="I316" s="33">
        <f t="shared" ca="1" si="108"/>
        <v>-3719.72</v>
      </c>
      <c r="J316" s="33">
        <f t="shared" ref="J316:J329" ca="1" si="109">SUM(H316:I316)</f>
        <v>-2219.7199999999998</v>
      </c>
      <c r="K316" s="54">
        <v>1500</v>
      </c>
    </row>
    <row r="317" spans="1:23" ht="14.6" x14ac:dyDescent="0.4">
      <c r="A317" s="207"/>
      <c r="B317" s="159" t="str">
        <f t="shared" si="107"/>
        <v>6285-4</v>
      </c>
      <c r="C317" s="347" t="s">
        <v>418</v>
      </c>
      <c r="D317" s="361"/>
      <c r="E317" s="208"/>
      <c r="F317" s="361">
        <v>1</v>
      </c>
      <c r="G317" s="210">
        <v>15000</v>
      </c>
      <c r="H317" s="338">
        <f t="shared" si="106"/>
        <v>15000</v>
      </c>
      <c r="I317" s="153">
        <f t="shared" ca="1" si="108"/>
        <v>-13813.969999999996</v>
      </c>
      <c r="J317" s="153">
        <f t="shared" ca="1" si="109"/>
        <v>1186.0300000000043</v>
      </c>
      <c r="K317" s="214">
        <v>15000</v>
      </c>
    </row>
    <row r="318" spans="1:23" ht="14.6" x14ac:dyDescent="0.4">
      <c r="A318" s="73"/>
      <c r="B318" s="101" t="str">
        <f t="shared" si="107"/>
        <v>6285-5</v>
      </c>
      <c r="C318" s="111" t="s">
        <v>419</v>
      </c>
      <c r="D318" s="76"/>
      <c r="E318" s="51">
        <v>12</v>
      </c>
      <c r="F318" s="14"/>
      <c r="G318" s="39">
        <v>5042</v>
      </c>
      <c r="H318" s="33">
        <f>(D318+E318+F318)*G318</f>
        <v>60504</v>
      </c>
      <c r="I318" s="33">
        <f t="shared" ca="1" si="108"/>
        <v>-60499.920000000013</v>
      </c>
      <c r="J318" s="33">
        <f t="shared" ca="1" si="109"/>
        <v>4.0799999999871943</v>
      </c>
      <c r="K318" s="179">
        <v>40200</v>
      </c>
      <c r="M318" s="543"/>
      <c r="N318" s="543"/>
      <c r="O318" s="543"/>
      <c r="P318" s="543"/>
      <c r="Q318" s="2"/>
      <c r="R318" s="2"/>
      <c r="S318" s="2"/>
      <c r="T318" s="2"/>
      <c r="U318" s="2"/>
      <c r="V318" s="2"/>
      <c r="W318" s="2"/>
    </row>
    <row r="319" spans="1:23" ht="14.6" x14ac:dyDescent="0.4">
      <c r="A319" s="115"/>
      <c r="B319" s="159" t="str">
        <f t="shared" si="107"/>
        <v>6285-6</v>
      </c>
      <c r="C319" s="132" t="s">
        <v>420</v>
      </c>
      <c r="D319" s="116"/>
      <c r="E319" s="117">
        <v>1</v>
      </c>
      <c r="F319" s="116"/>
      <c r="G319" s="118">
        <v>50</v>
      </c>
      <c r="H319" s="402">
        <f t="shared" ref="H319" si="110">(D319+E319+F319)*G319</f>
        <v>50</v>
      </c>
      <c r="I319" s="153">
        <f t="shared" ca="1" si="108"/>
        <v>0</v>
      </c>
      <c r="J319" s="153">
        <f t="shared" ca="1" si="109"/>
        <v>50</v>
      </c>
      <c r="K319" s="133">
        <v>50</v>
      </c>
    </row>
    <row r="320" spans="1:23" ht="14.6" x14ac:dyDescent="0.4">
      <c r="A320" s="101"/>
      <c r="B320" s="101" t="str">
        <f t="shared" si="107"/>
        <v>6285-7</v>
      </c>
      <c r="C320" s="96" t="s">
        <v>421</v>
      </c>
      <c r="D320" s="105"/>
      <c r="E320" s="51">
        <v>1</v>
      </c>
      <c r="F320" s="105"/>
      <c r="G320" s="39">
        <v>1000</v>
      </c>
      <c r="H320" s="33">
        <f t="shared" si="106"/>
        <v>1000</v>
      </c>
      <c r="I320" s="33">
        <f t="shared" ca="1" si="108"/>
        <v>0</v>
      </c>
      <c r="J320" s="33">
        <f t="shared" ca="1" si="109"/>
        <v>1000</v>
      </c>
      <c r="K320" s="54">
        <v>1000</v>
      </c>
    </row>
    <row r="321" spans="1:12" ht="14.6" x14ac:dyDescent="0.4">
      <c r="A321" s="220"/>
      <c r="B321" s="159" t="str">
        <f t="shared" si="107"/>
        <v>6285-8</v>
      </c>
      <c r="C321" s="403" t="s">
        <v>422</v>
      </c>
      <c r="D321" s="387"/>
      <c r="E321" s="375">
        <v>1</v>
      </c>
      <c r="F321" s="387"/>
      <c r="G321" s="341">
        <v>4000</v>
      </c>
      <c r="H321" s="329">
        <f t="shared" si="106"/>
        <v>4000</v>
      </c>
      <c r="I321" s="153">
        <f t="shared" ca="1" si="108"/>
        <v>-2659.21</v>
      </c>
      <c r="J321" s="153">
        <f t="shared" ca="1" si="109"/>
        <v>1340.79</v>
      </c>
      <c r="K321" s="355">
        <v>4000</v>
      </c>
    </row>
    <row r="322" spans="1:12" ht="14.6" x14ac:dyDescent="0.4">
      <c r="A322" s="221"/>
      <c r="B322" s="101" t="str">
        <f t="shared" si="107"/>
        <v>6285-9</v>
      </c>
      <c r="C322" s="404" t="s">
        <v>393</v>
      </c>
      <c r="D322" s="385"/>
      <c r="E322" s="358">
        <v>1</v>
      </c>
      <c r="F322" s="385"/>
      <c r="G322" s="206">
        <v>2000</v>
      </c>
      <c r="H322" s="206">
        <f t="shared" si="106"/>
        <v>2000</v>
      </c>
      <c r="I322" s="33">
        <f t="shared" ca="1" si="108"/>
        <v>-699.95</v>
      </c>
      <c r="J322" s="33">
        <f t="shared" ca="1" si="109"/>
        <v>1300.05</v>
      </c>
      <c r="K322" s="215">
        <v>2000</v>
      </c>
    </row>
    <row r="323" spans="1:12" ht="14.6" x14ac:dyDescent="0.4">
      <c r="A323" s="159"/>
      <c r="B323" s="159" t="str">
        <f t="shared" si="107"/>
        <v>6285-10</v>
      </c>
      <c r="C323" s="185" t="s">
        <v>423</v>
      </c>
      <c r="D323" s="170"/>
      <c r="E323" s="161">
        <v>12</v>
      </c>
      <c r="F323" s="170"/>
      <c r="G323" s="157">
        <v>1400</v>
      </c>
      <c r="H323" s="338">
        <f t="shared" si="106"/>
        <v>16800</v>
      </c>
      <c r="I323" s="153">
        <f t="shared" ca="1" si="108"/>
        <v>-27916.560000000001</v>
      </c>
      <c r="J323" s="153">
        <f t="shared" ca="1" si="109"/>
        <v>-11116.560000000001</v>
      </c>
      <c r="K323" s="162">
        <v>15600</v>
      </c>
    </row>
    <row r="324" spans="1:12" ht="14.6" x14ac:dyDescent="0.4">
      <c r="A324" s="73"/>
      <c r="B324" s="101" t="str">
        <f t="shared" si="107"/>
        <v>6285-11</v>
      </c>
      <c r="C324" s="111" t="s">
        <v>424</v>
      </c>
      <c r="D324" s="76"/>
      <c r="E324" s="51">
        <v>1</v>
      </c>
      <c r="F324" s="14"/>
      <c r="G324" s="39">
        <v>100</v>
      </c>
      <c r="H324" s="33">
        <f t="shared" si="106"/>
        <v>100</v>
      </c>
      <c r="I324" s="33">
        <f t="shared" ca="1" si="108"/>
        <v>0</v>
      </c>
      <c r="J324" s="33">
        <f t="shared" ca="1" si="109"/>
        <v>100</v>
      </c>
      <c r="K324" s="179">
        <v>100</v>
      </c>
    </row>
    <row r="325" spans="1:12" ht="14.6" x14ac:dyDescent="0.4">
      <c r="A325" s="159"/>
      <c r="B325" s="159" t="str">
        <f t="shared" si="107"/>
        <v>6285-12</v>
      </c>
      <c r="C325" s="169" t="s">
        <v>425</v>
      </c>
      <c r="D325" s="170"/>
      <c r="E325" s="161">
        <v>12</v>
      </c>
      <c r="F325" s="170"/>
      <c r="G325" s="157">
        <v>350</v>
      </c>
      <c r="H325" s="338">
        <f t="shared" si="106"/>
        <v>4200</v>
      </c>
      <c r="I325" s="153">
        <f t="shared" ca="1" si="108"/>
        <v>0</v>
      </c>
      <c r="J325" s="153">
        <f t="shared" ca="1" si="109"/>
        <v>4200</v>
      </c>
      <c r="K325" s="162">
        <v>3720</v>
      </c>
    </row>
    <row r="326" spans="1:12" ht="14.6" x14ac:dyDescent="0.4">
      <c r="A326" s="221"/>
      <c r="B326" s="101" t="str">
        <f t="shared" si="107"/>
        <v>6285-13</v>
      </c>
      <c r="C326" s="404" t="s">
        <v>426</v>
      </c>
      <c r="D326" s="385"/>
      <c r="E326" s="358">
        <v>1</v>
      </c>
      <c r="F326" s="385"/>
      <c r="G326" s="206">
        <v>4500</v>
      </c>
      <c r="H326" s="33">
        <f t="shared" si="106"/>
        <v>4500</v>
      </c>
      <c r="I326" s="33">
        <f t="shared" ca="1" si="108"/>
        <v>0</v>
      </c>
      <c r="J326" s="33">
        <f t="shared" ca="1" si="109"/>
        <v>4500</v>
      </c>
      <c r="K326" s="215">
        <v>4500</v>
      </c>
    </row>
    <row r="327" spans="1:12" ht="14.6" x14ac:dyDescent="0.4">
      <c r="A327" s="159"/>
      <c r="B327" s="159" t="str">
        <f t="shared" si="107"/>
        <v>6285-14</v>
      </c>
      <c r="C327" s="169" t="s">
        <v>427</v>
      </c>
      <c r="D327" s="170"/>
      <c r="E327" s="161">
        <v>2</v>
      </c>
      <c r="F327" s="170"/>
      <c r="G327" s="157">
        <v>2872</v>
      </c>
      <c r="H327" s="402">
        <f t="shared" si="106"/>
        <v>5744</v>
      </c>
      <c r="I327" s="153">
        <f t="shared" ca="1" si="108"/>
        <v>-6849.95</v>
      </c>
      <c r="J327" s="153">
        <f t="shared" ca="1" si="109"/>
        <v>-1105.9499999999998</v>
      </c>
      <c r="K327" s="162">
        <v>2872</v>
      </c>
    </row>
    <row r="328" spans="1:12" ht="14.6" x14ac:dyDescent="0.4">
      <c r="A328" s="101"/>
      <c r="B328" s="101" t="str">
        <f t="shared" si="107"/>
        <v>6285-15</v>
      </c>
      <c r="C328" s="111" t="s">
        <v>428</v>
      </c>
      <c r="D328" s="48"/>
      <c r="E328" s="51">
        <v>1</v>
      </c>
      <c r="F328" s="48"/>
      <c r="G328" s="39">
        <v>2100</v>
      </c>
      <c r="H328" s="33">
        <f t="shared" si="106"/>
        <v>2100</v>
      </c>
      <c r="I328" s="33">
        <f t="shared" ca="1" si="108"/>
        <v>-1477.54</v>
      </c>
      <c r="J328" s="33">
        <f t="shared" ca="1" si="109"/>
        <v>622.46</v>
      </c>
      <c r="K328" s="54">
        <v>1920</v>
      </c>
      <c r="L328" s="83"/>
    </row>
    <row r="329" spans="1:12" ht="14.6" x14ac:dyDescent="0.4">
      <c r="A329" s="147"/>
      <c r="B329" s="159" t="str">
        <f t="shared" si="107"/>
        <v>6285-16</v>
      </c>
      <c r="C329" s="148" t="s">
        <v>429</v>
      </c>
      <c r="D329" s="173"/>
      <c r="E329" s="164">
        <v>4</v>
      </c>
      <c r="F329" s="174"/>
      <c r="G329" s="157">
        <v>120</v>
      </c>
      <c r="H329" s="329">
        <f t="shared" si="106"/>
        <v>480</v>
      </c>
      <c r="I329" s="153">
        <f t="shared" ca="1" si="108"/>
        <v>-913.16000000000008</v>
      </c>
      <c r="J329" s="153">
        <f t="shared" ca="1" si="109"/>
        <v>-433.16000000000008</v>
      </c>
      <c r="K329" s="251">
        <v>400</v>
      </c>
    </row>
    <row r="330" spans="1:12" thickBot="1" x14ac:dyDescent="0.45">
      <c r="A330" s="73"/>
      <c r="B330" s="96"/>
      <c r="C330" s="75" t="s">
        <v>66</v>
      </c>
      <c r="D330" s="76"/>
      <c r="E330" s="76"/>
      <c r="F330" s="14" t="s">
        <v>61</v>
      </c>
      <c r="G330" s="334">
        <f>SUM(Summary!D26)</f>
        <v>0.28526970954356845</v>
      </c>
      <c r="H330" s="336">
        <f>SUM(H314:H329)</f>
        <v>123834</v>
      </c>
      <c r="I330" s="336">
        <f ca="1">SUM(I314:I329)</f>
        <v>-123797.14</v>
      </c>
      <c r="J330" s="336">
        <f ca="1">SUM(J314:J329)</f>
        <v>36.85999999999035</v>
      </c>
      <c r="K330" s="363">
        <f>SUM(K314:K329)</f>
        <v>96341.28</v>
      </c>
    </row>
    <row r="331" spans="1:12" ht="17.25" customHeight="1" thickTop="1" x14ac:dyDescent="0.4">
      <c r="A331" s="73"/>
      <c r="B331" s="73"/>
      <c r="C331" s="75"/>
      <c r="D331" s="76"/>
      <c r="E331" s="76"/>
      <c r="F331" s="14"/>
      <c r="G331" s="405"/>
      <c r="H331" s="91"/>
      <c r="I331" s="91"/>
      <c r="J331" s="91"/>
      <c r="K331" s="180"/>
    </row>
    <row r="332" spans="1:12" ht="19.5" customHeight="1" x14ac:dyDescent="0.5">
      <c r="A332" s="777" t="s">
        <v>430</v>
      </c>
      <c r="B332" s="777"/>
      <c r="C332" s="778"/>
      <c r="D332" s="778"/>
      <c r="E332" s="778"/>
      <c r="F332" s="778"/>
      <c r="G332" s="778"/>
      <c r="H332" s="778"/>
      <c r="I332" s="778" t="e">
        <f ca="1">-(SUMIF(INDIRECT(LEFT($A$331,4)&amp;"!E3:E200"),"="&amp;B332&amp;" *",INDIRECT(LEFT($A$331,4)&amp;"!F3:F200")))</f>
        <v>#REF!</v>
      </c>
      <c r="J332" s="778" t="e">
        <f ca="1">SUM(H332:I332)</f>
        <v>#REF!</v>
      </c>
      <c r="K332" s="778"/>
    </row>
    <row r="333" spans="1:12" ht="14.6" x14ac:dyDescent="0.4">
      <c r="A333" s="101" t="s">
        <v>431</v>
      </c>
      <c r="B333" s="219" t="str">
        <f>LEFT($A332,4)&amp;"-1"</f>
        <v>6290-1</v>
      </c>
      <c r="C333" s="111" t="s">
        <v>432</v>
      </c>
      <c r="D333" s="105"/>
      <c r="E333" s="51"/>
      <c r="F333" s="105">
        <v>1</v>
      </c>
      <c r="G333" s="39">
        <f>65*105%</f>
        <v>68.25</v>
      </c>
      <c r="H333" s="33">
        <f t="shared" ref="H333:H337" si="111">SUM((D333+E333+F333)*G333)</f>
        <v>68.25</v>
      </c>
      <c r="I333" s="33">
        <f ca="1">-(SUMIF(INDIRECT(LEFT($A$332,4)&amp;"!I3:I200"),"="&amp;B333&amp;" *",INDIRECT(LEFT($A$332,4)&amp;"!K3:K200")))</f>
        <v>-63.7</v>
      </c>
      <c r="J333" s="33">
        <f t="shared" ref="J333:J345" ca="1" si="112">SUM(H333:I333)</f>
        <v>4.5499999999999972</v>
      </c>
      <c r="K333" s="33">
        <v>68.25</v>
      </c>
    </row>
    <row r="334" spans="1:12" ht="14.6" x14ac:dyDescent="0.4">
      <c r="A334" s="469" t="s">
        <v>431</v>
      </c>
      <c r="B334" s="159" t="str">
        <f t="shared" ref="B334:B337" si="113">LEFT($B333,4)&amp;"-"&amp;VALUE(MID($B333,FIND("-",$B333)+1,256))+1</f>
        <v>6290-2</v>
      </c>
      <c r="C334" s="397" t="s">
        <v>433</v>
      </c>
      <c r="D334" s="387"/>
      <c r="E334" s="375"/>
      <c r="F334" s="387">
        <v>1</v>
      </c>
      <c r="G334" s="341">
        <f>600*105%</f>
        <v>630</v>
      </c>
      <c r="H334" s="329">
        <f t="shared" si="111"/>
        <v>630</v>
      </c>
      <c r="I334" s="329">
        <f t="shared" ref="I334:I337" ca="1" si="114">-(SUMIF(INDIRECT(LEFT($A$332,4)&amp;"!I3:I200"),"="&amp;B334&amp;" *",INDIRECT(LEFT($A$332,4)&amp;"!K3:K200")))</f>
        <v>-588</v>
      </c>
      <c r="J334" s="329">
        <f t="shared" ca="1" si="112"/>
        <v>42</v>
      </c>
      <c r="K334" s="329">
        <v>630</v>
      </c>
    </row>
    <row r="335" spans="1:12" ht="14.6" x14ac:dyDescent="0.4">
      <c r="A335" s="101" t="s">
        <v>431</v>
      </c>
      <c r="B335" s="221" t="str">
        <f t="shared" si="113"/>
        <v>6290-3</v>
      </c>
      <c r="C335" s="61" t="s">
        <v>434</v>
      </c>
      <c r="D335" s="107"/>
      <c r="E335" s="100"/>
      <c r="F335" s="107">
        <v>1</v>
      </c>
      <c r="G335" s="39">
        <f>6265*105%</f>
        <v>6578.25</v>
      </c>
      <c r="H335" s="33">
        <f t="shared" si="111"/>
        <v>6578.25</v>
      </c>
      <c r="I335" s="33">
        <f t="shared" ca="1" si="114"/>
        <v>-6415.08</v>
      </c>
      <c r="J335" s="33">
        <f t="shared" ref="J335:J337" ca="1" si="115">SUM(H335:I335)</f>
        <v>163.17000000000007</v>
      </c>
      <c r="K335" s="33">
        <v>7070.7000000000007</v>
      </c>
    </row>
    <row r="336" spans="1:12" ht="14.6" x14ac:dyDescent="0.4">
      <c r="A336" s="469" t="s">
        <v>431</v>
      </c>
      <c r="B336" s="207" t="str">
        <f t="shared" si="113"/>
        <v>6290-4</v>
      </c>
      <c r="C336" s="325" t="s">
        <v>435</v>
      </c>
      <c r="D336" s="388"/>
      <c r="E336" s="354"/>
      <c r="F336" s="388">
        <v>1</v>
      </c>
      <c r="G336" s="341">
        <f>3466*105%</f>
        <v>3639.3</v>
      </c>
      <c r="H336" s="329">
        <f t="shared" si="111"/>
        <v>3639.3</v>
      </c>
      <c r="I336" s="329">
        <f t="shared" ca="1" si="114"/>
        <v>-2402.96</v>
      </c>
      <c r="J336" s="329">
        <f t="shared" ca="1" si="115"/>
        <v>1236.3400000000001</v>
      </c>
      <c r="K336" s="329">
        <v>3831.4500000000003</v>
      </c>
    </row>
    <row r="337" spans="1:11" ht="14.6" x14ac:dyDescent="0.4">
      <c r="A337" s="101" t="s">
        <v>431</v>
      </c>
      <c r="B337" s="101" t="str">
        <f t="shared" si="113"/>
        <v>6290-5</v>
      </c>
      <c r="C337" s="111" t="s">
        <v>436</v>
      </c>
      <c r="D337" s="105"/>
      <c r="E337" s="51"/>
      <c r="F337" s="105">
        <v>1</v>
      </c>
      <c r="G337" s="39">
        <f>6528*105%</f>
        <v>6854.4000000000005</v>
      </c>
      <c r="H337" s="33">
        <f t="shared" si="111"/>
        <v>6854.4000000000005</v>
      </c>
      <c r="I337" s="33">
        <f t="shared" ca="1" si="114"/>
        <v>-8590.68</v>
      </c>
      <c r="J337" s="33">
        <f t="shared" ca="1" si="115"/>
        <v>-1736.2799999999997</v>
      </c>
      <c r="K337" s="33">
        <v>5862.1500000000005</v>
      </c>
    </row>
    <row r="338" spans="1:11" thickBot="1" x14ac:dyDescent="0.45">
      <c r="A338" s="406"/>
      <c r="B338" s="101"/>
      <c r="C338" s="75" t="s">
        <v>66</v>
      </c>
      <c r="D338" s="76"/>
      <c r="E338" s="76"/>
      <c r="F338" s="14" t="s">
        <v>61</v>
      </c>
      <c r="G338" s="334">
        <f>SUM(Summary!D27)</f>
        <v>1.7142857142857144E-2</v>
      </c>
      <c r="H338" s="336">
        <f>SUM(H333:H337)</f>
        <v>17770.2</v>
      </c>
      <c r="I338" s="336">
        <f t="shared" ref="I338:J338" ca="1" si="116">SUM(I333:I337)</f>
        <v>-18060.419999999998</v>
      </c>
      <c r="J338" s="336">
        <f t="shared" ca="1" si="116"/>
        <v>-290.21999999999957</v>
      </c>
      <c r="K338" s="336">
        <f>SUM(K333:K337)</f>
        <v>17462.550000000003</v>
      </c>
    </row>
    <row r="339" spans="1:11" ht="9.75" customHeight="1" thickTop="1" x14ac:dyDescent="0.4">
      <c r="A339" s="49"/>
      <c r="B339" s="221"/>
      <c r="C339" s="79"/>
      <c r="D339" s="80"/>
      <c r="E339" s="80"/>
      <c r="F339" s="80"/>
      <c r="G339" s="57"/>
      <c r="H339" s="58"/>
      <c r="I339" s="58"/>
      <c r="J339" s="58"/>
      <c r="K339" s="58"/>
    </row>
    <row r="340" spans="1:11" ht="19.5" customHeight="1" x14ac:dyDescent="0.5">
      <c r="A340" s="777" t="s">
        <v>437</v>
      </c>
      <c r="B340" s="777"/>
      <c r="C340" s="778"/>
      <c r="D340" s="778"/>
      <c r="E340" s="778"/>
      <c r="F340" s="778"/>
      <c r="G340" s="778"/>
      <c r="H340" s="778"/>
      <c r="I340" s="778" t="e">
        <f t="shared" ref="I340:I344" ca="1" si="117">-(SUMIF(INDIRECT(LEFT($A$331,4)&amp;"!E3:E200"),"="&amp;B340&amp;" *",INDIRECT(LEFT($A$331,4)&amp;"!F3:F200")))</f>
        <v>#REF!</v>
      </c>
      <c r="J340" s="778" t="e">
        <f t="shared" ca="1" si="112"/>
        <v>#REF!</v>
      </c>
      <c r="K340" s="778"/>
    </row>
    <row r="341" spans="1:11" ht="14.6" x14ac:dyDescent="0.4">
      <c r="A341" s="134"/>
      <c r="B341" s="221" t="str">
        <f>LEFT($A340,4)&amp;"-1"</f>
        <v>6810-1</v>
      </c>
      <c r="C341" s="109" t="s">
        <v>438</v>
      </c>
      <c r="D341" s="109"/>
      <c r="E341" s="109"/>
      <c r="F341" s="123">
        <v>12</v>
      </c>
      <c r="G341" s="124">
        <v>35459.730000000003</v>
      </c>
      <c r="H341" s="33">
        <f>SUM((D341+E341+F341)*G341)</f>
        <v>425516.76</v>
      </c>
      <c r="I341" s="33">
        <f ca="1">-(SUMIF(INDIRECT(LEFT($A$340,4)&amp;"!I3:I200"),"="&amp;B341&amp;" *",INDIRECT(LEFT($A$340,4)&amp;"!K3:K200"))+30018.57)</f>
        <v>-425516.76</v>
      </c>
      <c r="J341" s="33">
        <f t="shared" ca="1" si="112"/>
        <v>0</v>
      </c>
      <c r="K341" s="33">
        <v>425516.76</v>
      </c>
    </row>
    <row r="342" spans="1:11" thickBot="1" x14ac:dyDescent="0.45">
      <c r="A342" s="109"/>
      <c r="B342" s="101"/>
      <c r="C342" s="75" t="s">
        <v>93</v>
      </c>
      <c r="D342" s="109"/>
      <c r="E342" s="109"/>
      <c r="F342" s="14" t="s">
        <v>61</v>
      </c>
      <c r="G342" s="334">
        <f>SUM(Summary!D28)</f>
        <v>0</v>
      </c>
      <c r="H342" s="336">
        <f>SUM(H341)</f>
        <v>425516.76</v>
      </c>
      <c r="I342" s="336">
        <f ca="1">SUM(I341)</f>
        <v>-425516.76</v>
      </c>
      <c r="J342" s="336">
        <f t="shared" ref="J342" ca="1" si="118">SUM(J341)</f>
        <v>0</v>
      </c>
      <c r="K342" s="336">
        <f>SUM(K341)</f>
        <v>425516.76</v>
      </c>
    </row>
    <row r="343" spans="1:11" ht="9.75" customHeight="1" thickTop="1" x14ac:dyDescent="0.4">
      <c r="A343" s="135"/>
      <c r="B343" s="221"/>
      <c r="C343" s="124"/>
      <c r="D343" s="51"/>
      <c r="E343" s="51"/>
      <c r="F343" s="51"/>
      <c r="G343" s="60"/>
      <c r="H343" s="33"/>
      <c r="K343" s="33"/>
    </row>
    <row r="344" spans="1:11" ht="19.5" customHeight="1" x14ac:dyDescent="0.5">
      <c r="A344" s="777" t="s">
        <v>439</v>
      </c>
      <c r="B344" s="777"/>
      <c r="C344" s="778"/>
      <c r="D344" s="778"/>
      <c r="E344" s="778"/>
      <c r="F344" s="778"/>
      <c r="G344" s="778"/>
      <c r="H344" s="778"/>
      <c r="I344" s="778" t="e">
        <f t="shared" ca="1" si="117"/>
        <v>#REF!</v>
      </c>
      <c r="J344" s="778" t="e">
        <f t="shared" ca="1" si="112"/>
        <v>#REF!</v>
      </c>
      <c r="K344" s="778"/>
    </row>
    <row r="345" spans="1:11" ht="14.6" x14ac:dyDescent="0.4">
      <c r="A345" s="73"/>
      <c r="B345" s="221" t="str">
        <f>LEFT($A344,4)&amp;"-1"</f>
        <v>8010-1</v>
      </c>
      <c r="C345" s="109" t="s">
        <v>440</v>
      </c>
      <c r="D345" s="76"/>
      <c r="E345" s="51">
        <v>1</v>
      </c>
      <c r="F345" s="14"/>
      <c r="G345" s="39">
        <v>13700</v>
      </c>
      <c r="H345" s="39">
        <f>SUM((D345+E345+F345)*G345)</f>
        <v>13700</v>
      </c>
      <c r="I345" s="33">
        <f ca="1">-(SUMIF(INDIRECT(LEFT($A$344,4)&amp;"!I3:I200"),"="&amp;B345&amp;" *",INDIRECT(LEFT($A$344,4)&amp;"!K3:K200")))</f>
        <v>-10307.869999999999</v>
      </c>
      <c r="J345" s="33">
        <f t="shared" ca="1" si="112"/>
        <v>3392.130000000001</v>
      </c>
      <c r="K345" s="179">
        <v>13700</v>
      </c>
    </row>
    <row r="346" spans="1:11" ht="14.6" x14ac:dyDescent="0.4">
      <c r="A346" s="529" t="s">
        <v>501</v>
      </c>
      <c r="B346" s="220" t="str">
        <f>LEFT($B345,4)&amp;"-"&amp;VALUE(MID($B345,FIND("-",$B345)+1,256))+1</f>
        <v>8010-2</v>
      </c>
      <c r="C346" s="148" t="s">
        <v>441</v>
      </c>
      <c r="D346" s="175"/>
      <c r="E346" s="164">
        <v>0</v>
      </c>
      <c r="F346" s="175"/>
      <c r="G346" s="157">
        <v>103752</v>
      </c>
      <c r="H346" s="153">
        <f>SUM((D346+E346+F346)*G346)</f>
        <v>0</v>
      </c>
      <c r="I346" s="153">
        <f t="shared" ref="I346:I349" ca="1" si="119">-(SUMIF(INDIRECT(LEFT($A$344,4)&amp;"!I3:I200"),"="&amp;B346&amp;" *",INDIRECT(LEFT($A$344,4)&amp;"!K3:K200")))</f>
        <v>0</v>
      </c>
      <c r="J346" s="153">
        <f t="shared" ref="J346:J347" ca="1" si="120">SUM(H346:I346)</f>
        <v>0</v>
      </c>
      <c r="K346" s="153">
        <v>7500</v>
      </c>
    </row>
    <row r="347" spans="1:11" ht="14.6" x14ac:dyDescent="0.4">
      <c r="A347" s="46"/>
      <c r="B347" s="101" t="str">
        <f>LEFT($B346,4)&amp;"-"&amp;VALUE(MID($B346,FIND("-",$B346)+1,256))+1</f>
        <v>8010-3</v>
      </c>
      <c r="C347" s="111" t="s">
        <v>442</v>
      </c>
      <c r="D347" s="48"/>
      <c r="E347" s="51">
        <v>5</v>
      </c>
      <c r="F347" s="48"/>
      <c r="G347" s="39">
        <v>5000</v>
      </c>
      <c r="H347" s="33">
        <f t="shared" ref="H347:H349" si="121">SUM((D347+E347+F347)*G347)</f>
        <v>25000</v>
      </c>
      <c r="I347" s="33">
        <f t="shared" ca="1" si="119"/>
        <v>-29387.13</v>
      </c>
      <c r="J347" s="33">
        <f t="shared" ca="1" si="120"/>
        <v>-4387.130000000001</v>
      </c>
      <c r="K347" s="33">
        <v>25000</v>
      </c>
    </row>
    <row r="348" spans="1:11" ht="14.6" x14ac:dyDescent="0.4">
      <c r="A348" s="407"/>
      <c r="B348" s="159" t="str">
        <f>LEFT($B347,4)&amp;"-"&amp;VALUE(MID($B347,FIND("-",$B347)+1,256))+1</f>
        <v>8010-4</v>
      </c>
      <c r="C348" s="325" t="s">
        <v>443</v>
      </c>
      <c r="D348" s="299"/>
      <c r="E348" s="354">
        <v>3</v>
      </c>
      <c r="F348" s="299"/>
      <c r="G348" s="341">
        <v>7500</v>
      </c>
      <c r="H348" s="329">
        <f t="shared" si="121"/>
        <v>22500</v>
      </c>
      <c r="I348" s="153">
        <f t="shared" ca="1" si="119"/>
        <v>-13799.98</v>
      </c>
      <c r="J348" s="153">
        <f t="shared" ref="J348:J349" ca="1" si="122">SUM(H348:I348)</f>
        <v>8700.02</v>
      </c>
      <c r="K348" s="329">
        <v>22500</v>
      </c>
    </row>
    <row r="349" spans="1:11" ht="14.6" x14ac:dyDescent="0.4">
      <c r="A349" s="447"/>
      <c r="B349" s="445" t="str">
        <f>LEFT($B348,4)&amp;"-"&amp;VALUE(MID($B348,FIND("-",$B348)+1,256))+1</f>
        <v>8010-5</v>
      </c>
      <c r="C349" s="429" t="s">
        <v>444</v>
      </c>
      <c r="D349" s="103"/>
      <c r="E349" s="431">
        <v>0</v>
      </c>
      <c r="F349" s="103"/>
      <c r="G349" s="454">
        <v>11300</v>
      </c>
      <c r="H349" s="33">
        <f t="shared" si="121"/>
        <v>0</v>
      </c>
      <c r="I349" s="33">
        <f t="shared" ca="1" si="119"/>
        <v>0</v>
      </c>
      <c r="J349" s="33">
        <f t="shared" ca="1" si="122"/>
        <v>0</v>
      </c>
      <c r="K349" s="33">
        <v>11300</v>
      </c>
    </row>
    <row r="350" spans="1:11" thickBot="1" x14ac:dyDescent="0.45">
      <c r="A350" s="49"/>
      <c r="B350" s="221"/>
      <c r="C350" s="75" t="s">
        <v>66</v>
      </c>
      <c r="D350" s="76"/>
      <c r="E350" s="76"/>
      <c r="F350" s="14" t="s">
        <v>61</v>
      </c>
      <c r="G350" s="334">
        <f>SUM(Summary!D29)</f>
        <v>-0.23499999999999999</v>
      </c>
      <c r="H350" s="336">
        <f>SUM(H345:H349)</f>
        <v>61200</v>
      </c>
      <c r="I350" s="336">
        <f t="shared" ref="I350:J350" ca="1" si="123">SUM(I345:I349)</f>
        <v>-53494.979999999996</v>
      </c>
      <c r="J350" s="336">
        <f t="shared" ca="1" si="123"/>
        <v>7705.02</v>
      </c>
      <c r="K350" s="363">
        <f>SUM(K345:K349)</f>
        <v>80000</v>
      </c>
    </row>
    <row r="351" spans="1:11" ht="9.75" customHeight="1" thickTop="1" x14ac:dyDescent="0.4">
      <c r="A351" s="49"/>
      <c r="C351" s="79"/>
      <c r="D351" s="80"/>
      <c r="E351" s="80"/>
      <c r="F351" s="80"/>
      <c r="G351" s="55"/>
      <c r="H351" s="81"/>
      <c r="I351" s="81"/>
      <c r="J351" s="81"/>
      <c r="K351" s="81"/>
    </row>
    <row r="352" spans="1:11" ht="19.5" customHeight="1" x14ac:dyDescent="0.5">
      <c r="A352" s="777" t="s">
        <v>445</v>
      </c>
      <c r="B352" s="777"/>
      <c r="C352" s="778"/>
      <c r="D352" s="778"/>
      <c r="E352" s="778"/>
      <c r="F352" s="778"/>
      <c r="G352" s="778"/>
      <c r="H352" s="778"/>
      <c r="I352" s="778" t="e">
        <f ca="1">SUM(I332:I351)</f>
        <v>#REF!</v>
      </c>
      <c r="J352" s="778" t="e">
        <f ca="1">SUM(J332:J351)</f>
        <v>#REF!</v>
      </c>
      <c r="K352" s="778"/>
    </row>
    <row r="353" spans="1:11" ht="11.25" customHeight="1" x14ac:dyDescent="0.5">
      <c r="A353" s="129"/>
      <c r="B353" s="101" t="str">
        <f>LEFT($A352,4)&amp;"-1"</f>
        <v>8020-1</v>
      </c>
      <c r="C353" s="2"/>
      <c r="D353" s="2"/>
      <c r="E353" s="2"/>
      <c r="F353" s="2"/>
      <c r="G353" s="33"/>
      <c r="H353" s="2"/>
      <c r="K353" s="2"/>
    </row>
    <row r="354" spans="1:11" thickBot="1" x14ac:dyDescent="0.45">
      <c r="A354" s="49"/>
      <c r="B354" s="49"/>
      <c r="C354" s="75" t="s">
        <v>66</v>
      </c>
      <c r="D354" s="76"/>
      <c r="E354" s="76"/>
      <c r="F354" s="14" t="s">
        <v>61</v>
      </c>
      <c r="G354" s="77">
        <f>SUM(Summary!D30)</f>
        <v>0</v>
      </c>
      <c r="H354" s="336">
        <f>SUM(H353)</f>
        <v>0</v>
      </c>
      <c r="I354" s="336">
        <f t="shared" ref="I354:J354" si="124">SUM(I353)</f>
        <v>0</v>
      </c>
      <c r="J354" s="336">
        <f t="shared" si="124"/>
        <v>0</v>
      </c>
      <c r="K354" s="363">
        <f>SUM(K353)</f>
        <v>0</v>
      </c>
    </row>
    <row r="355" spans="1:11" ht="10.5" customHeight="1" thickTop="1" thickBot="1" x14ac:dyDescent="0.45">
      <c r="A355" s="49"/>
      <c r="B355" s="219"/>
      <c r="C355" s="79"/>
      <c r="D355" s="80"/>
      <c r="E355" s="80"/>
      <c r="F355" s="80"/>
      <c r="G355" s="55"/>
      <c r="H355" s="81"/>
      <c r="I355" s="81"/>
      <c r="J355" s="81"/>
      <c r="K355" s="81"/>
    </row>
    <row r="356" spans="1:11" ht="15.75" customHeight="1" thickBot="1" x14ac:dyDescent="0.45">
      <c r="A356" s="35"/>
      <c r="B356" s="219"/>
      <c r="C356" s="75" t="s">
        <v>446</v>
      </c>
      <c r="D356" s="76"/>
      <c r="E356" s="76"/>
      <c r="F356" s="76"/>
      <c r="G356" s="334">
        <f>(H356-K356)/K356</f>
        <v>7.5772661612115169E-2</v>
      </c>
      <c r="H356" s="71">
        <f>SUM(H354,H350,H342,H338,H330,H311,H260,H240,H236,H199,H195,H189,H161,H148,H139,H100,H85,H67,H63,H39,H15)</f>
        <v>2722379.0475000003</v>
      </c>
      <c r="I356" s="71">
        <f ca="1">SUM(I354,I350,I342,I338,I330,I311,I260,I240,I236,I199,I195,I189,I161,I148,I139,I100,I85,I67,I63,I39,I15)</f>
        <v>-2417007.9700000002</v>
      </c>
      <c r="J356" s="71">
        <f ca="1">SUM(J354,J350,J342,J338,J330,J311,J260,J240,J236,J199,J195,J189,J161,J148,J139,J100,J85,J67,J63,J39,J15)</f>
        <v>307371.07749999996</v>
      </c>
      <c r="K356" s="71">
        <f>SUM(K354,K350,K342,K338,K330,K311,K260,K240,K236,K199,K195,K189,K161,K148,K139,K100,K85,K67,K63,K39,K15)</f>
        <v>2530626.7250000001</v>
      </c>
    </row>
    <row r="357" spans="1:11" ht="15.75" customHeight="1" x14ac:dyDescent="0.4">
      <c r="B357" s="62"/>
      <c r="G357" s="54"/>
      <c r="H357" s="2"/>
    </row>
    <row r="358" spans="1:11" ht="15" customHeight="1" x14ac:dyDescent="0.4">
      <c r="B358" s="216"/>
      <c r="H358" s="2"/>
    </row>
    <row r="359" spans="1:11" ht="15" customHeight="1" x14ac:dyDescent="0.4">
      <c r="B359" s="62"/>
      <c r="H359" s="2"/>
    </row>
    <row r="360" spans="1:11" ht="15" customHeight="1" x14ac:dyDescent="0.4">
      <c r="B360" s="49"/>
      <c r="H360" s="2"/>
    </row>
    <row r="361" spans="1:11" ht="15" customHeight="1" x14ac:dyDescent="0.4">
      <c r="B361" s="49"/>
      <c r="H361" s="2"/>
    </row>
    <row r="362" spans="1:11" ht="15" customHeight="1" x14ac:dyDescent="0.4">
      <c r="H362" s="2"/>
    </row>
    <row r="363" spans="1:11" ht="15" customHeight="1" x14ac:dyDescent="0.4">
      <c r="B363" s="219"/>
      <c r="H363" s="2"/>
    </row>
    <row r="364" spans="1:11" ht="15" customHeight="1" x14ac:dyDescent="0.4">
      <c r="B364" s="109"/>
      <c r="H364" s="2"/>
    </row>
    <row r="365" spans="1:11" ht="15" customHeight="1" x14ac:dyDescent="0.4">
      <c r="B365" s="135"/>
      <c r="H365" s="2"/>
    </row>
    <row r="366" spans="1:11" ht="15" customHeight="1" x14ac:dyDescent="0.4">
      <c r="H366" s="2"/>
    </row>
    <row r="367" spans="1:11" ht="15" customHeight="1" x14ac:dyDescent="0.4">
      <c r="B367" s="219"/>
      <c r="H367" s="2"/>
    </row>
    <row r="368" spans="1:11" ht="15" customHeight="1" x14ac:dyDescent="0.4">
      <c r="B368" s="219"/>
      <c r="H368" s="2"/>
    </row>
    <row r="369" spans="2:8" ht="15" customHeight="1" x14ac:dyDescent="0.4">
      <c r="B369" s="46"/>
      <c r="H369" s="2"/>
    </row>
    <row r="370" spans="2:8" ht="15" customHeight="1" x14ac:dyDescent="0.4">
      <c r="B370" s="46"/>
      <c r="H370" s="2"/>
    </row>
    <row r="371" spans="2:8" ht="15" customHeight="1" x14ac:dyDescent="0.4">
      <c r="B371" s="46"/>
      <c r="H371" s="2"/>
    </row>
    <row r="372" spans="2:8" ht="15" customHeight="1" x14ac:dyDescent="0.4">
      <c r="B372" s="49"/>
      <c r="H372" s="2"/>
    </row>
    <row r="373" spans="2:8" ht="15" customHeight="1" x14ac:dyDescent="0.4">
      <c r="B373" s="49"/>
      <c r="H373" s="2"/>
    </row>
    <row r="374" spans="2:8" ht="15" customHeight="1" x14ac:dyDescent="0.4">
      <c r="H374" s="2"/>
    </row>
    <row r="375" spans="2:8" ht="15" customHeight="1" x14ac:dyDescent="0.4">
      <c r="B375" s="219"/>
      <c r="H375" s="2"/>
    </row>
    <row r="376" spans="2:8" ht="15" customHeight="1" x14ac:dyDescent="0.4">
      <c r="B376" s="49"/>
      <c r="H376" s="2"/>
    </row>
    <row r="377" spans="2:8" ht="15" customHeight="1" x14ac:dyDescent="0.4">
      <c r="B377" s="49"/>
      <c r="H377" s="2"/>
    </row>
    <row r="378" spans="2:8" ht="15" customHeight="1" x14ac:dyDescent="0.4">
      <c r="B378" s="35"/>
      <c r="H378" s="2"/>
    </row>
    <row r="379" spans="2:8" ht="15" customHeight="1" x14ac:dyDescent="0.4">
      <c r="H379" s="2"/>
    </row>
    <row r="380" spans="2:8" ht="15" customHeight="1" x14ac:dyDescent="0.4">
      <c r="H380" s="2"/>
    </row>
    <row r="381" spans="2:8" ht="15" customHeight="1" x14ac:dyDescent="0.4">
      <c r="H381" s="2"/>
    </row>
    <row r="382" spans="2:8" ht="15" customHeight="1" x14ac:dyDescent="0.4">
      <c r="H382" s="2"/>
    </row>
    <row r="383" spans="2:8" ht="15" customHeight="1" x14ac:dyDescent="0.4">
      <c r="H383" s="2"/>
    </row>
    <row r="384" spans="2:8" ht="15" customHeight="1" x14ac:dyDescent="0.4">
      <c r="H384" s="2"/>
    </row>
    <row r="385" spans="8:8" ht="15" customHeight="1" x14ac:dyDescent="0.4">
      <c r="H385" s="2"/>
    </row>
    <row r="386" spans="8:8" ht="15" customHeight="1" x14ac:dyDescent="0.4">
      <c r="H386" s="2"/>
    </row>
    <row r="387" spans="8:8" ht="15" customHeight="1" x14ac:dyDescent="0.4">
      <c r="H387" s="2"/>
    </row>
    <row r="388" spans="8:8" ht="15" customHeight="1" x14ac:dyDescent="0.4">
      <c r="H388" s="2"/>
    </row>
    <row r="389" spans="8:8" ht="15" customHeight="1" x14ac:dyDescent="0.4">
      <c r="H389" s="2"/>
    </row>
    <row r="390" spans="8:8" ht="15" customHeight="1" x14ac:dyDescent="0.4">
      <c r="H390" s="2"/>
    </row>
    <row r="391" spans="8:8" ht="15" customHeight="1" x14ac:dyDescent="0.4">
      <c r="H391" s="2"/>
    </row>
    <row r="392" spans="8:8" ht="15" customHeight="1" x14ac:dyDescent="0.4">
      <c r="H392" s="2"/>
    </row>
    <row r="393" spans="8:8" ht="15" customHeight="1" x14ac:dyDescent="0.4">
      <c r="H393" s="2"/>
    </row>
    <row r="394" spans="8:8" ht="15" customHeight="1" x14ac:dyDescent="0.4">
      <c r="H394" s="2"/>
    </row>
    <row r="395" spans="8:8" ht="15" customHeight="1" x14ac:dyDescent="0.4">
      <c r="H395" s="2"/>
    </row>
    <row r="396" spans="8:8" ht="15" customHeight="1" x14ac:dyDescent="0.4">
      <c r="H396" s="2"/>
    </row>
    <row r="397" spans="8:8" ht="15" customHeight="1" x14ac:dyDescent="0.4">
      <c r="H397" s="2"/>
    </row>
    <row r="398" spans="8:8" ht="15" customHeight="1" x14ac:dyDescent="0.4">
      <c r="H398" s="2"/>
    </row>
    <row r="399" spans="8:8" ht="15" customHeight="1" x14ac:dyDescent="0.4">
      <c r="H399" s="2"/>
    </row>
    <row r="400" spans="8:8" ht="15" customHeight="1" x14ac:dyDescent="0.4">
      <c r="H400" s="2"/>
    </row>
    <row r="401" spans="8:8" ht="15" customHeight="1" x14ac:dyDescent="0.4">
      <c r="H401" s="2"/>
    </row>
    <row r="402" spans="8:8" ht="15" customHeight="1" x14ac:dyDescent="0.4">
      <c r="H402" s="2"/>
    </row>
    <row r="403" spans="8:8" ht="15" customHeight="1" x14ac:dyDescent="0.4">
      <c r="H403" s="2"/>
    </row>
    <row r="404" spans="8:8" ht="15" customHeight="1" x14ac:dyDescent="0.4">
      <c r="H404" s="2"/>
    </row>
    <row r="405" spans="8:8" ht="15" customHeight="1" x14ac:dyDescent="0.4">
      <c r="H405" s="2"/>
    </row>
    <row r="406" spans="8:8" ht="15" customHeight="1" x14ac:dyDescent="0.4">
      <c r="H406" s="2"/>
    </row>
    <row r="407" spans="8:8" ht="15" customHeight="1" x14ac:dyDescent="0.4">
      <c r="H407" s="2"/>
    </row>
    <row r="408" spans="8:8" ht="15" customHeight="1" x14ac:dyDescent="0.4">
      <c r="H408" s="2"/>
    </row>
    <row r="409" spans="8:8" ht="15" customHeight="1" x14ac:dyDescent="0.4">
      <c r="H409" s="2"/>
    </row>
    <row r="410" spans="8:8" ht="15" customHeight="1" x14ac:dyDescent="0.4">
      <c r="H410" s="2"/>
    </row>
    <row r="411" spans="8:8" ht="15" customHeight="1" x14ac:dyDescent="0.4">
      <c r="H411" s="2"/>
    </row>
    <row r="412" spans="8:8" ht="15" customHeight="1" x14ac:dyDescent="0.4">
      <c r="H412" s="2"/>
    </row>
    <row r="413" spans="8:8" ht="15" customHeight="1" x14ac:dyDescent="0.4">
      <c r="H413" s="2"/>
    </row>
    <row r="414" spans="8:8" ht="15" customHeight="1" x14ac:dyDescent="0.4">
      <c r="H414" s="2"/>
    </row>
    <row r="415" spans="8:8" ht="15" customHeight="1" x14ac:dyDescent="0.4">
      <c r="H415" s="2"/>
    </row>
    <row r="416" spans="8:8" ht="15" customHeight="1" x14ac:dyDescent="0.4">
      <c r="H416" s="2"/>
    </row>
    <row r="417" spans="8:8" ht="15" customHeight="1" x14ac:dyDescent="0.4">
      <c r="H417" s="2"/>
    </row>
    <row r="418" spans="8:8" ht="15" customHeight="1" x14ac:dyDescent="0.4">
      <c r="H418" s="2"/>
    </row>
    <row r="419" spans="8:8" ht="15" customHeight="1" x14ac:dyDescent="0.4">
      <c r="H419" s="2"/>
    </row>
    <row r="420" spans="8:8" ht="15" customHeight="1" x14ac:dyDescent="0.4">
      <c r="H420" s="2"/>
    </row>
    <row r="421" spans="8:8" ht="15" customHeight="1" x14ac:dyDescent="0.4">
      <c r="H421" s="2"/>
    </row>
    <row r="422" spans="8:8" ht="15" customHeight="1" x14ac:dyDescent="0.4">
      <c r="H422" s="2"/>
    </row>
    <row r="423" spans="8:8" ht="15" customHeight="1" x14ac:dyDescent="0.4">
      <c r="H423" s="2"/>
    </row>
    <row r="424" spans="8:8" ht="15" customHeight="1" x14ac:dyDescent="0.4">
      <c r="H424" s="2"/>
    </row>
    <row r="425" spans="8:8" ht="15" customHeight="1" x14ac:dyDescent="0.4">
      <c r="H425" s="2"/>
    </row>
    <row r="426" spans="8:8" ht="15" customHeight="1" x14ac:dyDescent="0.4">
      <c r="H426" s="2"/>
    </row>
    <row r="427" spans="8:8" ht="15" customHeight="1" x14ac:dyDescent="0.4">
      <c r="H427" s="2"/>
    </row>
    <row r="428" spans="8:8" ht="15" customHeight="1" x14ac:dyDescent="0.4">
      <c r="H428" s="2"/>
    </row>
    <row r="429" spans="8:8" ht="15" customHeight="1" x14ac:dyDescent="0.4">
      <c r="H429" s="2"/>
    </row>
    <row r="430" spans="8:8" ht="15" customHeight="1" x14ac:dyDescent="0.4">
      <c r="H430" s="2"/>
    </row>
    <row r="431" spans="8:8" ht="15" customHeight="1" x14ac:dyDescent="0.4">
      <c r="H431" s="2"/>
    </row>
    <row r="432" spans="8:8" ht="15" customHeight="1" x14ac:dyDescent="0.4">
      <c r="H432" s="2"/>
    </row>
    <row r="433" spans="8:8" ht="15" customHeight="1" x14ac:dyDescent="0.4">
      <c r="H433" s="2"/>
    </row>
    <row r="434" spans="8:8" ht="15" customHeight="1" x14ac:dyDescent="0.4">
      <c r="H434" s="2"/>
    </row>
    <row r="435" spans="8:8" ht="15" customHeight="1" x14ac:dyDescent="0.4">
      <c r="H435" s="2"/>
    </row>
    <row r="436" spans="8:8" ht="15" customHeight="1" x14ac:dyDescent="0.4">
      <c r="H436" s="2"/>
    </row>
    <row r="437" spans="8:8" ht="15" customHeight="1" x14ac:dyDescent="0.4">
      <c r="H437" s="2"/>
    </row>
    <row r="438" spans="8:8" ht="15" customHeight="1" x14ac:dyDescent="0.4">
      <c r="H438" s="2"/>
    </row>
    <row r="439" spans="8:8" ht="15" customHeight="1" x14ac:dyDescent="0.4">
      <c r="H439" s="2"/>
    </row>
    <row r="440" spans="8:8" ht="15" customHeight="1" x14ac:dyDescent="0.4">
      <c r="H440" s="2"/>
    </row>
    <row r="441" spans="8:8" ht="15" customHeight="1" x14ac:dyDescent="0.4">
      <c r="H441" s="2"/>
    </row>
    <row r="442" spans="8:8" ht="15" customHeight="1" x14ac:dyDescent="0.4">
      <c r="H442" s="2"/>
    </row>
    <row r="443" spans="8:8" ht="15" customHeight="1" x14ac:dyDescent="0.4">
      <c r="H443" s="2"/>
    </row>
    <row r="444" spans="8:8" ht="15" customHeight="1" x14ac:dyDescent="0.4">
      <c r="H444" s="2"/>
    </row>
    <row r="445" spans="8:8" ht="15" customHeight="1" x14ac:dyDescent="0.4">
      <c r="H445" s="2"/>
    </row>
    <row r="446" spans="8:8" ht="15" customHeight="1" x14ac:dyDescent="0.4">
      <c r="H446" s="2"/>
    </row>
    <row r="447" spans="8:8" ht="15" customHeight="1" x14ac:dyDescent="0.4">
      <c r="H447" s="2"/>
    </row>
    <row r="448" spans="8:8" ht="15" customHeight="1" x14ac:dyDescent="0.4">
      <c r="H448" s="2"/>
    </row>
    <row r="449" spans="8:8" ht="15" customHeight="1" x14ac:dyDescent="0.4">
      <c r="H449" s="2"/>
    </row>
    <row r="450" spans="8:8" ht="15" customHeight="1" x14ac:dyDescent="0.4">
      <c r="H450" s="2"/>
    </row>
    <row r="451" spans="8:8" ht="15" customHeight="1" x14ac:dyDescent="0.4">
      <c r="H451" s="2"/>
    </row>
    <row r="452" spans="8:8" ht="15" customHeight="1" x14ac:dyDescent="0.4">
      <c r="H452" s="2"/>
    </row>
    <row r="453" spans="8:8" ht="15" customHeight="1" x14ac:dyDescent="0.4">
      <c r="H453" s="2"/>
    </row>
    <row r="454" spans="8:8" ht="15" customHeight="1" x14ac:dyDescent="0.4">
      <c r="H454" s="2"/>
    </row>
    <row r="455" spans="8:8" ht="15" customHeight="1" x14ac:dyDescent="0.4">
      <c r="H455" s="2"/>
    </row>
    <row r="456" spans="8:8" ht="15" customHeight="1" x14ac:dyDescent="0.4">
      <c r="H456" s="2"/>
    </row>
    <row r="457" spans="8:8" ht="15" customHeight="1" x14ac:dyDescent="0.4">
      <c r="H457" s="2"/>
    </row>
    <row r="458" spans="8:8" ht="15" customHeight="1" x14ac:dyDescent="0.4">
      <c r="H458" s="2"/>
    </row>
    <row r="459" spans="8:8" ht="15" customHeight="1" x14ac:dyDescent="0.4">
      <c r="H459" s="2"/>
    </row>
    <row r="460" spans="8:8" ht="15" customHeight="1" x14ac:dyDescent="0.4">
      <c r="H460" s="2"/>
    </row>
    <row r="461" spans="8:8" ht="15" customHeight="1" x14ac:dyDescent="0.4">
      <c r="H461" s="2"/>
    </row>
    <row r="462" spans="8:8" ht="15" customHeight="1" x14ac:dyDescent="0.4">
      <c r="H462" s="2"/>
    </row>
    <row r="463" spans="8:8" ht="15" customHeight="1" x14ac:dyDescent="0.4">
      <c r="H463" s="2"/>
    </row>
    <row r="464" spans="8:8" ht="15" customHeight="1" x14ac:dyDescent="0.4">
      <c r="H464" s="2"/>
    </row>
    <row r="465" spans="8:8" ht="15" customHeight="1" x14ac:dyDescent="0.4">
      <c r="H465" s="2"/>
    </row>
    <row r="466" spans="8:8" ht="15" customHeight="1" x14ac:dyDescent="0.4">
      <c r="H466" s="2"/>
    </row>
    <row r="467" spans="8:8" ht="15" customHeight="1" x14ac:dyDescent="0.4">
      <c r="H467" s="2"/>
    </row>
    <row r="468" spans="8:8" ht="15" customHeight="1" x14ac:dyDescent="0.4">
      <c r="H468" s="2"/>
    </row>
    <row r="469" spans="8:8" ht="15" customHeight="1" x14ac:dyDescent="0.4">
      <c r="H469" s="2"/>
    </row>
    <row r="470" spans="8:8" ht="15" customHeight="1" x14ac:dyDescent="0.4">
      <c r="H470" s="2"/>
    </row>
    <row r="471" spans="8:8" ht="15" customHeight="1" x14ac:dyDescent="0.4">
      <c r="H471" s="2"/>
    </row>
    <row r="472" spans="8:8" ht="15" customHeight="1" x14ac:dyDescent="0.4">
      <c r="H472" s="2"/>
    </row>
    <row r="473" spans="8:8" ht="15" customHeight="1" x14ac:dyDescent="0.4">
      <c r="H473" s="2"/>
    </row>
    <row r="474" spans="8:8" ht="15" customHeight="1" x14ac:dyDescent="0.4">
      <c r="H474" s="2"/>
    </row>
    <row r="475" spans="8:8" ht="15" customHeight="1" x14ac:dyDescent="0.4">
      <c r="H475" s="2"/>
    </row>
    <row r="476" spans="8:8" ht="15" customHeight="1" x14ac:dyDescent="0.4">
      <c r="H476" s="2"/>
    </row>
    <row r="477" spans="8:8" ht="15" customHeight="1" x14ac:dyDescent="0.4">
      <c r="H477" s="2"/>
    </row>
    <row r="478" spans="8:8" ht="15" customHeight="1" x14ac:dyDescent="0.4">
      <c r="H478" s="2"/>
    </row>
    <row r="479" spans="8:8" ht="15" customHeight="1" x14ac:dyDescent="0.4">
      <c r="H479" s="2"/>
    </row>
    <row r="480" spans="8:8" ht="15" customHeight="1" x14ac:dyDescent="0.4">
      <c r="H480" s="2"/>
    </row>
    <row r="481" spans="8:8" ht="15" customHeight="1" x14ac:dyDescent="0.4">
      <c r="H481" s="2"/>
    </row>
    <row r="482" spans="8:8" ht="15" customHeight="1" x14ac:dyDescent="0.4">
      <c r="H482" s="2"/>
    </row>
    <row r="483" spans="8:8" ht="15" customHeight="1" x14ac:dyDescent="0.4">
      <c r="H483" s="2"/>
    </row>
    <row r="484" spans="8:8" ht="15" customHeight="1" x14ac:dyDescent="0.4">
      <c r="H484" s="2"/>
    </row>
    <row r="485" spans="8:8" ht="15" customHeight="1" x14ac:dyDescent="0.4">
      <c r="H485" s="2"/>
    </row>
    <row r="486" spans="8:8" ht="15" customHeight="1" x14ac:dyDescent="0.4">
      <c r="H486" s="2"/>
    </row>
    <row r="487" spans="8:8" ht="15" customHeight="1" x14ac:dyDescent="0.4">
      <c r="H487" s="2"/>
    </row>
    <row r="488" spans="8:8" ht="15" customHeight="1" x14ac:dyDescent="0.4">
      <c r="H488" s="2"/>
    </row>
    <row r="489" spans="8:8" ht="15" customHeight="1" x14ac:dyDescent="0.4">
      <c r="H489" s="2"/>
    </row>
    <row r="490" spans="8:8" ht="15" customHeight="1" x14ac:dyDescent="0.4">
      <c r="H490" s="2"/>
    </row>
    <row r="491" spans="8:8" ht="15" customHeight="1" x14ac:dyDescent="0.4">
      <c r="H491" s="2"/>
    </row>
    <row r="492" spans="8:8" ht="15" customHeight="1" x14ac:dyDescent="0.4">
      <c r="H492" s="2"/>
    </row>
    <row r="493" spans="8:8" ht="15" customHeight="1" x14ac:dyDescent="0.4">
      <c r="H493" s="2"/>
    </row>
    <row r="494" spans="8:8" ht="15" customHeight="1" x14ac:dyDescent="0.4">
      <c r="H494" s="2"/>
    </row>
    <row r="495" spans="8:8" ht="15" customHeight="1" x14ac:dyDescent="0.4">
      <c r="H495" s="2"/>
    </row>
    <row r="496" spans="8:8" ht="15" customHeight="1" x14ac:dyDescent="0.4">
      <c r="H496" s="2"/>
    </row>
    <row r="497" spans="8:8" ht="15" customHeight="1" x14ac:dyDescent="0.4">
      <c r="H497" s="2"/>
    </row>
    <row r="498" spans="8:8" ht="15" customHeight="1" x14ac:dyDescent="0.4">
      <c r="H498" s="2"/>
    </row>
    <row r="499" spans="8:8" ht="15" customHeight="1" x14ac:dyDescent="0.4">
      <c r="H499" s="2"/>
    </row>
    <row r="500" spans="8:8" ht="15" customHeight="1" x14ac:dyDescent="0.4">
      <c r="H500" s="2"/>
    </row>
    <row r="501" spans="8:8" ht="15" customHeight="1" x14ac:dyDescent="0.4">
      <c r="H501" s="2"/>
    </row>
    <row r="502" spans="8:8" ht="15" customHeight="1" x14ac:dyDescent="0.4">
      <c r="H502" s="2"/>
    </row>
    <row r="503" spans="8:8" ht="15" customHeight="1" x14ac:dyDescent="0.4">
      <c r="H503" s="2"/>
    </row>
    <row r="504" spans="8:8" ht="15" customHeight="1" x14ac:dyDescent="0.4">
      <c r="H504" s="2"/>
    </row>
    <row r="505" spans="8:8" ht="15" customHeight="1" x14ac:dyDescent="0.4">
      <c r="H505" s="2"/>
    </row>
    <row r="506" spans="8:8" ht="15" customHeight="1" x14ac:dyDescent="0.4">
      <c r="H506" s="2"/>
    </row>
    <row r="507" spans="8:8" ht="15" customHeight="1" x14ac:dyDescent="0.4">
      <c r="H507" s="2"/>
    </row>
    <row r="508" spans="8:8" ht="15" customHeight="1" x14ac:dyDescent="0.4">
      <c r="H508" s="2"/>
    </row>
    <row r="509" spans="8:8" ht="15" customHeight="1" x14ac:dyDescent="0.4">
      <c r="H509" s="2"/>
    </row>
    <row r="510" spans="8:8" ht="15" customHeight="1" x14ac:dyDescent="0.4">
      <c r="H510" s="2"/>
    </row>
    <row r="511" spans="8:8" ht="15" customHeight="1" x14ac:dyDescent="0.4">
      <c r="H511" s="2"/>
    </row>
    <row r="512" spans="8:8" ht="15" customHeight="1" x14ac:dyDescent="0.4">
      <c r="H512" s="2"/>
    </row>
    <row r="513" spans="8:8" ht="15" customHeight="1" x14ac:dyDescent="0.4">
      <c r="H513" s="2"/>
    </row>
    <row r="514" spans="8:8" ht="15" customHeight="1" x14ac:dyDescent="0.4">
      <c r="H514" s="2"/>
    </row>
    <row r="515" spans="8:8" ht="15" customHeight="1" x14ac:dyDescent="0.4">
      <c r="H515" s="2"/>
    </row>
    <row r="516" spans="8:8" ht="15" customHeight="1" x14ac:dyDescent="0.4">
      <c r="H516" s="2"/>
    </row>
    <row r="517" spans="8:8" ht="15" customHeight="1" x14ac:dyDescent="0.4">
      <c r="H517" s="2"/>
    </row>
    <row r="518" spans="8:8" ht="15" customHeight="1" x14ac:dyDescent="0.4">
      <c r="H518" s="2"/>
    </row>
    <row r="519" spans="8:8" ht="15" customHeight="1" x14ac:dyDescent="0.4">
      <c r="H519" s="2"/>
    </row>
    <row r="520" spans="8:8" ht="15" customHeight="1" x14ac:dyDescent="0.4">
      <c r="H520" s="2"/>
    </row>
    <row r="521" spans="8:8" ht="15" customHeight="1" x14ac:dyDescent="0.4">
      <c r="H521" s="2"/>
    </row>
    <row r="522" spans="8:8" ht="15" customHeight="1" x14ac:dyDescent="0.4">
      <c r="H522" s="2"/>
    </row>
    <row r="523" spans="8:8" ht="15" customHeight="1" x14ac:dyDescent="0.4">
      <c r="H523" s="2"/>
    </row>
    <row r="524" spans="8:8" ht="15" customHeight="1" x14ac:dyDescent="0.4">
      <c r="H524" s="2"/>
    </row>
    <row r="525" spans="8:8" ht="15" customHeight="1" x14ac:dyDescent="0.4">
      <c r="H525" s="2"/>
    </row>
    <row r="526" spans="8:8" ht="15" customHeight="1" x14ac:dyDescent="0.4">
      <c r="H526" s="2"/>
    </row>
    <row r="527" spans="8:8" ht="15" customHeight="1" x14ac:dyDescent="0.4">
      <c r="H527" s="2"/>
    </row>
    <row r="528" spans="8:8" ht="15" customHeight="1" x14ac:dyDescent="0.4">
      <c r="H528" s="2"/>
    </row>
    <row r="529" spans="8:8" ht="15" customHeight="1" x14ac:dyDescent="0.4">
      <c r="H529" s="2"/>
    </row>
    <row r="530" spans="8:8" ht="15" customHeight="1" x14ac:dyDescent="0.4">
      <c r="H530" s="2"/>
    </row>
    <row r="531" spans="8:8" ht="15" customHeight="1" x14ac:dyDescent="0.4">
      <c r="H531" s="2"/>
    </row>
    <row r="532" spans="8:8" ht="15" customHeight="1" x14ac:dyDescent="0.4">
      <c r="H532" s="2"/>
    </row>
    <row r="533" spans="8:8" ht="15" customHeight="1" x14ac:dyDescent="0.4">
      <c r="H533" s="2"/>
    </row>
    <row r="534" spans="8:8" ht="15" customHeight="1" x14ac:dyDescent="0.4">
      <c r="H534" s="2"/>
    </row>
    <row r="535" spans="8:8" ht="15" customHeight="1" x14ac:dyDescent="0.4">
      <c r="H535" s="2"/>
    </row>
    <row r="536" spans="8:8" ht="15" customHeight="1" x14ac:dyDescent="0.4">
      <c r="H536" s="2"/>
    </row>
    <row r="537" spans="8:8" ht="15" customHeight="1" x14ac:dyDescent="0.4">
      <c r="H537" s="2"/>
    </row>
    <row r="538" spans="8:8" ht="15" customHeight="1" x14ac:dyDescent="0.4">
      <c r="H538" s="2"/>
    </row>
    <row r="539" spans="8:8" ht="15" customHeight="1" x14ac:dyDescent="0.4">
      <c r="H539" s="2"/>
    </row>
    <row r="540" spans="8:8" ht="15" customHeight="1" x14ac:dyDescent="0.4">
      <c r="H540" s="2"/>
    </row>
    <row r="541" spans="8:8" ht="15" customHeight="1" x14ac:dyDescent="0.4">
      <c r="H541" s="2"/>
    </row>
    <row r="542" spans="8:8" ht="15" customHeight="1" x14ac:dyDescent="0.4">
      <c r="H542" s="2"/>
    </row>
    <row r="543" spans="8:8" ht="15" customHeight="1" x14ac:dyDescent="0.4">
      <c r="H543" s="2"/>
    </row>
    <row r="544" spans="8:8" ht="15" customHeight="1" x14ac:dyDescent="0.4">
      <c r="H544" s="2"/>
    </row>
    <row r="545" spans="8:8" ht="15" customHeight="1" x14ac:dyDescent="0.4">
      <c r="H545" s="2"/>
    </row>
    <row r="546" spans="8:8" ht="15" customHeight="1" x14ac:dyDescent="0.4">
      <c r="H546" s="2"/>
    </row>
    <row r="547" spans="8:8" ht="15" customHeight="1" x14ac:dyDescent="0.4">
      <c r="H547" s="2"/>
    </row>
    <row r="548" spans="8:8" ht="15" customHeight="1" x14ac:dyDescent="0.4">
      <c r="H548" s="2"/>
    </row>
    <row r="549" spans="8:8" ht="15" customHeight="1" x14ac:dyDescent="0.4">
      <c r="H549" s="2"/>
    </row>
    <row r="550" spans="8:8" ht="15" customHeight="1" x14ac:dyDescent="0.4">
      <c r="H550" s="2"/>
    </row>
    <row r="551" spans="8:8" ht="15" customHeight="1" x14ac:dyDescent="0.4">
      <c r="H551" s="2"/>
    </row>
    <row r="552" spans="8:8" ht="15" customHeight="1" x14ac:dyDescent="0.4">
      <c r="H552" s="2"/>
    </row>
    <row r="553" spans="8:8" ht="15" customHeight="1" x14ac:dyDescent="0.4">
      <c r="H553" s="2"/>
    </row>
    <row r="554" spans="8:8" ht="15" customHeight="1" x14ac:dyDescent="0.4">
      <c r="H554" s="2"/>
    </row>
    <row r="555" spans="8:8" ht="15" customHeight="1" x14ac:dyDescent="0.4">
      <c r="H555" s="2"/>
    </row>
    <row r="556" spans="8:8" ht="15" customHeight="1" x14ac:dyDescent="0.4">
      <c r="H556" s="2"/>
    </row>
    <row r="557" spans="8:8" ht="15" customHeight="1" x14ac:dyDescent="0.4">
      <c r="H557" s="2"/>
    </row>
    <row r="558" spans="8:8" ht="15" customHeight="1" x14ac:dyDescent="0.4">
      <c r="H558" s="2"/>
    </row>
    <row r="559" spans="8:8" ht="15" customHeight="1" x14ac:dyDescent="0.4">
      <c r="H559" s="2"/>
    </row>
    <row r="560" spans="8:8" ht="15" customHeight="1" x14ac:dyDescent="0.4">
      <c r="H560" s="2"/>
    </row>
    <row r="561" spans="8:8" ht="15" customHeight="1" x14ac:dyDescent="0.4">
      <c r="H561" s="2"/>
    </row>
    <row r="562" spans="8:8" ht="15" customHeight="1" x14ac:dyDescent="0.4">
      <c r="H562" s="2"/>
    </row>
    <row r="563" spans="8:8" ht="15" customHeight="1" x14ac:dyDescent="0.4">
      <c r="H563" s="2"/>
    </row>
    <row r="564" spans="8:8" ht="15" customHeight="1" x14ac:dyDescent="0.4">
      <c r="H564" s="2"/>
    </row>
    <row r="565" spans="8:8" ht="15" customHeight="1" x14ac:dyDescent="0.4">
      <c r="H565" s="2"/>
    </row>
    <row r="566" spans="8:8" ht="15" customHeight="1" x14ac:dyDescent="0.4">
      <c r="H566" s="2"/>
    </row>
    <row r="567" spans="8:8" ht="15" customHeight="1" x14ac:dyDescent="0.4">
      <c r="H567" s="2"/>
    </row>
    <row r="568" spans="8:8" ht="15" customHeight="1" x14ac:dyDescent="0.4">
      <c r="H568" s="2"/>
    </row>
    <row r="569" spans="8:8" ht="15" customHeight="1" x14ac:dyDescent="0.4">
      <c r="H569" s="2"/>
    </row>
    <row r="570" spans="8:8" ht="15" customHeight="1" x14ac:dyDescent="0.4">
      <c r="H570" s="2"/>
    </row>
    <row r="571" spans="8:8" ht="15" customHeight="1" x14ac:dyDescent="0.4">
      <c r="H571" s="2"/>
    </row>
    <row r="572" spans="8:8" ht="15" customHeight="1" x14ac:dyDescent="0.4">
      <c r="H572" s="2"/>
    </row>
    <row r="573" spans="8:8" ht="15" customHeight="1" x14ac:dyDescent="0.4">
      <c r="H573" s="2"/>
    </row>
    <row r="574" spans="8:8" ht="15" customHeight="1" x14ac:dyDescent="0.4">
      <c r="H574" s="2"/>
    </row>
    <row r="575" spans="8:8" ht="15" customHeight="1" x14ac:dyDescent="0.4">
      <c r="H575" s="2"/>
    </row>
    <row r="576" spans="8:8" ht="15" customHeight="1" x14ac:dyDescent="0.4">
      <c r="H576" s="2"/>
    </row>
    <row r="577" spans="8:8" ht="15" customHeight="1" x14ac:dyDescent="0.4">
      <c r="H577" s="2"/>
    </row>
    <row r="578" spans="8:8" ht="15" customHeight="1" x14ac:dyDescent="0.4">
      <c r="H578" s="2"/>
    </row>
    <row r="579" spans="8:8" ht="15" customHeight="1" x14ac:dyDescent="0.4">
      <c r="H579" s="2"/>
    </row>
    <row r="580" spans="8:8" ht="15" customHeight="1" x14ac:dyDescent="0.4">
      <c r="H580" s="2"/>
    </row>
    <row r="581" spans="8:8" ht="15" customHeight="1" x14ac:dyDescent="0.4">
      <c r="H581" s="2"/>
    </row>
    <row r="582" spans="8:8" ht="15" customHeight="1" x14ac:dyDescent="0.4">
      <c r="H582" s="2"/>
    </row>
    <row r="583" spans="8:8" ht="15" customHeight="1" x14ac:dyDescent="0.4">
      <c r="H583" s="2"/>
    </row>
    <row r="584" spans="8:8" ht="15" customHeight="1" x14ac:dyDescent="0.4">
      <c r="H584" s="2"/>
    </row>
    <row r="585" spans="8:8" ht="15" customHeight="1" x14ac:dyDescent="0.4">
      <c r="H585" s="2"/>
    </row>
    <row r="586" spans="8:8" ht="15" customHeight="1" x14ac:dyDescent="0.4">
      <c r="H586" s="2"/>
    </row>
    <row r="587" spans="8:8" ht="15" customHeight="1" x14ac:dyDescent="0.4">
      <c r="H587" s="2"/>
    </row>
    <row r="588" spans="8:8" ht="15" customHeight="1" x14ac:dyDescent="0.4">
      <c r="H588" s="2"/>
    </row>
    <row r="589" spans="8:8" ht="15" customHeight="1" x14ac:dyDescent="0.4">
      <c r="H589" s="2"/>
    </row>
    <row r="590" spans="8:8" ht="15" customHeight="1" x14ac:dyDescent="0.4">
      <c r="H590" s="2"/>
    </row>
    <row r="591" spans="8:8" ht="15" customHeight="1" x14ac:dyDescent="0.4">
      <c r="H591" s="2"/>
    </row>
    <row r="592" spans="8:8" ht="15" customHeight="1" x14ac:dyDescent="0.4">
      <c r="H592" s="2"/>
    </row>
    <row r="593" spans="8:8" ht="15" customHeight="1" x14ac:dyDescent="0.4">
      <c r="H593" s="2"/>
    </row>
    <row r="594" spans="8:8" ht="15" customHeight="1" x14ac:dyDescent="0.4">
      <c r="H594" s="2"/>
    </row>
    <row r="595" spans="8:8" ht="15" customHeight="1" x14ac:dyDescent="0.4">
      <c r="H595" s="2"/>
    </row>
    <row r="596" spans="8:8" ht="15" customHeight="1" x14ac:dyDescent="0.4">
      <c r="H596" s="2"/>
    </row>
    <row r="597" spans="8:8" ht="15" customHeight="1" x14ac:dyDescent="0.4">
      <c r="H597" s="2"/>
    </row>
    <row r="598" spans="8:8" ht="15" customHeight="1" x14ac:dyDescent="0.4">
      <c r="H598" s="2"/>
    </row>
    <row r="599" spans="8:8" ht="15" customHeight="1" x14ac:dyDescent="0.4">
      <c r="H599" s="2"/>
    </row>
    <row r="600" spans="8:8" ht="15" customHeight="1" x14ac:dyDescent="0.4">
      <c r="H600" s="2"/>
    </row>
    <row r="601" spans="8:8" ht="15" customHeight="1" x14ac:dyDescent="0.4">
      <c r="H601" s="2"/>
    </row>
    <row r="602" spans="8:8" ht="15" customHeight="1" x14ac:dyDescent="0.4">
      <c r="H602" s="2"/>
    </row>
    <row r="603" spans="8:8" ht="15" customHeight="1" x14ac:dyDescent="0.4">
      <c r="H603" s="2"/>
    </row>
    <row r="604" spans="8:8" ht="15" customHeight="1" x14ac:dyDescent="0.4">
      <c r="H604" s="2"/>
    </row>
    <row r="605" spans="8:8" ht="15" customHeight="1" x14ac:dyDescent="0.4">
      <c r="H605" s="2"/>
    </row>
    <row r="606" spans="8:8" ht="15" customHeight="1" x14ac:dyDescent="0.4">
      <c r="H606" s="2"/>
    </row>
    <row r="607" spans="8:8" ht="15" customHeight="1" x14ac:dyDescent="0.4">
      <c r="H607" s="2"/>
    </row>
    <row r="608" spans="8:8" ht="15" customHeight="1" x14ac:dyDescent="0.4">
      <c r="H608" s="2"/>
    </row>
    <row r="609" spans="8:8" ht="15" customHeight="1" x14ac:dyDescent="0.4">
      <c r="H609" s="2"/>
    </row>
    <row r="610" spans="8:8" ht="15" customHeight="1" x14ac:dyDescent="0.4">
      <c r="H610" s="2"/>
    </row>
    <row r="611" spans="8:8" ht="15" customHeight="1" x14ac:dyDescent="0.4">
      <c r="H611" s="2"/>
    </row>
    <row r="612" spans="8:8" ht="15" customHeight="1" x14ac:dyDescent="0.4">
      <c r="H612" s="2"/>
    </row>
    <row r="613" spans="8:8" ht="15" customHeight="1" x14ac:dyDescent="0.4">
      <c r="H613" s="2"/>
    </row>
    <row r="614" spans="8:8" ht="15" customHeight="1" x14ac:dyDescent="0.4">
      <c r="H614" s="2"/>
    </row>
    <row r="615" spans="8:8" ht="15" customHeight="1" x14ac:dyDescent="0.4">
      <c r="H615" s="2"/>
    </row>
    <row r="616" spans="8:8" ht="15" customHeight="1" x14ac:dyDescent="0.4">
      <c r="H616" s="2"/>
    </row>
    <row r="617" spans="8:8" ht="15" customHeight="1" x14ac:dyDescent="0.4">
      <c r="H617" s="2"/>
    </row>
    <row r="618" spans="8:8" ht="15" customHeight="1" x14ac:dyDescent="0.4">
      <c r="H618" s="2"/>
    </row>
    <row r="619" spans="8:8" ht="15" customHeight="1" x14ac:dyDescent="0.4">
      <c r="H619" s="2"/>
    </row>
    <row r="620" spans="8:8" ht="15" customHeight="1" x14ac:dyDescent="0.4">
      <c r="H620" s="2"/>
    </row>
    <row r="621" spans="8:8" ht="15" customHeight="1" x14ac:dyDescent="0.4">
      <c r="H621" s="2"/>
    </row>
    <row r="622" spans="8:8" ht="15" customHeight="1" x14ac:dyDescent="0.4">
      <c r="H622" s="2"/>
    </row>
    <row r="623" spans="8:8" ht="15" customHeight="1" x14ac:dyDescent="0.4">
      <c r="H623" s="2"/>
    </row>
    <row r="624" spans="8:8" ht="15" customHeight="1" x14ac:dyDescent="0.4">
      <c r="H624" s="2"/>
    </row>
    <row r="625" spans="8:8" ht="15" customHeight="1" x14ac:dyDescent="0.4">
      <c r="H625" s="2"/>
    </row>
    <row r="626" spans="8:8" ht="15" customHeight="1" x14ac:dyDescent="0.4">
      <c r="H626" s="2"/>
    </row>
    <row r="627" spans="8:8" ht="15" customHeight="1" x14ac:dyDescent="0.4">
      <c r="H627" s="2"/>
    </row>
    <row r="628" spans="8:8" ht="15" customHeight="1" x14ac:dyDescent="0.4">
      <c r="H628" s="2"/>
    </row>
    <row r="629" spans="8:8" ht="15" customHeight="1" x14ac:dyDescent="0.4">
      <c r="H629" s="2"/>
    </row>
    <row r="630" spans="8:8" ht="15" customHeight="1" x14ac:dyDescent="0.4">
      <c r="H630" s="2"/>
    </row>
    <row r="631" spans="8:8" ht="15" customHeight="1" x14ac:dyDescent="0.4">
      <c r="H631" s="2"/>
    </row>
    <row r="632" spans="8:8" ht="15" customHeight="1" x14ac:dyDescent="0.4">
      <c r="H632" s="2"/>
    </row>
    <row r="633" spans="8:8" ht="15" customHeight="1" x14ac:dyDescent="0.4">
      <c r="H633" s="2"/>
    </row>
    <row r="634" spans="8:8" ht="15" customHeight="1" x14ac:dyDescent="0.4">
      <c r="H634" s="2"/>
    </row>
    <row r="635" spans="8:8" ht="15" customHeight="1" x14ac:dyDescent="0.4">
      <c r="H635" s="2"/>
    </row>
    <row r="636" spans="8:8" ht="15" customHeight="1" x14ac:dyDescent="0.4">
      <c r="H636" s="2"/>
    </row>
    <row r="637" spans="8:8" ht="15" customHeight="1" x14ac:dyDescent="0.4">
      <c r="H637" s="2"/>
    </row>
    <row r="638" spans="8:8" ht="15" customHeight="1" x14ac:dyDescent="0.4">
      <c r="H638" s="2"/>
    </row>
    <row r="639" spans="8:8" ht="15" customHeight="1" x14ac:dyDescent="0.4">
      <c r="H639" s="2"/>
    </row>
    <row r="640" spans="8:8" ht="15" customHeight="1" x14ac:dyDescent="0.4">
      <c r="H640" s="2"/>
    </row>
    <row r="641" spans="8:8" ht="15" customHeight="1" x14ac:dyDescent="0.4">
      <c r="H641" s="2"/>
    </row>
    <row r="642" spans="8:8" ht="15" customHeight="1" x14ac:dyDescent="0.4">
      <c r="H642" s="2"/>
    </row>
    <row r="643" spans="8:8" ht="15" customHeight="1" x14ac:dyDescent="0.4">
      <c r="H643" s="2"/>
    </row>
    <row r="644" spans="8:8" ht="15" customHeight="1" x14ac:dyDescent="0.4">
      <c r="H644" s="2"/>
    </row>
    <row r="645" spans="8:8" ht="15" customHeight="1" x14ac:dyDescent="0.4">
      <c r="H645" s="2"/>
    </row>
    <row r="646" spans="8:8" ht="15" customHeight="1" x14ac:dyDescent="0.4">
      <c r="H646" s="2"/>
    </row>
    <row r="647" spans="8:8" ht="15" customHeight="1" x14ac:dyDescent="0.4">
      <c r="H647" s="2"/>
    </row>
    <row r="648" spans="8:8" ht="15" customHeight="1" x14ac:dyDescent="0.4">
      <c r="H648" s="2"/>
    </row>
    <row r="649" spans="8:8" ht="15" customHeight="1" x14ac:dyDescent="0.4">
      <c r="H649" s="2"/>
    </row>
    <row r="650" spans="8:8" ht="15" customHeight="1" x14ac:dyDescent="0.4">
      <c r="H650" s="2"/>
    </row>
    <row r="651" spans="8:8" ht="15" customHeight="1" x14ac:dyDescent="0.4">
      <c r="H651" s="2"/>
    </row>
    <row r="652" spans="8:8" ht="15" customHeight="1" x14ac:dyDescent="0.4">
      <c r="H652" s="2"/>
    </row>
    <row r="653" spans="8:8" ht="15" customHeight="1" x14ac:dyDescent="0.4">
      <c r="H653" s="2"/>
    </row>
    <row r="654" spans="8:8" ht="15" customHeight="1" x14ac:dyDescent="0.4">
      <c r="H654" s="2"/>
    </row>
    <row r="655" spans="8:8" ht="15" customHeight="1" x14ac:dyDescent="0.4">
      <c r="H655" s="2"/>
    </row>
    <row r="656" spans="8:8" ht="15" customHeight="1" x14ac:dyDescent="0.4">
      <c r="H656" s="2"/>
    </row>
    <row r="657" spans="8:8" ht="15" customHeight="1" x14ac:dyDescent="0.4">
      <c r="H657" s="2"/>
    </row>
    <row r="658" spans="8:8" ht="15" customHeight="1" x14ac:dyDescent="0.4">
      <c r="H658" s="2"/>
    </row>
    <row r="659" spans="8:8" ht="15" customHeight="1" x14ac:dyDescent="0.4">
      <c r="H659" s="2"/>
    </row>
    <row r="660" spans="8:8" ht="15" customHeight="1" x14ac:dyDescent="0.4">
      <c r="H660" s="2"/>
    </row>
    <row r="661" spans="8:8" ht="15" customHeight="1" x14ac:dyDescent="0.4">
      <c r="H661" s="2"/>
    </row>
    <row r="662" spans="8:8" ht="15" customHeight="1" x14ac:dyDescent="0.4">
      <c r="H662" s="2"/>
    </row>
    <row r="663" spans="8:8" ht="15" customHeight="1" x14ac:dyDescent="0.4">
      <c r="H663" s="2"/>
    </row>
    <row r="664" spans="8:8" ht="15" customHeight="1" x14ac:dyDescent="0.4">
      <c r="H664" s="2"/>
    </row>
    <row r="665" spans="8:8" ht="15" customHeight="1" x14ac:dyDescent="0.4">
      <c r="H665" s="2"/>
    </row>
    <row r="666" spans="8:8" ht="15" customHeight="1" x14ac:dyDescent="0.4">
      <c r="H666" s="2"/>
    </row>
    <row r="667" spans="8:8" ht="15" customHeight="1" x14ac:dyDescent="0.4">
      <c r="H667" s="2"/>
    </row>
    <row r="668" spans="8:8" ht="15" customHeight="1" x14ac:dyDescent="0.4">
      <c r="H668" s="2"/>
    </row>
    <row r="669" spans="8:8" ht="15" customHeight="1" x14ac:dyDescent="0.4">
      <c r="H669" s="2"/>
    </row>
    <row r="670" spans="8:8" ht="15" customHeight="1" x14ac:dyDescent="0.4">
      <c r="H670" s="2"/>
    </row>
    <row r="671" spans="8:8" ht="15" customHeight="1" x14ac:dyDescent="0.4">
      <c r="H671" s="2"/>
    </row>
    <row r="672" spans="8:8" ht="15" customHeight="1" x14ac:dyDescent="0.4">
      <c r="H672" s="2"/>
    </row>
    <row r="673" spans="8:8" ht="15" customHeight="1" x14ac:dyDescent="0.4">
      <c r="H673" s="2"/>
    </row>
    <row r="674" spans="8:8" ht="15" customHeight="1" x14ac:dyDescent="0.4">
      <c r="H674" s="2"/>
    </row>
    <row r="675" spans="8:8" ht="15" customHeight="1" x14ac:dyDescent="0.4">
      <c r="H675" s="2"/>
    </row>
    <row r="676" spans="8:8" ht="15" customHeight="1" x14ac:dyDescent="0.4">
      <c r="H676" s="2"/>
    </row>
    <row r="677" spans="8:8" ht="15" customHeight="1" x14ac:dyDescent="0.4">
      <c r="H677" s="2"/>
    </row>
    <row r="678" spans="8:8" ht="15" customHeight="1" x14ac:dyDescent="0.4">
      <c r="H678" s="2"/>
    </row>
    <row r="679" spans="8:8" ht="15" customHeight="1" x14ac:dyDescent="0.4">
      <c r="H679" s="2"/>
    </row>
    <row r="680" spans="8:8" ht="15" customHeight="1" x14ac:dyDescent="0.4">
      <c r="H680" s="2"/>
    </row>
    <row r="681" spans="8:8" ht="15" customHeight="1" x14ac:dyDescent="0.4">
      <c r="H681" s="2"/>
    </row>
    <row r="682" spans="8:8" ht="15" customHeight="1" x14ac:dyDescent="0.4">
      <c r="H682" s="2"/>
    </row>
    <row r="683" spans="8:8" ht="15" customHeight="1" x14ac:dyDescent="0.4">
      <c r="H683" s="2"/>
    </row>
    <row r="684" spans="8:8" ht="15" customHeight="1" x14ac:dyDescent="0.4">
      <c r="H684" s="2"/>
    </row>
    <row r="685" spans="8:8" ht="15" customHeight="1" x14ac:dyDescent="0.4">
      <c r="H685" s="2"/>
    </row>
    <row r="686" spans="8:8" ht="15" customHeight="1" x14ac:dyDescent="0.4">
      <c r="H686" s="2"/>
    </row>
    <row r="687" spans="8:8" ht="15" customHeight="1" x14ac:dyDescent="0.4">
      <c r="H687" s="2"/>
    </row>
    <row r="688" spans="8:8" ht="15" customHeight="1" x14ac:dyDescent="0.4">
      <c r="H688" s="2"/>
    </row>
    <row r="689" spans="8:8" ht="15" customHeight="1" x14ac:dyDescent="0.4">
      <c r="H689" s="2"/>
    </row>
    <row r="690" spans="8:8" ht="15" customHeight="1" x14ac:dyDescent="0.4">
      <c r="H690" s="2"/>
    </row>
    <row r="691" spans="8:8" ht="15" customHeight="1" x14ac:dyDescent="0.4">
      <c r="H691" s="2"/>
    </row>
    <row r="692" spans="8:8" ht="15" customHeight="1" x14ac:dyDescent="0.4">
      <c r="H692" s="2"/>
    </row>
    <row r="693" spans="8:8" ht="15" customHeight="1" x14ac:dyDescent="0.4">
      <c r="H693" s="2"/>
    </row>
    <row r="694" spans="8:8" ht="15" customHeight="1" x14ac:dyDescent="0.4">
      <c r="H694" s="2"/>
    </row>
    <row r="695" spans="8:8" ht="15" customHeight="1" x14ac:dyDescent="0.4">
      <c r="H695" s="2"/>
    </row>
    <row r="696" spans="8:8" ht="15" customHeight="1" x14ac:dyDescent="0.4">
      <c r="H696" s="2"/>
    </row>
    <row r="697" spans="8:8" ht="15" customHeight="1" x14ac:dyDescent="0.4">
      <c r="H697" s="2"/>
    </row>
    <row r="698" spans="8:8" ht="15" customHeight="1" x14ac:dyDescent="0.4">
      <c r="H698" s="2"/>
    </row>
    <row r="699" spans="8:8" ht="15" customHeight="1" x14ac:dyDescent="0.4">
      <c r="H699" s="2"/>
    </row>
    <row r="700" spans="8:8" ht="15" customHeight="1" x14ac:dyDescent="0.4">
      <c r="H700" s="2"/>
    </row>
    <row r="701" spans="8:8" ht="15" customHeight="1" x14ac:dyDescent="0.4">
      <c r="H701" s="2"/>
    </row>
    <row r="702" spans="8:8" ht="15" customHeight="1" x14ac:dyDescent="0.4">
      <c r="H702" s="2"/>
    </row>
    <row r="703" spans="8:8" ht="15" customHeight="1" x14ac:dyDescent="0.4">
      <c r="H703" s="2"/>
    </row>
    <row r="704" spans="8:8" ht="15" customHeight="1" x14ac:dyDescent="0.4">
      <c r="H704" s="2"/>
    </row>
    <row r="705" spans="8:8" ht="15" customHeight="1" x14ac:dyDescent="0.4">
      <c r="H705" s="2"/>
    </row>
    <row r="706" spans="8:8" ht="15" customHeight="1" x14ac:dyDescent="0.4">
      <c r="H706" s="2"/>
    </row>
    <row r="707" spans="8:8" ht="15" customHeight="1" x14ac:dyDescent="0.4">
      <c r="H707" s="2"/>
    </row>
    <row r="708" spans="8:8" ht="15" customHeight="1" x14ac:dyDescent="0.4">
      <c r="H708" s="2"/>
    </row>
    <row r="709" spans="8:8" ht="15" customHeight="1" x14ac:dyDescent="0.4">
      <c r="H709" s="2"/>
    </row>
    <row r="710" spans="8:8" ht="15" customHeight="1" x14ac:dyDescent="0.4">
      <c r="H710" s="2"/>
    </row>
    <row r="711" spans="8:8" ht="15" customHeight="1" x14ac:dyDescent="0.4">
      <c r="H711" s="2"/>
    </row>
    <row r="712" spans="8:8" ht="15" customHeight="1" x14ac:dyDescent="0.4">
      <c r="H712" s="2"/>
    </row>
    <row r="713" spans="8:8" ht="15" customHeight="1" x14ac:dyDescent="0.4">
      <c r="H713" s="2"/>
    </row>
    <row r="714" spans="8:8" ht="15" customHeight="1" x14ac:dyDescent="0.4">
      <c r="H714" s="2"/>
    </row>
    <row r="715" spans="8:8" ht="15" customHeight="1" x14ac:dyDescent="0.4">
      <c r="H715" s="2"/>
    </row>
    <row r="716" spans="8:8" ht="15" customHeight="1" x14ac:dyDescent="0.4">
      <c r="H716" s="2"/>
    </row>
    <row r="717" spans="8:8" ht="15" customHeight="1" x14ac:dyDescent="0.4">
      <c r="H717" s="2"/>
    </row>
    <row r="718" spans="8:8" ht="15" customHeight="1" x14ac:dyDescent="0.4">
      <c r="H718" s="2"/>
    </row>
    <row r="719" spans="8:8" ht="15" customHeight="1" x14ac:dyDescent="0.4">
      <c r="H719" s="2"/>
    </row>
    <row r="720" spans="8:8" ht="15" customHeight="1" x14ac:dyDescent="0.4">
      <c r="H720" s="2"/>
    </row>
    <row r="721" spans="8:8" ht="15" customHeight="1" x14ac:dyDescent="0.4">
      <c r="H721" s="2"/>
    </row>
    <row r="722" spans="8:8" ht="15" customHeight="1" x14ac:dyDescent="0.4">
      <c r="H722" s="2"/>
    </row>
    <row r="723" spans="8:8" ht="15" customHeight="1" x14ac:dyDescent="0.4">
      <c r="H723" s="2"/>
    </row>
    <row r="724" spans="8:8" ht="15" customHeight="1" x14ac:dyDescent="0.4">
      <c r="H724" s="2"/>
    </row>
    <row r="725" spans="8:8" ht="15" customHeight="1" x14ac:dyDescent="0.4">
      <c r="H725" s="2"/>
    </row>
    <row r="726" spans="8:8" ht="15" customHeight="1" x14ac:dyDescent="0.4">
      <c r="H726" s="2"/>
    </row>
    <row r="727" spans="8:8" ht="15" customHeight="1" x14ac:dyDescent="0.4">
      <c r="H727" s="2"/>
    </row>
    <row r="728" spans="8:8" ht="15" customHeight="1" x14ac:dyDescent="0.4">
      <c r="H728" s="2"/>
    </row>
    <row r="729" spans="8:8" ht="15" customHeight="1" x14ac:dyDescent="0.4">
      <c r="H729" s="2"/>
    </row>
    <row r="730" spans="8:8" ht="15" customHeight="1" x14ac:dyDescent="0.4">
      <c r="H730" s="2"/>
    </row>
    <row r="731" spans="8:8" ht="15" customHeight="1" x14ac:dyDescent="0.4">
      <c r="H731" s="2"/>
    </row>
    <row r="732" spans="8:8" ht="15" customHeight="1" x14ac:dyDescent="0.4">
      <c r="H732" s="2"/>
    </row>
    <row r="733" spans="8:8" ht="15" customHeight="1" x14ac:dyDescent="0.4">
      <c r="H733" s="2"/>
    </row>
    <row r="734" spans="8:8" ht="15" customHeight="1" x14ac:dyDescent="0.4">
      <c r="H734" s="2"/>
    </row>
    <row r="735" spans="8:8" ht="15" customHeight="1" x14ac:dyDescent="0.4">
      <c r="H735" s="2"/>
    </row>
    <row r="736" spans="8:8" ht="15" customHeight="1" x14ac:dyDescent="0.4">
      <c r="H736" s="2"/>
    </row>
    <row r="737" spans="8:8" ht="15" customHeight="1" x14ac:dyDescent="0.4">
      <c r="H737" s="2"/>
    </row>
    <row r="738" spans="8:8" ht="15" customHeight="1" x14ac:dyDescent="0.4">
      <c r="H738" s="2"/>
    </row>
    <row r="739" spans="8:8" ht="15" customHeight="1" x14ac:dyDescent="0.4">
      <c r="H739" s="2"/>
    </row>
    <row r="740" spans="8:8" ht="15" customHeight="1" x14ac:dyDescent="0.4">
      <c r="H740" s="2"/>
    </row>
    <row r="741" spans="8:8" ht="15" customHeight="1" x14ac:dyDescent="0.4">
      <c r="H741" s="2"/>
    </row>
    <row r="742" spans="8:8" ht="15" customHeight="1" x14ac:dyDescent="0.4">
      <c r="H742" s="2"/>
    </row>
    <row r="743" spans="8:8" ht="15" customHeight="1" x14ac:dyDescent="0.4">
      <c r="H743" s="2"/>
    </row>
    <row r="744" spans="8:8" ht="15" customHeight="1" x14ac:dyDescent="0.4">
      <c r="H744" s="2"/>
    </row>
    <row r="745" spans="8:8" ht="15" customHeight="1" x14ac:dyDescent="0.4">
      <c r="H745" s="2"/>
    </row>
    <row r="746" spans="8:8" ht="15" customHeight="1" x14ac:dyDescent="0.4">
      <c r="H746" s="2"/>
    </row>
    <row r="747" spans="8:8" ht="15" customHeight="1" x14ac:dyDescent="0.4">
      <c r="H747" s="2"/>
    </row>
    <row r="748" spans="8:8" ht="15" customHeight="1" x14ac:dyDescent="0.4">
      <c r="H748" s="2"/>
    </row>
    <row r="749" spans="8:8" ht="15" customHeight="1" x14ac:dyDescent="0.4">
      <c r="H749" s="2"/>
    </row>
    <row r="750" spans="8:8" ht="15" customHeight="1" x14ac:dyDescent="0.4">
      <c r="H750" s="2"/>
    </row>
    <row r="751" spans="8:8" ht="15" customHeight="1" x14ac:dyDescent="0.4">
      <c r="H751" s="2"/>
    </row>
    <row r="752" spans="8:8" ht="15" customHeight="1" x14ac:dyDescent="0.4">
      <c r="H752" s="2"/>
    </row>
    <row r="753" spans="8:8" ht="15" customHeight="1" x14ac:dyDescent="0.4">
      <c r="H753" s="2"/>
    </row>
    <row r="754" spans="8:8" ht="15" customHeight="1" x14ac:dyDescent="0.4">
      <c r="H754" s="2"/>
    </row>
    <row r="755" spans="8:8" ht="15" customHeight="1" x14ac:dyDescent="0.4">
      <c r="H755" s="2"/>
    </row>
    <row r="756" spans="8:8" ht="15" customHeight="1" x14ac:dyDescent="0.4">
      <c r="H756" s="2"/>
    </row>
    <row r="757" spans="8:8" ht="15" customHeight="1" x14ac:dyDescent="0.4">
      <c r="H757" s="2"/>
    </row>
    <row r="758" spans="8:8" ht="15" customHeight="1" x14ac:dyDescent="0.4">
      <c r="H758" s="2"/>
    </row>
    <row r="759" spans="8:8" ht="15" customHeight="1" x14ac:dyDescent="0.4">
      <c r="H759" s="2"/>
    </row>
    <row r="760" spans="8:8" ht="15" customHeight="1" x14ac:dyDescent="0.4">
      <c r="H760" s="2"/>
    </row>
    <row r="761" spans="8:8" ht="15" customHeight="1" x14ac:dyDescent="0.4">
      <c r="H761" s="2"/>
    </row>
    <row r="762" spans="8:8" ht="15" customHeight="1" x14ac:dyDescent="0.4">
      <c r="H762" s="2"/>
    </row>
    <row r="763" spans="8:8" ht="15" customHeight="1" x14ac:dyDescent="0.4">
      <c r="H763" s="2"/>
    </row>
    <row r="764" spans="8:8" ht="15" customHeight="1" x14ac:dyDescent="0.4">
      <c r="H764" s="2"/>
    </row>
    <row r="765" spans="8:8" ht="15" customHeight="1" x14ac:dyDescent="0.4">
      <c r="H765" s="2"/>
    </row>
    <row r="766" spans="8:8" ht="15" customHeight="1" x14ac:dyDescent="0.4">
      <c r="H766" s="2"/>
    </row>
    <row r="767" spans="8:8" ht="15" customHeight="1" x14ac:dyDescent="0.4">
      <c r="H767" s="2"/>
    </row>
    <row r="768" spans="8:8" ht="15" customHeight="1" x14ac:dyDescent="0.4">
      <c r="H768" s="2"/>
    </row>
    <row r="769" spans="8:8" ht="15" customHeight="1" x14ac:dyDescent="0.4">
      <c r="H769" s="2"/>
    </row>
    <row r="770" spans="8:8" ht="15" customHeight="1" x14ac:dyDescent="0.4">
      <c r="H770" s="2"/>
    </row>
    <row r="771" spans="8:8" ht="15" customHeight="1" x14ac:dyDescent="0.4">
      <c r="H771" s="2"/>
    </row>
    <row r="772" spans="8:8" ht="15" customHeight="1" x14ac:dyDescent="0.4">
      <c r="H772" s="2"/>
    </row>
    <row r="773" spans="8:8" ht="15" customHeight="1" x14ac:dyDescent="0.4">
      <c r="H773" s="2"/>
    </row>
    <row r="774" spans="8:8" ht="15" customHeight="1" x14ac:dyDescent="0.4">
      <c r="H774" s="2"/>
    </row>
    <row r="775" spans="8:8" ht="15" customHeight="1" x14ac:dyDescent="0.4">
      <c r="H775" s="2"/>
    </row>
    <row r="776" spans="8:8" ht="15" customHeight="1" x14ac:dyDescent="0.4">
      <c r="H776" s="2"/>
    </row>
    <row r="777" spans="8:8" ht="15" customHeight="1" x14ac:dyDescent="0.4">
      <c r="H777" s="2"/>
    </row>
    <row r="778" spans="8:8" ht="15" customHeight="1" x14ac:dyDescent="0.4">
      <c r="H778" s="2"/>
    </row>
    <row r="779" spans="8:8" ht="15" customHeight="1" x14ac:dyDescent="0.4">
      <c r="H779" s="2"/>
    </row>
    <row r="780" spans="8:8" ht="15" customHeight="1" x14ac:dyDescent="0.4">
      <c r="H780" s="2"/>
    </row>
    <row r="781" spans="8:8" ht="15" customHeight="1" x14ac:dyDescent="0.4">
      <c r="H781" s="2"/>
    </row>
    <row r="782" spans="8:8" ht="15" customHeight="1" x14ac:dyDescent="0.4">
      <c r="H782" s="2"/>
    </row>
    <row r="783" spans="8:8" ht="15" customHeight="1" x14ac:dyDescent="0.4">
      <c r="H783" s="2"/>
    </row>
    <row r="784" spans="8:8" ht="15" customHeight="1" x14ac:dyDescent="0.4">
      <c r="H784" s="2"/>
    </row>
    <row r="785" spans="8:8" ht="15" customHeight="1" x14ac:dyDescent="0.4">
      <c r="H785" s="2"/>
    </row>
    <row r="786" spans="8:8" ht="15" customHeight="1" x14ac:dyDescent="0.4">
      <c r="H786" s="2"/>
    </row>
    <row r="787" spans="8:8" ht="15" customHeight="1" x14ac:dyDescent="0.4">
      <c r="H787" s="2"/>
    </row>
    <row r="788" spans="8:8" ht="15" customHeight="1" x14ac:dyDescent="0.4">
      <c r="H788" s="2"/>
    </row>
    <row r="789" spans="8:8" ht="15" customHeight="1" x14ac:dyDescent="0.4">
      <c r="H789" s="2"/>
    </row>
    <row r="790" spans="8:8" ht="15" customHeight="1" x14ac:dyDescent="0.4">
      <c r="H790" s="2"/>
    </row>
    <row r="791" spans="8:8" ht="15" customHeight="1" x14ac:dyDescent="0.4">
      <c r="H791" s="2"/>
    </row>
    <row r="792" spans="8:8" ht="15" customHeight="1" x14ac:dyDescent="0.4">
      <c r="H792" s="2"/>
    </row>
    <row r="793" spans="8:8" ht="15" customHeight="1" x14ac:dyDescent="0.4">
      <c r="H793" s="2"/>
    </row>
    <row r="794" spans="8:8" ht="15" customHeight="1" x14ac:dyDescent="0.4">
      <c r="H794" s="2"/>
    </row>
    <row r="795" spans="8:8" ht="15" customHeight="1" x14ac:dyDescent="0.4">
      <c r="H795" s="2"/>
    </row>
    <row r="796" spans="8:8" ht="15" customHeight="1" x14ac:dyDescent="0.4">
      <c r="H796" s="2"/>
    </row>
    <row r="797" spans="8:8" ht="15" customHeight="1" x14ac:dyDescent="0.4">
      <c r="H797" s="2"/>
    </row>
    <row r="798" spans="8:8" ht="15" customHeight="1" x14ac:dyDescent="0.4">
      <c r="H798" s="2"/>
    </row>
    <row r="799" spans="8:8" ht="15" customHeight="1" x14ac:dyDescent="0.4">
      <c r="H799" s="2"/>
    </row>
    <row r="800" spans="8:8" ht="15" customHeight="1" x14ac:dyDescent="0.4">
      <c r="H800" s="2"/>
    </row>
    <row r="801" spans="8:8" ht="15" customHeight="1" x14ac:dyDescent="0.4">
      <c r="H801" s="2"/>
    </row>
    <row r="802" spans="8:8" ht="15" customHeight="1" x14ac:dyDescent="0.4">
      <c r="H802" s="2"/>
    </row>
    <row r="803" spans="8:8" ht="15" customHeight="1" x14ac:dyDescent="0.4">
      <c r="H803" s="2"/>
    </row>
    <row r="804" spans="8:8" ht="15" customHeight="1" x14ac:dyDescent="0.4">
      <c r="H804" s="2"/>
    </row>
    <row r="805" spans="8:8" ht="15" customHeight="1" x14ac:dyDescent="0.4">
      <c r="H805" s="2"/>
    </row>
    <row r="806" spans="8:8" ht="15" customHeight="1" x14ac:dyDescent="0.4">
      <c r="H806" s="2"/>
    </row>
    <row r="807" spans="8:8" ht="15" customHeight="1" x14ac:dyDescent="0.4">
      <c r="H807" s="2"/>
    </row>
    <row r="808" spans="8:8" ht="15" customHeight="1" x14ac:dyDescent="0.4">
      <c r="H808" s="2"/>
    </row>
    <row r="809" spans="8:8" ht="15" customHeight="1" x14ac:dyDescent="0.4">
      <c r="H809" s="2"/>
    </row>
    <row r="810" spans="8:8" ht="15" customHeight="1" x14ac:dyDescent="0.4">
      <c r="H810" s="2"/>
    </row>
    <row r="811" spans="8:8" ht="15" customHeight="1" x14ac:dyDescent="0.4">
      <c r="H811" s="2"/>
    </row>
    <row r="812" spans="8:8" ht="15" customHeight="1" x14ac:dyDescent="0.4">
      <c r="H812" s="2"/>
    </row>
    <row r="813" spans="8:8" ht="15" customHeight="1" x14ac:dyDescent="0.4">
      <c r="H813" s="2"/>
    </row>
    <row r="814" spans="8:8" ht="15" customHeight="1" x14ac:dyDescent="0.4">
      <c r="H814" s="2"/>
    </row>
    <row r="815" spans="8:8" ht="15" customHeight="1" x14ac:dyDescent="0.4">
      <c r="H815" s="2"/>
    </row>
    <row r="816" spans="8:8" ht="15" customHeight="1" x14ac:dyDescent="0.4">
      <c r="H816" s="2"/>
    </row>
    <row r="817" spans="8:8" ht="15" customHeight="1" x14ac:dyDescent="0.4">
      <c r="H817" s="2"/>
    </row>
    <row r="818" spans="8:8" ht="15" customHeight="1" x14ac:dyDescent="0.4">
      <c r="H818" s="2"/>
    </row>
    <row r="819" spans="8:8" ht="15" customHeight="1" x14ac:dyDescent="0.4">
      <c r="H819" s="2"/>
    </row>
    <row r="820" spans="8:8" ht="15" customHeight="1" x14ac:dyDescent="0.4">
      <c r="H820" s="2"/>
    </row>
    <row r="821" spans="8:8" ht="15" customHeight="1" x14ac:dyDescent="0.4">
      <c r="H821" s="2"/>
    </row>
    <row r="822" spans="8:8" ht="15" customHeight="1" x14ac:dyDescent="0.4">
      <c r="H822" s="2"/>
    </row>
    <row r="823" spans="8:8" ht="15" customHeight="1" x14ac:dyDescent="0.4">
      <c r="H823" s="2"/>
    </row>
    <row r="824" spans="8:8" ht="15" customHeight="1" x14ac:dyDescent="0.4">
      <c r="H824" s="2"/>
    </row>
    <row r="825" spans="8:8" ht="15" customHeight="1" x14ac:dyDescent="0.4">
      <c r="H825" s="2"/>
    </row>
    <row r="826" spans="8:8" ht="15" customHeight="1" x14ac:dyDescent="0.4">
      <c r="H826" s="2"/>
    </row>
    <row r="827" spans="8:8" ht="15" customHeight="1" x14ac:dyDescent="0.4">
      <c r="H827" s="2"/>
    </row>
    <row r="828" spans="8:8" ht="15" customHeight="1" x14ac:dyDescent="0.4">
      <c r="H828" s="2"/>
    </row>
    <row r="829" spans="8:8" ht="15" customHeight="1" x14ac:dyDescent="0.4">
      <c r="H829" s="2"/>
    </row>
    <row r="830" spans="8:8" ht="15" customHeight="1" x14ac:dyDescent="0.4">
      <c r="H830" s="2"/>
    </row>
    <row r="831" spans="8:8" ht="15" customHeight="1" x14ac:dyDescent="0.4">
      <c r="H831" s="2"/>
    </row>
    <row r="832" spans="8:8" ht="15" customHeight="1" x14ac:dyDescent="0.4">
      <c r="H832" s="2"/>
    </row>
    <row r="833" spans="8:8" ht="15" customHeight="1" x14ac:dyDescent="0.4">
      <c r="H833" s="2"/>
    </row>
    <row r="834" spans="8:8" ht="15" customHeight="1" x14ac:dyDescent="0.4">
      <c r="H834" s="2"/>
    </row>
    <row r="835" spans="8:8" ht="15" customHeight="1" x14ac:dyDescent="0.4">
      <c r="H835" s="2"/>
    </row>
    <row r="836" spans="8:8" ht="15" customHeight="1" x14ac:dyDescent="0.4">
      <c r="H836" s="2"/>
    </row>
    <row r="837" spans="8:8" ht="15" customHeight="1" x14ac:dyDescent="0.4">
      <c r="H837" s="2"/>
    </row>
    <row r="838" spans="8:8" ht="15" customHeight="1" x14ac:dyDescent="0.4">
      <c r="H838" s="2"/>
    </row>
    <row r="839" spans="8:8" ht="15" customHeight="1" x14ac:dyDescent="0.4">
      <c r="H839" s="2"/>
    </row>
    <row r="840" spans="8:8" ht="15" customHeight="1" x14ac:dyDescent="0.4">
      <c r="H840" s="2"/>
    </row>
    <row r="841" spans="8:8" ht="15" customHeight="1" x14ac:dyDescent="0.4">
      <c r="H841" s="2"/>
    </row>
    <row r="842" spans="8:8" ht="15" customHeight="1" x14ac:dyDescent="0.4">
      <c r="H842" s="2"/>
    </row>
    <row r="843" spans="8:8" ht="15" customHeight="1" x14ac:dyDescent="0.4">
      <c r="H843" s="2"/>
    </row>
    <row r="844" spans="8:8" ht="15" customHeight="1" x14ac:dyDescent="0.4">
      <c r="H844" s="2"/>
    </row>
    <row r="845" spans="8:8" ht="15" customHeight="1" x14ac:dyDescent="0.4">
      <c r="H845" s="2"/>
    </row>
    <row r="846" spans="8:8" ht="15" customHeight="1" x14ac:dyDescent="0.4">
      <c r="H846" s="2"/>
    </row>
    <row r="847" spans="8:8" ht="15" customHeight="1" x14ac:dyDescent="0.4">
      <c r="H847" s="2"/>
    </row>
    <row r="848" spans="8:8" ht="15" customHeight="1" x14ac:dyDescent="0.4">
      <c r="H848" s="2"/>
    </row>
    <row r="849" spans="8:8" ht="15" customHeight="1" x14ac:dyDescent="0.4">
      <c r="H849" s="2"/>
    </row>
    <row r="850" spans="8:8" ht="15" customHeight="1" x14ac:dyDescent="0.4">
      <c r="H850" s="2"/>
    </row>
    <row r="851" spans="8:8" ht="15" customHeight="1" x14ac:dyDescent="0.4">
      <c r="H851" s="2"/>
    </row>
    <row r="852" spans="8:8" ht="15" customHeight="1" x14ac:dyDescent="0.4">
      <c r="H852" s="2"/>
    </row>
    <row r="853" spans="8:8" ht="15" customHeight="1" x14ac:dyDescent="0.4">
      <c r="H853" s="2"/>
    </row>
    <row r="854" spans="8:8" ht="15" customHeight="1" x14ac:dyDescent="0.4">
      <c r="H854" s="2"/>
    </row>
    <row r="855" spans="8:8" ht="15" customHeight="1" x14ac:dyDescent="0.4">
      <c r="H855" s="2"/>
    </row>
    <row r="856" spans="8:8" ht="15" customHeight="1" x14ac:dyDescent="0.4">
      <c r="H856" s="2"/>
    </row>
    <row r="857" spans="8:8" ht="15" customHeight="1" x14ac:dyDescent="0.4">
      <c r="H857" s="2"/>
    </row>
    <row r="858" spans="8:8" ht="15" customHeight="1" x14ac:dyDescent="0.4">
      <c r="H858" s="2"/>
    </row>
    <row r="859" spans="8:8" ht="15" customHeight="1" x14ac:dyDescent="0.4">
      <c r="H859" s="2"/>
    </row>
    <row r="860" spans="8:8" ht="15" customHeight="1" x14ac:dyDescent="0.4">
      <c r="H860" s="2"/>
    </row>
    <row r="861" spans="8:8" ht="15" customHeight="1" x14ac:dyDescent="0.4">
      <c r="H861" s="2"/>
    </row>
    <row r="862" spans="8:8" ht="15" customHeight="1" x14ac:dyDescent="0.4">
      <c r="H862" s="2"/>
    </row>
    <row r="863" spans="8:8" ht="15" customHeight="1" x14ac:dyDescent="0.4">
      <c r="H863" s="2"/>
    </row>
    <row r="864" spans="8:8" ht="15" customHeight="1" x14ac:dyDescent="0.4">
      <c r="H864" s="2"/>
    </row>
    <row r="865" spans="8:8" ht="15" customHeight="1" x14ac:dyDescent="0.4">
      <c r="H865" s="2"/>
    </row>
    <row r="866" spans="8:8" ht="15" customHeight="1" x14ac:dyDescent="0.4">
      <c r="H866" s="2"/>
    </row>
    <row r="867" spans="8:8" ht="15" customHeight="1" x14ac:dyDescent="0.4">
      <c r="H867" s="2"/>
    </row>
    <row r="868" spans="8:8" ht="15" customHeight="1" x14ac:dyDescent="0.4">
      <c r="H868" s="2"/>
    </row>
    <row r="869" spans="8:8" ht="15" customHeight="1" x14ac:dyDescent="0.4">
      <c r="H869" s="2"/>
    </row>
    <row r="870" spans="8:8" ht="15" customHeight="1" x14ac:dyDescent="0.4">
      <c r="H870" s="2"/>
    </row>
    <row r="871" spans="8:8" ht="15" customHeight="1" x14ac:dyDescent="0.4">
      <c r="H871" s="2"/>
    </row>
    <row r="872" spans="8:8" ht="15" customHeight="1" x14ac:dyDescent="0.4">
      <c r="H872" s="2"/>
    </row>
    <row r="873" spans="8:8" ht="15" customHeight="1" x14ac:dyDescent="0.4">
      <c r="H873" s="2"/>
    </row>
    <row r="874" spans="8:8" ht="15" customHeight="1" x14ac:dyDescent="0.4">
      <c r="H874" s="2"/>
    </row>
    <row r="875" spans="8:8" ht="15" customHeight="1" x14ac:dyDescent="0.4">
      <c r="H875" s="2"/>
    </row>
    <row r="876" spans="8:8" ht="15" customHeight="1" x14ac:dyDescent="0.4">
      <c r="H876" s="2"/>
    </row>
    <row r="877" spans="8:8" ht="15" customHeight="1" x14ac:dyDescent="0.4">
      <c r="H877" s="2"/>
    </row>
    <row r="878" spans="8:8" ht="15" customHeight="1" x14ac:dyDescent="0.4">
      <c r="H878" s="2"/>
    </row>
    <row r="879" spans="8:8" ht="15" customHeight="1" x14ac:dyDescent="0.4">
      <c r="H879" s="2"/>
    </row>
    <row r="880" spans="8:8" ht="15" customHeight="1" x14ac:dyDescent="0.4">
      <c r="H880" s="2"/>
    </row>
    <row r="881" spans="8:8" ht="15" customHeight="1" x14ac:dyDescent="0.4">
      <c r="H881" s="2"/>
    </row>
    <row r="882" spans="8:8" ht="15" customHeight="1" x14ac:dyDescent="0.4">
      <c r="H882" s="2"/>
    </row>
    <row r="883" spans="8:8" ht="15" customHeight="1" x14ac:dyDescent="0.4">
      <c r="H883" s="2"/>
    </row>
    <row r="884" spans="8:8" ht="15" customHeight="1" x14ac:dyDescent="0.4">
      <c r="H884" s="2"/>
    </row>
    <row r="885" spans="8:8" ht="15" customHeight="1" x14ac:dyDescent="0.4">
      <c r="H885" s="2"/>
    </row>
    <row r="886" spans="8:8" ht="15" customHeight="1" x14ac:dyDescent="0.4">
      <c r="H886" s="2"/>
    </row>
    <row r="887" spans="8:8" ht="15" customHeight="1" x14ac:dyDescent="0.4">
      <c r="H887" s="2"/>
    </row>
    <row r="888" spans="8:8" ht="15" customHeight="1" x14ac:dyDescent="0.4">
      <c r="H888" s="2"/>
    </row>
    <row r="889" spans="8:8" ht="15" customHeight="1" x14ac:dyDescent="0.4">
      <c r="H889" s="2"/>
    </row>
    <row r="890" spans="8:8" ht="15" customHeight="1" x14ac:dyDescent="0.4">
      <c r="H890" s="2"/>
    </row>
    <row r="891" spans="8:8" ht="15" customHeight="1" x14ac:dyDescent="0.4">
      <c r="H891" s="2"/>
    </row>
    <row r="892" spans="8:8" ht="15" customHeight="1" x14ac:dyDescent="0.4">
      <c r="H892" s="2"/>
    </row>
    <row r="893" spans="8:8" ht="15" customHeight="1" x14ac:dyDescent="0.4">
      <c r="H893" s="2"/>
    </row>
    <row r="894" spans="8:8" ht="15" customHeight="1" x14ac:dyDescent="0.4">
      <c r="H894" s="2"/>
    </row>
    <row r="895" spans="8:8" ht="15" customHeight="1" x14ac:dyDescent="0.4">
      <c r="H895" s="2"/>
    </row>
    <row r="896" spans="8:8" ht="15" customHeight="1" x14ac:dyDescent="0.4">
      <c r="H896" s="2"/>
    </row>
    <row r="897" spans="8:8" ht="15" customHeight="1" x14ac:dyDescent="0.4">
      <c r="H897" s="2"/>
    </row>
    <row r="898" spans="8:8" ht="15" customHeight="1" x14ac:dyDescent="0.4">
      <c r="H898" s="2"/>
    </row>
    <row r="899" spans="8:8" ht="15" customHeight="1" x14ac:dyDescent="0.4">
      <c r="H899" s="2"/>
    </row>
    <row r="900" spans="8:8" ht="15" customHeight="1" x14ac:dyDescent="0.4">
      <c r="H900" s="2"/>
    </row>
    <row r="901" spans="8:8" ht="15" customHeight="1" x14ac:dyDescent="0.4">
      <c r="H901" s="2"/>
    </row>
    <row r="902" spans="8:8" ht="15" customHeight="1" x14ac:dyDescent="0.4">
      <c r="H902" s="2"/>
    </row>
    <row r="903" spans="8:8" ht="15" customHeight="1" x14ac:dyDescent="0.4">
      <c r="H903" s="2"/>
    </row>
    <row r="904" spans="8:8" ht="15" customHeight="1" x14ac:dyDescent="0.4">
      <c r="H904" s="2"/>
    </row>
    <row r="905" spans="8:8" ht="15" customHeight="1" x14ac:dyDescent="0.4">
      <c r="H905" s="2"/>
    </row>
    <row r="906" spans="8:8" ht="15" customHeight="1" x14ac:dyDescent="0.4">
      <c r="H906" s="2"/>
    </row>
    <row r="907" spans="8:8" ht="15" customHeight="1" x14ac:dyDescent="0.4">
      <c r="H907" s="2"/>
    </row>
    <row r="908" spans="8:8" ht="15" customHeight="1" x14ac:dyDescent="0.4">
      <c r="H908" s="2"/>
    </row>
    <row r="909" spans="8:8" ht="15" customHeight="1" x14ac:dyDescent="0.4">
      <c r="H909" s="2"/>
    </row>
    <row r="910" spans="8:8" ht="15" customHeight="1" x14ac:dyDescent="0.4">
      <c r="H910" s="2"/>
    </row>
    <row r="911" spans="8:8" ht="15" customHeight="1" x14ac:dyDescent="0.4">
      <c r="H911" s="2"/>
    </row>
    <row r="912" spans="8:8" ht="15" customHeight="1" x14ac:dyDescent="0.4">
      <c r="H912" s="2"/>
    </row>
    <row r="913" spans="8:8" ht="15" customHeight="1" x14ac:dyDescent="0.4">
      <c r="H913" s="2"/>
    </row>
    <row r="914" spans="8:8" ht="15" customHeight="1" x14ac:dyDescent="0.4">
      <c r="H914" s="2"/>
    </row>
    <row r="915" spans="8:8" ht="15" customHeight="1" x14ac:dyDescent="0.4">
      <c r="H915" s="2"/>
    </row>
    <row r="916" spans="8:8" ht="15" customHeight="1" x14ac:dyDescent="0.4">
      <c r="H916" s="2"/>
    </row>
    <row r="917" spans="8:8" ht="15" customHeight="1" x14ac:dyDescent="0.4">
      <c r="H917" s="2"/>
    </row>
    <row r="918" spans="8:8" ht="15" customHeight="1" x14ac:dyDescent="0.4">
      <c r="H918" s="2"/>
    </row>
    <row r="919" spans="8:8" ht="15" customHeight="1" x14ac:dyDescent="0.4">
      <c r="H919" s="2"/>
    </row>
    <row r="920" spans="8:8" ht="15" customHeight="1" x14ac:dyDescent="0.4">
      <c r="H920" s="2"/>
    </row>
    <row r="921" spans="8:8" ht="15" customHeight="1" x14ac:dyDescent="0.4">
      <c r="H921" s="2"/>
    </row>
    <row r="922" spans="8:8" ht="15" customHeight="1" x14ac:dyDescent="0.4">
      <c r="H922" s="2"/>
    </row>
    <row r="923" spans="8:8" ht="15" customHeight="1" x14ac:dyDescent="0.4">
      <c r="H923" s="2"/>
    </row>
    <row r="924" spans="8:8" ht="15" customHeight="1" x14ac:dyDescent="0.4">
      <c r="H924" s="2"/>
    </row>
    <row r="925" spans="8:8" ht="15" customHeight="1" x14ac:dyDescent="0.4">
      <c r="H925" s="2"/>
    </row>
    <row r="926" spans="8:8" ht="15" customHeight="1" x14ac:dyDescent="0.4">
      <c r="H926" s="2"/>
    </row>
    <row r="927" spans="8:8" ht="15" customHeight="1" x14ac:dyDescent="0.4">
      <c r="H927" s="2"/>
    </row>
    <row r="928" spans="8:8" ht="15" customHeight="1" x14ac:dyDescent="0.4">
      <c r="H928" s="2"/>
    </row>
    <row r="929" spans="8:8" ht="15" customHeight="1" x14ac:dyDescent="0.4">
      <c r="H929" s="2"/>
    </row>
    <row r="930" spans="8:8" ht="15" customHeight="1" x14ac:dyDescent="0.4">
      <c r="H930" s="2"/>
    </row>
    <row r="931" spans="8:8" ht="15" customHeight="1" x14ac:dyDescent="0.4">
      <c r="H931" s="2"/>
    </row>
    <row r="932" spans="8:8" ht="15" customHeight="1" x14ac:dyDescent="0.4">
      <c r="H932" s="2"/>
    </row>
    <row r="933" spans="8:8" ht="15" customHeight="1" x14ac:dyDescent="0.4">
      <c r="H933" s="2"/>
    </row>
    <row r="934" spans="8:8" ht="15" customHeight="1" x14ac:dyDescent="0.4">
      <c r="H934" s="2"/>
    </row>
    <row r="935" spans="8:8" ht="15" customHeight="1" x14ac:dyDescent="0.4">
      <c r="H935" s="2"/>
    </row>
    <row r="936" spans="8:8" ht="15" customHeight="1" x14ac:dyDescent="0.4">
      <c r="H936" s="2"/>
    </row>
    <row r="937" spans="8:8" ht="15" customHeight="1" x14ac:dyDescent="0.4">
      <c r="H937" s="2"/>
    </row>
    <row r="938" spans="8:8" ht="15" customHeight="1" x14ac:dyDescent="0.4">
      <c r="H938" s="2"/>
    </row>
    <row r="939" spans="8:8" ht="15" customHeight="1" x14ac:dyDescent="0.4">
      <c r="H939" s="2"/>
    </row>
    <row r="940" spans="8:8" ht="15" customHeight="1" x14ac:dyDescent="0.4">
      <c r="H940" s="2"/>
    </row>
    <row r="941" spans="8:8" ht="15" customHeight="1" x14ac:dyDescent="0.4">
      <c r="H941" s="2"/>
    </row>
    <row r="942" spans="8:8" ht="15" customHeight="1" x14ac:dyDescent="0.4">
      <c r="H942" s="2"/>
    </row>
    <row r="943" spans="8:8" ht="15" customHeight="1" x14ac:dyDescent="0.4">
      <c r="H943" s="2"/>
    </row>
    <row r="944" spans="8:8" ht="15" customHeight="1" x14ac:dyDescent="0.4">
      <c r="H944" s="2"/>
    </row>
    <row r="945" spans="8:8" ht="15" customHeight="1" x14ac:dyDescent="0.4">
      <c r="H945" s="2"/>
    </row>
    <row r="946" spans="8:8" ht="15" customHeight="1" x14ac:dyDescent="0.4">
      <c r="H946" s="2"/>
    </row>
    <row r="947" spans="8:8" ht="15" customHeight="1" x14ac:dyDescent="0.4">
      <c r="H947" s="2"/>
    </row>
    <row r="948" spans="8:8" ht="15" customHeight="1" x14ac:dyDescent="0.4">
      <c r="H948" s="2"/>
    </row>
    <row r="949" spans="8:8" ht="15" customHeight="1" x14ac:dyDescent="0.4">
      <c r="H949" s="2"/>
    </row>
    <row r="950" spans="8:8" ht="15" customHeight="1" x14ac:dyDescent="0.4">
      <c r="H950" s="2"/>
    </row>
    <row r="951" spans="8:8" ht="15" customHeight="1" x14ac:dyDescent="0.4">
      <c r="H951" s="2"/>
    </row>
    <row r="952" spans="8:8" ht="15" customHeight="1" x14ac:dyDescent="0.4">
      <c r="H952" s="2"/>
    </row>
    <row r="953" spans="8:8" ht="15" customHeight="1" x14ac:dyDescent="0.4">
      <c r="H953" s="2"/>
    </row>
    <row r="954" spans="8:8" ht="15" customHeight="1" x14ac:dyDescent="0.4">
      <c r="H954" s="2"/>
    </row>
    <row r="955" spans="8:8" ht="15" customHeight="1" x14ac:dyDescent="0.4">
      <c r="H955" s="2"/>
    </row>
    <row r="956" spans="8:8" ht="15" customHeight="1" x14ac:dyDescent="0.4">
      <c r="H956" s="2"/>
    </row>
    <row r="957" spans="8:8" ht="15" customHeight="1" x14ac:dyDescent="0.4">
      <c r="H957" s="2"/>
    </row>
    <row r="958" spans="8:8" ht="15" customHeight="1" x14ac:dyDescent="0.4">
      <c r="H958" s="2"/>
    </row>
    <row r="959" spans="8:8" ht="15" customHeight="1" x14ac:dyDescent="0.4">
      <c r="H959" s="2"/>
    </row>
    <row r="960" spans="8:8" ht="15" customHeight="1" x14ac:dyDescent="0.4">
      <c r="H960" s="2"/>
    </row>
    <row r="961" spans="8:8" ht="15" customHeight="1" x14ac:dyDescent="0.4">
      <c r="H961" s="2"/>
    </row>
    <row r="962" spans="8:8" ht="15" customHeight="1" x14ac:dyDescent="0.4">
      <c r="H962" s="2"/>
    </row>
    <row r="963" spans="8:8" ht="15" customHeight="1" x14ac:dyDescent="0.4">
      <c r="H963" s="2"/>
    </row>
    <row r="964" spans="8:8" ht="15" customHeight="1" x14ac:dyDescent="0.4">
      <c r="H964" s="2"/>
    </row>
    <row r="965" spans="8:8" ht="15" customHeight="1" x14ac:dyDescent="0.4">
      <c r="H965" s="2"/>
    </row>
    <row r="966" spans="8:8" ht="15" customHeight="1" x14ac:dyDescent="0.4">
      <c r="H966" s="2"/>
    </row>
    <row r="967" spans="8:8" ht="15" customHeight="1" x14ac:dyDescent="0.4">
      <c r="H967" s="2"/>
    </row>
    <row r="968" spans="8:8" ht="15" customHeight="1" x14ac:dyDescent="0.4">
      <c r="H968" s="2"/>
    </row>
    <row r="969" spans="8:8" ht="15" customHeight="1" x14ac:dyDescent="0.4">
      <c r="H969" s="2"/>
    </row>
    <row r="970" spans="8:8" ht="15" customHeight="1" x14ac:dyDescent="0.4">
      <c r="H970" s="2"/>
    </row>
    <row r="971" spans="8:8" ht="15" customHeight="1" x14ac:dyDescent="0.4">
      <c r="H971" s="2"/>
    </row>
    <row r="972" spans="8:8" ht="15" customHeight="1" x14ac:dyDescent="0.4">
      <c r="H972" s="2"/>
    </row>
    <row r="973" spans="8:8" ht="15" customHeight="1" x14ac:dyDescent="0.4">
      <c r="H973" s="2"/>
    </row>
    <row r="974" spans="8:8" ht="15" customHeight="1" x14ac:dyDescent="0.4">
      <c r="H974" s="2"/>
    </row>
    <row r="975" spans="8:8" ht="15" customHeight="1" x14ac:dyDescent="0.4">
      <c r="H975" s="2"/>
    </row>
    <row r="976" spans="8:8" ht="15" customHeight="1" x14ac:dyDescent="0.4">
      <c r="H976" s="2"/>
    </row>
    <row r="977" spans="8:8" ht="15" customHeight="1" x14ac:dyDescent="0.4">
      <c r="H977" s="2"/>
    </row>
    <row r="978" spans="8:8" ht="15" customHeight="1" x14ac:dyDescent="0.4">
      <c r="H978" s="2"/>
    </row>
    <row r="979" spans="8:8" ht="15" customHeight="1" x14ac:dyDescent="0.4">
      <c r="H979" s="2"/>
    </row>
    <row r="980" spans="8:8" ht="15" customHeight="1" x14ac:dyDescent="0.4">
      <c r="H980" s="2"/>
    </row>
    <row r="981" spans="8:8" ht="15" customHeight="1" x14ac:dyDescent="0.4">
      <c r="H981" s="2"/>
    </row>
    <row r="982" spans="8:8" ht="15" customHeight="1" x14ac:dyDescent="0.4">
      <c r="H982" s="2"/>
    </row>
    <row r="983" spans="8:8" ht="15" customHeight="1" x14ac:dyDescent="0.4">
      <c r="H983" s="2"/>
    </row>
    <row r="984" spans="8:8" ht="15" customHeight="1" x14ac:dyDescent="0.4">
      <c r="H984" s="2"/>
    </row>
    <row r="985" spans="8:8" ht="15" customHeight="1" x14ac:dyDescent="0.4">
      <c r="H985" s="2"/>
    </row>
    <row r="986" spans="8:8" ht="15" customHeight="1" x14ac:dyDescent="0.4">
      <c r="H986" s="2"/>
    </row>
    <row r="987" spans="8:8" ht="15" customHeight="1" x14ac:dyDescent="0.4">
      <c r="H987" s="2"/>
    </row>
    <row r="988" spans="8:8" ht="15" customHeight="1" x14ac:dyDescent="0.4">
      <c r="H988" s="2"/>
    </row>
    <row r="989" spans="8:8" ht="15" customHeight="1" x14ac:dyDescent="0.4">
      <c r="H989" s="2"/>
    </row>
    <row r="990" spans="8:8" ht="15" customHeight="1" x14ac:dyDescent="0.4">
      <c r="H990" s="2"/>
    </row>
    <row r="991" spans="8:8" ht="15" customHeight="1" x14ac:dyDescent="0.4">
      <c r="H991" s="2"/>
    </row>
    <row r="992" spans="8:8" ht="15" customHeight="1" x14ac:dyDescent="0.4">
      <c r="H992" s="2"/>
    </row>
    <row r="993" spans="8:8" ht="15" customHeight="1" x14ac:dyDescent="0.4">
      <c r="H993" s="2"/>
    </row>
    <row r="994" spans="8:8" ht="15" customHeight="1" x14ac:dyDescent="0.4">
      <c r="H994" s="2"/>
    </row>
    <row r="995" spans="8:8" ht="15" customHeight="1" x14ac:dyDescent="0.4">
      <c r="H995" s="2"/>
    </row>
    <row r="996" spans="8:8" ht="15" customHeight="1" x14ac:dyDescent="0.4">
      <c r="H996" s="2"/>
    </row>
    <row r="997" spans="8:8" ht="15" customHeight="1" x14ac:dyDescent="0.4">
      <c r="H997" s="2"/>
    </row>
    <row r="998" spans="8:8" ht="15" customHeight="1" x14ac:dyDescent="0.4">
      <c r="H998" s="2"/>
    </row>
    <row r="999" spans="8:8" ht="15" customHeight="1" x14ac:dyDescent="0.4">
      <c r="H999" s="2"/>
    </row>
    <row r="1000" spans="8:8" ht="15" customHeight="1" x14ac:dyDescent="0.4">
      <c r="H1000" s="2"/>
    </row>
    <row r="1001" spans="8:8" ht="15" customHeight="1" x14ac:dyDescent="0.4">
      <c r="H1001" s="2"/>
    </row>
    <row r="1002" spans="8:8" ht="15" customHeight="1" x14ac:dyDescent="0.4">
      <c r="H1002" s="2"/>
    </row>
    <row r="1003" spans="8:8" ht="15" customHeight="1" x14ac:dyDescent="0.4">
      <c r="H1003" s="2"/>
    </row>
    <row r="1004" spans="8:8" ht="15" customHeight="1" x14ac:dyDescent="0.4">
      <c r="H1004" s="2"/>
    </row>
    <row r="1005" spans="8:8" ht="15" customHeight="1" x14ac:dyDescent="0.4">
      <c r="H1005" s="2"/>
    </row>
    <row r="1006" spans="8:8" ht="15" customHeight="1" x14ac:dyDescent="0.4">
      <c r="H1006" s="2"/>
    </row>
    <row r="1007" spans="8:8" ht="15" customHeight="1" x14ac:dyDescent="0.4">
      <c r="H1007" s="2"/>
    </row>
    <row r="1008" spans="8:8" ht="15" customHeight="1" x14ac:dyDescent="0.4">
      <c r="H1008" s="2"/>
    </row>
  </sheetData>
  <mergeCells count="21">
    <mergeCell ref="A69:K69"/>
    <mergeCell ref="A65:K65"/>
    <mergeCell ref="A102:K102"/>
    <mergeCell ref="A17:K17"/>
    <mergeCell ref="A2:K2"/>
    <mergeCell ref="A41:K41"/>
    <mergeCell ref="A87:K87"/>
    <mergeCell ref="A163:K163"/>
    <mergeCell ref="A150:K150"/>
    <mergeCell ref="A141:K141"/>
    <mergeCell ref="A340:K340"/>
    <mergeCell ref="A197:K197"/>
    <mergeCell ref="A191:K191"/>
    <mergeCell ref="A352:K352"/>
    <mergeCell ref="A344:K344"/>
    <mergeCell ref="A201:K201"/>
    <mergeCell ref="A242:K242"/>
    <mergeCell ref="A238:K238"/>
    <mergeCell ref="A332:K332"/>
    <mergeCell ref="A313:K313"/>
    <mergeCell ref="A262:K262"/>
  </mergeCells>
  <conditionalFormatting sqref="G15">
    <cfRule type="cellIs" dxfId="101" priority="112" operator="lessThan">
      <formula>0</formula>
    </cfRule>
    <cfRule type="cellIs" dxfId="100" priority="113" operator="greaterThan">
      <formula>0</formula>
    </cfRule>
    <cfRule type="cellIs" dxfId="99" priority="114" operator="equal">
      <formula>0</formula>
    </cfRule>
  </conditionalFormatting>
  <conditionalFormatting sqref="G39">
    <cfRule type="cellIs" dxfId="98" priority="109" operator="lessThan">
      <formula>0</formula>
    </cfRule>
    <cfRule type="cellIs" dxfId="97" priority="110" operator="greaterThan">
      <formula>0</formula>
    </cfRule>
    <cfRule type="cellIs" dxfId="96" priority="111" operator="equal">
      <formula>0</formula>
    </cfRule>
  </conditionalFormatting>
  <conditionalFormatting sqref="G63">
    <cfRule type="cellIs" dxfId="95" priority="106" operator="lessThan">
      <formula>0</formula>
    </cfRule>
    <cfRule type="cellIs" dxfId="94" priority="107" operator="greaterThan">
      <formula>0</formula>
    </cfRule>
    <cfRule type="cellIs" dxfId="93" priority="108" operator="equal">
      <formula>0</formula>
    </cfRule>
  </conditionalFormatting>
  <conditionalFormatting sqref="G67">
    <cfRule type="cellIs" dxfId="92" priority="103" operator="lessThan">
      <formula>0</formula>
    </cfRule>
    <cfRule type="cellIs" dxfId="91" priority="104" operator="greaterThan">
      <formula>0</formula>
    </cfRule>
    <cfRule type="cellIs" dxfId="90" priority="105" operator="equal">
      <formula>0</formula>
    </cfRule>
  </conditionalFormatting>
  <conditionalFormatting sqref="G85">
    <cfRule type="cellIs" dxfId="89" priority="100" operator="lessThan">
      <formula>0</formula>
    </cfRule>
    <cfRule type="cellIs" dxfId="88" priority="101" operator="greaterThan">
      <formula>0</formula>
    </cfRule>
    <cfRule type="cellIs" dxfId="87" priority="102" operator="equal">
      <formula>0</formula>
    </cfRule>
  </conditionalFormatting>
  <conditionalFormatting sqref="G100">
    <cfRule type="cellIs" dxfId="86" priority="97" operator="lessThan">
      <formula>0</formula>
    </cfRule>
    <cfRule type="cellIs" dxfId="85" priority="98" operator="greaterThan">
      <formula>0</formula>
    </cfRule>
    <cfRule type="cellIs" dxfId="84" priority="99" operator="equal">
      <formula>0</formula>
    </cfRule>
  </conditionalFormatting>
  <conditionalFormatting sqref="G139">
    <cfRule type="cellIs" dxfId="83" priority="94" operator="lessThan">
      <formula>0</formula>
    </cfRule>
    <cfRule type="cellIs" dxfId="82" priority="95" operator="greaterThan">
      <formula>0</formula>
    </cfRule>
    <cfRule type="cellIs" dxfId="81" priority="96" operator="equal">
      <formula>0</formula>
    </cfRule>
  </conditionalFormatting>
  <conditionalFormatting sqref="G148">
    <cfRule type="cellIs" dxfId="80" priority="91" operator="lessThan">
      <formula>0</formula>
    </cfRule>
    <cfRule type="cellIs" dxfId="79" priority="92" operator="greaterThan">
      <formula>0</formula>
    </cfRule>
    <cfRule type="cellIs" dxfId="78" priority="93" operator="equal">
      <formula>0</formula>
    </cfRule>
  </conditionalFormatting>
  <conditionalFormatting sqref="G161">
    <cfRule type="cellIs" dxfId="77" priority="88" operator="lessThan">
      <formula>0</formula>
    </cfRule>
    <cfRule type="cellIs" dxfId="76" priority="89" operator="greaterThan">
      <formula>0</formula>
    </cfRule>
    <cfRule type="cellIs" dxfId="75" priority="90" operator="equal">
      <formula>0</formula>
    </cfRule>
  </conditionalFormatting>
  <conditionalFormatting sqref="G189">
    <cfRule type="cellIs" dxfId="74" priority="85" operator="lessThan">
      <formula>0</formula>
    </cfRule>
    <cfRule type="cellIs" dxfId="73" priority="86" operator="greaterThan">
      <formula>0</formula>
    </cfRule>
    <cfRule type="cellIs" dxfId="72" priority="87" operator="equal">
      <formula>0</formula>
    </cfRule>
  </conditionalFormatting>
  <conditionalFormatting sqref="G195">
    <cfRule type="cellIs" dxfId="71" priority="82" operator="lessThan">
      <formula>0</formula>
    </cfRule>
    <cfRule type="cellIs" dxfId="70" priority="83" operator="greaterThan">
      <formula>0</formula>
    </cfRule>
    <cfRule type="cellIs" dxfId="69" priority="84" operator="equal">
      <formula>0</formula>
    </cfRule>
  </conditionalFormatting>
  <conditionalFormatting sqref="G199">
    <cfRule type="cellIs" dxfId="68" priority="79" operator="lessThan">
      <formula>0</formula>
    </cfRule>
    <cfRule type="cellIs" dxfId="67" priority="80" operator="greaterThan">
      <formula>0</formula>
    </cfRule>
    <cfRule type="cellIs" dxfId="66" priority="81" operator="equal">
      <formula>0</formula>
    </cfRule>
  </conditionalFormatting>
  <conditionalFormatting sqref="G236">
    <cfRule type="cellIs" dxfId="65" priority="76" operator="lessThan">
      <formula>0</formula>
    </cfRule>
    <cfRule type="cellIs" dxfId="64" priority="77" operator="greaterThan">
      <formula>0</formula>
    </cfRule>
    <cfRule type="cellIs" dxfId="63" priority="78" operator="equal">
      <formula>0</formula>
    </cfRule>
  </conditionalFormatting>
  <conditionalFormatting sqref="G240">
    <cfRule type="cellIs" dxfId="62" priority="73" operator="lessThan">
      <formula>0</formula>
    </cfRule>
    <cfRule type="cellIs" dxfId="61" priority="74" operator="greaterThan">
      <formula>0</formula>
    </cfRule>
    <cfRule type="cellIs" dxfId="60" priority="75" operator="equal">
      <formula>0</formula>
    </cfRule>
  </conditionalFormatting>
  <conditionalFormatting sqref="G260">
    <cfRule type="cellIs" dxfId="59" priority="70" operator="lessThan">
      <formula>0</formula>
    </cfRule>
    <cfRule type="cellIs" dxfId="58" priority="71" operator="greaterThan">
      <formula>0</formula>
    </cfRule>
    <cfRule type="cellIs" dxfId="57" priority="72" operator="equal">
      <formula>0</formula>
    </cfRule>
  </conditionalFormatting>
  <conditionalFormatting sqref="G311:G312">
    <cfRule type="cellIs" dxfId="56" priority="67" operator="lessThan">
      <formula>0</formula>
    </cfRule>
    <cfRule type="cellIs" dxfId="55" priority="68" operator="greaterThan">
      <formula>0</formula>
    </cfRule>
    <cfRule type="cellIs" dxfId="54" priority="69" operator="equal">
      <formula>0</formula>
    </cfRule>
  </conditionalFormatting>
  <conditionalFormatting sqref="G330">
    <cfRule type="cellIs" dxfId="53" priority="64" operator="lessThan">
      <formula>0</formula>
    </cfRule>
    <cfRule type="cellIs" dxfId="52" priority="65" operator="greaterThan">
      <formula>0</formula>
    </cfRule>
    <cfRule type="cellIs" dxfId="51" priority="66" operator="equal">
      <formula>0</formula>
    </cfRule>
  </conditionalFormatting>
  <conditionalFormatting sqref="G338">
    <cfRule type="cellIs" dxfId="50" priority="61" operator="lessThan">
      <formula>0</formula>
    </cfRule>
    <cfRule type="cellIs" dxfId="49" priority="62" operator="greaterThan">
      <formula>0</formula>
    </cfRule>
    <cfRule type="cellIs" dxfId="48" priority="63" operator="equal">
      <formula>0</formula>
    </cfRule>
  </conditionalFormatting>
  <conditionalFormatting sqref="G342">
    <cfRule type="cellIs" dxfId="47" priority="58" operator="lessThan">
      <formula>0</formula>
    </cfRule>
    <cfRule type="cellIs" dxfId="46" priority="59" operator="greaterThan">
      <formula>0</formula>
    </cfRule>
    <cfRule type="cellIs" dxfId="45" priority="60" operator="equal">
      <formula>0</formula>
    </cfRule>
  </conditionalFormatting>
  <conditionalFormatting sqref="G350">
    <cfRule type="cellIs" dxfId="44" priority="55" operator="lessThan">
      <formula>0</formula>
    </cfRule>
    <cfRule type="cellIs" dxfId="43" priority="56" operator="greaterThan">
      <formula>0</formula>
    </cfRule>
    <cfRule type="cellIs" dxfId="42" priority="57" operator="equal">
      <formula>0</formula>
    </cfRule>
  </conditionalFormatting>
  <conditionalFormatting sqref="G356">
    <cfRule type="cellIs" dxfId="41" priority="52" operator="lessThan">
      <formula>0</formula>
    </cfRule>
    <cfRule type="cellIs" dxfId="40" priority="53" operator="greaterThan">
      <formula>0</formula>
    </cfRule>
    <cfRule type="cellIs" dxfId="39" priority="54" operator="equal">
      <formula>0</formula>
    </cfRule>
  </conditionalFormatting>
  <conditionalFormatting sqref="H2:H152 I85 I100 I139 I148 I161 I195 I199 I240 I311:I312 I330 I338 I342 I350 I354 I356">
    <cfRule type="expression" dxfId="38" priority="31">
      <formula>H2&lt;K2</formula>
    </cfRule>
    <cfRule type="expression" dxfId="37" priority="32">
      <formula>H2&gt;K2</formula>
    </cfRule>
    <cfRule type="expression" dxfId="36" priority="33">
      <formula>H2=K2</formula>
    </cfRule>
  </conditionalFormatting>
  <conditionalFormatting sqref="H156:H293">
    <cfRule type="expression" dxfId="35" priority="1">
      <formula>H156&lt;K156</formula>
    </cfRule>
    <cfRule type="expression" dxfId="34" priority="2">
      <formula>H156&gt;K156</formula>
    </cfRule>
    <cfRule type="expression" dxfId="33" priority="3">
      <formula>H156=K156</formula>
    </cfRule>
  </conditionalFormatting>
  <conditionalFormatting sqref="H295:H321">
    <cfRule type="expression" dxfId="32" priority="22">
      <formula>H295&lt;K295</formula>
    </cfRule>
    <cfRule type="expression" dxfId="31" priority="23">
      <formula>H295&gt;K295</formula>
    </cfRule>
    <cfRule type="expression" dxfId="30" priority="24">
      <formula>H295=K295</formula>
    </cfRule>
  </conditionalFormatting>
  <conditionalFormatting sqref="H323:H344">
    <cfRule type="expression" dxfId="29" priority="16">
      <formula>H323&lt;K323</formula>
    </cfRule>
    <cfRule type="expression" dxfId="28" priority="17">
      <formula>H323&gt;K323</formula>
    </cfRule>
    <cfRule type="expression" dxfId="27" priority="18">
      <formula>H323=K323</formula>
    </cfRule>
  </conditionalFormatting>
  <conditionalFormatting sqref="H346:H1048576">
    <cfRule type="expression" dxfId="26" priority="119">
      <formula>H346&lt;K346</formula>
    </cfRule>
    <cfRule type="expression" dxfId="25" priority="120">
      <formula>H346&gt;K346</formula>
    </cfRule>
    <cfRule type="expression" dxfId="24" priority="121">
      <formula>H346=K346</formula>
    </cfRule>
  </conditionalFormatting>
  <conditionalFormatting sqref="J85 J100 J139 J148 J161 J195 J199 J240 J311:J312 J330 J338 J342 J350 J354 J356">
    <cfRule type="expression" dxfId="2" priority="125">
      <formula>J85&lt;#REF!</formula>
    </cfRule>
    <cfRule type="expression" dxfId="1" priority="126">
      <formula>J85&gt;#REF!</formula>
    </cfRule>
    <cfRule type="expression" dxfId="0" priority="127">
      <formula>J85=#REF!</formula>
    </cfRule>
  </conditionalFormatting>
  <printOptions horizontalCentered="1"/>
  <pageMargins left="0.45" right="0.45" top="0.6" bottom="0.25" header="0.3" footer="0"/>
  <pageSetup scale="84" fitToHeight="0" orientation="landscape" r:id="rId1"/>
  <headerFooter>
    <oddHeader>&amp;C&amp;"Calibri,Bold"&amp;20 2020 Budget Requested - Supplies, Services, Capital Expenditures</oddHeader>
  </headerFooter>
  <rowBreaks count="9" manualBreakCount="9">
    <brk id="40" max="9" man="1"/>
    <brk id="68" max="9" man="1"/>
    <brk id="101" max="9" man="1"/>
    <brk id="139" max="10" man="1"/>
    <brk id="162" max="9" man="1"/>
    <brk id="200" max="9" man="1"/>
    <brk id="237" max="10" man="1"/>
    <brk id="312" max="10" man="1"/>
    <brk id="339" max="9" man="1"/>
  </rowBreaks>
  <ignoredErrors>
    <ignoredError sqref="H135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K39"/>
  <sheetViews>
    <sheetView zoomScaleNormal="100" workbookViewId="0">
      <pane ySplit="1" topLeftCell="A2" activePane="bottomLeft" state="frozen"/>
      <selection activeCell="A34" sqref="A34:H34"/>
      <selection pane="bottomLeft" activeCell="C4" sqref="C4"/>
    </sheetView>
  </sheetViews>
  <sheetFormatPr defaultColWidth="14.3828125" defaultRowHeight="15" customHeight="1" x14ac:dyDescent="0.4"/>
  <cols>
    <col min="1" max="1" width="19.53515625" customWidth="1"/>
    <col min="2" max="2" width="19.53515625" style="217" customWidth="1"/>
    <col min="3" max="3" width="60" customWidth="1"/>
    <col min="4" max="4" width="7.3046875" customWidth="1"/>
    <col min="5" max="5" width="11" customWidth="1"/>
    <col min="6" max="6" width="13.53515625" customWidth="1"/>
    <col min="7" max="7" width="12.3046875" bestFit="1" customWidth="1"/>
    <col min="8" max="8" width="12.69140625" bestFit="1" customWidth="1"/>
    <col min="9" max="9" width="13.3046875" customWidth="1"/>
    <col min="10" max="10" width="17.3828125" customWidth="1"/>
    <col min="11" max="11" width="9.69140625" customWidth="1"/>
    <col min="12" max="19" width="13.3046875" customWidth="1"/>
    <col min="20" max="27" width="15.15234375" customWidth="1"/>
  </cols>
  <sheetData>
    <row r="1" spans="1:11" ht="52.5" customHeight="1" x14ac:dyDescent="0.4">
      <c r="A1" s="253" t="s">
        <v>447</v>
      </c>
      <c r="B1" s="253" t="s">
        <v>99</v>
      </c>
      <c r="C1" s="253" t="s">
        <v>52</v>
      </c>
      <c r="D1" s="408"/>
      <c r="E1" s="273" t="s">
        <v>103</v>
      </c>
      <c r="F1" s="273" t="s">
        <v>540</v>
      </c>
      <c r="G1" s="273" t="s">
        <v>53</v>
      </c>
      <c r="H1" s="273" t="s">
        <v>54</v>
      </c>
      <c r="I1" s="409" t="s">
        <v>8</v>
      </c>
    </row>
    <row r="2" spans="1:11" ht="19.5" customHeight="1" x14ac:dyDescent="0.5">
      <c r="A2" s="777" t="s">
        <v>448</v>
      </c>
      <c r="B2" s="777"/>
      <c r="C2" s="778"/>
      <c r="D2" s="778"/>
      <c r="E2" s="778"/>
      <c r="F2" s="778"/>
      <c r="G2" s="778"/>
      <c r="H2" s="778"/>
      <c r="I2" s="778"/>
      <c r="J2" s="35"/>
      <c r="K2" s="35"/>
    </row>
    <row r="3" spans="1:11" s="525" customFormat="1" ht="21.65" customHeight="1" x14ac:dyDescent="0.4">
      <c r="A3" s="711" t="s">
        <v>449</v>
      </c>
      <c r="B3" s="711" t="str">
        <f>LEFT(A2,4)&amp;"-1"</f>
        <v>6310-1</v>
      </c>
      <c r="C3" s="712" t="s">
        <v>524</v>
      </c>
      <c r="D3" s="713">
        <v>4</v>
      </c>
      <c r="E3" s="526">
        <v>520</v>
      </c>
      <c r="F3" s="714">
        <f>(D3*E3)</f>
        <v>2080</v>
      </c>
      <c r="G3" s="593">
        <f ca="1">(-SUMIF(INDIRECT(LEFT($A$2,4)&amp;"!I3:I200"),"="&amp;B3&amp;" *",INDIRECT(LEFT($A$2,4)&amp;"!K3:K200")))</f>
        <v>-3310</v>
      </c>
      <c r="H3" s="593">
        <f ca="1">SUM(F3:G3)</f>
        <v>-1230</v>
      </c>
      <c r="I3" s="593">
        <v>1560</v>
      </c>
      <c r="J3" s="715"/>
      <c r="K3" s="522"/>
    </row>
    <row r="4" spans="1:11" ht="14.6" x14ac:dyDescent="0.4">
      <c r="A4" s="707" t="s">
        <v>523</v>
      </c>
      <c r="B4" s="708" t="str">
        <f>LEFT($B3,4)&amp;"-"&amp;VALUE(MID($B3,FIND("-",$B3)+1,256))+1</f>
        <v>6310-2</v>
      </c>
      <c r="C4" s="382" t="s">
        <v>496</v>
      </c>
      <c r="D4" s="519">
        <v>3</v>
      </c>
      <c r="E4" s="381">
        <v>155</v>
      </c>
      <c r="F4" s="709">
        <f t="shared" ref="F4:F7" si="0">(D4*E4)*70</f>
        <v>32550</v>
      </c>
      <c r="G4" s="382">
        <f t="shared" ref="G4:G8" ca="1" si="1">(-SUMIF(INDIRECT(LEFT($A$2,4)&amp;"!I3:I200"),"="&amp;B4&amp;" *",INDIRECT(LEFT($A$2,4)&amp;"!K3:K200")))</f>
        <v>-24025</v>
      </c>
      <c r="H4" s="382">
        <f t="shared" ref="H4" ca="1" si="2">SUM(F4:G4)</f>
        <v>8525</v>
      </c>
      <c r="I4" s="710">
        <v>0</v>
      </c>
      <c r="J4" s="42"/>
      <c r="K4" s="35"/>
    </row>
    <row r="5" spans="1:11" ht="14.6" x14ac:dyDescent="0.4">
      <c r="A5" s="46"/>
      <c r="B5" s="221" t="str">
        <f t="shared" ref="B5:B8" si="3">LEFT($B4,4)&amp;"-"&amp;VALUE(MID($B4,FIND("-",$B4)+1,256))+1</f>
        <v>6310-3</v>
      </c>
      <c r="C5" s="33" t="s">
        <v>497</v>
      </c>
      <c r="D5" s="495">
        <v>8</v>
      </c>
      <c r="E5" s="39">
        <v>170</v>
      </c>
      <c r="F5" s="41">
        <f t="shared" si="0"/>
        <v>95200</v>
      </c>
      <c r="G5" s="244">
        <f t="shared" ca="1" si="1"/>
        <v>-25670</v>
      </c>
      <c r="H5" s="244">
        <f t="shared" ref="H5:H6" ca="1" si="4">SUM(F5:G5)</f>
        <v>69530</v>
      </c>
      <c r="I5" s="60">
        <v>83300</v>
      </c>
      <c r="J5" s="42"/>
      <c r="K5" s="35"/>
    </row>
    <row r="6" spans="1:11" ht="14.6" x14ac:dyDescent="0.4">
      <c r="A6" s="407"/>
      <c r="B6" s="220" t="str">
        <f t="shared" si="3"/>
        <v>6310-4</v>
      </c>
      <c r="C6" s="329" t="s">
        <v>498</v>
      </c>
      <c r="D6" s="519">
        <v>4</v>
      </c>
      <c r="E6" s="341">
        <v>195</v>
      </c>
      <c r="F6" s="410">
        <f t="shared" si="0"/>
        <v>54600</v>
      </c>
      <c r="G6" s="329">
        <f t="shared" ca="1" si="1"/>
        <v>-98865</v>
      </c>
      <c r="H6" s="329">
        <f t="shared" ca="1" si="4"/>
        <v>-44265</v>
      </c>
      <c r="I6" s="328">
        <v>68250</v>
      </c>
      <c r="J6" s="42"/>
      <c r="K6" s="35"/>
    </row>
    <row r="7" spans="1:11" ht="14.6" x14ac:dyDescent="0.4">
      <c r="A7" s="46"/>
      <c r="B7" s="221" t="str">
        <f t="shared" si="3"/>
        <v>6310-5</v>
      </c>
      <c r="C7" s="33" t="s">
        <v>499</v>
      </c>
      <c r="D7" s="495">
        <v>1</v>
      </c>
      <c r="E7" s="39">
        <v>220</v>
      </c>
      <c r="F7" s="41">
        <f t="shared" si="0"/>
        <v>15400</v>
      </c>
      <c r="G7" s="244">
        <f t="shared" ca="1" si="1"/>
        <v>-17600</v>
      </c>
      <c r="H7" s="244">
        <f t="shared" ref="H7:H8" ca="1" si="5">SUM(F7:G7)</f>
        <v>-2200</v>
      </c>
      <c r="I7" s="60">
        <v>15400</v>
      </c>
      <c r="J7" s="42"/>
      <c r="K7" s="35"/>
    </row>
    <row r="8" spans="1:11" ht="14.6" x14ac:dyDescent="0.4">
      <c r="A8" s="407"/>
      <c r="B8" s="220" t="str">
        <f t="shared" si="3"/>
        <v>6310-6</v>
      </c>
      <c r="C8" s="329" t="s">
        <v>450</v>
      </c>
      <c r="D8" s="380">
        <v>1</v>
      </c>
      <c r="E8" s="341">
        <v>30</v>
      </c>
      <c r="F8" s="410">
        <f>E8*70</f>
        <v>2100</v>
      </c>
      <c r="G8" s="329">
        <f t="shared" ca="1" si="1"/>
        <v>-2040</v>
      </c>
      <c r="H8" s="329">
        <f t="shared" ca="1" si="5"/>
        <v>60</v>
      </c>
      <c r="I8" s="328">
        <v>2100</v>
      </c>
      <c r="J8" s="42"/>
      <c r="K8" s="35"/>
    </row>
    <row r="9" spans="1:11" ht="14.6" x14ac:dyDescent="0.4">
      <c r="A9" s="49"/>
      <c r="B9" s="225"/>
      <c r="C9" s="50" t="s">
        <v>66</v>
      </c>
      <c r="D9" s="51"/>
      <c r="E9" s="411">
        <f>(F9-I9)/I9</f>
        <v>0.18357657816071743</v>
      </c>
      <c r="F9" s="412">
        <f>SUM(F3:F8)</f>
        <v>201930</v>
      </c>
      <c r="G9" s="412">
        <f t="shared" ref="G9:H9" ca="1" si="6">SUM(G3:G8)</f>
        <v>-171510</v>
      </c>
      <c r="H9" s="412">
        <f t="shared" ca="1" si="6"/>
        <v>30420</v>
      </c>
      <c r="I9" s="336">
        <f>SUM(I3:I8)</f>
        <v>170610</v>
      </c>
      <c r="J9" s="42"/>
      <c r="K9" s="35"/>
    </row>
    <row r="10" spans="1:11" ht="15.75" customHeight="1" x14ac:dyDescent="0.4">
      <c r="A10" s="49"/>
      <c r="B10" s="225"/>
      <c r="C10" s="55"/>
      <c r="D10" s="56"/>
      <c r="E10" s="57"/>
      <c r="F10" s="58"/>
      <c r="G10" s="58"/>
      <c r="H10" s="58"/>
      <c r="I10" s="33"/>
      <c r="J10" s="42"/>
      <c r="K10" s="35"/>
    </row>
    <row r="11" spans="1:11" ht="19.5" customHeight="1" x14ac:dyDescent="0.5">
      <c r="A11" s="777" t="s">
        <v>451</v>
      </c>
      <c r="B11" s="777"/>
      <c r="C11" s="778"/>
      <c r="D11" s="778"/>
      <c r="E11" s="778"/>
      <c r="F11" s="778"/>
      <c r="G11" s="778"/>
      <c r="H11" s="778"/>
      <c r="I11" s="778"/>
      <c r="J11" s="42"/>
      <c r="K11" s="35"/>
    </row>
    <row r="12" spans="1:11" ht="14.6" x14ac:dyDescent="0.4">
      <c r="A12" s="35"/>
      <c r="B12" s="226" t="str">
        <f>LEFT(A11,4)&amp;"-1"</f>
        <v>6320-1</v>
      </c>
      <c r="C12" s="33" t="s">
        <v>452</v>
      </c>
      <c r="D12" s="51"/>
      <c r="E12" s="60"/>
      <c r="F12" s="41">
        <v>1000</v>
      </c>
      <c r="G12" s="33">
        <f ca="1">(-SUMIF(INDIRECT(LEFT($A$11,4)&amp;"!I3:I200"),"="&amp;B12&amp;" *",INDIRECT(LEFT($A$11,4)&amp;"!K3:K200")))</f>
        <v>-267.47000000000003</v>
      </c>
      <c r="H12" s="33">
        <f ca="1">SUM(F12:G12)</f>
        <v>732.53</v>
      </c>
      <c r="I12" s="33">
        <v>1000</v>
      </c>
      <c r="J12" s="42"/>
      <c r="K12" s="35"/>
    </row>
    <row r="13" spans="1:11" ht="14.6" x14ac:dyDescent="0.4">
      <c r="A13" s="413"/>
      <c r="B13" s="227" t="str">
        <f>LEFT($B12,4)&amp;"-"&amp;VALUE(MID($B12,FIND("-",$B12)+1,256))+1</f>
        <v>6320-2</v>
      </c>
      <c r="C13" s="329" t="s">
        <v>453</v>
      </c>
      <c r="D13" s="354"/>
      <c r="E13" s="328"/>
      <c r="F13" s="410">
        <v>60</v>
      </c>
      <c r="G13" s="329">
        <f ca="1">(-SUMIF(INDIRECT(LEFT($A$11,4)&amp;"!I3:I200"),"="&amp;B13&amp;" *",INDIRECT(LEFT($A$11,4)&amp;"!K3:K200")))</f>
        <v>0</v>
      </c>
      <c r="H13" s="329">
        <f t="shared" ref="H13" ca="1" si="7">SUM(F13:G13)</f>
        <v>60</v>
      </c>
      <c r="I13" s="329">
        <v>60</v>
      </c>
      <c r="J13" s="42"/>
      <c r="K13" s="35"/>
    </row>
    <row r="14" spans="1:11" ht="14.6" x14ac:dyDescent="0.4">
      <c r="A14" s="49"/>
      <c r="B14" s="225"/>
      <c r="C14" s="50" t="s">
        <v>66</v>
      </c>
      <c r="D14" s="51"/>
      <c r="E14" s="411">
        <f>(F14-I14)/I14</f>
        <v>0</v>
      </c>
      <c r="F14" s="412">
        <f>SUM(F12:F13)</f>
        <v>1060</v>
      </c>
      <c r="G14" s="412">
        <f t="shared" ref="G14:H14" ca="1" si="8">SUM(G12:G13)</f>
        <v>-267.47000000000003</v>
      </c>
      <c r="H14" s="412">
        <f t="shared" ca="1" si="8"/>
        <v>792.53</v>
      </c>
      <c r="I14" s="336">
        <f>SUM(I12:I13)</f>
        <v>1060</v>
      </c>
      <c r="J14" s="42"/>
      <c r="K14" s="35"/>
    </row>
    <row r="15" spans="1:11" ht="15.75" customHeight="1" x14ac:dyDescent="0.4">
      <c r="A15" s="49"/>
      <c r="B15" s="225"/>
      <c r="C15" s="35"/>
      <c r="D15" s="56"/>
      <c r="E15" s="57"/>
      <c r="F15" s="35"/>
      <c r="G15" s="35"/>
      <c r="H15" s="35"/>
      <c r="I15" s="33"/>
      <c r="J15" s="42"/>
      <c r="K15" s="35"/>
    </row>
    <row r="16" spans="1:11" ht="19.5" customHeight="1" x14ac:dyDescent="0.5">
      <c r="A16" s="777" t="s">
        <v>454</v>
      </c>
      <c r="B16" s="777"/>
      <c r="C16" s="778"/>
      <c r="D16" s="778"/>
      <c r="E16" s="778"/>
      <c r="F16" s="778"/>
      <c r="G16" s="778"/>
      <c r="H16" s="778"/>
      <c r="I16" s="778"/>
      <c r="J16" s="42"/>
      <c r="K16" s="35"/>
    </row>
    <row r="17" spans="1:11" ht="14.6" x14ac:dyDescent="0.4">
      <c r="A17" s="216"/>
      <c r="B17" s="221" t="str">
        <f>LEFT(A16,4)&amp;"-1"</f>
        <v>6330-1</v>
      </c>
      <c r="C17" s="352" t="s">
        <v>455</v>
      </c>
      <c r="D17" s="205">
        <v>1</v>
      </c>
      <c r="E17" s="206">
        <v>300</v>
      </c>
      <c r="F17" s="414">
        <f t="shared" ref="F17" si="9">D17*E17</f>
        <v>300</v>
      </c>
      <c r="G17" s="415">
        <f ca="1">(-SUMIF(INDIRECT(LEFT($A$16,4)&amp;"!I3:I200"),"="&amp;B17&amp;" *",INDIRECT(LEFT($A16,4)&amp;"!K3:K200")))</f>
        <v>0</v>
      </c>
      <c r="H17" s="415">
        <f ca="1">SUM(F17:G17)</f>
        <v>300</v>
      </c>
      <c r="I17" s="244">
        <v>300</v>
      </c>
      <c r="J17" s="42"/>
      <c r="K17" s="197"/>
    </row>
    <row r="18" spans="1:11" ht="14.6" x14ac:dyDescent="0.4">
      <c r="A18" s="147"/>
      <c r="B18" s="147" t="str">
        <f>LEFT($B17,4)&amp;"-"&amp;VALUE(MID($B17,FIND("-",$B17)+1,256))+1</f>
        <v>6330-2</v>
      </c>
      <c r="C18" s="198" t="s">
        <v>456</v>
      </c>
      <c r="D18" s="164">
        <v>8000</v>
      </c>
      <c r="E18" s="157">
        <v>0.74</v>
      </c>
      <c r="F18" s="188">
        <f t="shared" ref="F18:F25" si="10">D18*E18</f>
        <v>5920</v>
      </c>
      <c r="G18" s="199">
        <f ca="1">(-SUMIF(INDIRECT(LEFT($A$16,4)&amp;"!I3:I200"),"="&amp;B18&amp;" *",INDIRECT(LEFT($A$16,4)&amp;"!K3:K200")))</f>
        <v>-5600</v>
      </c>
      <c r="H18" s="743">
        <f t="shared" ref="H18" ca="1" si="11">SUM(F18:G18)</f>
        <v>320</v>
      </c>
      <c r="I18" s="153">
        <v>5920</v>
      </c>
      <c r="J18" s="42"/>
      <c r="K18" s="35"/>
    </row>
    <row r="19" spans="1:11" ht="14.6" x14ac:dyDescent="0.4">
      <c r="A19" s="219"/>
      <c r="B19" s="219" t="str">
        <f t="shared" ref="B19:B25" si="12">LEFT($B18,4)&amp;"-"&amp;VALUE(MID($B18,FIND("-",$B18)+1,256))+1</f>
        <v>6330-3</v>
      </c>
      <c r="C19" s="344" t="s">
        <v>457</v>
      </c>
      <c r="D19" s="416">
        <v>8</v>
      </c>
      <c r="E19" s="206">
        <v>143</v>
      </c>
      <c r="F19" s="414">
        <f t="shared" si="10"/>
        <v>1144</v>
      </c>
      <c r="G19" s="228">
        <f t="shared" ref="G19:G25" ca="1" si="13">(-SUMIF(INDIRECT(LEFT($A$16,4)&amp;"!I3:I200"),"="&amp;B19&amp;" *",INDIRECT(LEFT($A$16,4)&amp;"!K3:K200")))</f>
        <v>-3497.15</v>
      </c>
      <c r="H19" s="63">
        <f t="shared" ref="H19:H20" ca="1" si="14">SUM(F19:G19)</f>
        <v>-2353.15</v>
      </c>
      <c r="I19" s="244">
        <v>1120</v>
      </c>
      <c r="J19" s="42"/>
      <c r="K19" s="33"/>
    </row>
    <row r="20" spans="1:11" ht="14.6" x14ac:dyDescent="0.4">
      <c r="A20" s="147"/>
      <c r="B20" s="147" t="str">
        <f t="shared" si="12"/>
        <v>6330-4</v>
      </c>
      <c r="C20" s="200" t="s">
        <v>126</v>
      </c>
      <c r="D20" s="161">
        <v>1900</v>
      </c>
      <c r="E20" s="157">
        <v>4.0599999999999996</v>
      </c>
      <c r="F20" s="188">
        <f t="shared" si="10"/>
        <v>7713.9999999999991</v>
      </c>
      <c r="G20" s="199">
        <f t="shared" ca="1" si="13"/>
        <v>-8040</v>
      </c>
      <c r="H20" s="743">
        <f t="shared" ca="1" si="14"/>
        <v>-326.00000000000091</v>
      </c>
      <c r="I20" s="153">
        <v>7840</v>
      </c>
      <c r="J20" s="42"/>
      <c r="K20" s="35"/>
    </row>
    <row r="21" spans="1:11" ht="14.6" x14ac:dyDescent="0.4">
      <c r="A21" s="219"/>
      <c r="B21" s="219" t="str">
        <f t="shared" si="12"/>
        <v>6330-5</v>
      </c>
      <c r="C21" s="260" t="s">
        <v>130</v>
      </c>
      <c r="D21" s="205">
        <v>200</v>
      </c>
      <c r="E21" s="206">
        <v>0.5</v>
      </c>
      <c r="F21" s="414">
        <f t="shared" si="10"/>
        <v>100</v>
      </c>
      <c r="G21" s="228">
        <f t="shared" ca="1" si="13"/>
        <v>0</v>
      </c>
      <c r="H21" s="63">
        <f t="shared" ref="H21:H25" ca="1" si="15">SUM(F21:G21)</f>
        <v>100</v>
      </c>
      <c r="I21" s="244">
        <v>100</v>
      </c>
      <c r="J21" s="42"/>
      <c r="K21" s="35"/>
    </row>
    <row r="22" spans="1:11" ht="14.6" x14ac:dyDescent="0.4">
      <c r="A22" s="147"/>
      <c r="B22" s="147" t="str">
        <f t="shared" si="12"/>
        <v>6330-6</v>
      </c>
      <c r="C22" s="200" t="s">
        <v>160</v>
      </c>
      <c r="D22" s="170">
        <v>300</v>
      </c>
      <c r="E22" s="157">
        <v>0.09</v>
      </c>
      <c r="F22" s="188">
        <f t="shared" si="10"/>
        <v>27</v>
      </c>
      <c r="G22" s="199">
        <f t="shared" ca="1" si="13"/>
        <v>0</v>
      </c>
      <c r="H22" s="743">
        <f t="shared" ca="1" si="15"/>
        <v>27</v>
      </c>
      <c r="I22" s="153">
        <v>27</v>
      </c>
      <c r="J22" s="42"/>
      <c r="K22" s="35"/>
    </row>
    <row r="23" spans="1:11" ht="14.6" x14ac:dyDescent="0.4">
      <c r="A23" s="62"/>
      <c r="B23" s="219" t="str">
        <f t="shared" si="12"/>
        <v>6330-7</v>
      </c>
      <c r="C23" s="33" t="s">
        <v>458</v>
      </c>
      <c r="D23" s="51">
        <v>1</v>
      </c>
      <c r="E23" s="39">
        <v>900</v>
      </c>
      <c r="F23" s="41">
        <f t="shared" si="10"/>
        <v>900</v>
      </c>
      <c r="G23" s="228">
        <f t="shared" ca="1" si="13"/>
        <v>-1715</v>
      </c>
      <c r="H23" s="63">
        <f t="shared" ca="1" si="15"/>
        <v>-815</v>
      </c>
      <c r="I23" s="33">
        <v>900</v>
      </c>
      <c r="J23" s="42"/>
      <c r="K23" s="197"/>
    </row>
    <row r="24" spans="1:11" ht="29.15" x14ac:dyDescent="0.4">
      <c r="A24" s="386"/>
      <c r="B24" s="147" t="str">
        <f t="shared" si="12"/>
        <v>6330-8</v>
      </c>
      <c r="C24" s="360" t="s">
        <v>459</v>
      </c>
      <c r="D24" s="208">
        <v>8000</v>
      </c>
      <c r="E24" s="417">
        <v>7.0000000000000007E-2</v>
      </c>
      <c r="F24" s="418">
        <f t="shared" si="10"/>
        <v>560</v>
      </c>
      <c r="G24" s="199">
        <f t="shared" ca="1" si="13"/>
        <v>0</v>
      </c>
      <c r="H24" s="743">
        <f t="shared" ca="1" si="15"/>
        <v>560</v>
      </c>
      <c r="I24" s="338">
        <v>560</v>
      </c>
      <c r="J24" s="42"/>
      <c r="K24" s="197"/>
    </row>
    <row r="25" spans="1:11" ht="14.6" x14ac:dyDescent="0.4">
      <c r="A25" s="62"/>
      <c r="B25" s="219" t="str">
        <f t="shared" si="12"/>
        <v>6330-9</v>
      </c>
      <c r="C25" s="33" t="s">
        <v>460</v>
      </c>
      <c r="D25" s="51">
        <v>15</v>
      </c>
      <c r="E25" s="39">
        <v>20</v>
      </c>
      <c r="F25" s="41">
        <f t="shared" si="10"/>
        <v>300</v>
      </c>
      <c r="G25" s="228">
        <f t="shared" ca="1" si="13"/>
        <v>-200</v>
      </c>
      <c r="H25" s="63">
        <f t="shared" ca="1" si="15"/>
        <v>100</v>
      </c>
      <c r="I25" s="33">
        <v>0</v>
      </c>
      <c r="J25" s="42"/>
      <c r="K25" s="197"/>
    </row>
    <row r="26" spans="1:11" ht="14.6" x14ac:dyDescent="0.4">
      <c r="A26" s="49"/>
      <c r="B26" s="225"/>
      <c r="C26" s="50" t="s">
        <v>66</v>
      </c>
      <c r="D26" s="51"/>
      <c r="E26" s="411">
        <f>(F26-I26)/I26</f>
        <v>1.1808910359634998E-2</v>
      </c>
      <c r="F26" s="412">
        <f>SUM(F17:F25)</f>
        <v>16965</v>
      </c>
      <c r="G26" s="412">
        <f t="shared" ref="G26:H26" ca="1" si="16">SUM(G17:G25)</f>
        <v>-19052.150000000001</v>
      </c>
      <c r="H26" s="396">
        <f t="shared" ca="1" si="16"/>
        <v>-2087.150000000001</v>
      </c>
      <c r="I26" s="336">
        <f>SUM(I17:I25)</f>
        <v>16767</v>
      </c>
      <c r="J26" s="42"/>
      <c r="K26" s="35"/>
    </row>
    <row r="27" spans="1:11" ht="15.75" customHeight="1" x14ac:dyDescent="0.4">
      <c r="A27" s="49"/>
      <c r="B27" s="225"/>
      <c r="C27" s="55"/>
      <c r="D27" s="56"/>
      <c r="E27" s="57"/>
      <c r="F27" s="58"/>
      <c r="G27" s="58"/>
      <c r="H27" s="58"/>
      <c r="I27" s="33"/>
      <c r="J27" s="42"/>
      <c r="K27" s="35"/>
    </row>
    <row r="28" spans="1:11" ht="19.5" customHeight="1" x14ac:dyDescent="0.5">
      <c r="A28" s="777" t="s">
        <v>461</v>
      </c>
      <c r="B28" s="777"/>
      <c r="C28" s="778"/>
      <c r="D28" s="778"/>
      <c r="E28" s="778"/>
      <c r="F28" s="778"/>
      <c r="G28" s="778"/>
      <c r="H28" s="778"/>
      <c r="I28" s="778"/>
      <c r="J28" s="42"/>
      <c r="K28" s="35"/>
    </row>
    <row r="29" spans="1:11" s="525" customFormat="1" ht="14.6" x14ac:dyDescent="0.4">
      <c r="A29" s="716"/>
      <c r="B29" s="717" t="str">
        <f>LEFT(A28,4)&amp;"-1"</f>
        <v>6340-1</v>
      </c>
      <c r="C29" s="520" t="s">
        <v>525</v>
      </c>
      <c r="D29" s="524">
        <v>20</v>
      </c>
      <c r="E29" s="526">
        <v>120</v>
      </c>
      <c r="F29" s="714">
        <f>D29*E29</f>
        <v>2400</v>
      </c>
      <c r="G29" s="520">
        <f ca="1">(-SUMIF(INDIRECT(LEFT($A$28,4)&amp;"!I3:I200"),"="&amp;B29&amp;" *",INDIRECT(LEFT($A$28,4)&amp;"!K3:K200")))</f>
        <v>-1589.15</v>
      </c>
      <c r="H29" s="520">
        <f ca="1">SUM(F29:G29)</f>
        <v>810.84999999999991</v>
      </c>
      <c r="I29" s="520">
        <v>1920</v>
      </c>
      <c r="J29" s="715"/>
      <c r="K29" s="716"/>
    </row>
    <row r="30" spans="1:11" ht="14.6" x14ac:dyDescent="0.4">
      <c r="A30" s="718"/>
      <c r="B30" s="719" t="str">
        <f>LEFT($B29,4)&amp;"-"&amp;VALUE(MID($B29,FIND("-",$B29)+1,256))+1</f>
        <v>6340-2</v>
      </c>
      <c r="C30" s="720" t="s">
        <v>526</v>
      </c>
      <c r="D30" s="380">
        <v>20</v>
      </c>
      <c r="E30" s="381">
        <v>120</v>
      </c>
      <c r="F30" s="709">
        <f>D30*E30</f>
        <v>2400</v>
      </c>
      <c r="G30" s="721">
        <f ca="1">(-SUMIF(INDIRECT(LEFT($A$28,4)&amp;"!I3:I200"),"="&amp;B30&amp;" *",INDIRECT(LEFT($A$28,4)&amp;"!K3:K200")))</f>
        <v>-1613.8700000000003</v>
      </c>
      <c r="H30" s="721">
        <f t="shared" ref="H30" ca="1" si="17">SUM(F30:G30)</f>
        <v>786.12999999999965</v>
      </c>
      <c r="I30" s="382">
        <v>1920</v>
      </c>
      <c r="J30" s="42"/>
      <c r="K30" s="35"/>
    </row>
    <row r="31" spans="1:11" ht="14.6" x14ac:dyDescent="0.4">
      <c r="A31" s="49"/>
      <c r="B31" s="225"/>
      <c r="C31" s="50" t="s">
        <v>66</v>
      </c>
      <c r="D31" s="51"/>
      <c r="E31" s="411">
        <f>(F31-I31)/I31</f>
        <v>0.25</v>
      </c>
      <c r="F31" s="412">
        <f>SUM(F29:F30)</f>
        <v>4800</v>
      </c>
      <c r="G31" s="412">
        <f t="shared" ref="G31:H31" ca="1" si="18">SUM(G29:G30)</f>
        <v>-3203.0200000000004</v>
      </c>
      <c r="H31" s="412">
        <f t="shared" ca="1" si="18"/>
        <v>1596.9799999999996</v>
      </c>
      <c r="I31" s="336">
        <v>3840</v>
      </c>
      <c r="J31" s="42"/>
      <c r="K31" s="35"/>
    </row>
    <row r="32" spans="1:11" ht="15.75" customHeight="1" x14ac:dyDescent="0.4">
      <c r="A32" s="49"/>
      <c r="B32" s="225"/>
      <c r="C32" s="55"/>
      <c r="D32" s="56"/>
      <c r="E32" s="57"/>
      <c r="F32" s="58"/>
      <c r="G32" s="58"/>
      <c r="H32" s="58"/>
      <c r="I32" s="33"/>
      <c r="J32" s="35"/>
      <c r="K32" s="35"/>
    </row>
    <row r="33" spans="1:11" ht="19.5" customHeight="1" x14ac:dyDescent="0.5">
      <c r="A33" s="777" t="s">
        <v>462</v>
      </c>
      <c r="B33" s="777"/>
      <c r="C33" s="778"/>
      <c r="D33" s="778"/>
      <c r="E33" s="778"/>
      <c r="F33" s="778"/>
      <c r="G33" s="778"/>
      <c r="H33" s="778"/>
      <c r="I33" s="778"/>
      <c r="J33" s="35"/>
      <c r="K33" s="35"/>
    </row>
    <row r="34" spans="1:11" ht="14.6" x14ac:dyDescent="0.4">
      <c r="A34" s="35"/>
      <c r="B34" s="226" t="str">
        <f>LEFT(A33,4)&amp;"-1"</f>
        <v>6350-1</v>
      </c>
      <c r="C34" s="33" t="s">
        <v>463</v>
      </c>
      <c r="D34" s="51">
        <v>1</v>
      </c>
      <c r="E34" s="60">
        <v>1500</v>
      </c>
      <c r="F34" s="41">
        <f t="shared" ref="F34:F35" si="19">SUM(D34*E34)</f>
        <v>1500</v>
      </c>
      <c r="G34" s="33">
        <f ca="1">(-SUMIF(INDIRECT(LEFT($A$33,4)&amp;"!I3:I200"),"="&amp;B34&amp;" *",INDIRECT(LEFT($A$33,4)&amp;"!K3:K200")))</f>
        <v>-5482.98</v>
      </c>
      <c r="H34" s="33">
        <f ca="1">SUM(F34:G34)</f>
        <v>-3982.9799999999996</v>
      </c>
      <c r="I34" s="33">
        <v>1500</v>
      </c>
      <c r="J34" s="42"/>
      <c r="K34" s="35"/>
    </row>
    <row r="35" spans="1:11" ht="14.6" x14ac:dyDescent="0.4">
      <c r="A35" s="192" t="s">
        <v>464</v>
      </c>
      <c r="B35" s="192" t="str">
        <f>LEFT($B34,4)&amp;"-"&amp;VALUE(MID($B34,FIND("-",$B34)+1,256))+1</f>
        <v>6350-2</v>
      </c>
      <c r="C35" s="162" t="s">
        <v>465</v>
      </c>
      <c r="D35" s="161">
        <v>1</v>
      </c>
      <c r="E35" s="157">
        <v>1500</v>
      </c>
      <c r="F35" s="188">
        <f t="shared" si="19"/>
        <v>1500</v>
      </c>
      <c r="G35" s="152">
        <f ca="1">(-SUMIF(INDIRECT(LEFT($A$33,4)&amp;"!I3:I200"),"="&amp;B35&amp;" *",INDIRECT(LEFT($A$33,4)&amp;"!K3:K200")))</f>
        <v>-1400</v>
      </c>
      <c r="H35" s="152">
        <f t="shared" ref="H35" ca="1" si="20">SUM(F35:G35)</f>
        <v>100</v>
      </c>
      <c r="I35" s="153">
        <v>1500</v>
      </c>
      <c r="J35" s="42"/>
      <c r="K35" s="35"/>
    </row>
    <row r="36" spans="1:11" ht="14.6" x14ac:dyDescent="0.4">
      <c r="A36" s="49"/>
      <c r="B36" s="225"/>
      <c r="C36" s="50" t="s">
        <v>66</v>
      </c>
      <c r="D36" s="66"/>
      <c r="E36" s="411">
        <f>(F36-I36)/I36</f>
        <v>0</v>
      </c>
      <c r="F36" s="412">
        <f>SUM(F34:F35)</f>
        <v>3000</v>
      </c>
      <c r="G36" s="412">
        <f t="shared" ref="G36:H36" ca="1" si="21">SUM(G34:G35)</f>
        <v>-6882.98</v>
      </c>
      <c r="H36" s="412">
        <f t="shared" ca="1" si="21"/>
        <v>-3882.9799999999996</v>
      </c>
      <c r="I36" s="336">
        <f>SUM(I34:I35)</f>
        <v>3000</v>
      </c>
      <c r="J36" s="42"/>
      <c r="K36" s="35"/>
    </row>
    <row r="37" spans="1:11" ht="14.6" x14ac:dyDescent="0.4">
      <c r="F37" s="54"/>
      <c r="G37" s="54"/>
      <c r="H37" s="54"/>
      <c r="I37" s="54"/>
      <c r="J37" s="42"/>
    </row>
    <row r="38" spans="1:11" ht="14.6" x14ac:dyDescent="0.4">
      <c r="C38" s="68"/>
      <c r="E38" s="411">
        <f>SUM(F38-I38)/I38</f>
        <v>0.16631758988513753</v>
      </c>
      <c r="F38" s="70">
        <f>SUM(F36+F31+F26+F14+F9)</f>
        <v>227755</v>
      </c>
      <c r="G38" s="70">
        <f t="shared" ref="G38:H38" ca="1" si="22">SUM(G36+G31+G26+G14+G9)</f>
        <v>-200915.62</v>
      </c>
      <c r="H38" s="70">
        <f t="shared" ca="1" si="22"/>
        <v>26839.379999999997</v>
      </c>
      <c r="I38" s="71">
        <f>SUM(I36+I31+I26+I14+I9)</f>
        <v>195277</v>
      </c>
      <c r="J38" s="42"/>
    </row>
    <row r="39" spans="1:11" ht="15.75" customHeight="1" x14ac:dyDescent="0.4"/>
  </sheetData>
  <mergeCells count="5">
    <mergeCell ref="A2:I2"/>
    <mergeCell ref="A11:I11"/>
    <mergeCell ref="A16:I16"/>
    <mergeCell ref="A33:I33"/>
    <mergeCell ref="A28:I28"/>
  </mergeCells>
  <conditionalFormatting sqref="E9">
    <cfRule type="cellIs" dxfId="23" priority="16" operator="lessThan">
      <formula>0</formula>
    </cfRule>
    <cfRule type="cellIs" dxfId="22" priority="17" operator="greaterThan">
      <formula>0</formula>
    </cfRule>
    <cfRule type="cellIs" dxfId="21" priority="18" operator="equal">
      <formula>0</formula>
    </cfRule>
  </conditionalFormatting>
  <conditionalFormatting sqref="E14">
    <cfRule type="cellIs" dxfId="20" priority="13" operator="lessThan">
      <formula>0</formula>
    </cfRule>
    <cfRule type="cellIs" dxfId="19" priority="14" operator="greaterThan">
      <formula>0</formula>
    </cfRule>
    <cfRule type="cellIs" dxfId="18" priority="15" operator="equal">
      <formula>0</formula>
    </cfRule>
  </conditionalFormatting>
  <conditionalFormatting sqref="E26">
    <cfRule type="cellIs" dxfId="17" priority="10" operator="lessThan">
      <formula>0</formula>
    </cfRule>
    <cfRule type="cellIs" dxfId="16" priority="11" operator="greaterThan">
      <formula>0</formula>
    </cfRule>
    <cfRule type="cellIs" dxfId="15" priority="12" operator="equal">
      <formula>0</formula>
    </cfRule>
  </conditionalFormatting>
  <conditionalFormatting sqref="E31">
    <cfRule type="cellIs" dxfId="14" priority="7" operator="lessThan">
      <formula>0</formula>
    </cfRule>
    <cfRule type="cellIs" dxfId="13" priority="8" operator="greaterThan">
      <formula>0</formula>
    </cfRule>
    <cfRule type="cellIs" dxfId="12" priority="9" operator="equal">
      <formula>0</formula>
    </cfRule>
  </conditionalFormatting>
  <conditionalFormatting sqref="E36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equal">
      <formula>0</formula>
    </cfRule>
  </conditionalFormatting>
  <conditionalFormatting sqref="E38">
    <cfRule type="cellIs" dxfId="8" priority="4" operator="lessThan">
      <formula>0</formula>
    </cfRule>
    <cfRule type="cellIs" dxfId="7" priority="5" operator="greaterThan">
      <formula>0</formula>
    </cfRule>
    <cfRule type="cellIs" dxfId="6" priority="6" operator="equal">
      <formula>0</formula>
    </cfRule>
  </conditionalFormatting>
  <conditionalFormatting sqref="F2:F1048576 G9:H9 G14:H14 G26:H26 G31:H31 G36:H36 G38:H38">
    <cfRule type="expression" dxfId="5" priority="19">
      <formula>F2=I2</formula>
    </cfRule>
    <cfRule type="expression" dxfId="4" priority="20">
      <formula>F2&lt;I2</formula>
    </cfRule>
    <cfRule type="expression" dxfId="3" priority="21">
      <formula>F2&gt;I2</formula>
    </cfRule>
  </conditionalFormatting>
  <printOptions horizontalCentered="1"/>
  <pageMargins left="0.25" right="0.25" top="1" bottom="0.5" header="0.5" footer="0"/>
  <pageSetup scale="92" fitToHeight="0" orientation="landscape" r:id="rId1"/>
  <headerFooter>
    <oddHeader>&amp;C&amp;"Calibri,Bold"&amp;20 2020 Budget Requested - Appraisal Review Board (ARB)</oddHeader>
  </headerFooter>
  <rowBreaks count="1" manualBreakCount="1">
    <brk id="27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workbookViewId="0">
      <selection activeCell="A46" sqref="A46:XFD288"/>
    </sheetView>
  </sheetViews>
  <sheetFormatPr defaultColWidth="14.3828125" defaultRowHeight="15" customHeight="1" x14ac:dyDescent="0.4"/>
  <cols>
    <col min="1" max="1" width="9" customWidth="1"/>
    <col min="2" max="2" width="7.53515625" customWidth="1"/>
    <col min="3" max="3" width="8.69140625" customWidth="1"/>
    <col min="4" max="4" width="15" customWidth="1"/>
    <col min="5" max="5" width="15" bestFit="1" customWidth="1"/>
    <col min="6" max="6" width="8.15234375" bestFit="1" customWidth="1"/>
    <col min="7" max="7" width="6.53515625" customWidth="1"/>
    <col min="8" max="8" width="10.53515625" customWidth="1"/>
    <col min="9" max="9" width="6.53515625" customWidth="1"/>
    <col min="10" max="11" width="10.69140625" customWidth="1"/>
    <col min="12" max="12" width="17.3828125" bestFit="1" customWidth="1"/>
    <col min="13" max="13" width="15" bestFit="1" customWidth="1"/>
    <col min="14" max="16" width="10.69140625" customWidth="1"/>
  </cols>
  <sheetData>
    <row r="2" spans="1:16" ht="26.15" x14ac:dyDescent="0.7">
      <c r="A2" s="780" t="s">
        <v>542</v>
      </c>
      <c r="B2" s="780"/>
      <c r="C2" s="780"/>
      <c r="D2" s="780"/>
      <c r="E2" s="780"/>
      <c r="F2" s="780"/>
      <c r="G2" s="780"/>
      <c r="H2" s="780"/>
      <c r="I2" s="780"/>
      <c r="J2" s="771" t="s">
        <v>543</v>
      </c>
      <c r="K2" s="771"/>
      <c r="L2" s="771"/>
      <c r="M2" s="771"/>
      <c r="N2" s="771"/>
      <c r="O2" s="771"/>
      <c r="P2" s="771"/>
    </row>
    <row r="3" spans="1:16" ht="26.15" x14ac:dyDescent="0.7">
      <c r="A3" s="780" t="s">
        <v>538</v>
      </c>
      <c r="B3" s="780"/>
      <c r="C3" s="780"/>
      <c r="D3" s="780"/>
      <c r="E3" s="780"/>
      <c r="F3" s="780"/>
      <c r="G3" s="780"/>
      <c r="H3" s="780"/>
      <c r="I3" s="780"/>
      <c r="J3" s="780" t="s">
        <v>538</v>
      </c>
      <c r="K3" s="780"/>
      <c r="L3" s="780"/>
      <c r="M3" s="780"/>
      <c r="N3" s="780"/>
      <c r="O3" s="780"/>
      <c r="P3" s="780"/>
    </row>
    <row r="4" spans="1:16" ht="15" customHeight="1" x14ac:dyDescent="0.4">
      <c r="D4" s="750" t="s">
        <v>447</v>
      </c>
      <c r="E4" s="751" t="s">
        <v>466</v>
      </c>
      <c r="F4" s="752" t="s">
        <v>467</v>
      </c>
      <c r="L4" s="750" t="s">
        <v>447</v>
      </c>
      <c r="M4" s="751" t="s">
        <v>466</v>
      </c>
      <c r="N4" s="752" t="s">
        <v>467</v>
      </c>
    </row>
    <row r="5" spans="1:16" ht="15" customHeight="1" x14ac:dyDescent="0.4">
      <c r="D5" s="744" t="s">
        <v>13</v>
      </c>
      <c r="E5" s="745">
        <f>SUM(Summary!C3:C8)</f>
        <v>6553600</v>
      </c>
      <c r="F5" s="746">
        <f>E5/$E$10</f>
        <v>0.70607755044873244</v>
      </c>
      <c r="L5" s="744" t="s">
        <v>469</v>
      </c>
      <c r="M5" s="745">
        <f>'ARB Budget'!F9</f>
        <v>201930</v>
      </c>
      <c r="N5" s="746">
        <f t="shared" ref="N5:N10" si="0">M5/$M$10</f>
        <v>0.88643546971027221</v>
      </c>
    </row>
    <row r="6" spans="1:16" ht="15" customHeight="1" x14ac:dyDescent="0.4">
      <c r="D6" s="747" t="s">
        <v>468</v>
      </c>
      <c r="E6" s="748">
        <f>SUM(Summary!C9:C14)</f>
        <v>411000</v>
      </c>
      <c r="F6" s="749">
        <f>E6/$E$10</f>
        <v>4.428068134070267E-2</v>
      </c>
      <c r="L6" s="747" t="s">
        <v>468</v>
      </c>
      <c r="M6" s="748">
        <f>'ARB Budget'!F14</f>
        <v>1060</v>
      </c>
      <c r="N6" s="749">
        <f t="shared" si="0"/>
        <v>4.6532045654082525E-3</v>
      </c>
    </row>
    <row r="7" spans="1:16" ht="15" customHeight="1" x14ac:dyDescent="0.4">
      <c r="D7" s="744" t="s">
        <v>27</v>
      </c>
      <c r="E7" s="745">
        <f>SUM(Summary!C15:C27)</f>
        <v>1825300</v>
      </c>
      <c r="F7" s="746">
        <f>E7/$E$10</f>
        <v>0.19665578503937856</v>
      </c>
      <c r="L7" s="744" t="s">
        <v>470</v>
      </c>
      <c r="M7" s="745">
        <f>'ARB Budget'!F26</f>
        <v>16965</v>
      </c>
      <c r="N7" s="746">
        <f t="shared" si="0"/>
        <v>7.4473222124670765E-2</v>
      </c>
    </row>
    <row r="8" spans="1:16" ht="15" customHeight="1" x14ac:dyDescent="0.4">
      <c r="D8" s="747" t="s">
        <v>39</v>
      </c>
      <c r="E8" s="748">
        <f>SUM(Summary!C28)</f>
        <v>425600</v>
      </c>
      <c r="F8" s="749">
        <f>E8/$E$10</f>
        <v>4.5853669047696007E-2</v>
      </c>
      <c r="L8" s="747" t="s">
        <v>471</v>
      </c>
      <c r="M8" s="748">
        <f>'ARB Budget'!F31</f>
        <v>4800</v>
      </c>
      <c r="N8" s="749">
        <f t="shared" si="0"/>
        <v>2.1071115013169446E-2</v>
      </c>
    </row>
    <row r="9" spans="1:16" ht="15" customHeight="1" x14ac:dyDescent="0.4">
      <c r="D9" s="744" t="s">
        <v>43</v>
      </c>
      <c r="E9" s="745">
        <f>SUM(Summary!C29:C31)</f>
        <v>66200</v>
      </c>
      <c r="F9" s="746">
        <f>E9/$E$10</f>
        <v>7.132314123490309E-3</v>
      </c>
      <c r="L9" s="744" t="s">
        <v>472</v>
      </c>
      <c r="M9" s="745">
        <f>'ARB Budget'!F36</f>
        <v>3000</v>
      </c>
      <c r="N9" s="746">
        <f t="shared" si="0"/>
        <v>1.3169446883230905E-2</v>
      </c>
    </row>
    <row r="10" spans="1:16" ht="15" customHeight="1" x14ac:dyDescent="0.4">
      <c r="D10" s="747" t="s">
        <v>446</v>
      </c>
      <c r="E10" s="748">
        <f t="shared" ref="E10:F10" si="1">SUM(E5:E9)</f>
        <v>9281700</v>
      </c>
      <c r="F10" s="749">
        <f t="shared" si="1"/>
        <v>1</v>
      </c>
      <c r="L10" s="747" t="s">
        <v>446</v>
      </c>
      <c r="M10" s="748">
        <f>SUM(ROUNDUP(SUBTOTAL(109,M5:M9),-2))</f>
        <v>227800</v>
      </c>
      <c r="N10" s="749">
        <f t="shared" si="0"/>
        <v>1</v>
      </c>
    </row>
    <row r="11" spans="1:16" s="525" customFormat="1" ht="15" customHeight="1" x14ac:dyDescent="0.4">
      <c r="D11" s="753"/>
      <c r="E11" s="754"/>
      <c r="F11" s="755"/>
      <c r="M11" s="753"/>
      <c r="N11" s="754"/>
      <c r="O11" s="755"/>
    </row>
    <row r="12" spans="1:16" s="525" customFormat="1" ht="15" customHeight="1" x14ac:dyDescent="0.4">
      <c r="D12" s="753"/>
      <c r="E12" s="754"/>
      <c r="F12" s="755"/>
      <c r="M12" s="753"/>
      <c r="N12" s="754"/>
      <c r="O12" s="755"/>
    </row>
  </sheetData>
  <mergeCells count="4">
    <mergeCell ref="J2:P2"/>
    <mergeCell ref="J3:P3"/>
    <mergeCell ref="A2:I2"/>
    <mergeCell ref="A3:I3"/>
  </mergeCells>
  <printOptions horizontalCentered="1"/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K148"/>
  <sheetViews>
    <sheetView workbookViewId="0">
      <pane xSplit="3" ySplit="1" topLeftCell="D11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26.304687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5.84375" style="760" bestFit="1" customWidth="1"/>
    <col min="8" max="8" width="27.53515625" style="760" bestFit="1" customWidth="1"/>
    <col min="9" max="10" width="30.69140625" style="760" customWidth="1"/>
    <col min="11" max="11" width="8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925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43836</v>
      </c>
      <c r="G4" s="94" t="s">
        <v>546</v>
      </c>
      <c r="H4" s="94" t="s">
        <v>579</v>
      </c>
      <c r="I4" s="94" t="s">
        <v>584</v>
      </c>
      <c r="J4" s="94" t="s">
        <v>733</v>
      </c>
      <c r="K4" s="97">
        <v>76.930000000000007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43837</v>
      </c>
      <c r="G5" s="94" t="s">
        <v>547</v>
      </c>
      <c r="H5" s="94" t="s">
        <v>580</v>
      </c>
      <c r="I5" s="94" t="s">
        <v>584</v>
      </c>
      <c r="J5" s="94" t="s">
        <v>733</v>
      </c>
      <c r="K5" s="97">
        <v>10.99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43843</v>
      </c>
      <c r="G6" s="94" t="s">
        <v>549</v>
      </c>
      <c r="H6" s="94" t="s">
        <v>580</v>
      </c>
      <c r="I6" s="94" t="s">
        <v>585</v>
      </c>
      <c r="J6" s="94" t="s">
        <v>733</v>
      </c>
      <c r="K6" s="97">
        <v>14.75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43843</v>
      </c>
      <c r="G7" s="94" t="s">
        <v>550</v>
      </c>
      <c r="H7" s="94" t="s">
        <v>580</v>
      </c>
      <c r="I7" s="94" t="s">
        <v>585</v>
      </c>
      <c r="J7" s="94" t="s">
        <v>733</v>
      </c>
      <c r="K7" s="97">
        <v>25.98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43843</v>
      </c>
      <c r="G8" s="94" t="s">
        <v>551</v>
      </c>
      <c r="H8" s="94" t="s">
        <v>580</v>
      </c>
      <c r="I8" s="94" t="s">
        <v>585</v>
      </c>
      <c r="J8" s="94" t="s">
        <v>733</v>
      </c>
      <c r="K8" s="97">
        <v>14.77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43846</v>
      </c>
      <c r="G9" s="94" t="s">
        <v>552</v>
      </c>
      <c r="H9" s="94" t="s">
        <v>579</v>
      </c>
      <c r="I9" s="94" t="s">
        <v>586</v>
      </c>
      <c r="J9" s="94" t="s">
        <v>733</v>
      </c>
      <c r="K9" s="97">
        <v>25.29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43846</v>
      </c>
      <c r="G10" s="94" t="s">
        <v>553</v>
      </c>
      <c r="H10" s="94" t="s">
        <v>579</v>
      </c>
      <c r="I10" s="94" t="s">
        <v>584</v>
      </c>
      <c r="J10" s="94" t="s">
        <v>733</v>
      </c>
      <c r="K10" s="97">
        <v>43.98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43846</v>
      </c>
      <c r="G11" s="94" t="s">
        <v>554</v>
      </c>
      <c r="H11" s="94" t="s">
        <v>579</v>
      </c>
      <c r="I11" s="94" t="s">
        <v>584</v>
      </c>
      <c r="J11" s="94" t="s">
        <v>733</v>
      </c>
      <c r="K11" s="97">
        <v>135.13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43847</v>
      </c>
      <c r="G12" s="94" t="s">
        <v>555</v>
      </c>
      <c r="H12" s="94" t="s">
        <v>581</v>
      </c>
      <c r="I12" s="94" t="s">
        <v>587</v>
      </c>
      <c r="J12" s="94" t="s">
        <v>733</v>
      </c>
      <c r="K12" s="97">
        <v>45.17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43851</v>
      </c>
      <c r="G13" s="94" t="s">
        <v>556</v>
      </c>
      <c r="H13" s="94" t="s">
        <v>581</v>
      </c>
      <c r="I13" s="94" t="s">
        <v>588</v>
      </c>
      <c r="J13" s="94" t="s">
        <v>733</v>
      </c>
      <c r="K13" s="97">
        <v>45.17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43851</v>
      </c>
      <c r="G14" s="94" t="s">
        <v>558</v>
      </c>
      <c r="H14" s="94" t="s">
        <v>580</v>
      </c>
      <c r="I14" s="94" t="s">
        <v>584</v>
      </c>
      <c r="J14" s="94" t="s">
        <v>733</v>
      </c>
      <c r="K14" s="97">
        <v>9.58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43852</v>
      </c>
      <c r="G15" s="94" t="s">
        <v>559</v>
      </c>
      <c r="H15" s="94" t="s">
        <v>581</v>
      </c>
      <c r="I15" s="94" t="s">
        <v>589</v>
      </c>
      <c r="J15" s="94" t="s">
        <v>733</v>
      </c>
      <c r="K15" s="97">
        <v>55.09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43852</v>
      </c>
      <c r="G16" s="94" t="s">
        <v>560</v>
      </c>
      <c r="H16" s="94" t="s">
        <v>580</v>
      </c>
      <c r="I16" s="94" t="s">
        <v>584</v>
      </c>
      <c r="J16" s="94" t="s">
        <v>733</v>
      </c>
      <c r="K16" s="97">
        <v>44.69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43853</v>
      </c>
      <c r="G17" s="94" t="s">
        <v>561</v>
      </c>
      <c r="H17" s="94" t="s">
        <v>579</v>
      </c>
      <c r="I17" s="94" t="s">
        <v>584</v>
      </c>
      <c r="J17" s="94" t="s">
        <v>733</v>
      </c>
      <c r="K17" s="97">
        <v>27.45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43853</v>
      </c>
      <c r="G18" s="94" t="s">
        <v>561</v>
      </c>
      <c r="H18" s="94" t="s">
        <v>579</v>
      </c>
      <c r="I18" s="94" t="s">
        <v>586</v>
      </c>
      <c r="J18" s="94" t="s">
        <v>733</v>
      </c>
      <c r="K18" s="97">
        <v>19.989999999999998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43853</v>
      </c>
      <c r="G19" s="94" t="s">
        <v>562</v>
      </c>
      <c r="H19" s="94" t="s">
        <v>581</v>
      </c>
      <c r="I19" s="94" t="s">
        <v>590</v>
      </c>
      <c r="J19" s="94" t="s">
        <v>733</v>
      </c>
      <c r="K19" s="97">
        <v>236.25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43857</v>
      </c>
      <c r="G20" s="94" t="s">
        <v>563</v>
      </c>
      <c r="H20" s="94" t="s">
        <v>580</v>
      </c>
      <c r="I20" s="94" t="s">
        <v>585</v>
      </c>
      <c r="J20" s="94" t="s">
        <v>733</v>
      </c>
      <c r="K20" s="97">
        <v>11.86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43858</v>
      </c>
      <c r="G21" s="94" t="s">
        <v>564</v>
      </c>
      <c r="H21" s="94" t="s">
        <v>579</v>
      </c>
      <c r="I21" s="94" t="s">
        <v>584</v>
      </c>
      <c r="J21" s="94" t="s">
        <v>733</v>
      </c>
      <c r="K21" s="97">
        <v>66.849999999999994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43860</v>
      </c>
      <c r="G22" s="94" t="s">
        <v>565</v>
      </c>
      <c r="H22" s="94" t="s">
        <v>581</v>
      </c>
      <c r="I22" s="94" t="s">
        <v>591</v>
      </c>
      <c r="J22" s="94" t="s">
        <v>733</v>
      </c>
      <c r="K22" s="97">
        <v>55.09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43860</v>
      </c>
      <c r="G23" s="94" t="s">
        <v>565</v>
      </c>
      <c r="H23" s="94" t="s">
        <v>581</v>
      </c>
      <c r="I23" s="94" t="s">
        <v>592</v>
      </c>
      <c r="J23" s="94" t="s">
        <v>733</v>
      </c>
      <c r="K23" s="97">
        <v>17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43860</v>
      </c>
      <c r="G24" s="94" t="s">
        <v>565</v>
      </c>
      <c r="H24" s="94" t="s">
        <v>581</v>
      </c>
      <c r="I24" s="94" t="s">
        <v>593</v>
      </c>
      <c r="J24" s="94" t="s">
        <v>733</v>
      </c>
      <c r="K24" s="97">
        <v>17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43861</v>
      </c>
      <c r="G25" s="94" t="s">
        <v>566</v>
      </c>
      <c r="H25" s="94" t="s">
        <v>581</v>
      </c>
      <c r="I25" s="94" t="s">
        <v>594</v>
      </c>
      <c r="J25" s="94" t="s">
        <v>733</v>
      </c>
      <c r="K25" s="97">
        <v>28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43861</v>
      </c>
      <c r="G26" s="94" t="s">
        <v>567</v>
      </c>
      <c r="H26" s="94" t="s">
        <v>579</v>
      </c>
      <c r="I26" s="94" t="s">
        <v>595</v>
      </c>
      <c r="J26" s="94" t="s">
        <v>733</v>
      </c>
      <c r="K26" s="97">
        <v>329.9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43864</v>
      </c>
      <c r="G27" s="94" t="s">
        <v>568</v>
      </c>
      <c r="H27" s="94" t="s">
        <v>580</v>
      </c>
      <c r="I27" s="94" t="s">
        <v>585</v>
      </c>
      <c r="J27" s="94" t="s">
        <v>733</v>
      </c>
      <c r="K27" s="97">
        <v>9.5500000000000007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43866</v>
      </c>
      <c r="G28" s="94" t="s">
        <v>569</v>
      </c>
      <c r="H28" s="94" t="s">
        <v>579</v>
      </c>
      <c r="I28" s="94" t="s">
        <v>584</v>
      </c>
      <c r="J28" s="94" t="s">
        <v>733</v>
      </c>
      <c r="K28" s="97">
        <v>76.040000000000006</v>
      </c>
    </row>
    <row r="29" spans="1:11" ht="14.6" x14ac:dyDescent="0.4">
      <c r="A29" s="94"/>
      <c r="B29" s="94"/>
      <c r="C29" s="94"/>
      <c r="D29" s="94"/>
      <c r="E29" s="94" t="s">
        <v>545</v>
      </c>
      <c r="F29" s="95">
        <v>43868</v>
      </c>
      <c r="G29" s="94" t="s">
        <v>570</v>
      </c>
      <c r="H29" s="94" t="s">
        <v>582</v>
      </c>
      <c r="I29" s="94" t="s">
        <v>596</v>
      </c>
      <c r="J29" s="94" t="s">
        <v>927</v>
      </c>
      <c r="K29" s="97">
        <v>39.700000000000003</v>
      </c>
    </row>
    <row r="30" spans="1:11" ht="14.6" x14ac:dyDescent="0.4">
      <c r="A30" s="94"/>
      <c r="B30" s="94"/>
      <c r="C30" s="94"/>
      <c r="D30" s="94"/>
      <c r="E30" s="94" t="s">
        <v>545</v>
      </c>
      <c r="F30" s="95">
        <v>43868</v>
      </c>
      <c r="G30" s="94" t="s">
        <v>570</v>
      </c>
      <c r="H30" s="94" t="s">
        <v>582</v>
      </c>
      <c r="I30" s="94" t="s">
        <v>597</v>
      </c>
      <c r="J30" s="94" t="s">
        <v>927</v>
      </c>
      <c r="K30" s="97">
        <v>66.400000000000006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43871</v>
      </c>
      <c r="G31" s="94" t="s">
        <v>571</v>
      </c>
      <c r="H31" s="94" t="s">
        <v>580</v>
      </c>
      <c r="I31" s="94" t="s">
        <v>585</v>
      </c>
      <c r="J31" s="94" t="s">
        <v>733</v>
      </c>
      <c r="K31" s="97">
        <v>26.62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43871</v>
      </c>
      <c r="G32" s="94" t="s">
        <v>572</v>
      </c>
      <c r="H32" s="94" t="s">
        <v>580</v>
      </c>
      <c r="I32" s="94" t="s">
        <v>585</v>
      </c>
      <c r="J32" s="94" t="s">
        <v>733</v>
      </c>
      <c r="K32" s="97">
        <v>12.87</v>
      </c>
    </row>
    <row r="33" spans="1:11" ht="14.6" x14ac:dyDescent="0.4">
      <c r="A33" s="94"/>
      <c r="B33" s="94"/>
      <c r="C33" s="94"/>
      <c r="D33" s="94"/>
      <c r="E33" s="94" t="s">
        <v>545</v>
      </c>
      <c r="F33" s="95">
        <v>43871</v>
      </c>
      <c r="G33" s="94" t="s">
        <v>573</v>
      </c>
      <c r="H33" s="94" t="s">
        <v>582</v>
      </c>
      <c r="I33" s="94" t="s">
        <v>598</v>
      </c>
      <c r="J33" s="94" t="s">
        <v>927</v>
      </c>
      <c r="K33" s="97">
        <v>2.98</v>
      </c>
    </row>
    <row r="34" spans="1:11" ht="14.6" x14ac:dyDescent="0.4">
      <c r="A34" s="94"/>
      <c r="B34" s="94"/>
      <c r="C34" s="94"/>
      <c r="D34" s="94"/>
      <c r="E34" s="94" t="s">
        <v>545</v>
      </c>
      <c r="F34" s="95">
        <v>43871</v>
      </c>
      <c r="G34" s="94" t="s">
        <v>573</v>
      </c>
      <c r="H34" s="94" t="s">
        <v>582</v>
      </c>
      <c r="I34" s="94" t="s">
        <v>599</v>
      </c>
      <c r="J34" s="94" t="s">
        <v>927</v>
      </c>
      <c r="K34" s="97">
        <v>3.52</v>
      </c>
    </row>
    <row r="35" spans="1:11" ht="14.6" x14ac:dyDescent="0.4">
      <c r="A35" s="94"/>
      <c r="B35" s="94"/>
      <c r="C35" s="94"/>
      <c r="D35" s="94"/>
      <c r="E35" s="94" t="s">
        <v>545</v>
      </c>
      <c r="F35" s="95">
        <v>43871</v>
      </c>
      <c r="G35" s="94" t="s">
        <v>573</v>
      </c>
      <c r="H35" s="94" t="s">
        <v>582</v>
      </c>
      <c r="I35" s="94" t="s">
        <v>600</v>
      </c>
      <c r="J35" s="94" t="s">
        <v>927</v>
      </c>
      <c r="K35" s="97">
        <v>5.97</v>
      </c>
    </row>
    <row r="36" spans="1:11" ht="14.6" x14ac:dyDescent="0.4">
      <c r="A36" s="94"/>
      <c r="B36" s="94"/>
      <c r="C36" s="94"/>
      <c r="D36" s="94"/>
      <c r="E36" s="94" t="s">
        <v>545</v>
      </c>
      <c r="F36" s="95">
        <v>43871</v>
      </c>
      <c r="G36" s="94" t="s">
        <v>573</v>
      </c>
      <c r="H36" s="94" t="s">
        <v>582</v>
      </c>
      <c r="I36" s="94" t="s">
        <v>601</v>
      </c>
      <c r="J36" s="94" t="s">
        <v>927</v>
      </c>
      <c r="K36" s="97">
        <v>14.5</v>
      </c>
    </row>
    <row r="37" spans="1:11" ht="14.6" x14ac:dyDescent="0.4">
      <c r="A37" s="94"/>
      <c r="B37" s="94"/>
      <c r="C37" s="94"/>
      <c r="D37" s="94"/>
      <c r="E37" s="94" t="s">
        <v>545</v>
      </c>
      <c r="F37" s="95">
        <v>43871</v>
      </c>
      <c r="G37" s="94" t="s">
        <v>573</v>
      </c>
      <c r="H37" s="94" t="s">
        <v>582</v>
      </c>
      <c r="I37" s="94" t="s">
        <v>602</v>
      </c>
      <c r="J37" s="94" t="s">
        <v>927</v>
      </c>
      <c r="K37" s="97">
        <v>11.69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43882</v>
      </c>
      <c r="G38" s="94" t="s">
        <v>574</v>
      </c>
      <c r="H38" s="94" t="s">
        <v>583</v>
      </c>
      <c r="I38" s="94" t="s">
        <v>603</v>
      </c>
      <c r="J38" s="94" t="s">
        <v>733</v>
      </c>
      <c r="K38" s="97">
        <v>278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43882</v>
      </c>
      <c r="G39" s="94" t="s">
        <v>1287</v>
      </c>
      <c r="H39" s="94" t="s">
        <v>580</v>
      </c>
      <c r="I39" s="94" t="s">
        <v>585</v>
      </c>
      <c r="J39" s="94" t="s">
        <v>733</v>
      </c>
      <c r="K39" s="97">
        <v>51.04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43887</v>
      </c>
      <c r="G40" s="94" t="s">
        <v>1288</v>
      </c>
      <c r="H40" s="94" t="s">
        <v>580</v>
      </c>
      <c r="I40" s="94" t="s">
        <v>585</v>
      </c>
      <c r="J40" s="94" t="s">
        <v>733</v>
      </c>
      <c r="K40" s="97">
        <v>13.95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43888</v>
      </c>
      <c r="G41" s="94" t="s">
        <v>575</v>
      </c>
      <c r="H41" s="94" t="s">
        <v>581</v>
      </c>
      <c r="I41" s="94" t="s">
        <v>604</v>
      </c>
      <c r="J41" s="94" t="s">
        <v>733</v>
      </c>
      <c r="K41" s="97">
        <v>45.17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43888</v>
      </c>
      <c r="G42" s="94" t="s">
        <v>575</v>
      </c>
      <c r="H42" s="94" t="s">
        <v>581</v>
      </c>
      <c r="I42" s="94" t="s">
        <v>605</v>
      </c>
      <c r="J42" s="94" t="s">
        <v>733</v>
      </c>
      <c r="K42" s="97">
        <v>45.17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43888</v>
      </c>
      <c r="G43" s="94" t="s">
        <v>575</v>
      </c>
      <c r="H43" s="94" t="s">
        <v>581</v>
      </c>
      <c r="I43" s="94" t="s">
        <v>606</v>
      </c>
      <c r="J43" s="94" t="s">
        <v>733</v>
      </c>
      <c r="K43" s="97">
        <v>45.17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43888</v>
      </c>
      <c r="G44" s="94" t="s">
        <v>575</v>
      </c>
      <c r="H44" s="94" t="s">
        <v>581</v>
      </c>
      <c r="I44" s="94" t="s">
        <v>607</v>
      </c>
      <c r="J44" s="94" t="s">
        <v>733</v>
      </c>
      <c r="K44" s="97">
        <v>45.17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43889</v>
      </c>
      <c r="G45" s="94" t="s">
        <v>576</v>
      </c>
      <c r="H45" s="94" t="s">
        <v>581</v>
      </c>
      <c r="I45" s="94" t="s">
        <v>608</v>
      </c>
      <c r="J45" s="94" t="s">
        <v>733</v>
      </c>
      <c r="K45" s="97">
        <v>17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43889</v>
      </c>
      <c r="G46" s="94" t="s">
        <v>1289</v>
      </c>
      <c r="H46" s="94" t="s">
        <v>579</v>
      </c>
      <c r="I46" s="94" t="s">
        <v>584</v>
      </c>
      <c r="J46" s="94" t="s">
        <v>733</v>
      </c>
      <c r="K46" s="97">
        <v>39.11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43889</v>
      </c>
      <c r="G47" s="94" t="s">
        <v>1290</v>
      </c>
      <c r="H47" s="94" t="s">
        <v>579</v>
      </c>
      <c r="I47" s="94" t="s">
        <v>1294</v>
      </c>
      <c r="J47" s="94" t="s">
        <v>733</v>
      </c>
      <c r="K47" s="97">
        <v>14.79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43889</v>
      </c>
      <c r="G48" s="94" t="s">
        <v>1382</v>
      </c>
      <c r="H48" s="94" t="s">
        <v>818</v>
      </c>
      <c r="I48" s="94" t="s">
        <v>1383</v>
      </c>
      <c r="J48" s="94" t="s">
        <v>733</v>
      </c>
      <c r="K48" s="97">
        <v>689.53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43892</v>
      </c>
      <c r="G49" s="94" t="s">
        <v>577</v>
      </c>
      <c r="H49" s="94" t="s">
        <v>581</v>
      </c>
      <c r="I49" s="94" t="s">
        <v>609</v>
      </c>
      <c r="J49" s="94" t="s">
        <v>733</v>
      </c>
      <c r="K49" s="97">
        <v>17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43892</v>
      </c>
      <c r="G50" s="94" t="s">
        <v>577</v>
      </c>
      <c r="H50" s="94" t="s">
        <v>581</v>
      </c>
      <c r="I50" s="94" t="s">
        <v>610</v>
      </c>
      <c r="J50" s="94" t="s">
        <v>733</v>
      </c>
      <c r="K50" s="97">
        <v>17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43892</v>
      </c>
      <c r="G51" s="94" t="s">
        <v>578</v>
      </c>
      <c r="H51" s="94" t="s">
        <v>581</v>
      </c>
      <c r="I51" s="94" t="s">
        <v>611</v>
      </c>
      <c r="J51" s="94" t="s">
        <v>733</v>
      </c>
      <c r="K51" s="97">
        <v>14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43892</v>
      </c>
      <c r="G52" s="94" t="s">
        <v>578</v>
      </c>
      <c r="H52" s="94" t="s">
        <v>581</v>
      </c>
      <c r="I52" s="94" t="s">
        <v>612</v>
      </c>
      <c r="J52" s="94" t="s">
        <v>733</v>
      </c>
      <c r="K52" s="97">
        <v>14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43900</v>
      </c>
      <c r="G53" s="94" t="s">
        <v>1291</v>
      </c>
      <c r="H53" s="94" t="s">
        <v>580</v>
      </c>
      <c r="I53" s="94" t="s">
        <v>585</v>
      </c>
      <c r="J53" s="94" t="s">
        <v>733</v>
      </c>
      <c r="K53" s="97">
        <v>237.5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43901</v>
      </c>
      <c r="G54" s="94" t="s">
        <v>1292</v>
      </c>
      <c r="H54" s="94" t="s">
        <v>579</v>
      </c>
      <c r="I54" s="94" t="s">
        <v>584</v>
      </c>
      <c r="J54" s="94" t="s">
        <v>733</v>
      </c>
      <c r="K54" s="97">
        <v>106.53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43901</v>
      </c>
      <c r="G55" s="94" t="s">
        <v>1293</v>
      </c>
      <c r="H55" s="94" t="s">
        <v>579</v>
      </c>
      <c r="I55" s="94" t="s">
        <v>584</v>
      </c>
      <c r="J55" s="94" t="s">
        <v>733</v>
      </c>
      <c r="K55" s="97">
        <v>50.38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43950</v>
      </c>
      <c r="G56" s="94" t="s">
        <v>1551</v>
      </c>
      <c r="H56" s="94" t="s">
        <v>1558</v>
      </c>
      <c r="I56" s="94" t="s">
        <v>1559</v>
      </c>
      <c r="J56" s="94" t="s">
        <v>733</v>
      </c>
      <c r="K56" s="97">
        <v>53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43958</v>
      </c>
      <c r="G57" s="94" t="s">
        <v>1552</v>
      </c>
      <c r="H57" s="94" t="s">
        <v>579</v>
      </c>
      <c r="I57" s="94" t="s">
        <v>1560</v>
      </c>
      <c r="J57" s="94" t="s">
        <v>733</v>
      </c>
      <c r="K57" s="97">
        <v>7.4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43965</v>
      </c>
      <c r="G58" s="94" t="s">
        <v>1553</v>
      </c>
      <c r="H58" s="94" t="s">
        <v>579</v>
      </c>
      <c r="I58" s="94" t="s">
        <v>584</v>
      </c>
      <c r="J58" s="94" t="s">
        <v>733</v>
      </c>
      <c r="K58" s="97">
        <v>38.299999999999997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43965</v>
      </c>
      <c r="G59" s="94" t="s">
        <v>1554</v>
      </c>
      <c r="H59" s="94" t="s">
        <v>579</v>
      </c>
      <c r="I59" s="94" t="s">
        <v>584</v>
      </c>
      <c r="J59" s="94" t="s">
        <v>733</v>
      </c>
      <c r="K59" s="97">
        <v>6.55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43966</v>
      </c>
      <c r="G60" s="94" t="s">
        <v>1555</v>
      </c>
      <c r="H60" s="94" t="s">
        <v>579</v>
      </c>
      <c r="I60" s="94" t="s">
        <v>584</v>
      </c>
      <c r="J60" s="94" t="s">
        <v>733</v>
      </c>
      <c r="K60" s="97">
        <v>11.02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43972</v>
      </c>
      <c r="G61" s="94" t="s">
        <v>1556</v>
      </c>
      <c r="H61" s="94" t="s">
        <v>581</v>
      </c>
      <c r="I61" s="94" t="s">
        <v>1561</v>
      </c>
      <c r="J61" s="94" t="s">
        <v>733</v>
      </c>
      <c r="K61" s="97">
        <v>55.09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43972</v>
      </c>
      <c r="G62" s="94" t="s">
        <v>1557</v>
      </c>
      <c r="H62" s="94" t="s">
        <v>581</v>
      </c>
      <c r="I62" s="94" t="s">
        <v>1562</v>
      </c>
      <c r="J62" s="94" t="s">
        <v>733</v>
      </c>
      <c r="K62" s="97">
        <v>55.09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43972</v>
      </c>
      <c r="G63" s="94" t="s">
        <v>1895</v>
      </c>
      <c r="H63" s="94" t="s">
        <v>580</v>
      </c>
      <c r="I63" s="94" t="s">
        <v>585</v>
      </c>
      <c r="J63" s="94" t="s">
        <v>733</v>
      </c>
      <c r="K63" s="97">
        <v>30.06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43979</v>
      </c>
      <c r="G64" s="94" t="s">
        <v>1896</v>
      </c>
      <c r="H64" s="94" t="s">
        <v>580</v>
      </c>
      <c r="I64" s="94" t="s">
        <v>585</v>
      </c>
      <c r="J64" s="94" t="s">
        <v>733</v>
      </c>
      <c r="K64" s="97">
        <v>6.77</v>
      </c>
    </row>
    <row r="65" spans="1:11" ht="14.6" x14ac:dyDescent="0.4">
      <c r="A65" s="94"/>
      <c r="B65" s="94"/>
      <c r="C65" s="94"/>
      <c r="D65" s="94"/>
      <c r="E65" s="94" t="s">
        <v>545</v>
      </c>
      <c r="F65" s="95">
        <v>43980</v>
      </c>
      <c r="G65" s="94" t="s">
        <v>1793</v>
      </c>
      <c r="H65" s="94" t="s">
        <v>1677</v>
      </c>
      <c r="I65" s="94" t="s">
        <v>1794</v>
      </c>
      <c r="J65" s="94" t="s">
        <v>924</v>
      </c>
      <c r="K65" s="97">
        <v>6.31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43992</v>
      </c>
      <c r="G66" s="94" t="s">
        <v>1897</v>
      </c>
      <c r="H66" s="94" t="s">
        <v>579</v>
      </c>
      <c r="I66" s="94" t="s">
        <v>584</v>
      </c>
      <c r="J66" s="94" t="s">
        <v>733</v>
      </c>
      <c r="K66" s="97">
        <v>146.96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43994</v>
      </c>
      <c r="G67" s="94" t="s">
        <v>1898</v>
      </c>
      <c r="H67" s="94" t="s">
        <v>579</v>
      </c>
      <c r="I67" s="94" t="s">
        <v>1915</v>
      </c>
      <c r="J67" s="94" t="s">
        <v>733</v>
      </c>
      <c r="K67" s="97">
        <v>299.89999999999998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43999</v>
      </c>
      <c r="G68" s="94" t="s">
        <v>1899</v>
      </c>
      <c r="H68" s="94" t="s">
        <v>580</v>
      </c>
      <c r="I68" s="94" t="s">
        <v>585</v>
      </c>
      <c r="J68" s="94" t="s">
        <v>733</v>
      </c>
      <c r="K68" s="97">
        <v>16.21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43999</v>
      </c>
      <c r="G69" s="94" t="s">
        <v>1900</v>
      </c>
      <c r="H69" s="94" t="s">
        <v>580</v>
      </c>
      <c r="I69" s="94" t="s">
        <v>585</v>
      </c>
      <c r="J69" s="94" t="s">
        <v>733</v>
      </c>
      <c r="K69" s="97">
        <v>36.86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43999</v>
      </c>
      <c r="G70" s="94" t="s">
        <v>1901</v>
      </c>
      <c r="H70" s="94" t="s">
        <v>581</v>
      </c>
      <c r="I70" s="94" t="s">
        <v>1916</v>
      </c>
      <c r="J70" s="94" t="s">
        <v>733</v>
      </c>
      <c r="K70" s="97">
        <v>34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44000</v>
      </c>
      <c r="G71" s="94" t="s">
        <v>1833</v>
      </c>
      <c r="H71" s="94" t="s">
        <v>1913</v>
      </c>
      <c r="I71" s="94" t="s">
        <v>1917</v>
      </c>
      <c r="J71" s="94" t="s">
        <v>733</v>
      </c>
      <c r="K71" s="97">
        <v>87.47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44000</v>
      </c>
      <c r="G72" s="94" t="s">
        <v>1902</v>
      </c>
      <c r="H72" s="94" t="s">
        <v>579</v>
      </c>
      <c r="I72" s="94" t="s">
        <v>584</v>
      </c>
      <c r="J72" s="94" t="s">
        <v>733</v>
      </c>
      <c r="K72" s="97">
        <v>47.56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44000</v>
      </c>
      <c r="G73" s="94" t="s">
        <v>1902</v>
      </c>
      <c r="H73" s="94" t="s">
        <v>579</v>
      </c>
      <c r="I73" s="94" t="s">
        <v>1918</v>
      </c>
      <c r="J73" s="94" t="s">
        <v>733</v>
      </c>
      <c r="K73" s="97">
        <v>15.03</v>
      </c>
    </row>
    <row r="74" spans="1:11" ht="14.6" x14ac:dyDescent="0.4">
      <c r="A74" s="94"/>
      <c r="B74" s="94"/>
      <c r="C74" s="94"/>
      <c r="D74" s="94"/>
      <c r="E74" s="94" t="s">
        <v>544</v>
      </c>
      <c r="F74" s="95">
        <v>44001</v>
      </c>
      <c r="G74" s="94" t="s">
        <v>1903</v>
      </c>
      <c r="H74" s="94" t="s">
        <v>1914</v>
      </c>
      <c r="I74" s="94" t="s">
        <v>1919</v>
      </c>
      <c r="J74" s="94" t="s">
        <v>733</v>
      </c>
      <c r="K74" s="97">
        <v>183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44001</v>
      </c>
      <c r="G75" s="94" t="s">
        <v>1903</v>
      </c>
      <c r="H75" s="94" t="s">
        <v>1914</v>
      </c>
      <c r="I75" s="94" t="s">
        <v>1920</v>
      </c>
      <c r="J75" s="94" t="s">
        <v>733</v>
      </c>
      <c r="K75" s="97">
        <v>14.99</v>
      </c>
    </row>
    <row r="76" spans="1:11" ht="14.6" x14ac:dyDescent="0.4">
      <c r="A76" s="94"/>
      <c r="B76" s="94"/>
      <c r="C76" s="94"/>
      <c r="D76" s="94"/>
      <c r="E76" s="94" t="s">
        <v>739</v>
      </c>
      <c r="F76" s="95">
        <v>44006</v>
      </c>
      <c r="G76" s="94" t="s">
        <v>1904</v>
      </c>
      <c r="H76" s="94" t="s">
        <v>579</v>
      </c>
      <c r="I76" s="94" t="s">
        <v>1921</v>
      </c>
      <c r="J76" s="94" t="s">
        <v>733</v>
      </c>
      <c r="K76" s="97">
        <v>-40.590000000000003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44006</v>
      </c>
      <c r="G77" s="94" t="s">
        <v>1905</v>
      </c>
      <c r="H77" s="94" t="s">
        <v>580</v>
      </c>
      <c r="I77" s="94" t="s">
        <v>585</v>
      </c>
      <c r="J77" s="94" t="s">
        <v>733</v>
      </c>
      <c r="K77" s="97">
        <v>17.989999999999998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44007</v>
      </c>
      <c r="G78" s="94" t="s">
        <v>1906</v>
      </c>
      <c r="H78" s="94" t="s">
        <v>581</v>
      </c>
      <c r="I78" s="94" t="s">
        <v>1922</v>
      </c>
      <c r="J78" s="94" t="s">
        <v>733</v>
      </c>
      <c r="K78" s="97">
        <v>28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44007</v>
      </c>
      <c r="G79" s="94" t="s">
        <v>1907</v>
      </c>
      <c r="H79" s="94" t="s">
        <v>579</v>
      </c>
      <c r="I79" s="94" t="s">
        <v>584</v>
      </c>
      <c r="J79" s="94" t="s">
        <v>733</v>
      </c>
      <c r="K79" s="97">
        <v>48.06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44007</v>
      </c>
      <c r="G80" s="94" t="s">
        <v>1907</v>
      </c>
      <c r="H80" s="94" t="s">
        <v>579</v>
      </c>
      <c r="I80" s="94" t="s">
        <v>1918</v>
      </c>
      <c r="J80" s="94" t="s">
        <v>733</v>
      </c>
      <c r="K80" s="97">
        <v>314.93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44008</v>
      </c>
      <c r="G81" s="94" t="s">
        <v>1908</v>
      </c>
      <c r="H81" s="94" t="s">
        <v>581</v>
      </c>
      <c r="I81" s="94" t="s">
        <v>1923</v>
      </c>
      <c r="J81" s="94" t="s">
        <v>733</v>
      </c>
      <c r="K81" s="97">
        <v>17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44012</v>
      </c>
      <c r="G82" s="94" t="s">
        <v>1909</v>
      </c>
      <c r="H82" s="94" t="s">
        <v>581</v>
      </c>
      <c r="I82" s="94" t="s">
        <v>1924</v>
      </c>
      <c r="J82" s="94" t="s">
        <v>733</v>
      </c>
      <c r="K82" s="97">
        <v>45.17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44013</v>
      </c>
      <c r="G83" s="94" t="s">
        <v>1910</v>
      </c>
      <c r="H83" s="94" t="s">
        <v>581</v>
      </c>
      <c r="I83" s="94" t="s">
        <v>1925</v>
      </c>
      <c r="J83" s="94" t="s">
        <v>733</v>
      </c>
      <c r="K83" s="97">
        <v>57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44018</v>
      </c>
      <c r="G84" s="94" t="s">
        <v>1911</v>
      </c>
      <c r="H84" s="94" t="s">
        <v>581</v>
      </c>
      <c r="I84" s="94" t="s">
        <v>1926</v>
      </c>
      <c r="J84" s="94" t="s">
        <v>733</v>
      </c>
      <c r="K84" s="97">
        <v>17</v>
      </c>
    </row>
    <row r="85" spans="1:11" ht="14.6" x14ac:dyDescent="0.4">
      <c r="A85" s="94"/>
      <c r="B85" s="94"/>
      <c r="C85" s="94"/>
      <c r="D85" s="94"/>
      <c r="E85" s="94" t="s">
        <v>545</v>
      </c>
      <c r="F85" s="95">
        <v>44021</v>
      </c>
      <c r="G85" s="94" t="s">
        <v>2532</v>
      </c>
      <c r="H85" s="94" t="s">
        <v>2544</v>
      </c>
      <c r="I85" s="94" t="s">
        <v>2274</v>
      </c>
      <c r="J85" s="94" t="s">
        <v>924</v>
      </c>
      <c r="K85" s="97">
        <v>18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44025</v>
      </c>
      <c r="G86" s="94" t="s">
        <v>1912</v>
      </c>
      <c r="H86" s="94" t="s">
        <v>581</v>
      </c>
      <c r="I86" s="94" t="s">
        <v>1927</v>
      </c>
      <c r="J86" s="94" t="s">
        <v>733</v>
      </c>
      <c r="K86" s="97">
        <v>18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44025</v>
      </c>
      <c r="G87" s="94" t="s">
        <v>2260</v>
      </c>
      <c r="H87" s="94" t="s">
        <v>580</v>
      </c>
      <c r="I87" s="94" t="s">
        <v>2274</v>
      </c>
      <c r="J87" s="94" t="s">
        <v>733</v>
      </c>
      <c r="K87" s="97">
        <v>135.11000000000001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44025</v>
      </c>
      <c r="G88" s="94" t="s">
        <v>2261</v>
      </c>
      <c r="H88" s="94" t="s">
        <v>580</v>
      </c>
      <c r="I88" s="94" t="s">
        <v>2274</v>
      </c>
      <c r="J88" s="94" t="s">
        <v>733</v>
      </c>
      <c r="K88" s="97">
        <v>3.99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44028</v>
      </c>
      <c r="G89" s="94" t="s">
        <v>2169</v>
      </c>
      <c r="H89" s="94" t="s">
        <v>579</v>
      </c>
      <c r="I89" s="94" t="s">
        <v>584</v>
      </c>
      <c r="J89" s="94" t="s">
        <v>733</v>
      </c>
      <c r="K89" s="97">
        <v>120.08</v>
      </c>
    </row>
    <row r="90" spans="1:11" ht="14.6" x14ac:dyDescent="0.4">
      <c r="A90" s="94"/>
      <c r="B90" s="94"/>
      <c r="C90" s="94"/>
      <c r="D90" s="94"/>
      <c r="E90" s="94" t="s">
        <v>545</v>
      </c>
      <c r="F90" s="95">
        <v>44042</v>
      </c>
      <c r="G90" s="94" t="s">
        <v>2170</v>
      </c>
      <c r="H90" s="94" t="s">
        <v>2171</v>
      </c>
      <c r="I90" s="94" t="s">
        <v>2172</v>
      </c>
      <c r="J90" s="94" t="s">
        <v>924</v>
      </c>
      <c r="K90" s="97">
        <v>223.08</v>
      </c>
    </row>
    <row r="91" spans="1:11" ht="14.6" x14ac:dyDescent="0.4">
      <c r="A91" s="94"/>
      <c r="B91" s="94"/>
      <c r="C91" s="94"/>
      <c r="D91" s="94"/>
      <c r="E91" s="94" t="s">
        <v>545</v>
      </c>
      <c r="F91" s="95">
        <v>44042</v>
      </c>
      <c r="G91" s="94" t="s">
        <v>2170</v>
      </c>
      <c r="H91" s="94" t="s">
        <v>2171</v>
      </c>
      <c r="I91" s="94" t="s">
        <v>2173</v>
      </c>
      <c r="J91" s="94" t="s">
        <v>924</v>
      </c>
      <c r="K91" s="97">
        <v>261</v>
      </c>
    </row>
    <row r="92" spans="1:11" ht="14.6" x14ac:dyDescent="0.4">
      <c r="A92" s="94"/>
      <c r="B92" s="94"/>
      <c r="C92" s="94"/>
      <c r="D92" s="94"/>
      <c r="E92" s="94" t="s">
        <v>545</v>
      </c>
      <c r="F92" s="95">
        <v>44042</v>
      </c>
      <c r="G92" s="94" t="s">
        <v>2170</v>
      </c>
      <c r="H92" s="94" t="s">
        <v>2171</v>
      </c>
      <c r="I92" s="94" t="s">
        <v>2174</v>
      </c>
      <c r="J92" s="94" t="s">
        <v>924</v>
      </c>
      <c r="K92" s="97">
        <v>18.73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44050</v>
      </c>
      <c r="G93" s="94" t="s">
        <v>2262</v>
      </c>
      <c r="H93" s="94" t="s">
        <v>580</v>
      </c>
      <c r="I93" s="94" t="s">
        <v>2274</v>
      </c>
      <c r="J93" s="94" t="s">
        <v>733</v>
      </c>
      <c r="K93" s="97">
        <v>24.54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44050</v>
      </c>
      <c r="G94" s="94" t="s">
        <v>2263</v>
      </c>
      <c r="H94" s="94" t="s">
        <v>580</v>
      </c>
      <c r="I94" s="94" t="s">
        <v>2274</v>
      </c>
      <c r="J94" s="94" t="s">
        <v>733</v>
      </c>
      <c r="K94" s="97">
        <v>190.48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44050</v>
      </c>
      <c r="G95" s="94" t="s">
        <v>2264</v>
      </c>
      <c r="H95" s="94" t="s">
        <v>580</v>
      </c>
      <c r="I95" s="94" t="s">
        <v>2274</v>
      </c>
      <c r="J95" s="94" t="s">
        <v>733</v>
      </c>
      <c r="K95" s="97">
        <v>212.64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44050</v>
      </c>
      <c r="G96" s="94" t="s">
        <v>2265</v>
      </c>
      <c r="H96" s="94" t="s">
        <v>579</v>
      </c>
      <c r="I96" s="94" t="s">
        <v>584</v>
      </c>
      <c r="J96" s="94" t="s">
        <v>733</v>
      </c>
      <c r="K96" s="97">
        <v>107.25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44050</v>
      </c>
      <c r="G97" s="94" t="s">
        <v>2266</v>
      </c>
      <c r="H97" s="94" t="s">
        <v>579</v>
      </c>
      <c r="I97" s="94" t="s">
        <v>584</v>
      </c>
      <c r="J97" s="94" t="s">
        <v>733</v>
      </c>
      <c r="K97" s="97">
        <v>4.99</v>
      </c>
    </row>
    <row r="98" spans="1:11" ht="14.6" x14ac:dyDescent="0.4">
      <c r="A98" s="94"/>
      <c r="B98" s="94"/>
      <c r="C98" s="94"/>
      <c r="D98" s="94"/>
      <c r="E98" s="94" t="s">
        <v>739</v>
      </c>
      <c r="F98" s="95">
        <v>44059</v>
      </c>
      <c r="G98" s="94" t="s">
        <v>2263</v>
      </c>
      <c r="H98" s="94" t="s">
        <v>580</v>
      </c>
      <c r="I98" s="94" t="s">
        <v>2275</v>
      </c>
      <c r="J98" s="94" t="s">
        <v>733</v>
      </c>
      <c r="K98" s="97">
        <v>-186.06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44061</v>
      </c>
      <c r="G99" s="94" t="s">
        <v>2267</v>
      </c>
      <c r="H99" s="94" t="s">
        <v>581</v>
      </c>
      <c r="I99" s="94" t="s">
        <v>2276</v>
      </c>
      <c r="J99" s="94" t="s">
        <v>733</v>
      </c>
      <c r="K99" s="97">
        <v>17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44067</v>
      </c>
      <c r="G100" s="94" t="s">
        <v>2268</v>
      </c>
      <c r="H100" s="94" t="s">
        <v>1558</v>
      </c>
      <c r="I100" s="94" t="s">
        <v>2277</v>
      </c>
      <c r="J100" s="94" t="s">
        <v>733</v>
      </c>
      <c r="K100" s="97">
        <v>225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44071</v>
      </c>
      <c r="G101" s="94" t="s">
        <v>2269</v>
      </c>
      <c r="H101" s="94" t="s">
        <v>712</v>
      </c>
      <c r="I101" s="94" t="s">
        <v>2278</v>
      </c>
      <c r="J101" s="94" t="s">
        <v>733</v>
      </c>
      <c r="K101" s="97">
        <v>63.97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44071</v>
      </c>
      <c r="G102" s="94" t="s">
        <v>2270</v>
      </c>
      <c r="H102" s="94" t="s">
        <v>581</v>
      </c>
      <c r="I102" s="94" t="s">
        <v>2279</v>
      </c>
      <c r="J102" s="94" t="s">
        <v>733</v>
      </c>
      <c r="K102" s="97">
        <v>55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44071</v>
      </c>
      <c r="G103" s="94" t="s">
        <v>2271</v>
      </c>
      <c r="H103" s="94" t="s">
        <v>579</v>
      </c>
      <c r="I103" s="94" t="s">
        <v>584</v>
      </c>
      <c r="J103" s="94" t="s">
        <v>733</v>
      </c>
      <c r="K103" s="97">
        <v>15.74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44071</v>
      </c>
      <c r="G104" s="94" t="s">
        <v>2272</v>
      </c>
      <c r="H104" s="94" t="s">
        <v>579</v>
      </c>
      <c r="I104" s="94" t="s">
        <v>584</v>
      </c>
      <c r="J104" s="94" t="s">
        <v>733</v>
      </c>
      <c r="K104" s="97">
        <v>39.64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44077</v>
      </c>
      <c r="G105" s="94" t="s">
        <v>2273</v>
      </c>
      <c r="H105" s="94" t="s">
        <v>1565</v>
      </c>
      <c r="I105" s="94" t="s">
        <v>2280</v>
      </c>
      <c r="J105" s="94" t="s">
        <v>733</v>
      </c>
      <c r="K105" s="97">
        <v>139.72999999999999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44083</v>
      </c>
      <c r="G106" s="94" t="s">
        <v>2533</v>
      </c>
      <c r="H106" s="94" t="s">
        <v>579</v>
      </c>
      <c r="I106" s="94" t="s">
        <v>584</v>
      </c>
      <c r="J106" s="94" t="s">
        <v>733</v>
      </c>
      <c r="K106" s="97">
        <v>7.19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44083</v>
      </c>
      <c r="G107" s="94" t="s">
        <v>2533</v>
      </c>
      <c r="H107" s="94" t="s">
        <v>579</v>
      </c>
      <c r="I107" s="94" t="s">
        <v>2545</v>
      </c>
      <c r="J107" s="94" t="s">
        <v>733</v>
      </c>
      <c r="K107" s="97">
        <v>299.89999999999998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44089</v>
      </c>
      <c r="G108" s="94" t="s">
        <v>2534</v>
      </c>
      <c r="H108" s="94" t="s">
        <v>580</v>
      </c>
      <c r="I108" s="94" t="s">
        <v>2274</v>
      </c>
      <c r="J108" s="94" t="s">
        <v>733</v>
      </c>
      <c r="K108" s="97">
        <v>12.94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44096</v>
      </c>
      <c r="G109" s="94" t="s">
        <v>2535</v>
      </c>
      <c r="H109" s="94" t="s">
        <v>581</v>
      </c>
      <c r="I109" s="94" t="s">
        <v>2546</v>
      </c>
      <c r="J109" s="94" t="s">
        <v>733</v>
      </c>
      <c r="K109" s="97">
        <v>55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44098</v>
      </c>
      <c r="G110" s="94" t="s">
        <v>2536</v>
      </c>
      <c r="H110" s="94" t="s">
        <v>580</v>
      </c>
      <c r="I110" s="94" t="s">
        <v>2274</v>
      </c>
      <c r="J110" s="94" t="s">
        <v>733</v>
      </c>
      <c r="K110" s="97">
        <v>11.95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44099</v>
      </c>
      <c r="G111" s="94" t="s">
        <v>2537</v>
      </c>
      <c r="H111" s="94" t="s">
        <v>581</v>
      </c>
      <c r="I111" s="94" t="s">
        <v>2547</v>
      </c>
      <c r="J111" s="94" t="s">
        <v>733</v>
      </c>
      <c r="K111" s="97">
        <v>45.17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44104</v>
      </c>
      <c r="G112" s="94" t="s">
        <v>2538</v>
      </c>
      <c r="H112" s="94" t="s">
        <v>580</v>
      </c>
      <c r="I112" s="94" t="s">
        <v>2274</v>
      </c>
      <c r="J112" s="94" t="s">
        <v>733</v>
      </c>
      <c r="K112" s="97">
        <v>10.99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44104</v>
      </c>
      <c r="G113" s="94" t="s">
        <v>2539</v>
      </c>
      <c r="H113" s="94" t="s">
        <v>712</v>
      </c>
      <c r="I113" s="94" t="s">
        <v>2548</v>
      </c>
      <c r="J113" s="94" t="s">
        <v>733</v>
      </c>
      <c r="K113" s="97">
        <v>0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44104</v>
      </c>
      <c r="G114" s="94" t="s">
        <v>2539</v>
      </c>
      <c r="H114" s="94" t="s">
        <v>712</v>
      </c>
      <c r="I114" s="94" t="s">
        <v>2549</v>
      </c>
      <c r="J114" s="94" t="s">
        <v>733</v>
      </c>
      <c r="K114" s="97">
        <v>9.99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44106</v>
      </c>
      <c r="G115" s="94" t="s">
        <v>2540</v>
      </c>
      <c r="H115" s="94" t="s">
        <v>581</v>
      </c>
      <c r="I115" s="94" t="s">
        <v>2550</v>
      </c>
      <c r="J115" s="94" t="s">
        <v>733</v>
      </c>
      <c r="K115" s="97">
        <v>45.17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44106</v>
      </c>
      <c r="G116" s="94" t="s">
        <v>2541</v>
      </c>
      <c r="H116" s="94" t="s">
        <v>581</v>
      </c>
      <c r="I116" s="94" t="s">
        <v>2551</v>
      </c>
      <c r="J116" s="94" t="s">
        <v>733</v>
      </c>
      <c r="K116" s="97">
        <v>45.17</v>
      </c>
    </row>
    <row r="117" spans="1:11" ht="14.6" x14ac:dyDescent="0.4">
      <c r="A117" s="94"/>
      <c r="B117" s="94"/>
      <c r="C117" s="94"/>
      <c r="D117" s="94"/>
      <c r="E117" s="94" t="s">
        <v>739</v>
      </c>
      <c r="F117" s="95">
        <v>44106</v>
      </c>
      <c r="G117" s="94" t="s">
        <v>2765</v>
      </c>
      <c r="H117" s="94" t="s">
        <v>580</v>
      </c>
      <c r="I117" s="94" t="s">
        <v>2274</v>
      </c>
      <c r="J117" s="94" t="s">
        <v>733</v>
      </c>
      <c r="K117" s="97">
        <v>-10.99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44111</v>
      </c>
      <c r="G118" s="94" t="s">
        <v>2542</v>
      </c>
      <c r="H118" s="94" t="s">
        <v>581</v>
      </c>
      <c r="I118" s="94" t="s">
        <v>2552</v>
      </c>
      <c r="J118" s="94" t="s">
        <v>733</v>
      </c>
      <c r="K118" s="97">
        <v>45.17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44112</v>
      </c>
      <c r="G119" s="94" t="s">
        <v>2543</v>
      </c>
      <c r="H119" s="94" t="s">
        <v>581</v>
      </c>
      <c r="I119" s="94" t="s">
        <v>2553</v>
      </c>
      <c r="J119" s="94" t="s">
        <v>733</v>
      </c>
      <c r="K119" s="97">
        <v>55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44124</v>
      </c>
      <c r="G120" s="94" t="s">
        <v>2766</v>
      </c>
      <c r="H120" s="94" t="s">
        <v>580</v>
      </c>
      <c r="I120" s="94" t="s">
        <v>2274</v>
      </c>
      <c r="J120" s="94" t="s">
        <v>733</v>
      </c>
      <c r="K120" s="97">
        <v>35.72</v>
      </c>
    </row>
    <row r="121" spans="1:11" ht="14.6" x14ac:dyDescent="0.4">
      <c r="A121" s="94"/>
      <c r="B121" s="94"/>
      <c r="C121" s="94"/>
      <c r="D121" s="94"/>
      <c r="E121" s="94" t="s">
        <v>544</v>
      </c>
      <c r="F121" s="95">
        <v>44124</v>
      </c>
      <c r="G121" s="94" t="s">
        <v>2766</v>
      </c>
      <c r="H121" s="94" t="s">
        <v>580</v>
      </c>
      <c r="I121" s="94" t="s">
        <v>2274</v>
      </c>
      <c r="J121" s="94" t="s">
        <v>733</v>
      </c>
      <c r="K121" s="97">
        <v>13.76</v>
      </c>
    </row>
    <row r="122" spans="1:11" ht="14.6" x14ac:dyDescent="0.4">
      <c r="A122" s="94"/>
      <c r="B122" s="94"/>
      <c r="C122" s="94"/>
      <c r="D122" s="94"/>
      <c r="E122" s="94" t="s">
        <v>544</v>
      </c>
      <c r="F122" s="95">
        <v>44125</v>
      </c>
      <c r="G122" s="94" t="s">
        <v>2767</v>
      </c>
      <c r="H122" s="94" t="s">
        <v>580</v>
      </c>
      <c r="I122" s="94" t="s">
        <v>2274</v>
      </c>
      <c r="J122" s="94" t="s">
        <v>733</v>
      </c>
      <c r="K122" s="97">
        <v>10.99</v>
      </c>
    </row>
    <row r="123" spans="1:11" ht="14.6" x14ac:dyDescent="0.4">
      <c r="A123" s="94"/>
      <c r="B123" s="94"/>
      <c r="C123" s="94"/>
      <c r="D123" s="94"/>
      <c r="E123" s="94" t="s">
        <v>544</v>
      </c>
      <c r="F123" s="95">
        <v>44127</v>
      </c>
      <c r="G123" s="94" t="s">
        <v>3003</v>
      </c>
      <c r="H123" s="94" t="s">
        <v>818</v>
      </c>
      <c r="I123" s="94" t="s">
        <v>1383</v>
      </c>
      <c r="J123" s="94" t="s">
        <v>733</v>
      </c>
      <c r="K123" s="97">
        <v>22.62</v>
      </c>
    </row>
    <row r="124" spans="1:11" ht="14.6" x14ac:dyDescent="0.4">
      <c r="A124" s="94"/>
      <c r="B124" s="94"/>
      <c r="C124" s="94"/>
      <c r="D124" s="94"/>
      <c r="E124" s="94" t="s">
        <v>544</v>
      </c>
      <c r="F124" s="95">
        <v>44130</v>
      </c>
      <c r="G124" s="94" t="s">
        <v>2768</v>
      </c>
      <c r="H124" s="94" t="s">
        <v>581</v>
      </c>
      <c r="I124" s="94" t="s">
        <v>2774</v>
      </c>
      <c r="J124" s="94" t="s">
        <v>733</v>
      </c>
      <c r="K124" s="97">
        <v>45.17</v>
      </c>
    </row>
    <row r="125" spans="1:11" ht="14.6" x14ac:dyDescent="0.4">
      <c r="A125" s="94"/>
      <c r="B125" s="94"/>
      <c r="C125" s="94"/>
      <c r="D125" s="94"/>
      <c r="E125" s="94" t="s">
        <v>544</v>
      </c>
      <c r="F125" s="95">
        <v>44130</v>
      </c>
      <c r="G125" s="94" t="s">
        <v>2769</v>
      </c>
      <c r="H125" s="94" t="s">
        <v>579</v>
      </c>
      <c r="I125" s="94" t="s">
        <v>2274</v>
      </c>
      <c r="J125" s="94" t="s">
        <v>733</v>
      </c>
      <c r="K125" s="97">
        <v>243.84</v>
      </c>
    </row>
    <row r="126" spans="1:11" ht="14.6" x14ac:dyDescent="0.4">
      <c r="A126" s="94"/>
      <c r="B126" s="94"/>
      <c r="C126" s="94"/>
      <c r="D126" s="94"/>
      <c r="E126" s="94" t="s">
        <v>544</v>
      </c>
      <c r="F126" s="95">
        <v>44132</v>
      </c>
      <c r="G126" s="94" t="s">
        <v>2770</v>
      </c>
      <c r="H126" s="94" t="s">
        <v>579</v>
      </c>
      <c r="I126" s="94" t="s">
        <v>2274</v>
      </c>
      <c r="J126" s="94" t="s">
        <v>733</v>
      </c>
      <c r="K126" s="97">
        <v>7.99</v>
      </c>
    </row>
    <row r="127" spans="1:11" ht="14.6" x14ac:dyDescent="0.4">
      <c r="A127" s="94"/>
      <c r="B127" s="94"/>
      <c r="C127" s="94"/>
      <c r="D127" s="94"/>
      <c r="E127" s="94" t="s">
        <v>544</v>
      </c>
      <c r="F127" s="95">
        <v>44132</v>
      </c>
      <c r="G127" s="94" t="s">
        <v>2771</v>
      </c>
      <c r="H127" s="94" t="s">
        <v>581</v>
      </c>
      <c r="I127" s="94" t="s">
        <v>587</v>
      </c>
      <c r="J127" s="94" t="s">
        <v>733</v>
      </c>
      <c r="K127" s="97">
        <v>45.17</v>
      </c>
    </row>
    <row r="128" spans="1:11" ht="14.6" x14ac:dyDescent="0.4">
      <c r="A128" s="94"/>
      <c r="B128" s="94"/>
      <c r="C128" s="94"/>
      <c r="D128" s="94"/>
      <c r="E128" s="94" t="s">
        <v>544</v>
      </c>
      <c r="F128" s="95">
        <v>44133</v>
      </c>
      <c r="G128" s="94" t="s">
        <v>2617</v>
      </c>
      <c r="H128" s="94" t="s">
        <v>2773</v>
      </c>
      <c r="I128" s="94" t="s">
        <v>2775</v>
      </c>
      <c r="J128" s="94" t="s">
        <v>733</v>
      </c>
      <c r="K128" s="97">
        <v>156</v>
      </c>
    </row>
    <row r="129" spans="1:11" ht="14.6" x14ac:dyDescent="0.4">
      <c r="A129" s="94"/>
      <c r="B129" s="94"/>
      <c r="C129" s="94"/>
      <c r="D129" s="94"/>
      <c r="E129" s="94" t="s">
        <v>544</v>
      </c>
      <c r="F129" s="95">
        <v>44137</v>
      </c>
      <c r="G129" s="94" t="s">
        <v>2772</v>
      </c>
      <c r="H129" s="94" t="s">
        <v>580</v>
      </c>
      <c r="I129" s="94" t="s">
        <v>2274</v>
      </c>
      <c r="J129" s="94" t="s">
        <v>733</v>
      </c>
      <c r="K129" s="97">
        <v>52.93</v>
      </c>
    </row>
    <row r="130" spans="1:11" ht="14.6" x14ac:dyDescent="0.4">
      <c r="A130" s="94"/>
      <c r="B130" s="94"/>
      <c r="C130" s="94"/>
      <c r="D130" s="94"/>
      <c r="E130" s="94" t="s">
        <v>544</v>
      </c>
      <c r="F130" s="95">
        <v>44137</v>
      </c>
      <c r="G130" s="94" t="s">
        <v>2772</v>
      </c>
      <c r="H130" s="94" t="s">
        <v>580</v>
      </c>
      <c r="I130" s="94" t="s">
        <v>2274</v>
      </c>
      <c r="J130" s="94" t="s">
        <v>733</v>
      </c>
      <c r="K130" s="97">
        <v>41.03</v>
      </c>
    </row>
    <row r="131" spans="1:11" ht="14.6" x14ac:dyDescent="0.4">
      <c r="A131" s="94"/>
      <c r="B131" s="94"/>
      <c r="C131" s="94"/>
      <c r="D131" s="94"/>
      <c r="E131" s="94" t="s">
        <v>544</v>
      </c>
      <c r="F131" s="95">
        <v>44139</v>
      </c>
      <c r="G131" s="94" t="s">
        <v>3004</v>
      </c>
      <c r="H131" s="94" t="s">
        <v>579</v>
      </c>
      <c r="I131" s="94" t="s">
        <v>2274</v>
      </c>
      <c r="J131" s="94" t="s">
        <v>733</v>
      </c>
      <c r="K131" s="97">
        <v>51.81</v>
      </c>
    </row>
    <row r="132" spans="1:11" ht="14.6" x14ac:dyDescent="0.4">
      <c r="A132" s="94"/>
      <c r="B132" s="94"/>
      <c r="C132" s="94"/>
      <c r="D132" s="94"/>
      <c r="E132" s="94" t="s">
        <v>545</v>
      </c>
      <c r="F132" s="95">
        <v>44145</v>
      </c>
      <c r="G132" s="94" t="s">
        <v>3005</v>
      </c>
      <c r="H132" s="94" t="s">
        <v>3016</v>
      </c>
      <c r="I132" s="94" t="s">
        <v>3018</v>
      </c>
      <c r="J132" s="94" t="s">
        <v>924</v>
      </c>
      <c r="K132" s="97">
        <v>348</v>
      </c>
    </row>
    <row r="133" spans="1:11" ht="14.6" x14ac:dyDescent="0.4">
      <c r="A133" s="94"/>
      <c r="B133" s="94"/>
      <c r="C133" s="94"/>
      <c r="D133" s="94"/>
      <c r="E133" s="94" t="s">
        <v>544</v>
      </c>
      <c r="F133" s="95">
        <v>44146</v>
      </c>
      <c r="G133" s="94" t="s">
        <v>3006</v>
      </c>
      <c r="H133" s="94" t="s">
        <v>581</v>
      </c>
      <c r="I133" s="94" t="s">
        <v>3019</v>
      </c>
      <c r="J133" s="94" t="s">
        <v>733</v>
      </c>
      <c r="K133" s="97">
        <v>57</v>
      </c>
    </row>
    <row r="134" spans="1:11" ht="15" customHeight="1" x14ac:dyDescent="0.4">
      <c r="A134" s="94"/>
      <c r="B134" s="94"/>
      <c r="C134" s="94"/>
      <c r="D134" s="94"/>
      <c r="E134" s="94" t="s">
        <v>544</v>
      </c>
      <c r="F134" s="95">
        <v>44146</v>
      </c>
      <c r="G134" s="94" t="s">
        <v>3007</v>
      </c>
      <c r="H134" s="94" t="s">
        <v>581</v>
      </c>
      <c r="I134" s="94" t="s">
        <v>3020</v>
      </c>
      <c r="J134" s="94" t="s">
        <v>733</v>
      </c>
      <c r="K134" s="97">
        <v>57</v>
      </c>
    </row>
    <row r="135" spans="1:11" ht="15" customHeight="1" x14ac:dyDescent="0.4">
      <c r="A135" s="94"/>
      <c r="B135" s="94"/>
      <c r="C135" s="94"/>
      <c r="D135" s="94"/>
      <c r="E135" s="94" t="s">
        <v>544</v>
      </c>
      <c r="F135" s="95">
        <v>44166</v>
      </c>
      <c r="G135" s="94" t="s">
        <v>3008</v>
      </c>
      <c r="H135" s="94" t="s">
        <v>818</v>
      </c>
      <c r="I135" s="94" t="s">
        <v>3021</v>
      </c>
      <c r="J135" s="94" t="s">
        <v>733</v>
      </c>
      <c r="K135" s="97">
        <v>807</v>
      </c>
    </row>
    <row r="136" spans="1:11" ht="15" customHeight="1" x14ac:dyDescent="0.4">
      <c r="A136" s="94"/>
      <c r="B136" s="94"/>
      <c r="C136" s="94"/>
      <c r="D136" s="94"/>
      <c r="E136" s="94" t="s">
        <v>544</v>
      </c>
      <c r="F136" s="95">
        <v>44175</v>
      </c>
      <c r="G136" s="94" t="s">
        <v>3009</v>
      </c>
      <c r="H136" s="94" t="s">
        <v>579</v>
      </c>
      <c r="I136" s="94" t="s">
        <v>2274</v>
      </c>
      <c r="J136" s="94" t="s">
        <v>733</v>
      </c>
      <c r="K136" s="97">
        <v>18.54</v>
      </c>
    </row>
    <row r="137" spans="1:11" ht="15" customHeight="1" x14ac:dyDescent="0.4">
      <c r="A137" s="94"/>
      <c r="B137" s="94"/>
      <c r="C137" s="94"/>
      <c r="D137" s="94"/>
      <c r="E137" s="94" t="s">
        <v>544</v>
      </c>
      <c r="F137" s="95">
        <v>44175</v>
      </c>
      <c r="G137" s="94" t="s">
        <v>3010</v>
      </c>
      <c r="H137" s="94" t="s">
        <v>579</v>
      </c>
      <c r="I137" s="94" t="s">
        <v>2274</v>
      </c>
      <c r="J137" s="94" t="s">
        <v>733</v>
      </c>
      <c r="K137" s="97">
        <v>60.51</v>
      </c>
    </row>
    <row r="138" spans="1:11" ht="15" customHeight="1" x14ac:dyDescent="0.4">
      <c r="A138" s="94"/>
      <c r="B138" s="94"/>
      <c r="C138" s="94"/>
      <c r="D138" s="94"/>
      <c r="E138" s="94" t="s">
        <v>545</v>
      </c>
      <c r="F138" s="95">
        <v>44180</v>
      </c>
      <c r="G138" s="94" t="s">
        <v>3011</v>
      </c>
      <c r="H138" s="94" t="s">
        <v>3017</v>
      </c>
      <c r="I138" s="94" t="s">
        <v>2173</v>
      </c>
      <c r="J138" s="94" t="s">
        <v>924</v>
      </c>
      <c r="K138" s="97">
        <v>258.75</v>
      </c>
    </row>
    <row r="139" spans="1:11" ht="15" customHeight="1" x14ac:dyDescent="0.4">
      <c r="A139" s="94"/>
      <c r="B139" s="94"/>
      <c r="C139" s="94"/>
      <c r="D139" s="94"/>
      <c r="E139" s="94" t="s">
        <v>544</v>
      </c>
      <c r="F139" s="95">
        <v>44181</v>
      </c>
      <c r="G139" s="94" t="s">
        <v>3012</v>
      </c>
      <c r="H139" s="94" t="s">
        <v>581</v>
      </c>
      <c r="I139" s="94" t="s">
        <v>3022</v>
      </c>
      <c r="J139" s="94" t="s">
        <v>733</v>
      </c>
      <c r="K139" s="97">
        <v>45.17</v>
      </c>
    </row>
    <row r="140" spans="1:11" ht="15" customHeight="1" x14ac:dyDescent="0.4">
      <c r="A140" s="94"/>
      <c r="B140" s="94"/>
      <c r="C140" s="94"/>
      <c r="D140" s="94"/>
      <c r="E140" s="94" t="s">
        <v>544</v>
      </c>
      <c r="F140" s="95">
        <v>44183</v>
      </c>
      <c r="G140" s="94" t="s">
        <v>3013</v>
      </c>
      <c r="H140" s="94" t="s">
        <v>580</v>
      </c>
      <c r="I140" s="94" t="s">
        <v>3023</v>
      </c>
      <c r="J140" s="94" t="s">
        <v>733</v>
      </c>
      <c r="K140" s="97">
        <v>9.99</v>
      </c>
    </row>
    <row r="141" spans="1:11" ht="15" customHeight="1" x14ac:dyDescent="0.4">
      <c r="A141" s="94"/>
      <c r="B141" s="94"/>
      <c r="C141" s="94"/>
      <c r="D141" s="94"/>
      <c r="E141" s="94" t="s">
        <v>544</v>
      </c>
      <c r="F141" s="95">
        <v>44183</v>
      </c>
      <c r="G141" s="94" t="s">
        <v>3013</v>
      </c>
      <c r="H141" s="94" t="s">
        <v>580</v>
      </c>
      <c r="I141" s="94" t="s">
        <v>3024</v>
      </c>
      <c r="J141" s="94" t="s">
        <v>733</v>
      </c>
      <c r="K141" s="97">
        <v>9.99</v>
      </c>
    </row>
    <row r="142" spans="1:11" ht="15" customHeight="1" x14ac:dyDescent="0.4">
      <c r="A142" s="94"/>
      <c r="B142" s="94"/>
      <c r="C142" s="94"/>
      <c r="D142" s="94"/>
      <c r="E142" s="94" t="s">
        <v>544</v>
      </c>
      <c r="F142" s="95">
        <v>44183</v>
      </c>
      <c r="G142" s="94" t="s">
        <v>3013</v>
      </c>
      <c r="H142" s="94" t="s">
        <v>580</v>
      </c>
      <c r="I142" s="94" t="s">
        <v>3025</v>
      </c>
      <c r="J142" s="94" t="s">
        <v>733</v>
      </c>
      <c r="K142" s="97">
        <v>-15</v>
      </c>
    </row>
    <row r="143" spans="1:11" ht="15" customHeight="1" x14ac:dyDescent="0.4">
      <c r="A143" s="94"/>
      <c r="B143" s="94"/>
      <c r="C143" s="94"/>
      <c r="D143" s="94"/>
      <c r="E143" s="94" t="s">
        <v>544</v>
      </c>
      <c r="F143" s="95">
        <v>44187</v>
      </c>
      <c r="G143" s="94" t="s">
        <v>3014</v>
      </c>
      <c r="H143" s="94" t="s">
        <v>580</v>
      </c>
      <c r="I143" s="94" t="s">
        <v>3026</v>
      </c>
      <c r="J143" s="94" t="s">
        <v>733</v>
      </c>
      <c r="K143" s="97">
        <v>26.97</v>
      </c>
    </row>
    <row r="144" spans="1:11" ht="15" customHeight="1" thickBot="1" x14ac:dyDescent="0.45">
      <c r="A144" s="94"/>
      <c r="B144" s="94"/>
      <c r="C144" s="94"/>
      <c r="D144" s="94"/>
      <c r="E144" s="94" t="s">
        <v>545</v>
      </c>
      <c r="F144" s="95">
        <v>44188</v>
      </c>
      <c r="G144" s="94" t="s">
        <v>3015</v>
      </c>
      <c r="H144" s="94" t="s">
        <v>2544</v>
      </c>
      <c r="I144" s="94" t="s">
        <v>3027</v>
      </c>
      <c r="J144" s="94" t="s">
        <v>924</v>
      </c>
      <c r="K144" s="756">
        <v>35.22</v>
      </c>
    </row>
    <row r="145" spans="1:11" ht="15" customHeight="1" thickBot="1" x14ac:dyDescent="0.45">
      <c r="A145" s="94"/>
      <c r="B145" s="94"/>
      <c r="C145" s="94" t="s">
        <v>926</v>
      </c>
      <c r="D145" s="94"/>
      <c r="E145" s="94"/>
      <c r="F145" s="95"/>
      <c r="G145" s="94"/>
      <c r="H145" s="94"/>
      <c r="I145" s="94"/>
      <c r="J145" s="94"/>
      <c r="K145" s="757">
        <f>ROUND(SUM(K3:K144),5)</f>
        <v>9810.1200000000008</v>
      </c>
    </row>
    <row r="146" spans="1:11" ht="15" customHeight="1" thickBot="1" x14ac:dyDescent="0.45">
      <c r="A146" s="94"/>
      <c r="B146" s="94" t="s">
        <v>732</v>
      </c>
      <c r="C146" s="94"/>
      <c r="D146" s="94"/>
      <c r="E146" s="94"/>
      <c r="F146" s="95"/>
      <c r="G146" s="94"/>
      <c r="H146" s="94"/>
      <c r="I146" s="94"/>
      <c r="J146" s="94"/>
      <c r="K146" s="757">
        <f>K145</f>
        <v>9810.1200000000008</v>
      </c>
    </row>
    <row r="147" spans="1:11" ht="15" customHeight="1" thickBot="1" x14ac:dyDescent="0.45">
      <c r="A147" s="94" t="s">
        <v>98</v>
      </c>
      <c r="B147" s="94"/>
      <c r="C147" s="94"/>
      <c r="D147" s="94"/>
      <c r="E147" s="94"/>
      <c r="F147" s="95"/>
      <c r="G147" s="94"/>
      <c r="H147" s="94"/>
      <c r="I147" s="94"/>
      <c r="J147" s="94"/>
      <c r="K147" s="758">
        <f>K146</f>
        <v>9810.1200000000008</v>
      </c>
    </row>
    <row r="148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2:37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610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46103" r:id="rId4" name="FILTER"/>
      </mc:Fallback>
    </mc:AlternateContent>
    <mc:AlternateContent xmlns:mc="http://schemas.openxmlformats.org/markup-compatibility/2006">
      <mc:Choice Requires="x14">
        <control shapeId="4610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46104" r:id="rId6" name="HEADER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K64"/>
  <sheetViews>
    <sheetView workbookViewId="0">
      <pane xSplit="3" ySplit="1" topLeftCell="D17" activePane="bottomRight" state="frozenSplit"/>
      <selection pane="topRight" activeCell="D1" sqref="D1"/>
      <selection pane="bottomLeft" activeCell="A2" sqref="A2"/>
      <selection pane="bottomRight" activeCell="I22" sqref="I22"/>
    </sheetView>
  </sheetViews>
  <sheetFormatPr defaultColWidth="14.3828125" defaultRowHeight="15" customHeight="1" x14ac:dyDescent="0.4"/>
  <cols>
    <col min="1" max="2" width="3" style="760" customWidth="1"/>
    <col min="3" max="3" width="26.3046875" style="760" customWidth="1"/>
    <col min="4" max="4" width="2.3046875" style="760" customWidth="1"/>
    <col min="5" max="5" width="17.69140625" style="760" bestFit="1" customWidth="1"/>
    <col min="6" max="6" width="10.69140625" style="760" bestFit="1" customWidth="1"/>
    <col min="7" max="7" width="11.3828125" style="760" bestFit="1" customWidth="1"/>
    <col min="8" max="8" width="26.15234375" style="760" bestFit="1" customWidth="1"/>
    <col min="9" max="9" width="30.69140625" style="760" customWidth="1"/>
    <col min="10" max="10" width="28.3828125" style="760" bestFit="1" customWidth="1"/>
    <col min="11" max="11" width="10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928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43832</v>
      </c>
      <c r="G4" s="94" t="s">
        <v>613</v>
      </c>
      <c r="H4" s="94" t="s">
        <v>628</v>
      </c>
      <c r="I4" s="94" t="s">
        <v>633</v>
      </c>
      <c r="J4" s="94" t="s">
        <v>733</v>
      </c>
      <c r="K4" s="97">
        <v>250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43832</v>
      </c>
      <c r="G5" s="94" t="s">
        <v>613</v>
      </c>
      <c r="H5" s="94" t="s">
        <v>628</v>
      </c>
      <c r="I5" s="94" t="s">
        <v>634</v>
      </c>
      <c r="J5" s="94" t="s">
        <v>733</v>
      </c>
      <c r="K5" s="97">
        <v>250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43846</v>
      </c>
      <c r="G6" s="94" t="s">
        <v>614</v>
      </c>
      <c r="H6" s="94" t="s">
        <v>629</v>
      </c>
      <c r="I6" s="94" t="s">
        <v>635</v>
      </c>
      <c r="J6" s="94" t="s">
        <v>733</v>
      </c>
      <c r="K6" s="97">
        <v>11.58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43853</v>
      </c>
      <c r="G7" s="94" t="s">
        <v>615</v>
      </c>
      <c r="H7" s="94" t="s">
        <v>630</v>
      </c>
      <c r="I7" s="94" t="s">
        <v>636</v>
      </c>
      <c r="J7" s="94" t="s">
        <v>733</v>
      </c>
      <c r="K7" s="97">
        <v>114.8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43854</v>
      </c>
      <c r="G8" s="94" t="s">
        <v>616</v>
      </c>
      <c r="H8" s="94" t="s">
        <v>631</v>
      </c>
      <c r="I8" s="94" t="s">
        <v>637</v>
      </c>
      <c r="J8" s="94" t="s">
        <v>733</v>
      </c>
      <c r="K8" s="97">
        <v>16.52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43854</v>
      </c>
      <c r="G9" s="94" t="s">
        <v>617</v>
      </c>
      <c r="H9" s="94" t="s">
        <v>631</v>
      </c>
      <c r="I9" s="94" t="s">
        <v>638</v>
      </c>
      <c r="J9" s="94" t="s">
        <v>733</v>
      </c>
      <c r="K9" s="97">
        <v>38.1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43854</v>
      </c>
      <c r="G10" s="94" t="s">
        <v>618</v>
      </c>
      <c r="H10" s="94" t="s">
        <v>631</v>
      </c>
      <c r="I10" s="94" t="s">
        <v>639</v>
      </c>
      <c r="J10" s="94" t="s">
        <v>733</v>
      </c>
      <c r="K10" s="97">
        <v>258.88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43854</v>
      </c>
      <c r="G11" s="94" t="s">
        <v>619</v>
      </c>
      <c r="H11" s="94" t="s">
        <v>631</v>
      </c>
      <c r="I11" s="94" t="s">
        <v>640</v>
      </c>
      <c r="J11" s="94" t="s">
        <v>733</v>
      </c>
      <c r="K11" s="97">
        <v>9.18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43854</v>
      </c>
      <c r="G12" s="94" t="s">
        <v>620</v>
      </c>
      <c r="H12" s="94" t="s">
        <v>631</v>
      </c>
      <c r="I12" s="94" t="s">
        <v>641</v>
      </c>
      <c r="J12" s="94" t="s">
        <v>733</v>
      </c>
      <c r="K12" s="97">
        <v>2.75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43854</v>
      </c>
      <c r="G13" s="94" t="s">
        <v>621</v>
      </c>
      <c r="H13" s="94" t="s">
        <v>631</v>
      </c>
      <c r="I13" s="94" t="s">
        <v>642</v>
      </c>
      <c r="J13" s="94" t="s">
        <v>733</v>
      </c>
      <c r="K13" s="97">
        <v>174.67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43854</v>
      </c>
      <c r="G14" s="94" t="s">
        <v>622</v>
      </c>
      <c r="H14" s="94" t="s">
        <v>631</v>
      </c>
      <c r="I14" s="94" t="s">
        <v>643</v>
      </c>
      <c r="J14" s="94" t="s">
        <v>733</v>
      </c>
      <c r="K14" s="97">
        <v>2696.39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43854</v>
      </c>
      <c r="G15" s="94" t="s">
        <v>623</v>
      </c>
      <c r="H15" s="94" t="s">
        <v>631</v>
      </c>
      <c r="I15" s="94" t="s">
        <v>644</v>
      </c>
      <c r="J15" s="94" t="s">
        <v>733</v>
      </c>
      <c r="K15" s="97">
        <v>2657.46</v>
      </c>
    </row>
    <row r="16" spans="1:11" ht="14.6" x14ac:dyDescent="0.4">
      <c r="A16" s="94"/>
      <c r="B16" s="94"/>
      <c r="C16" s="94"/>
      <c r="D16" s="94"/>
      <c r="E16" s="94" t="s">
        <v>545</v>
      </c>
      <c r="F16" s="95">
        <v>43859</v>
      </c>
      <c r="G16" s="94" t="s">
        <v>624</v>
      </c>
      <c r="H16" s="94" t="s">
        <v>632</v>
      </c>
      <c r="I16" s="94" t="s">
        <v>645</v>
      </c>
      <c r="J16" s="94" t="s">
        <v>924</v>
      </c>
      <c r="K16" s="97">
        <v>12.94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43861</v>
      </c>
      <c r="G17" s="94" t="s">
        <v>625</v>
      </c>
      <c r="H17" s="94" t="s">
        <v>630</v>
      </c>
      <c r="I17" s="94" t="s">
        <v>636</v>
      </c>
      <c r="J17" s="94" t="s">
        <v>733</v>
      </c>
      <c r="K17" s="97">
        <v>185.97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43881</v>
      </c>
      <c r="G18" s="94" t="s">
        <v>626</v>
      </c>
      <c r="H18" s="94" t="s">
        <v>631</v>
      </c>
      <c r="I18" s="94" t="s">
        <v>646</v>
      </c>
      <c r="J18" s="94" t="s">
        <v>733</v>
      </c>
      <c r="K18" s="97">
        <v>4000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43885</v>
      </c>
      <c r="G19" s="94" t="s">
        <v>627</v>
      </c>
      <c r="H19" s="94" t="s">
        <v>630</v>
      </c>
      <c r="I19" s="94" t="s">
        <v>647</v>
      </c>
      <c r="J19" s="94" t="s">
        <v>733</v>
      </c>
      <c r="K19" s="97">
        <v>68000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43892</v>
      </c>
      <c r="G20" s="94" t="s">
        <v>1295</v>
      </c>
      <c r="H20" s="94" t="s">
        <v>631</v>
      </c>
      <c r="I20" s="94" t="s">
        <v>1296</v>
      </c>
      <c r="J20" s="94" t="s">
        <v>733</v>
      </c>
      <c r="K20" s="97">
        <v>272.97000000000003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43924</v>
      </c>
      <c r="G21" s="94" t="s">
        <v>740</v>
      </c>
      <c r="H21" s="94" t="s">
        <v>1565</v>
      </c>
      <c r="I21" s="770" t="s">
        <v>1932</v>
      </c>
      <c r="J21" s="94" t="s">
        <v>733</v>
      </c>
      <c r="K21" s="97">
        <v>2999.26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43943</v>
      </c>
      <c r="G22" s="94" t="s">
        <v>1563</v>
      </c>
      <c r="H22" s="94" t="s">
        <v>630</v>
      </c>
      <c r="I22" s="94" t="s">
        <v>1566</v>
      </c>
      <c r="J22" s="94" t="s">
        <v>733</v>
      </c>
      <c r="K22" s="97">
        <v>4446.08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43943</v>
      </c>
      <c r="G23" s="94" t="s">
        <v>1563</v>
      </c>
      <c r="H23" s="94" t="s">
        <v>630</v>
      </c>
      <c r="I23" s="94" t="s">
        <v>636</v>
      </c>
      <c r="J23" s="94" t="s">
        <v>733</v>
      </c>
      <c r="K23" s="97">
        <v>187.63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43965</v>
      </c>
      <c r="G24" s="94" t="s">
        <v>1401</v>
      </c>
      <c r="H24" s="94" t="s">
        <v>1565</v>
      </c>
      <c r="I24" s="94" t="s">
        <v>635</v>
      </c>
      <c r="J24" s="94" t="s">
        <v>733</v>
      </c>
      <c r="K24" s="97">
        <v>83.31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43969</v>
      </c>
      <c r="G25" s="94" t="s">
        <v>1564</v>
      </c>
      <c r="H25" s="94" t="s">
        <v>630</v>
      </c>
      <c r="I25" s="94" t="s">
        <v>1566</v>
      </c>
      <c r="J25" s="94" t="s">
        <v>733</v>
      </c>
      <c r="K25" s="97">
        <v>136.15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43970</v>
      </c>
      <c r="G26" s="94" t="s">
        <v>1795</v>
      </c>
      <c r="H26" s="94" t="s">
        <v>631</v>
      </c>
      <c r="I26" s="94" t="s">
        <v>1797</v>
      </c>
      <c r="J26" s="94" t="s">
        <v>733</v>
      </c>
      <c r="K26" s="97">
        <v>32.659999999999997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43970</v>
      </c>
      <c r="G27" s="94" t="s">
        <v>1795</v>
      </c>
      <c r="H27" s="94" t="s">
        <v>631</v>
      </c>
      <c r="I27" s="94" t="s">
        <v>1798</v>
      </c>
      <c r="J27" s="94" t="s">
        <v>733</v>
      </c>
      <c r="K27" s="97">
        <v>-32.659999999999997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43972</v>
      </c>
      <c r="G28" s="94" t="s">
        <v>1796</v>
      </c>
      <c r="H28" s="94" t="s">
        <v>629</v>
      </c>
      <c r="I28" s="94" t="s">
        <v>635</v>
      </c>
      <c r="J28" s="94" t="s">
        <v>733</v>
      </c>
      <c r="K28" s="97">
        <v>11.94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43993</v>
      </c>
      <c r="G29" s="94" t="s">
        <v>1928</v>
      </c>
      <c r="H29" s="94" t="s">
        <v>631</v>
      </c>
      <c r="I29" s="94" t="s">
        <v>1932</v>
      </c>
      <c r="J29" s="94" t="s">
        <v>733</v>
      </c>
      <c r="K29" s="97">
        <v>31.86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43993</v>
      </c>
      <c r="G30" s="94" t="s">
        <v>1928</v>
      </c>
      <c r="H30" s="94" t="s">
        <v>631</v>
      </c>
      <c r="I30" s="94" t="s">
        <v>1933</v>
      </c>
      <c r="J30" s="94" t="s">
        <v>733</v>
      </c>
      <c r="K30" s="97">
        <v>-31.86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43994</v>
      </c>
      <c r="G31" s="94" t="s">
        <v>1929</v>
      </c>
      <c r="H31" s="94" t="s">
        <v>631</v>
      </c>
      <c r="I31" s="94" t="s">
        <v>1932</v>
      </c>
      <c r="J31" s="94" t="s">
        <v>733</v>
      </c>
      <c r="K31" s="97">
        <v>3265.86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43994</v>
      </c>
      <c r="G32" s="94" t="s">
        <v>1929</v>
      </c>
      <c r="H32" s="94" t="s">
        <v>631</v>
      </c>
      <c r="I32" s="94" t="s">
        <v>1933</v>
      </c>
      <c r="J32" s="94" t="s">
        <v>733</v>
      </c>
      <c r="K32" s="97">
        <v>-2005.7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44007</v>
      </c>
      <c r="G33" s="94" t="s">
        <v>1930</v>
      </c>
      <c r="H33" s="94" t="s">
        <v>630</v>
      </c>
      <c r="I33" s="94" t="s">
        <v>1566</v>
      </c>
      <c r="J33" s="94" t="s">
        <v>733</v>
      </c>
      <c r="K33" s="97">
        <v>36.049999999999997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44007</v>
      </c>
      <c r="G34" s="94" t="s">
        <v>1930</v>
      </c>
      <c r="H34" s="94" t="s">
        <v>630</v>
      </c>
      <c r="I34" s="94" t="s">
        <v>1934</v>
      </c>
      <c r="J34" s="94" t="s">
        <v>733</v>
      </c>
      <c r="K34" s="97">
        <v>238.62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44015</v>
      </c>
      <c r="G35" s="94" t="s">
        <v>1931</v>
      </c>
      <c r="H35" s="94" t="s">
        <v>1565</v>
      </c>
      <c r="I35" s="94" t="s">
        <v>1935</v>
      </c>
      <c r="J35" s="94" t="s">
        <v>733</v>
      </c>
      <c r="K35" s="97">
        <v>2000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44015</v>
      </c>
      <c r="G36" s="94" t="s">
        <v>1931</v>
      </c>
      <c r="H36" s="94" t="s">
        <v>1565</v>
      </c>
      <c r="I36" s="94" t="s">
        <v>1936</v>
      </c>
      <c r="J36" s="94" t="s">
        <v>733</v>
      </c>
      <c r="K36" s="97">
        <v>440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44022</v>
      </c>
      <c r="G37" s="94" t="s">
        <v>2175</v>
      </c>
      <c r="H37" s="94" t="s">
        <v>631</v>
      </c>
      <c r="I37" s="94" t="s">
        <v>1932</v>
      </c>
      <c r="J37" s="94" t="s">
        <v>733</v>
      </c>
      <c r="K37" s="97">
        <v>6.9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44022</v>
      </c>
      <c r="G38" s="94" t="s">
        <v>2176</v>
      </c>
      <c r="H38" s="94" t="s">
        <v>631</v>
      </c>
      <c r="I38" s="94" t="s">
        <v>1932</v>
      </c>
      <c r="J38" s="94" t="s">
        <v>733</v>
      </c>
      <c r="K38" s="97">
        <v>563.66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44025</v>
      </c>
      <c r="G39" s="94" t="s">
        <v>2177</v>
      </c>
      <c r="H39" s="94" t="s">
        <v>631</v>
      </c>
      <c r="I39" s="94" t="s">
        <v>2180</v>
      </c>
      <c r="J39" s="94" t="s">
        <v>733</v>
      </c>
      <c r="K39" s="97">
        <v>38.909999999999997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44035</v>
      </c>
      <c r="G40" s="94" t="s">
        <v>2178</v>
      </c>
      <c r="H40" s="94" t="s">
        <v>630</v>
      </c>
      <c r="I40" s="94" t="s">
        <v>2181</v>
      </c>
      <c r="J40" s="94" t="s">
        <v>733</v>
      </c>
      <c r="K40" s="97">
        <v>50700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44040</v>
      </c>
      <c r="G41" s="94" t="s">
        <v>2179</v>
      </c>
      <c r="H41" s="94" t="s">
        <v>630</v>
      </c>
      <c r="I41" s="94" t="s">
        <v>1566</v>
      </c>
      <c r="J41" s="94" t="s">
        <v>733</v>
      </c>
      <c r="K41" s="97">
        <v>45.8</v>
      </c>
    </row>
    <row r="42" spans="1:11" ht="14.6" x14ac:dyDescent="0.4">
      <c r="A42" s="94"/>
      <c r="B42" s="94"/>
      <c r="C42" s="94"/>
      <c r="D42" s="94"/>
      <c r="E42" s="94" t="s">
        <v>545</v>
      </c>
      <c r="F42" s="95">
        <v>44040</v>
      </c>
      <c r="G42" s="94" t="s">
        <v>2281</v>
      </c>
      <c r="H42" s="94" t="s">
        <v>632</v>
      </c>
      <c r="I42" s="94" t="s">
        <v>2288</v>
      </c>
      <c r="J42" s="94" t="s">
        <v>924</v>
      </c>
      <c r="K42" s="97">
        <v>12.94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44043</v>
      </c>
      <c r="G43" s="94" t="s">
        <v>2282</v>
      </c>
      <c r="H43" s="94" t="s">
        <v>631</v>
      </c>
      <c r="I43" s="94" t="s">
        <v>2289</v>
      </c>
      <c r="J43" s="94" t="s">
        <v>733</v>
      </c>
      <c r="K43" s="97">
        <v>72.41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44043</v>
      </c>
      <c r="G44" s="94" t="s">
        <v>2283</v>
      </c>
      <c r="H44" s="94" t="s">
        <v>631</v>
      </c>
      <c r="I44" s="94" t="s">
        <v>2291</v>
      </c>
      <c r="J44" s="94" t="s">
        <v>733</v>
      </c>
      <c r="K44" s="97">
        <v>43.24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44060</v>
      </c>
      <c r="G45" s="94" t="s">
        <v>2284</v>
      </c>
      <c r="H45" s="94" t="s">
        <v>630</v>
      </c>
      <c r="I45" s="94" t="s">
        <v>2181</v>
      </c>
      <c r="J45" s="94" t="s">
        <v>733</v>
      </c>
      <c r="K45" s="97">
        <v>484</v>
      </c>
    </row>
    <row r="46" spans="1:11" ht="14.6" x14ac:dyDescent="0.4">
      <c r="A46" s="94"/>
      <c r="B46" s="94"/>
      <c r="C46" s="94"/>
      <c r="D46" s="94"/>
      <c r="E46" s="94" t="s">
        <v>545</v>
      </c>
      <c r="F46" s="95">
        <v>44060</v>
      </c>
      <c r="G46" s="94" t="s">
        <v>2554</v>
      </c>
      <c r="H46" s="94" t="s">
        <v>632</v>
      </c>
      <c r="I46" s="94" t="s">
        <v>2560</v>
      </c>
      <c r="J46" s="94" t="s">
        <v>924</v>
      </c>
      <c r="K46" s="97">
        <v>12.94</v>
      </c>
    </row>
    <row r="47" spans="1:11" ht="14.6" x14ac:dyDescent="0.4">
      <c r="A47" s="94"/>
      <c r="B47" s="94"/>
      <c r="C47" s="94"/>
      <c r="D47" s="94"/>
      <c r="E47" s="94" t="s">
        <v>545</v>
      </c>
      <c r="F47" s="95">
        <v>44060</v>
      </c>
      <c r="G47" s="94" t="s">
        <v>2555</v>
      </c>
      <c r="H47" s="94" t="s">
        <v>632</v>
      </c>
      <c r="I47" s="94" t="s">
        <v>2561</v>
      </c>
      <c r="J47" s="94" t="s">
        <v>924</v>
      </c>
      <c r="K47" s="97">
        <v>12.94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44063</v>
      </c>
      <c r="G48" s="94" t="s">
        <v>2285</v>
      </c>
      <c r="H48" s="94" t="s">
        <v>629</v>
      </c>
      <c r="I48" s="94" t="s">
        <v>635</v>
      </c>
      <c r="J48" s="94" t="s">
        <v>733</v>
      </c>
      <c r="K48" s="97">
        <v>11.94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44064</v>
      </c>
      <c r="G49" s="94" t="s">
        <v>2286</v>
      </c>
      <c r="H49" s="94" t="s">
        <v>631</v>
      </c>
      <c r="I49" s="94" t="s">
        <v>2293</v>
      </c>
      <c r="J49" s="94" t="s">
        <v>733</v>
      </c>
      <c r="K49" s="97">
        <v>0.92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44064</v>
      </c>
      <c r="G50" s="94" t="s">
        <v>2287</v>
      </c>
      <c r="H50" s="94" t="s">
        <v>631</v>
      </c>
      <c r="I50" s="94" t="s">
        <v>2294</v>
      </c>
      <c r="J50" s="94" t="s">
        <v>733</v>
      </c>
      <c r="K50" s="97">
        <v>23.44</v>
      </c>
    </row>
    <row r="51" spans="1:11" ht="14.6" x14ac:dyDescent="0.4">
      <c r="A51" s="94"/>
      <c r="B51" s="94"/>
      <c r="C51" s="94"/>
      <c r="D51" s="94"/>
      <c r="E51" s="94" t="s">
        <v>545</v>
      </c>
      <c r="F51" s="95">
        <v>44097</v>
      </c>
      <c r="G51" s="94" t="s">
        <v>2776</v>
      </c>
      <c r="H51" s="94" t="s">
        <v>632</v>
      </c>
      <c r="I51" s="94" t="s">
        <v>2561</v>
      </c>
      <c r="J51" s="94" t="s">
        <v>924</v>
      </c>
      <c r="K51" s="97">
        <v>12.94</v>
      </c>
    </row>
    <row r="52" spans="1:11" ht="14.6" x14ac:dyDescent="0.4">
      <c r="A52" s="94"/>
      <c r="B52" s="94"/>
      <c r="C52" s="94"/>
      <c r="D52" s="94"/>
      <c r="E52" s="94" t="s">
        <v>1314</v>
      </c>
      <c r="F52" s="95">
        <v>44098</v>
      </c>
      <c r="G52" s="94" t="s">
        <v>2556</v>
      </c>
      <c r="H52" s="94" t="s">
        <v>2559</v>
      </c>
      <c r="I52" s="94" t="s">
        <v>2562</v>
      </c>
      <c r="J52" s="94" t="s">
        <v>1379</v>
      </c>
      <c r="K52" s="97">
        <v>-960.66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44104</v>
      </c>
      <c r="G53" s="94" t="s">
        <v>2557</v>
      </c>
      <c r="H53" s="94" t="s">
        <v>630</v>
      </c>
      <c r="I53" s="94" t="s">
        <v>1934</v>
      </c>
      <c r="J53" s="94" t="s">
        <v>733</v>
      </c>
      <c r="K53" s="97">
        <v>279.58999999999997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44111</v>
      </c>
      <c r="G54" s="94" t="s">
        <v>2558</v>
      </c>
      <c r="H54" s="94" t="s">
        <v>628</v>
      </c>
      <c r="I54" s="94" t="s">
        <v>633</v>
      </c>
      <c r="J54" s="94" t="s">
        <v>733</v>
      </c>
      <c r="K54" s="97">
        <v>250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44111</v>
      </c>
      <c r="G55" s="94" t="s">
        <v>2558</v>
      </c>
      <c r="H55" s="94" t="s">
        <v>628</v>
      </c>
      <c r="I55" s="94" t="s">
        <v>634</v>
      </c>
      <c r="J55" s="94" t="s">
        <v>733</v>
      </c>
      <c r="K55" s="97">
        <v>500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44118</v>
      </c>
      <c r="G56" s="94" t="s">
        <v>2777</v>
      </c>
      <c r="H56" s="94" t="s">
        <v>630</v>
      </c>
      <c r="I56" s="94" t="s">
        <v>1934</v>
      </c>
      <c r="J56" s="94" t="s">
        <v>733</v>
      </c>
      <c r="K56" s="97">
        <v>396.63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44148</v>
      </c>
      <c r="G57" s="94" t="s">
        <v>3028</v>
      </c>
      <c r="H57" s="94" t="s">
        <v>630</v>
      </c>
      <c r="I57" s="94" t="s">
        <v>1934</v>
      </c>
      <c r="J57" s="94" t="s">
        <v>733</v>
      </c>
      <c r="K57" s="97">
        <v>170.8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44148</v>
      </c>
      <c r="G58" s="94" t="s">
        <v>3029</v>
      </c>
      <c r="H58" s="94" t="s">
        <v>631</v>
      </c>
      <c r="I58" s="94" t="s">
        <v>3032</v>
      </c>
      <c r="J58" s="94" t="s">
        <v>733</v>
      </c>
      <c r="K58" s="97">
        <v>114.9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44154</v>
      </c>
      <c r="G59" s="94" t="s">
        <v>3030</v>
      </c>
      <c r="H59" s="94" t="s">
        <v>629</v>
      </c>
      <c r="I59" s="94" t="s">
        <v>635</v>
      </c>
      <c r="J59" s="94" t="s">
        <v>733</v>
      </c>
      <c r="K59" s="97">
        <v>16.510000000000002</v>
      </c>
    </row>
    <row r="60" spans="1:11" thickBot="1" x14ac:dyDescent="0.45">
      <c r="A60" s="94"/>
      <c r="B60" s="94"/>
      <c r="C60" s="94"/>
      <c r="D60" s="94"/>
      <c r="E60" s="94" t="s">
        <v>544</v>
      </c>
      <c r="F60" s="95">
        <v>44165</v>
      </c>
      <c r="G60" s="94" t="s">
        <v>3031</v>
      </c>
      <c r="H60" s="94" t="s">
        <v>1558</v>
      </c>
      <c r="I60" s="94" t="s">
        <v>3033</v>
      </c>
      <c r="J60" s="94" t="s">
        <v>733</v>
      </c>
      <c r="K60" s="756">
        <v>15</v>
      </c>
    </row>
    <row r="61" spans="1:11" ht="15" customHeight="1" thickBot="1" x14ac:dyDescent="0.45">
      <c r="A61" s="94"/>
      <c r="B61" s="94"/>
      <c r="C61" s="94" t="s">
        <v>929</v>
      </c>
      <c r="D61" s="94"/>
      <c r="E61" s="94"/>
      <c r="F61" s="95"/>
      <c r="G61" s="94"/>
      <c r="H61" s="94"/>
      <c r="I61" s="94"/>
      <c r="J61" s="94"/>
      <c r="K61" s="757">
        <f>ROUND(SUM(K3:K60),5)</f>
        <v>143617.16</v>
      </c>
    </row>
    <row r="62" spans="1:11" ht="15" customHeight="1" thickBot="1" x14ac:dyDescent="0.45">
      <c r="A62" s="94"/>
      <c r="B62" s="94" t="s">
        <v>732</v>
      </c>
      <c r="C62" s="94"/>
      <c r="D62" s="94"/>
      <c r="E62" s="94"/>
      <c r="F62" s="95"/>
      <c r="G62" s="94"/>
      <c r="H62" s="94"/>
      <c r="I62" s="94"/>
      <c r="J62" s="94"/>
      <c r="K62" s="757">
        <f>K61</f>
        <v>143617.16</v>
      </c>
    </row>
    <row r="63" spans="1:11" ht="15" customHeight="1" thickBot="1" x14ac:dyDescent="0.45">
      <c r="A63" s="94" t="s">
        <v>98</v>
      </c>
      <c r="B63" s="94"/>
      <c r="C63" s="94"/>
      <c r="D63" s="94"/>
      <c r="E63" s="94"/>
      <c r="F63" s="95"/>
      <c r="G63" s="94"/>
      <c r="H63" s="94"/>
      <c r="I63" s="94"/>
      <c r="J63" s="94"/>
      <c r="K63" s="758">
        <f>K62</f>
        <v>143617.16</v>
      </c>
    </row>
    <row r="64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3:16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91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49173" r:id="rId4" name="FILTER"/>
      </mc:Fallback>
    </mc:AlternateContent>
    <mc:AlternateContent xmlns:mc="http://schemas.openxmlformats.org/markup-compatibility/2006">
      <mc:Choice Requires="x14">
        <control shapeId="491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49174" r:id="rId6" name="HEADER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A1:K229"/>
  <sheetViews>
    <sheetView workbookViewId="0">
      <pane xSplit="3" ySplit="1" topLeftCell="D215" activePane="bottomRight" state="frozenSplit"/>
      <selection pane="topRight" activeCell="D1" sqref="D1"/>
      <selection pane="bottomLeft" activeCell="A2" sqref="A2"/>
      <selection pane="bottomRight"/>
    </sheetView>
  </sheetViews>
  <sheetFormatPr defaultColWidth="14.3828125" defaultRowHeight="15" customHeight="1" x14ac:dyDescent="0.4"/>
  <cols>
    <col min="1" max="2" width="3" style="760" customWidth="1"/>
    <col min="3" max="3" width="40" style="760" customWidth="1"/>
    <col min="4" max="4" width="2.3046875" style="760" customWidth="1"/>
    <col min="5" max="5" width="5.3046875" style="760" bestFit="1" customWidth="1"/>
    <col min="6" max="6" width="10.69140625" style="760" bestFit="1" customWidth="1"/>
    <col min="7" max="7" width="6" style="760" bestFit="1" customWidth="1"/>
    <col min="8" max="9" width="30.69140625" style="760" customWidth="1"/>
    <col min="10" max="10" width="22.3046875" style="760" bestFit="1" customWidth="1"/>
    <col min="11" max="11" width="9.15234375" style="760" bestFit="1" customWidth="1"/>
  </cols>
  <sheetData>
    <row r="1" spans="1:11" s="768" customFormat="1" thickBot="1" x14ac:dyDescent="0.45">
      <c r="A1" s="761"/>
      <c r="B1" s="761"/>
      <c r="C1" s="761"/>
      <c r="D1" s="761"/>
      <c r="E1" s="759" t="s">
        <v>473</v>
      </c>
      <c r="F1" s="759" t="s">
        <v>474</v>
      </c>
      <c r="G1" s="759" t="s">
        <v>475</v>
      </c>
      <c r="H1" s="759" t="s">
        <v>476</v>
      </c>
      <c r="I1" s="759" t="s">
        <v>477</v>
      </c>
      <c r="J1" s="759" t="s">
        <v>730</v>
      </c>
      <c r="K1" s="759" t="s">
        <v>478</v>
      </c>
    </row>
    <row r="2" spans="1:11" thickTop="1" x14ac:dyDescent="0.4">
      <c r="A2" s="94"/>
      <c r="B2" s="94" t="s">
        <v>731</v>
      </c>
      <c r="C2" s="94"/>
      <c r="D2" s="94"/>
      <c r="E2" s="94"/>
      <c r="F2" s="95"/>
      <c r="G2" s="94"/>
      <c r="H2" s="94"/>
      <c r="I2" s="94"/>
      <c r="J2" s="94"/>
      <c r="K2" s="97"/>
    </row>
    <row r="3" spans="1:11" ht="14.6" x14ac:dyDescent="0.4">
      <c r="A3" s="94"/>
      <c r="B3" s="94"/>
      <c r="C3" s="94" t="s">
        <v>930</v>
      </c>
      <c r="D3" s="94"/>
      <c r="E3" s="94"/>
      <c r="F3" s="95"/>
      <c r="G3" s="94"/>
      <c r="H3" s="94"/>
      <c r="I3" s="94"/>
      <c r="J3" s="94"/>
      <c r="K3" s="97"/>
    </row>
    <row r="4" spans="1:11" ht="14.6" x14ac:dyDescent="0.4">
      <c r="A4" s="94"/>
      <c r="B4" s="94"/>
      <c r="C4" s="94"/>
      <c r="D4" s="94"/>
      <c r="E4" s="94" t="s">
        <v>544</v>
      </c>
      <c r="F4" s="95">
        <v>43853</v>
      </c>
      <c r="G4" s="94" t="s">
        <v>648</v>
      </c>
      <c r="H4" s="94" t="s">
        <v>651</v>
      </c>
      <c r="I4" s="94" t="s">
        <v>653</v>
      </c>
      <c r="J4" s="94" t="s">
        <v>733</v>
      </c>
      <c r="K4" s="97">
        <v>50</v>
      </c>
    </row>
    <row r="5" spans="1:11" ht="14.6" x14ac:dyDescent="0.4">
      <c r="A5" s="94"/>
      <c r="B5" s="94"/>
      <c r="C5" s="94"/>
      <c r="D5" s="94"/>
      <c r="E5" s="94" t="s">
        <v>544</v>
      </c>
      <c r="F5" s="95">
        <v>43853</v>
      </c>
      <c r="G5" s="94" t="s">
        <v>648</v>
      </c>
      <c r="H5" s="94" t="s">
        <v>651</v>
      </c>
      <c r="I5" s="94" t="s">
        <v>654</v>
      </c>
      <c r="J5" s="94" t="s">
        <v>733</v>
      </c>
      <c r="K5" s="97">
        <v>659.38</v>
      </c>
    </row>
    <row r="6" spans="1:11" ht="14.6" x14ac:dyDescent="0.4">
      <c r="A6" s="94"/>
      <c r="B6" s="94"/>
      <c r="C6" s="94"/>
      <c r="D6" s="94"/>
      <c r="E6" s="94" t="s">
        <v>544</v>
      </c>
      <c r="F6" s="95">
        <v>43854</v>
      </c>
      <c r="G6" s="94" t="s">
        <v>649</v>
      </c>
      <c r="H6" s="94" t="s">
        <v>652</v>
      </c>
      <c r="I6" s="94" t="s">
        <v>655</v>
      </c>
      <c r="J6" s="94" t="s">
        <v>733</v>
      </c>
      <c r="K6" s="97">
        <v>381.55</v>
      </c>
    </row>
    <row r="7" spans="1:11" ht="14.6" x14ac:dyDescent="0.4">
      <c r="A7" s="94"/>
      <c r="B7" s="94"/>
      <c r="C7" s="94"/>
      <c r="D7" s="94"/>
      <c r="E7" s="94" t="s">
        <v>544</v>
      </c>
      <c r="F7" s="95">
        <v>43854</v>
      </c>
      <c r="G7" s="94" t="s">
        <v>616</v>
      </c>
      <c r="H7" s="94" t="s">
        <v>631</v>
      </c>
      <c r="I7" s="94" t="s">
        <v>656</v>
      </c>
      <c r="J7" s="94" t="s">
        <v>733</v>
      </c>
      <c r="K7" s="97">
        <v>3.46</v>
      </c>
    </row>
    <row r="8" spans="1:11" ht="14.6" x14ac:dyDescent="0.4">
      <c r="A8" s="94"/>
      <c r="B8" s="94"/>
      <c r="C8" s="94"/>
      <c r="D8" s="94"/>
      <c r="E8" s="94" t="s">
        <v>544</v>
      </c>
      <c r="F8" s="95">
        <v>43854</v>
      </c>
      <c r="G8" s="94" t="s">
        <v>616</v>
      </c>
      <c r="H8" s="94" t="s">
        <v>631</v>
      </c>
      <c r="I8" s="94" t="s">
        <v>657</v>
      </c>
      <c r="J8" s="94" t="s">
        <v>733</v>
      </c>
      <c r="K8" s="97">
        <v>1.51</v>
      </c>
    </row>
    <row r="9" spans="1:11" ht="14.6" x14ac:dyDescent="0.4">
      <c r="A9" s="94"/>
      <c r="B9" s="94"/>
      <c r="C9" s="94"/>
      <c r="D9" s="94"/>
      <c r="E9" s="94" t="s">
        <v>544</v>
      </c>
      <c r="F9" s="95">
        <v>43854</v>
      </c>
      <c r="G9" s="94" t="s">
        <v>616</v>
      </c>
      <c r="H9" s="94" t="s">
        <v>631</v>
      </c>
      <c r="I9" s="94" t="s">
        <v>658</v>
      </c>
      <c r="J9" s="94" t="s">
        <v>733</v>
      </c>
      <c r="K9" s="97">
        <v>1.8</v>
      </c>
    </row>
    <row r="10" spans="1:11" ht="14.6" x14ac:dyDescent="0.4">
      <c r="A10" s="94"/>
      <c r="B10" s="94"/>
      <c r="C10" s="94"/>
      <c r="D10" s="94"/>
      <c r="E10" s="94" t="s">
        <v>544</v>
      </c>
      <c r="F10" s="95">
        <v>43854</v>
      </c>
      <c r="G10" s="94" t="s">
        <v>616</v>
      </c>
      <c r="H10" s="94" t="s">
        <v>631</v>
      </c>
      <c r="I10" s="94" t="s">
        <v>659</v>
      </c>
      <c r="J10" s="94" t="s">
        <v>733</v>
      </c>
      <c r="K10" s="97">
        <v>0.79</v>
      </c>
    </row>
    <row r="11" spans="1:11" ht="14.6" x14ac:dyDescent="0.4">
      <c r="A11" s="94"/>
      <c r="B11" s="94"/>
      <c r="C11" s="94"/>
      <c r="D11" s="94"/>
      <c r="E11" s="94" t="s">
        <v>544</v>
      </c>
      <c r="F11" s="95">
        <v>43854</v>
      </c>
      <c r="G11" s="94" t="s">
        <v>616</v>
      </c>
      <c r="H11" s="94" t="s">
        <v>631</v>
      </c>
      <c r="I11" s="94" t="s">
        <v>660</v>
      </c>
      <c r="J11" s="94" t="s">
        <v>733</v>
      </c>
      <c r="K11" s="97">
        <v>1.48</v>
      </c>
    </row>
    <row r="12" spans="1:11" ht="14.6" x14ac:dyDescent="0.4">
      <c r="A12" s="94"/>
      <c r="B12" s="94"/>
      <c r="C12" s="94"/>
      <c r="D12" s="94"/>
      <c r="E12" s="94" t="s">
        <v>544</v>
      </c>
      <c r="F12" s="95">
        <v>43854</v>
      </c>
      <c r="G12" s="94" t="s">
        <v>617</v>
      </c>
      <c r="H12" s="94" t="s">
        <v>631</v>
      </c>
      <c r="I12" s="94" t="s">
        <v>661</v>
      </c>
      <c r="J12" s="94" t="s">
        <v>733</v>
      </c>
      <c r="K12" s="97">
        <v>7.97</v>
      </c>
    </row>
    <row r="13" spans="1:11" ht="14.6" x14ac:dyDescent="0.4">
      <c r="A13" s="94"/>
      <c r="B13" s="94"/>
      <c r="C13" s="94"/>
      <c r="D13" s="94"/>
      <c r="E13" s="94" t="s">
        <v>544</v>
      </c>
      <c r="F13" s="95">
        <v>43854</v>
      </c>
      <c r="G13" s="94" t="s">
        <v>617</v>
      </c>
      <c r="H13" s="94" t="s">
        <v>631</v>
      </c>
      <c r="I13" s="94" t="s">
        <v>662</v>
      </c>
      <c r="J13" s="94" t="s">
        <v>733</v>
      </c>
      <c r="K13" s="97">
        <v>3.49</v>
      </c>
    </row>
    <row r="14" spans="1:11" ht="14.6" x14ac:dyDescent="0.4">
      <c r="A14" s="94"/>
      <c r="B14" s="94"/>
      <c r="C14" s="94"/>
      <c r="D14" s="94"/>
      <c r="E14" s="94" t="s">
        <v>544</v>
      </c>
      <c r="F14" s="95">
        <v>43854</v>
      </c>
      <c r="G14" s="94" t="s">
        <v>617</v>
      </c>
      <c r="H14" s="94" t="s">
        <v>631</v>
      </c>
      <c r="I14" s="94" t="s">
        <v>663</v>
      </c>
      <c r="J14" s="94" t="s">
        <v>733</v>
      </c>
      <c r="K14" s="97">
        <v>4.1500000000000004</v>
      </c>
    </row>
    <row r="15" spans="1:11" ht="14.6" x14ac:dyDescent="0.4">
      <c r="A15" s="94"/>
      <c r="B15" s="94"/>
      <c r="C15" s="94"/>
      <c r="D15" s="94"/>
      <c r="E15" s="94" t="s">
        <v>544</v>
      </c>
      <c r="F15" s="95">
        <v>43854</v>
      </c>
      <c r="G15" s="94" t="s">
        <v>617</v>
      </c>
      <c r="H15" s="94" t="s">
        <v>631</v>
      </c>
      <c r="I15" s="94" t="s">
        <v>664</v>
      </c>
      <c r="J15" s="94" t="s">
        <v>733</v>
      </c>
      <c r="K15" s="97">
        <v>1.83</v>
      </c>
    </row>
    <row r="16" spans="1:11" ht="14.6" x14ac:dyDescent="0.4">
      <c r="A16" s="94"/>
      <c r="B16" s="94"/>
      <c r="C16" s="94"/>
      <c r="D16" s="94"/>
      <c r="E16" s="94" t="s">
        <v>544</v>
      </c>
      <c r="F16" s="95">
        <v>43854</v>
      </c>
      <c r="G16" s="94" t="s">
        <v>617</v>
      </c>
      <c r="H16" s="94" t="s">
        <v>631</v>
      </c>
      <c r="I16" s="94" t="s">
        <v>665</v>
      </c>
      <c r="J16" s="94" t="s">
        <v>733</v>
      </c>
      <c r="K16" s="97">
        <v>3.4</v>
      </c>
    </row>
    <row r="17" spans="1:11" ht="14.6" x14ac:dyDescent="0.4">
      <c r="A17" s="94"/>
      <c r="B17" s="94"/>
      <c r="C17" s="94"/>
      <c r="D17" s="94"/>
      <c r="E17" s="94" t="s">
        <v>544</v>
      </c>
      <c r="F17" s="95">
        <v>43854</v>
      </c>
      <c r="G17" s="94" t="s">
        <v>618</v>
      </c>
      <c r="H17" s="94" t="s">
        <v>631</v>
      </c>
      <c r="I17" s="94" t="s">
        <v>666</v>
      </c>
      <c r="J17" s="94" t="s">
        <v>733</v>
      </c>
      <c r="K17" s="97">
        <v>56.83</v>
      </c>
    </row>
    <row r="18" spans="1:11" ht="14.6" x14ac:dyDescent="0.4">
      <c r="A18" s="94"/>
      <c r="B18" s="94"/>
      <c r="C18" s="94"/>
      <c r="D18" s="94"/>
      <c r="E18" s="94" t="s">
        <v>544</v>
      </c>
      <c r="F18" s="95">
        <v>43854</v>
      </c>
      <c r="G18" s="94" t="s">
        <v>618</v>
      </c>
      <c r="H18" s="94" t="s">
        <v>631</v>
      </c>
      <c r="I18" s="94" t="s">
        <v>667</v>
      </c>
      <c r="J18" s="94" t="s">
        <v>733</v>
      </c>
      <c r="K18" s="97">
        <v>23.56</v>
      </c>
    </row>
    <row r="19" spans="1:11" ht="14.6" x14ac:dyDescent="0.4">
      <c r="A19" s="94"/>
      <c r="B19" s="94"/>
      <c r="C19" s="94"/>
      <c r="D19" s="94"/>
      <c r="E19" s="94" t="s">
        <v>544</v>
      </c>
      <c r="F19" s="95">
        <v>43854</v>
      </c>
      <c r="G19" s="94" t="s">
        <v>618</v>
      </c>
      <c r="H19" s="94" t="s">
        <v>631</v>
      </c>
      <c r="I19" s="94" t="s">
        <v>668</v>
      </c>
      <c r="J19" s="94" t="s">
        <v>733</v>
      </c>
      <c r="K19" s="97">
        <v>29.6</v>
      </c>
    </row>
    <row r="20" spans="1:11" ht="14.6" x14ac:dyDescent="0.4">
      <c r="A20" s="94"/>
      <c r="B20" s="94"/>
      <c r="C20" s="94"/>
      <c r="D20" s="94"/>
      <c r="E20" s="94" t="s">
        <v>544</v>
      </c>
      <c r="F20" s="95">
        <v>43854</v>
      </c>
      <c r="G20" s="94" t="s">
        <v>618</v>
      </c>
      <c r="H20" s="94" t="s">
        <v>631</v>
      </c>
      <c r="I20" s="94" t="s">
        <v>669</v>
      </c>
      <c r="J20" s="94" t="s">
        <v>733</v>
      </c>
      <c r="K20" s="97">
        <v>1.7</v>
      </c>
    </row>
    <row r="21" spans="1:11" ht="14.6" x14ac:dyDescent="0.4">
      <c r="A21" s="94"/>
      <c r="B21" s="94"/>
      <c r="C21" s="94"/>
      <c r="D21" s="94"/>
      <c r="E21" s="94" t="s">
        <v>544</v>
      </c>
      <c r="F21" s="95">
        <v>43854</v>
      </c>
      <c r="G21" s="94" t="s">
        <v>618</v>
      </c>
      <c r="H21" s="94" t="s">
        <v>631</v>
      </c>
      <c r="I21" s="94" t="s">
        <v>670</v>
      </c>
      <c r="J21" s="94" t="s">
        <v>733</v>
      </c>
      <c r="K21" s="97">
        <v>12.34</v>
      </c>
    </row>
    <row r="22" spans="1:11" ht="14.6" x14ac:dyDescent="0.4">
      <c r="A22" s="94"/>
      <c r="B22" s="94"/>
      <c r="C22" s="94"/>
      <c r="D22" s="94"/>
      <c r="E22" s="94" t="s">
        <v>544</v>
      </c>
      <c r="F22" s="95">
        <v>43854</v>
      </c>
      <c r="G22" s="94" t="s">
        <v>619</v>
      </c>
      <c r="H22" s="94" t="s">
        <v>631</v>
      </c>
      <c r="I22" s="94" t="s">
        <v>671</v>
      </c>
      <c r="J22" s="94" t="s">
        <v>733</v>
      </c>
      <c r="K22" s="97">
        <v>1.92</v>
      </c>
    </row>
    <row r="23" spans="1:11" ht="14.6" x14ac:dyDescent="0.4">
      <c r="A23" s="94"/>
      <c r="B23" s="94"/>
      <c r="C23" s="94"/>
      <c r="D23" s="94"/>
      <c r="E23" s="94" t="s">
        <v>544</v>
      </c>
      <c r="F23" s="95">
        <v>43854</v>
      </c>
      <c r="G23" s="94" t="s">
        <v>619</v>
      </c>
      <c r="H23" s="94" t="s">
        <v>631</v>
      </c>
      <c r="I23" s="94" t="s">
        <v>672</v>
      </c>
      <c r="J23" s="94" t="s">
        <v>733</v>
      </c>
      <c r="K23" s="97">
        <v>0.84</v>
      </c>
    </row>
    <row r="24" spans="1:11" ht="14.6" x14ac:dyDescent="0.4">
      <c r="A24" s="94"/>
      <c r="B24" s="94"/>
      <c r="C24" s="94"/>
      <c r="D24" s="94"/>
      <c r="E24" s="94" t="s">
        <v>544</v>
      </c>
      <c r="F24" s="95">
        <v>43854</v>
      </c>
      <c r="G24" s="94" t="s">
        <v>619</v>
      </c>
      <c r="H24" s="94" t="s">
        <v>631</v>
      </c>
      <c r="I24" s="94" t="s">
        <v>673</v>
      </c>
      <c r="J24" s="94" t="s">
        <v>733</v>
      </c>
      <c r="K24" s="97">
        <v>1</v>
      </c>
    </row>
    <row r="25" spans="1:11" ht="14.6" x14ac:dyDescent="0.4">
      <c r="A25" s="94"/>
      <c r="B25" s="94"/>
      <c r="C25" s="94"/>
      <c r="D25" s="94"/>
      <c r="E25" s="94" t="s">
        <v>544</v>
      </c>
      <c r="F25" s="95">
        <v>43854</v>
      </c>
      <c r="G25" s="94" t="s">
        <v>619</v>
      </c>
      <c r="H25" s="94" t="s">
        <v>631</v>
      </c>
      <c r="I25" s="94" t="s">
        <v>674</v>
      </c>
      <c r="J25" s="94" t="s">
        <v>733</v>
      </c>
      <c r="K25" s="97">
        <v>0.44</v>
      </c>
    </row>
    <row r="26" spans="1:11" ht="14.6" x14ac:dyDescent="0.4">
      <c r="A26" s="94"/>
      <c r="B26" s="94"/>
      <c r="C26" s="94"/>
      <c r="D26" s="94"/>
      <c r="E26" s="94" t="s">
        <v>544</v>
      </c>
      <c r="F26" s="95">
        <v>43854</v>
      </c>
      <c r="G26" s="94" t="s">
        <v>619</v>
      </c>
      <c r="H26" s="94" t="s">
        <v>631</v>
      </c>
      <c r="I26" s="94" t="s">
        <v>675</v>
      </c>
      <c r="J26" s="94" t="s">
        <v>733</v>
      </c>
      <c r="K26" s="97">
        <v>0.82</v>
      </c>
    </row>
    <row r="27" spans="1:11" ht="14.6" x14ac:dyDescent="0.4">
      <c r="A27" s="94"/>
      <c r="B27" s="94"/>
      <c r="C27" s="94"/>
      <c r="D27" s="94"/>
      <c r="E27" s="94" t="s">
        <v>544</v>
      </c>
      <c r="F27" s="95">
        <v>43854</v>
      </c>
      <c r="G27" s="94" t="s">
        <v>620</v>
      </c>
      <c r="H27" s="94" t="s">
        <v>631</v>
      </c>
      <c r="I27" s="94" t="s">
        <v>676</v>
      </c>
      <c r="J27" s="94" t="s">
        <v>733</v>
      </c>
      <c r="K27" s="97">
        <v>0.57999999999999996</v>
      </c>
    </row>
    <row r="28" spans="1:11" ht="14.6" x14ac:dyDescent="0.4">
      <c r="A28" s="94"/>
      <c r="B28" s="94"/>
      <c r="C28" s="94"/>
      <c r="D28" s="94"/>
      <c r="E28" s="94" t="s">
        <v>544</v>
      </c>
      <c r="F28" s="95">
        <v>43854</v>
      </c>
      <c r="G28" s="94" t="s">
        <v>620</v>
      </c>
      <c r="H28" s="94" t="s">
        <v>631</v>
      </c>
      <c r="I28" s="94" t="s">
        <v>677</v>
      </c>
      <c r="J28" s="94" t="s">
        <v>733</v>
      </c>
      <c r="K28" s="97">
        <v>0.25</v>
      </c>
    </row>
    <row r="29" spans="1:11" ht="14.6" x14ac:dyDescent="0.4">
      <c r="A29" s="94"/>
      <c r="B29" s="94"/>
      <c r="C29" s="94"/>
      <c r="D29" s="94"/>
      <c r="E29" s="94" t="s">
        <v>544</v>
      </c>
      <c r="F29" s="95">
        <v>43854</v>
      </c>
      <c r="G29" s="94" t="s">
        <v>620</v>
      </c>
      <c r="H29" s="94" t="s">
        <v>631</v>
      </c>
      <c r="I29" s="94" t="s">
        <v>678</v>
      </c>
      <c r="J29" s="94" t="s">
        <v>733</v>
      </c>
      <c r="K29" s="97">
        <v>0.3</v>
      </c>
    </row>
    <row r="30" spans="1:11" ht="14.6" x14ac:dyDescent="0.4">
      <c r="A30" s="94"/>
      <c r="B30" s="94"/>
      <c r="C30" s="94"/>
      <c r="D30" s="94"/>
      <c r="E30" s="94" t="s">
        <v>544</v>
      </c>
      <c r="F30" s="95">
        <v>43854</v>
      </c>
      <c r="G30" s="94" t="s">
        <v>620</v>
      </c>
      <c r="H30" s="94" t="s">
        <v>631</v>
      </c>
      <c r="I30" s="94" t="s">
        <v>679</v>
      </c>
      <c r="J30" s="94" t="s">
        <v>733</v>
      </c>
      <c r="K30" s="97">
        <v>0.13</v>
      </c>
    </row>
    <row r="31" spans="1:11" ht="14.6" x14ac:dyDescent="0.4">
      <c r="A31" s="94"/>
      <c r="B31" s="94"/>
      <c r="C31" s="94"/>
      <c r="D31" s="94"/>
      <c r="E31" s="94" t="s">
        <v>544</v>
      </c>
      <c r="F31" s="95">
        <v>43854</v>
      </c>
      <c r="G31" s="94" t="s">
        <v>620</v>
      </c>
      <c r="H31" s="94" t="s">
        <v>631</v>
      </c>
      <c r="I31" s="94" t="s">
        <v>680</v>
      </c>
      <c r="J31" s="94" t="s">
        <v>733</v>
      </c>
      <c r="K31" s="97">
        <v>0.25</v>
      </c>
    </row>
    <row r="32" spans="1:11" ht="14.6" x14ac:dyDescent="0.4">
      <c r="A32" s="94"/>
      <c r="B32" s="94"/>
      <c r="C32" s="94"/>
      <c r="D32" s="94"/>
      <c r="E32" s="94" t="s">
        <v>544</v>
      </c>
      <c r="F32" s="95">
        <v>43854</v>
      </c>
      <c r="G32" s="94" t="s">
        <v>621</v>
      </c>
      <c r="H32" s="94" t="s">
        <v>631</v>
      </c>
      <c r="I32" s="94" t="s">
        <v>681</v>
      </c>
      <c r="J32" s="94" t="s">
        <v>733</v>
      </c>
      <c r="K32" s="97">
        <v>29.28</v>
      </c>
    </row>
    <row r="33" spans="1:11" ht="14.6" x14ac:dyDescent="0.4">
      <c r="A33" s="94"/>
      <c r="B33" s="94"/>
      <c r="C33" s="94"/>
      <c r="D33" s="94"/>
      <c r="E33" s="94" t="s">
        <v>544</v>
      </c>
      <c r="F33" s="95">
        <v>43854</v>
      </c>
      <c r="G33" s="94" t="s">
        <v>621</v>
      </c>
      <c r="H33" s="94" t="s">
        <v>631</v>
      </c>
      <c r="I33" s="94" t="s">
        <v>682</v>
      </c>
      <c r="J33" s="94" t="s">
        <v>733</v>
      </c>
      <c r="K33" s="97">
        <v>11.51</v>
      </c>
    </row>
    <row r="34" spans="1:11" ht="14.6" x14ac:dyDescent="0.4">
      <c r="A34" s="94"/>
      <c r="B34" s="94"/>
      <c r="C34" s="94"/>
      <c r="D34" s="94"/>
      <c r="E34" s="94" t="s">
        <v>544</v>
      </c>
      <c r="F34" s="95">
        <v>43854</v>
      </c>
      <c r="G34" s="94" t="s">
        <v>621</v>
      </c>
      <c r="H34" s="94" t="s">
        <v>631</v>
      </c>
      <c r="I34" s="94" t="s">
        <v>683</v>
      </c>
      <c r="J34" s="94" t="s">
        <v>733</v>
      </c>
      <c r="K34" s="97">
        <v>15.25</v>
      </c>
    </row>
    <row r="35" spans="1:11" ht="14.6" x14ac:dyDescent="0.4">
      <c r="A35" s="94"/>
      <c r="B35" s="94"/>
      <c r="C35" s="94"/>
      <c r="D35" s="94"/>
      <c r="E35" s="94" t="s">
        <v>544</v>
      </c>
      <c r="F35" s="95">
        <v>43854</v>
      </c>
      <c r="G35" s="94" t="s">
        <v>621</v>
      </c>
      <c r="H35" s="94" t="s">
        <v>631</v>
      </c>
      <c r="I35" s="94" t="s">
        <v>669</v>
      </c>
      <c r="J35" s="94" t="s">
        <v>733</v>
      </c>
      <c r="K35" s="97">
        <v>1.7</v>
      </c>
    </row>
    <row r="36" spans="1:11" ht="14.6" x14ac:dyDescent="0.4">
      <c r="A36" s="94"/>
      <c r="B36" s="94"/>
      <c r="C36" s="94"/>
      <c r="D36" s="94"/>
      <c r="E36" s="94" t="s">
        <v>544</v>
      </c>
      <c r="F36" s="95">
        <v>43854</v>
      </c>
      <c r="G36" s="94" t="s">
        <v>621</v>
      </c>
      <c r="H36" s="94" t="s">
        <v>631</v>
      </c>
      <c r="I36" s="94" t="s">
        <v>684</v>
      </c>
      <c r="J36" s="94" t="s">
        <v>733</v>
      </c>
      <c r="K36" s="97">
        <v>6.03</v>
      </c>
    </row>
    <row r="37" spans="1:11" ht="14.6" x14ac:dyDescent="0.4">
      <c r="A37" s="94"/>
      <c r="B37" s="94"/>
      <c r="C37" s="94"/>
      <c r="D37" s="94"/>
      <c r="E37" s="94" t="s">
        <v>544</v>
      </c>
      <c r="F37" s="95">
        <v>43854</v>
      </c>
      <c r="G37" s="94" t="s">
        <v>621</v>
      </c>
      <c r="H37" s="94" t="s">
        <v>631</v>
      </c>
      <c r="I37" s="94" t="s">
        <v>685</v>
      </c>
      <c r="J37" s="94" t="s">
        <v>733</v>
      </c>
      <c r="K37" s="97">
        <v>10.99</v>
      </c>
    </row>
    <row r="38" spans="1:11" ht="14.6" x14ac:dyDescent="0.4">
      <c r="A38" s="94"/>
      <c r="B38" s="94"/>
      <c r="C38" s="94"/>
      <c r="D38" s="94"/>
      <c r="E38" s="94" t="s">
        <v>544</v>
      </c>
      <c r="F38" s="95">
        <v>43854</v>
      </c>
      <c r="G38" s="94" t="s">
        <v>622</v>
      </c>
      <c r="H38" s="94" t="s">
        <v>631</v>
      </c>
      <c r="I38" s="94" t="s">
        <v>686</v>
      </c>
      <c r="J38" s="94" t="s">
        <v>733</v>
      </c>
      <c r="K38" s="97">
        <v>724.99</v>
      </c>
    </row>
    <row r="39" spans="1:11" ht="14.6" x14ac:dyDescent="0.4">
      <c r="A39" s="94"/>
      <c r="B39" s="94"/>
      <c r="C39" s="94"/>
      <c r="D39" s="94"/>
      <c r="E39" s="94" t="s">
        <v>544</v>
      </c>
      <c r="F39" s="95">
        <v>43854</v>
      </c>
      <c r="G39" s="94" t="s">
        <v>622</v>
      </c>
      <c r="H39" s="94" t="s">
        <v>631</v>
      </c>
      <c r="I39" s="94" t="s">
        <v>687</v>
      </c>
      <c r="J39" s="94" t="s">
        <v>733</v>
      </c>
      <c r="K39" s="97">
        <v>269.14</v>
      </c>
    </row>
    <row r="40" spans="1:11" ht="14.6" x14ac:dyDescent="0.4">
      <c r="A40" s="94"/>
      <c r="B40" s="94"/>
      <c r="C40" s="94"/>
      <c r="D40" s="94"/>
      <c r="E40" s="94" t="s">
        <v>544</v>
      </c>
      <c r="F40" s="95">
        <v>43854</v>
      </c>
      <c r="G40" s="94" t="s">
        <v>622</v>
      </c>
      <c r="H40" s="94" t="s">
        <v>631</v>
      </c>
      <c r="I40" s="94" t="s">
        <v>688</v>
      </c>
      <c r="J40" s="94" t="s">
        <v>733</v>
      </c>
      <c r="K40" s="97">
        <v>377.6</v>
      </c>
    </row>
    <row r="41" spans="1:11" ht="14.6" x14ac:dyDescent="0.4">
      <c r="A41" s="94"/>
      <c r="B41" s="94"/>
      <c r="C41" s="94"/>
      <c r="D41" s="94"/>
      <c r="E41" s="94" t="s">
        <v>544</v>
      </c>
      <c r="F41" s="95">
        <v>43854</v>
      </c>
      <c r="G41" s="94" t="s">
        <v>622</v>
      </c>
      <c r="H41" s="94" t="s">
        <v>631</v>
      </c>
      <c r="I41" s="94" t="s">
        <v>689</v>
      </c>
      <c r="J41" s="94" t="s">
        <v>733</v>
      </c>
      <c r="K41" s="97">
        <v>45.9</v>
      </c>
    </row>
    <row r="42" spans="1:11" ht="14.6" x14ac:dyDescent="0.4">
      <c r="A42" s="94"/>
      <c r="B42" s="94"/>
      <c r="C42" s="94"/>
      <c r="D42" s="94"/>
      <c r="E42" s="94" t="s">
        <v>544</v>
      </c>
      <c r="F42" s="95">
        <v>43854</v>
      </c>
      <c r="G42" s="94" t="s">
        <v>622</v>
      </c>
      <c r="H42" s="94" t="s">
        <v>631</v>
      </c>
      <c r="I42" s="94" t="s">
        <v>690</v>
      </c>
      <c r="J42" s="94" t="s">
        <v>733</v>
      </c>
      <c r="K42" s="97">
        <v>140.97999999999999</v>
      </c>
    </row>
    <row r="43" spans="1:11" ht="14.6" x14ac:dyDescent="0.4">
      <c r="A43" s="94"/>
      <c r="B43" s="94"/>
      <c r="C43" s="94"/>
      <c r="D43" s="94"/>
      <c r="E43" s="94" t="s">
        <v>544</v>
      </c>
      <c r="F43" s="95">
        <v>43854</v>
      </c>
      <c r="G43" s="94" t="s">
        <v>623</v>
      </c>
      <c r="H43" s="94" t="s">
        <v>631</v>
      </c>
      <c r="I43" s="94" t="s">
        <v>691</v>
      </c>
      <c r="J43" s="94" t="s">
        <v>733</v>
      </c>
      <c r="K43" s="97">
        <v>686.5</v>
      </c>
    </row>
    <row r="44" spans="1:11" ht="14.6" x14ac:dyDescent="0.4">
      <c r="A44" s="94"/>
      <c r="B44" s="94"/>
      <c r="C44" s="94"/>
      <c r="D44" s="94"/>
      <c r="E44" s="94" t="s">
        <v>544</v>
      </c>
      <c r="F44" s="95">
        <v>43854</v>
      </c>
      <c r="G44" s="94" t="s">
        <v>623</v>
      </c>
      <c r="H44" s="94" t="s">
        <v>631</v>
      </c>
      <c r="I44" s="94" t="s">
        <v>692</v>
      </c>
      <c r="J44" s="94" t="s">
        <v>733</v>
      </c>
      <c r="K44" s="97">
        <v>278.70999999999998</v>
      </c>
    </row>
    <row r="45" spans="1:11" ht="14.6" x14ac:dyDescent="0.4">
      <c r="A45" s="94"/>
      <c r="B45" s="94"/>
      <c r="C45" s="94"/>
      <c r="D45" s="94"/>
      <c r="E45" s="94" t="s">
        <v>544</v>
      </c>
      <c r="F45" s="95">
        <v>43854</v>
      </c>
      <c r="G45" s="94" t="s">
        <v>623</v>
      </c>
      <c r="H45" s="94" t="s">
        <v>631</v>
      </c>
      <c r="I45" s="94" t="s">
        <v>693</v>
      </c>
      <c r="J45" s="94" t="s">
        <v>733</v>
      </c>
      <c r="K45" s="97">
        <v>357.55</v>
      </c>
    </row>
    <row r="46" spans="1:11" ht="14.6" x14ac:dyDescent="0.4">
      <c r="A46" s="94"/>
      <c r="B46" s="94"/>
      <c r="C46" s="94"/>
      <c r="D46" s="94"/>
      <c r="E46" s="94" t="s">
        <v>544</v>
      </c>
      <c r="F46" s="95">
        <v>43854</v>
      </c>
      <c r="G46" s="94" t="s">
        <v>623</v>
      </c>
      <c r="H46" s="94" t="s">
        <v>631</v>
      </c>
      <c r="I46" s="94" t="s">
        <v>694</v>
      </c>
      <c r="J46" s="94" t="s">
        <v>733</v>
      </c>
      <c r="K46" s="97">
        <v>22.1</v>
      </c>
    </row>
    <row r="47" spans="1:11" ht="14.6" x14ac:dyDescent="0.4">
      <c r="A47" s="94"/>
      <c r="B47" s="94"/>
      <c r="C47" s="94"/>
      <c r="D47" s="94"/>
      <c r="E47" s="94" t="s">
        <v>544</v>
      </c>
      <c r="F47" s="95">
        <v>43854</v>
      </c>
      <c r="G47" s="94" t="s">
        <v>623</v>
      </c>
      <c r="H47" s="94" t="s">
        <v>631</v>
      </c>
      <c r="I47" s="94" t="s">
        <v>695</v>
      </c>
      <c r="J47" s="94" t="s">
        <v>733</v>
      </c>
      <c r="K47" s="97">
        <v>145.99</v>
      </c>
    </row>
    <row r="48" spans="1:11" ht="14.6" x14ac:dyDescent="0.4">
      <c r="A48" s="94"/>
      <c r="B48" s="94"/>
      <c r="C48" s="94"/>
      <c r="D48" s="94"/>
      <c r="E48" s="94" t="s">
        <v>544</v>
      </c>
      <c r="F48" s="95">
        <v>43861</v>
      </c>
      <c r="G48" s="94" t="s">
        <v>650</v>
      </c>
      <c r="H48" s="94" t="s">
        <v>651</v>
      </c>
      <c r="I48" s="94" t="s">
        <v>653</v>
      </c>
      <c r="J48" s="94" t="s">
        <v>733</v>
      </c>
      <c r="K48" s="97">
        <v>50</v>
      </c>
    </row>
    <row r="49" spans="1:11" ht="14.6" x14ac:dyDescent="0.4">
      <c r="A49" s="94"/>
      <c r="B49" s="94"/>
      <c r="C49" s="94"/>
      <c r="D49" s="94"/>
      <c r="E49" s="94" t="s">
        <v>544</v>
      </c>
      <c r="F49" s="95">
        <v>43888</v>
      </c>
      <c r="G49" s="94" t="s">
        <v>1297</v>
      </c>
      <c r="H49" s="94" t="s">
        <v>631</v>
      </c>
      <c r="I49" s="94" t="s">
        <v>1299</v>
      </c>
      <c r="J49" s="94" t="s">
        <v>733</v>
      </c>
      <c r="K49" s="97">
        <v>970.02</v>
      </c>
    </row>
    <row r="50" spans="1:11" ht="14.6" x14ac:dyDescent="0.4">
      <c r="A50" s="94"/>
      <c r="B50" s="94"/>
      <c r="C50" s="94"/>
      <c r="D50" s="94"/>
      <c r="E50" s="94" t="s">
        <v>544</v>
      </c>
      <c r="F50" s="95">
        <v>43892</v>
      </c>
      <c r="G50" s="94" t="s">
        <v>1295</v>
      </c>
      <c r="H50" s="94" t="s">
        <v>631</v>
      </c>
      <c r="I50" s="94" t="s">
        <v>1300</v>
      </c>
      <c r="J50" s="94" t="s">
        <v>733</v>
      </c>
      <c r="K50" s="97">
        <v>62.78</v>
      </c>
    </row>
    <row r="51" spans="1:11" ht="14.6" x14ac:dyDescent="0.4">
      <c r="A51" s="94"/>
      <c r="B51" s="94"/>
      <c r="C51" s="94"/>
      <c r="D51" s="94"/>
      <c r="E51" s="94" t="s">
        <v>544</v>
      </c>
      <c r="F51" s="95">
        <v>43892</v>
      </c>
      <c r="G51" s="94" t="s">
        <v>1295</v>
      </c>
      <c r="H51" s="94" t="s">
        <v>631</v>
      </c>
      <c r="I51" s="94" t="s">
        <v>1301</v>
      </c>
      <c r="J51" s="94" t="s">
        <v>733</v>
      </c>
      <c r="K51" s="97">
        <v>26.42</v>
      </c>
    </row>
    <row r="52" spans="1:11" ht="14.6" x14ac:dyDescent="0.4">
      <c r="A52" s="94"/>
      <c r="B52" s="94"/>
      <c r="C52" s="94"/>
      <c r="D52" s="94"/>
      <c r="E52" s="94" t="s">
        <v>544</v>
      </c>
      <c r="F52" s="95">
        <v>43892</v>
      </c>
      <c r="G52" s="94" t="s">
        <v>1295</v>
      </c>
      <c r="H52" s="94" t="s">
        <v>631</v>
      </c>
      <c r="I52" s="94" t="s">
        <v>1302</v>
      </c>
      <c r="J52" s="94" t="s">
        <v>733</v>
      </c>
      <c r="K52" s="97">
        <v>8.18</v>
      </c>
    </row>
    <row r="53" spans="1:11" ht="14.6" x14ac:dyDescent="0.4">
      <c r="A53" s="94"/>
      <c r="B53" s="94"/>
      <c r="C53" s="94"/>
      <c r="D53" s="94"/>
      <c r="E53" s="94" t="s">
        <v>544</v>
      </c>
      <c r="F53" s="95">
        <v>43892</v>
      </c>
      <c r="G53" s="94" t="s">
        <v>1295</v>
      </c>
      <c r="H53" s="94" t="s">
        <v>631</v>
      </c>
      <c r="I53" s="94" t="s">
        <v>1303</v>
      </c>
      <c r="J53" s="94" t="s">
        <v>733</v>
      </c>
      <c r="K53" s="97">
        <v>13.84</v>
      </c>
    </row>
    <row r="54" spans="1:11" ht="14.6" x14ac:dyDescent="0.4">
      <c r="A54" s="94"/>
      <c r="B54" s="94"/>
      <c r="C54" s="94"/>
      <c r="D54" s="94"/>
      <c r="E54" s="94" t="s">
        <v>544</v>
      </c>
      <c r="F54" s="95">
        <v>43910</v>
      </c>
      <c r="G54" s="94" t="s">
        <v>1298</v>
      </c>
      <c r="H54" s="94" t="s">
        <v>651</v>
      </c>
      <c r="I54" s="94" t="s">
        <v>1304</v>
      </c>
      <c r="J54" s="94" t="s">
        <v>733</v>
      </c>
      <c r="K54" s="97">
        <v>3300</v>
      </c>
    </row>
    <row r="55" spans="1:11" ht="14.6" x14ac:dyDescent="0.4">
      <c r="A55" s="94"/>
      <c r="B55" s="94"/>
      <c r="C55" s="94"/>
      <c r="D55" s="94"/>
      <c r="E55" s="94" t="s">
        <v>544</v>
      </c>
      <c r="F55" s="95">
        <v>43943</v>
      </c>
      <c r="G55" s="94" t="s">
        <v>1567</v>
      </c>
      <c r="H55" s="94" t="s">
        <v>651</v>
      </c>
      <c r="I55" s="94" t="s">
        <v>1571</v>
      </c>
      <c r="J55" s="94" t="s">
        <v>733</v>
      </c>
      <c r="K55" s="97">
        <v>1367.14</v>
      </c>
    </row>
    <row r="56" spans="1:11" ht="14.6" x14ac:dyDescent="0.4">
      <c r="A56" s="94"/>
      <c r="B56" s="94"/>
      <c r="C56" s="94"/>
      <c r="D56" s="94"/>
      <c r="E56" s="94" t="s">
        <v>544</v>
      </c>
      <c r="F56" s="95">
        <v>43943</v>
      </c>
      <c r="G56" s="94" t="s">
        <v>1567</v>
      </c>
      <c r="H56" s="94" t="s">
        <v>651</v>
      </c>
      <c r="I56" s="94" t="s">
        <v>1572</v>
      </c>
      <c r="J56" s="94" t="s">
        <v>733</v>
      </c>
      <c r="K56" s="97">
        <v>18534.96</v>
      </c>
    </row>
    <row r="57" spans="1:11" ht="14.6" x14ac:dyDescent="0.4">
      <c r="A57" s="94"/>
      <c r="B57" s="94"/>
      <c r="C57" s="94"/>
      <c r="D57" s="94"/>
      <c r="E57" s="94" t="s">
        <v>544</v>
      </c>
      <c r="F57" s="95">
        <v>43943</v>
      </c>
      <c r="G57" s="94" t="s">
        <v>1567</v>
      </c>
      <c r="H57" s="94" t="s">
        <v>651</v>
      </c>
      <c r="I57" s="94" t="s">
        <v>1573</v>
      </c>
      <c r="J57" s="94" t="s">
        <v>733</v>
      </c>
      <c r="K57" s="97">
        <v>4357.75</v>
      </c>
    </row>
    <row r="58" spans="1:11" ht="14.6" x14ac:dyDescent="0.4">
      <c r="A58" s="94"/>
      <c r="B58" s="94"/>
      <c r="C58" s="94"/>
      <c r="D58" s="94"/>
      <c r="E58" s="94" t="s">
        <v>544</v>
      </c>
      <c r="F58" s="95">
        <v>43943</v>
      </c>
      <c r="G58" s="94" t="s">
        <v>1567</v>
      </c>
      <c r="H58" s="94" t="s">
        <v>651</v>
      </c>
      <c r="I58" s="94" t="s">
        <v>1574</v>
      </c>
      <c r="J58" s="94" t="s">
        <v>733</v>
      </c>
      <c r="K58" s="97">
        <v>0</v>
      </c>
    </row>
    <row r="59" spans="1:11" ht="14.6" x14ac:dyDescent="0.4">
      <c r="A59" s="94"/>
      <c r="B59" s="94"/>
      <c r="C59" s="94"/>
      <c r="D59" s="94"/>
      <c r="E59" s="94" t="s">
        <v>544</v>
      </c>
      <c r="F59" s="95">
        <v>43943</v>
      </c>
      <c r="G59" s="94" t="s">
        <v>1567</v>
      </c>
      <c r="H59" s="94" t="s">
        <v>651</v>
      </c>
      <c r="I59" s="94" t="s">
        <v>1575</v>
      </c>
      <c r="J59" s="94" t="s">
        <v>733</v>
      </c>
      <c r="K59" s="97">
        <v>8109.05</v>
      </c>
    </row>
    <row r="60" spans="1:11" ht="14.6" x14ac:dyDescent="0.4">
      <c r="A60" s="94"/>
      <c r="B60" s="94"/>
      <c r="C60" s="94"/>
      <c r="D60" s="94"/>
      <c r="E60" s="94" t="s">
        <v>544</v>
      </c>
      <c r="F60" s="95">
        <v>43943</v>
      </c>
      <c r="G60" s="94" t="s">
        <v>1567</v>
      </c>
      <c r="H60" s="94" t="s">
        <v>651</v>
      </c>
      <c r="I60" s="94" t="s">
        <v>1576</v>
      </c>
      <c r="J60" s="94" t="s">
        <v>733</v>
      </c>
      <c r="K60" s="97">
        <v>5292</v>
      </c>
    </row>
    <row r="61" spans="1:11" ht="14.6" x14ac:dyDescent="0.4">
      <c r="A61" s="94"/>
      <c r="B61" s="94"/>
      <c r="C61" s="94"/>
      <c r="D61" s="94"/>
      <c r="E61" s="94" t="s">
        <v>544</v>
      </c>
      <c r="F61" s="95">
        <v>43943</v>
      </c>
      <c r="G61" s="94" t="s">
        <v>1567</v>
      </c>
      <c r="H61" s="94" t="s">
        <v>651</v>
      </c>
      <c r="I61" s="94" t="s">
        <v>1577</v>
      </c>
      <c r="J61" s="94" t="s">
        <v>733</v>
      </c>
      <c r="K61" s="97">
        <v>1890</v>
      </c>
    </row>
    <row r="62" spans="1:11" ht="14.6" x14ac:dyDescent="0.4">
      <c r="A62" s="94"/>
      <c r="B62" s="94"/>
      <c r="C62" s="94"/>
      <c r="D62" s="94"/>
      <c r="E62" s="94" t="s">
        <v>544</v>
      </c>
      <c r="F62" s="95">
        <v>43943</v>
      </c>
      <c r="G62" s="94" t="s">
        <v>1567</v>
      </c>
      <c r="H62" s="94" t="s">
        <v>651</v>
      </c>
      <c r="I62" s="94" t="s">
        <v>1578</v>
      </c>
      <c r="J62" s="94" t="s">
        <v>733</v>
      </c>
      <c r="K62" s="97">
        <v>50</v>
      </c>
    </row>
    <row r="63" spans="1:11" ht="14.6" x14ac:dyDescent="0.4">
      <c r="A63" s="94"/>
      <c r="B63" s="94"/>
      <c r="C63" s="94"/>
      <c r="D63" s="94"/>
      <c r="E63" s="94" t="s">
        <v>544</v>
      </c>
      <c r="F63" s="95">
        <v>43943</v>
      </c>
      <c r="G63" s="94" t="s">
        <v>1567</v>
      </c>
      <c r="H63" s="94" t="s">
        <v>651</v>
      </c>
      <c r="I63" s="94" t="s">
        <v>1579</v>
      </c>
      <c r="J63" s="94" t="s">
        <v>733</v>
      </c>
      <c r="K63" s="97">
        <v>32.9</v>
      </c>
    </row>
    <row r="64" spans="1:11" ht="14.6" x14ac:dyDescent="0.4">
      <c r="A64" s="94"/>
      <c r="B64" s="94"/>
      <c r="C64" s="94"/>
      <c r="D64" s="94"/>
      <c r="E64" s="94" t="s">
        <v>544</v>
      </c>
      <c r="F64" s="95">
        <v>43943</v>
      </c>
      <c r="G64" s="94" t="s">
        <v>1567</v>
      </c>
      <c r="H64" s="94" t="s">
        <v>651</v>
      </c>
      <c r="I64" s="94" t="s">
        <v>1580</v>
      </c>
      <c r="J64" s="94" t="s">
        <v>733</v>
      </c>
      <c r="K64" s="97">
        <v>4300</v>
      </c>
    </row>
    <row r="65" spans="1:11" ht="14.6" x14ac:dyDescent="0.4">
      <c r="A65" s="94"/>
      <c r="B65" s="94"/>
      <c r="C65" s="94"/>
      <c r="D65" s="94"/>
      <c r="E65" s="94" t="s">
        <v>544</v>
      </c>
      <c r="F65" s="95">
        <v>43943</v>
      </c>
      <c r="G65" s="94" t="s">
        <v>1567</v>
      </c>
      <c r="H65" s="94" t="s">
        <v>651</v>
      </c>
      <c r="I65" s="94" t="s">
        <v>653</v>
      </c>
      <c r="J65" s="94" t="s">
        <v>733</v>
      </c>
      <c r="K65" s="97">
        <v>50</v>
      </c>
    </row>
    <row r="66" spans="1:11" ht="14.6" x14ac:dyDescent="0.4">
      <c r="A66" s="94"/>
      <c r="B66" s="94"/>
      <c r="C66" s="94"/>
      <c r="D66" s="94"/>
      <c r="E66" s="94" t="s">
        <v>544</v>
      </c>
      <c r="F66" s="95">
        <v>43943</v>
      </c>
      <c r="G66" s="94" t="s">
        <v>1567</v>
      </c>
      <c r="H66" s="94" t="s">
        <v>651</v>
      </c>
      <c r="I66" s="94" t="s">
        <v>1581</v>
      </c>
      <c r="J66" s="94" t="s">
        <v>733</v>
      </c>
      <c r="K66" s="97">
        <v>-4000</v>
      </c>
    </row>
    <row r="67" spans="1:11" ht="14.6" x14ac:dyDescent="0.4">
      <c r="A67" s="94"/>
      <c r="B67" s="94"/>
      <c r="C67" s="94"/>
      <c r="D67" s="94"/>
      <c r="E67" s="94" t="s">
        <v>544</v>
      </c>
      <c r="F67" s="95">
        <v>43966</v>
      </c>
      <c r="G67" s="94" t="s">
        <v>1568</v>
      </c>
      <c r="H67" s="94" t="s">
        <v>631</v>
      </c>
      <c r="I67" s="94" t="s">
        <v>1582</v>
      </c>
      <c r="J67" s="94" t="s">
        <v>733</v>
      </c>
      <c r="K67" s="97">
        <v>769.22</v>
      </c>
    </row>
    <row r="68" spans="1:11" ht="14.6" x14ac:dyDescent="0.4">
      <c r="A68" s="94"/>
      <c r="B68" s="94"/>
      <c r="C68" s="94"/>
      <c r="D68" s="94"/>
      <c r="E68" s="94" t="s">
        <v>544</v>
      </c>
      <c r="F68" s="95">
        <v>43966</v>
      </c>
      <c r="G68" s="94" t="s">
        <v>1568</v>
      </c>
      <c r="H68" s="94" t="s">
        <v>631</v>
      </c>
      <c r="I68" s="94" t="s">
        <v>1583</v>
      </c>
      <c r="J68" s="94" t="s">
        <v>733</v>
      </c>
      <c r="K68" s="97">
        <v>142.21</v>
      </c>
    </row>
    <row r="69" spans="1:11" ht="14.6" x14ac:dyDescent="0.4">
      <c r="A69" s="94"/>
      <c r="B69" s="94"/>
      <c r="C69" s="94"/>
      <c r="D69" s="94"/>
      <c r="E69" s="94" t="s">
        <v>544</v>
      </c>
      <c r="F69" s="95">
        <v>43966</v>
      </c>
      <c r="G69" s="94" t="s">
        <v>1568</v>
      </c>
      <c r="H69" s="94" t="s">
        <v>631</v>
      </c>
      <c r="I69" s="94" t="s">
        <v>1584</v>
      </c>
      <c r="J69" s="94" t="s">
        <v>733</v>
      </c>
      <c r="K69" s="97">
        <v>206.34</v>
      </c>
    </row>
    <row r="70" spans="1:11" ht="14.6" x14ac:dyDescent="0.4">
      <c r="A70" s="94"/>
      <c r="B70" s="94"/>
      <c r="C70" s="94"/>
      <c r="D70" s="94"/>
      <c r="E70" s="94" t="s">
        <v>544</v>
      </c>
      <c r="F70" s="95">
        <v>43966</v>
      </c>
      <c r="G70" s="94" t="s">
        <v>1568</v>
      </c>
      <c r="H70" s="94" t="s">
        <v>631</v>
      </c>
      <c r="I70" s="94" t="s">
        <v>1585</v>
      </c>
      <c r="J70" s="94" t="s">
        <v>733</v>
      </c>
      <c r="K70" s="97">
        <v>159.38999999999999</v>
      </c>
    </row>
    <row r="71" spans="1:11" ht="14.6" x14ac:dyDescent="0.4">
      <c r="A71" s="94"/>
      <c r="B71" s="94"/>
      <c r="C71" s="94"/>
      <c r="D71" s="94"/>
      <c r="E71" s="94" t="s">
        <v>544</v>
      </c>
      <c r="F71" s="95">
        <v>43966</v>
      </c>
      <c r="G71" s="94" t="s">
        <v>1568</v>
      </c>
      <c r="H71" s="94" t="s">
        <v>631</v>
      </c>
      <c r="I71" s="94" t="s">
        <v>1586</v>
      </c>
      <c r="J71" s="94" t="s">
        <v>733</v>
      </c>
      <c r="K71" s="97">
        <v>35.42</v>
      </c>
    </row>
    <row r="72" spans="1:11" ht="14.6" x14ac:dyDescent="0.4">
      <c r="A72" s="94"/>
      <c r="B72" s="94"/>
      <c r="C72" s="94"/>
      <c r="D72" s="94"/>
      <c r="E72" s="94" t="s">
        <v>544</v>
      </c>
      <c r="F72" s="95">
        <v>43966</v>
      </c>
      <c r="G72" s="94" t="s">
        <v>1568</v>
      </c>
      <c r="H72" s="94" t="s">
        <v>631</v>
      </c>
      <c r="I72" s="94" t="s">
        <v>1587</v>
      </c>
      <c r="J72" s="94" t="s">
        <v>733</v>
      </c>
      <c r="K72" s="97">
        <v>35.42</v>
      </c>
    </row>
    <row r="73" spans="1:11" ht="14.6" x14ac:dyDescent="0.4">
      <c r="A73" s="94"/>
      <c r="B73" s="94"/>
      <c r="C73" s="94"/>
      <c r="D73" s="94"/>
      <c r="E73" s="94" t="s">
        <v>544</v>
      </c>
      <c r="F73" s="95">
        <v>43966</v>
      </c>
      <c r="G73" s="94" t="s">
        <v>1568</v>
      </c>
      <c r="H73" s="94" t="s">
        <v>631</v>
      </c>
      <c r="I73" s="94" t="s">
        <v>1588</v>
      </c>
      <c r="J73" s="94" t="s">
        <v>733</v>
      </c>
      <c r="K73" s="97">
        <v>35.42</v>
      </c>
    </row>
    <row r="74" spans="1:11" ht="14.6" x14ac:dyDescent="0.4">
      <c r="A74" s="94"/>
      <c r="B74" s="94"/>
      <c r="C74" s="94"/>
      <c r="D74" s="94"/>
      <c r="E74" s="94" t="s">
        <v>544</v>
      </c>
      <c r="F74" s="95">
        <v>43966</v>
      </c>
      <c r="G74" s="94" t="s">
        <v>1568</v>
      </c>
      <c r="H74" s="94" t="s">
        <v>631</v>
      </c>
      <c r="I74" s="94" t="s">
        <v>1589</v>
      </c>
      <c r="J74" s="94" t="s">
        <v>733</v>
      </c>
      <c r="K74" s="97">
        <v>17</v>
      </c>
    </row>
    <row r="75" spans="1:11" ht="14.6" x14ac:dyDescent="0.4">
      <c r="A75" s="94"/>
      <c r="B75" s="94"/>
      <c r="C75" s="94"/>
      <c r="D75" s="94"/>
      <c r="E75" s="94" t="s">
        <v>544</v>
      </c>
      <c r="F75" s="95">
        <v>43966</v>
      </c>
      <c r="G75" s="94" t="s">
        <v>1568</v>
      </c>
      <c r="H75" s="94" t="s">
        <v>631</v>
      </c>
      <c r="I75" s="94" t="s">
        <v>1590</v>
      </c>
      <c r="J75" s="94" t="s">
        <v>733</v>
      </c>
      <c r="K75" s="97">
        <v>34.75</v>
      </c>
    </row>
    <row r="76" spans="1:11" ht="14.6" x14ac:dyDescent="0.4">
      <c r="A76" s="94"/>
      <c r="B76" s="94"/>
      <c r="C76" s="94"/>
      <c r="D76" s="94"/>
      <c r="E76" s="94" t="s">
        <v>544</v>
      </c>
      <c r="F76" s="95">
        <v>43966</v>
      </c>
      <c r="G76" s="94" t="s">
        <v>1568</v>
      </c>
      <c r="H76" s="94" t="s">
        <v>631</v>
      </c>
      <c r="I76" s="94" t="s">
        <v>1591</v>
      </c>
      <c r="J76" s="94" t="s">
        <v>733</v>
      </c>
      <c r="K76" s="97">
        <v>141.68</v>
      </c>
    </row>
    <row r="77" spans="1:11" ht="14.6" x14ac:dyDescent="0.4">
      <c r="A77" s="94"/>
      <c r="B77" s="94"/>
      <c r="C77" s="94"/>
      <c r="D77" s="94"/>
      <c r="E77" s="94" t="s">
        <v>544</v>
      </c>
      <c r="F77" s="95">
        <v>43966</v>
      </c>
      <c r="G77" s="94" t="s">
        <v>1568</v>
      </c>
      <c r="H77" s="94" t="s">
        <v>631</v>
      </c>
      <c r="I77" s="94" t="s">
        <v>1592</v>
      </c>
      <c r="J77" s="94" t="s">
        <v>733</v>
      </c>
      <c r="K77" s="97">
        <v>53.13</v>
      </c>
    </row>
    <row r="78" spans="1:11" ht="14.6" x14ac:dyDescent="0.4">
      <c r="A78" s="94"/>
      <c r="B78" s="94"/>
      <c r="C78" s="94"/>
      <c r="D78" s="94"/>
      <c r="E78" s="94" t="s">
        <v>544</v>
      </c>
      <c r="F78" s="95">
        <v>43966</v>
      </c>
      <c r="G78" s="94" t="s">
        <v>1569</v>
      </c>
      <c r="H78" s="94" t="s">
        <v>631</v>
      </c>
      <c r="I78" s="94" t="s">
        <v>1593</v>
      </c>
      <c r="J78" s="94" t="s">
        <v>733</v>
      </c>
      <c r="K78" s="97">
        <v>5.54</v>
      </c>
    </row>
    <row r="79" spans="1:11" ht="14.6" x14ac:dyDescent="0.4">
      <c r="A79" s="94"/>
      <c r="B79" s="94"/>
      <c r="C79" s="94"/>
      <c r="D79" s="94"/>
      <c r="E79" s="94" t="s">
        <v>544</v>
      </c>
      <c r="F79" s="95">
        <v>43966</v>
      </c>
      <c r="G79" s="94" t="s">
        <v>1569</v>
      </c>
      <c r="H79" s="94" t="s">
        <v>631</v>
      </c>
      <c r="I79" s="94" t="s">
        <v>1594</v>
      </c>
      <c r="J79" s="94" t="s">
        <v>733</v>
      </c>
      <c r="K79" s="97">
        <v>9</v>
      </c>
    </row>
    <row r="80" spans="1:11" ht="14.6" x14ac:dyDescent="0.4">
      <c r="A80" s="94"/>
      <c r="B80" s="94"/>
      <c r="C80" s="94"/>
      <c r="D80" s="94"/>
      <c r="E80" s="94" t="s">
        <v>544</v>
      </c>
      <c r="F80" s="95">
        <v>43966</v>
      </c>
      <c r="G80" s="94" t="s">
        <v>1569</v>
      </c>
      <c r="H80" s="94" t="s">
        <v>631</v>
      </c>
      <c r="I80" s="94" t="s">
        <v>1595</v>
      </c>
      <c r="J80" s="94" t="s">
        <v>733</v>
      </c>
      <c r="K80" s="97">
        <v>2.9</v>
      </c>
    </row>
    <row r="81" spans="1:11" ht="14.6" x14ac:dyDescent="0.4">
      <c r="A81" s="94"/>
      <c r="B81" s="94"/>
      <c r="C81" s="94"/>
      <c r="D81" s="94"/>
      <c r="E81" s="94" t="s">
        <v>544</v>
      </c>
      <c r="F81" s="95">
        <v>43966</v>
      </c>
      <c r="G81" s="94" t="s">
        <v>1569</v>
      </c>
      <c r="H81" s="94" t="s">
        <v>631</v>
      </c>
      <c r="I81" s="94" t="s">
        <v>1596</v>
      </c>
      <c r="J81" s="94" t="s">
        <v>733</v>
      </c>
      <c r="K81" s="97">
        <v>5.28</v>
      </c>
    </row>
    <row r="82" spans="1:11" ht="14.6" x14ac:dyDescent="0.4">
      <c r="A82" s="94"/>
      <c r="B82" s="94"/>
      <c r="C82" s="94"/>
      <c r="D82" s="94"/>
      <c r="E82" s="94" t="s">
        <v>544</v>
      </c>
      <c r="F82" s="95">
        <v>43969</v>
      </c>
      <c r="G82" s="94" t="s">
        <v>1570</v>
      </c>
      <c r="H82" s="94" t="s">
        <v>651</v>
      </c>
      <c r="I82" s="94" t="s">
        <v>1571</v>
      </c>
      <c r="J82" s="94" t="s">
        <v>733</v>
      </c>
      <c r="K82" s="97">
        <v>1.75</v>
      </c>
    </row>
    <row r="83" spans="1:11" ht="14.6" x14ac:dyDescent="0.4">
      <c r="A83" s="94"/>
      <c r="B83" s="94"/>
      <c r="C83" s="94"/>
      <c r="D83" s="94"/>
      <c r="E83" s="94" t="s">
        <v>544</v>
      </c>
      <c r="F83" s="95">
        <v>43969</v>
      </c>
      <c r="G83" s="94" t="s">
        <v>1570</v>
      </c>
      <c r="H83" s="94" t="s">
        <v>651</v>
      </c>
      <c r="I83" s="94" t="s">
        <v>1572</v>
      </c>
      <c r="J83" s="94" t="s">
        <v>733</v>
      </c>
      <c r="K83" s="97">
        <v>53.76</v>
      </c>
    </row>
    <row r="84" spans="1:11" ht="14.6" x14ac:dyDescent="0.4">
      <c r="A84" s="94"/>
      <c r="B84" s="94"/>
      <c r="C84" s="94"/>
      <c r="D84" s="94"/>
      <c r="E84" s="94" t="s">
        <v>544</v>
      </c>
      <c r="F84" s="95">
        <v>43969</v>
      </c>
      <c r="G84" s="94" t="s">
        <v>1570</v>
      </c>
      <c r="H84" s="94" t="s">
        <v>651</v>
      </c>
      <c r="I84" s="94" t="s">
        <v>1573</v>
      </c>
      <c r="J84" s="94" t="s">
        <v>733</v>
      </c>
      <c r="K84" s="97">
        <v>5.58</v>
      </c>
    </row>
    <row r="85" spans="1:11" ht="14.6" x14ac:dyDescent="0.4">
      <c r="A85" s="94"/>
      <c r="B85" s="94"/>
      <c r="C85" s="94"/>
      <c r="D85" s="94"/>
      <c r="E85" s="94" t="s">
        <v>544</v>
      </c>
      <c r="F85" s="95">
        <v>43969</v>
      </c>
      <c r="G85" s="94" t="s">
        <v>1570</v>
      </c>
      <c r="H85" s="94" t="s">
        <v>651</v>
      </c>
      <c r="I85" s="94" t="s">
        <v>1574</v>
      </c>
      <c r="J85" s="94" t="s">
        <v>733</v>
      </c>
      <c r="K85" s="97">
        <v>4.38</v>
      </c>
    </row>
    <row r="86" spans="1:11" ht="14.6" x14ac:dyDescent="0.4">
      <c r="A86" s="94"/>
      <c r="B86" s="94"/>
      <c r="C86" s="94"/>
      <c r="D86" s="94"/>
      <c r="E86" s="94" t="s">
        <v>544</v>
      </c>
      <c r="F86" s="95">
        <v>43969</v>
      </c>
      <c r="G86" s="94" t="s">
        <v>1570</v>
      </c>
      <c r="H86" s="94" t="s">
        <v>651</v>
      </c>
      <c r="I86" s="94" t="s">
        <v>1575</v>
      </c>
      <c r="J86" s="94" t="s">
        <v>733</v>
      </c>
      <c r="K86" s="97">
        <v>47.04</v>
      </c>
    </row>
    <row r="87" spans="1:11" ht="14.6" x14ac:dyDescent="0.4">
      <c r="A87" s="94"/>
      <c r="B87" s="94"/>
      <c r="C87" s="94"/>
      <c r="D87" s="94"/>
      <c r="E87" s="94" t="s">
        <v>544</v>
      </c>
      <c r="F87" s="95">
        <v>43969</v>
      </c>
      <c r="G87" s="94" t="s">
        <v>1570</v>
      </c>
      <c r="H87" s="94" t="s">
        <v>651</v>
      </c>
      <c r="I87" s="94" t="s">
        <v>1576</v>
      </c>
      <c r="J87" s="94" t="s">
        <v>733</v>
      </c>
      <c r="K87" s="97">
        <v>6.24</v>
      </c>
    </row>
    <row r="88" spans="1:11" ht="14.6" x14ac:dyDescent="0.4">
      <c r="A88" s="94"/>
      <c r="B88" s="94"/>
      <c r="C88" s="94"/>
      <c r="D88" s="94"/>
      <c r="E88" s="94" t="s">
        <v>544</v>
      </c>
      <c r="F88" s="95">
        <v>43969</v>
      </c>
      <c r="G88" s="94" t="s">
        <v>1570</v>
      </c>
      <c r="H88" s="94" t="s">
        <v>651</v>
      </c>
      <c r="I88" s="94" t="s">
        <v>1577</v>
      </c>
      <c r="J88" s="94" t="s">
        <v>733</v>
      </c>
      <c r="K88" s="97">
        <v>10.5</v>
      </c>
    </row>
    <row r="89" spans="1:11" ht="14.6" x14ac:dyDescent="0.4">
      <c r="A89" s="94"/>
      <c r="B89" s="94"/>
      <c r="C89" s="94"/>
      <c r="D89" s="94"/>
      <c r="E89" s="94" t="s">
        <v>544</v>
      </c>
      <c r="F89" s="95">
        <v>43969</v>
      </c>
      <c r="G89" s="94" t="s">
        <v>1570</v>
      </c>
      <c r="H89" s="94" t="s">
        <v>651</v>
      </c>
      <c r="I89" s="94" t="s">
        <v>1578</v>
      </c>
      <c r="J89" s="94" t="s">
        <v>733</v>
      </c>
      <c r="K89" s="97">
        <v>0</v>
      </c>
    </row>
    <row r="90" spans="1:11" ht="14.6" x14ac:dyDescent="0.4">
      <c r="A90" s="94"/>
      <c r="B90" s="94"/>
      <c r="C90" s="94"/>
      <c r="D90" s="94"/>
      <c r="E90" s="94" t="s">
        <v>544</v>
      </c>
      <c r="F90" s="95">
        <v>43970</v>
      </c>
      <c r="G90" s="94" t="s">
        <v>1795</v>
      </c>
      <c r="H90" s="94" t="s">
        <v>631</v>
      </c>
      <c r="I90" s="94" t="s">
        <v>1799</v>
      </c>
      <c r="J90" s="94" t="s">
        <v>733</v>
      </c>
      <c r="K90" s="97">
        <v>2.98</v>
      </c>
    </row>
    <row r="91" spans="1:11" ht="14.6" x14ac:dyDescent="0.4">
      <c r="A91" s="94"/>
      <c r="B91" s="94"/>
      <c r="C91" s="94"/>
      <c r="D91" s="94"/>
      <c r="E91" s="94" t="s">
        <v>544</v>
      </c>
      <c r="F91" s="95">
        <v>43970</v>
      </c>
      <c r="G91" s="94" t="s">
        <v>1795</v>
      </c>
      <c r="H91" s="94" t="s">
        <v>631</v>
      </c>
      <c r="I91" s="94" t="s">
        <v>1800</v>
      </c>
      <c r="J91" s="94" t="s">
        <v>733</v>
      </c>
      <c r="K91" s="97">
        <v>1.56</v>
      </c>
    </row>
    <row r="92" spans="1:11" ht="14.6" x14ac:dyDescent="0.4">
      <c r="A92" s="94"/>
      <c r="B92" s="94"/>
      <c r="C92" s="94"/>
      <c r="D92" s="94"/>
      <c r="E92" s="94" t="s">
        <v>544</v>
      </c>
      <c r="F92" s="95">
        <v>43970</v>
      </c>
      <c r="G92" s="94" t="s">
        <v>1795</v>
      </c>
      <c r="H92" s="94" t="s">
        <v>631</v>
      </c>
      <c r="I92" s="94" t="s">
        <v>1801</v>
      </c>
      <c r="J92" s="94" t="s">
        <v>733</v>
      </c>
      <c r="K92" s="97">
        <v>2.84</v>
      </c>
    </row>
    <row r="93" spans="1:11" ht="14.6" x14ac:dyDescent="0.4">
      <c r="A93" s="94"/>
      <c r="B93" s="94"/>
      <c r="C93" s="94"/>
      <c r="D93" s="94"/>
      <c r="E93" s="94" t="s">
        <v>544</v>
      </c>
      <c r="F93" s="95">
        <v>43993</v>
      </c>
      <c r="G93" s="94" t="s">
        <v>1928</v>
      </c>
      <c r="H93" s="94" t="s">
        <v>631</v>
      </c>
      <c r="I93" s="94" t="s">
        <v>1939</v>
      </c>
      <c r="J93" s="94" t="s">
        <v>733</v>
      </c>
      <c r="K93" s="97">
        <v>23.87</v>
      </c>
    </row>
    <row r="94" spans="1:11" ht="14.6" x14ac:dyDescent="0.4">
      <c r="A94" s="94"/>
      <c r="B94" s="94"/>
      <c r="C94" s="94"/>
      <c r="D94" s="94"/>
      <c r="E94" s="94" t="s">
        <v>544</v>
      </c>
      <c r="F94" s="95">
        <v>43993</v>
      </c>
      <c r="G94" s="94" t="s">
        <v>1928</v>
      </c>
      <c r="H94" s="94" t="s">
        <v>631</v>
      </c>
      <c r="I94" s="94" t="s">
        <v>1940</v>
      </c>
      <c r="J94" s="94" t="s">
        <v>733</v>
      </c>
      <c r="K94" s="97">
        <v>2.35</v>
      </c>
    </row>
    <row r="95" spans="1:11" ht="14.6" x14ac:dyDescent="0.4">
      <c r="A95" s="94"/>
      <c r="B95" s="94"/>
      <c r="C95" s="94"/>
      <c r="D95" s="94"/>
      <c r="E95" s="94" t="s">
        <v>544</v>
      </c>
      <c r="F95" s="95">
        <v>43993</v>
      </c>
      <c r="G95" s="94" t="s">
        <v>1928</v>
      </c>
      <c r="H95" s="94" t="s">
        <v>631</v>
      </c>
      <c r="I95" s="94" t="s">
        <v>1941</v>
      </c>
      <c r="J95" s="94" t="s">
        <v>733</v>
      </c>
      <c r="K95" s="97">
        <v>4</v>
      </c>
    </row>
    <row r="96" spans="1:11" ht="14.6" x14ac:dyDescent="0.4">
      <c r="A96" s="94"/>
      <c r="B96" s="94"/>
      <c r="C96" s="94"/>
      <c r="D96" s="94"/>
      <c r="E96" s="94" t="s">
        <v>544</v>
      </c>
      <c r="F96" s="95">
        <v>43993</v>
      </c>
      <c r="G96" s="94" t="s">
        <v>1928</v>
      </c>
      <c r="H96" s="94" t="s">
        <v>631</v>
      </c>
      <c r="I96" s="94" t="s">
        <v>1942</v>
      </c>
      <c r="J96" s="94" t="s">
        <v>733</v>
      </c>
      <c r="K96" s="97">
        <v>2.52</v>
      </c>
    </row>
    <row r="97" spans="1:11" ht="14.6" x14ac:dyDescent="0.4">
      <c r="A97" s="94"/>
      <c r="B97" s="94"/>
      <c r="C97" s="94"/>
      <c r="D97" s="94"/>
      <c r="E97" s="94" t="s">
        <v>544</v>
      </c>
      <c r="F97" s="95">
        <v>43993</v>
      </c>
      <c r="G97" s="94" t="s">
        <v>1928</v>
      </c>
      <c r="H97" s="94" t="s">
        <v>631</v>
      </c>
      <c r="I97" s="94" t="s">
        <v>1943</v>
      </c>
      <c r="J97" s="94" t="s">
        <v>733</v>
      </c>
      <c r="K97" s="97">
        <v>0.65</v>
      </c>
    </row>
    <row r="98" spans="1:11" ht="14.6" x14ac:dyDescent="0.4">
      <c r="A98" s="94"/>
      <c r="B98" s="94"/>
      <c r="C98" s="94"/>
      <c r="D98" s="94"/>
      <c r="E98" s="94" t="s">
        <v>544</v>
      </c>
      <c r="F98" s="95">
        <v>43993</v>
      </c>
      <c r="G98" s="94" t="s">
        <v>1928</v>
      </c>
      <c r="H98" s="94" t="s">
        <v>631</v>
      </c>
      <c r="I98" s="94" t="s">
        <v>1944</v>
      </c>
      <c r="J98" s="94" t="s">
        <v>733</v>
      </c>
      <c r="K98" s="97">
        <v>0.65</v>
      </c>
    </row>
    <row r="99" spans="1:11" ht="14.6" x14ac:dyDescent="0.4">
      <c r="A99" s="94"/>
      <c r="B99" s="94"/>
      <c r="C99" s="94"/>
      <c r="D99" s="94"/>
      <c r="E99" s="94" t="s">
        <v>544</v>
      </c>
      <c r="F99" s="95">
        <v>43993</v>
      </c>
      <c r="G99" s="94" t="s">
        <v>1928</v>
      </c>
      <c r="H99" s="94" t="s">
        <v>631</v>
      </c>
      <c r="I99" s="94" t="s">
        <v>1945</v>
      </c>
      <c r="J99" s="94" t="s">
        <v>733</v>
      </c>
      <c r="K99" s="97">
        <v>0.65</v>
      </c>
    </row>
    <row r="100" spans="1:11" ht="14.6" x14ac:dyDescent="0.4">
      <c r="A100" s="94"/>
      <c r="B100" s="94"/>
      <c r="C100" s="94"/>
      <c r="D100" s="94"/>
      <c r="E100" s="94" t="s">
        <v>544</v>
      </c>
      <c r="F100" s="95">
        <v>43993</v>
      </c>
      <c r="G100" s="94" t="s">
        <v>1928</v>
      </c>
      <c r="H100" s="94" t="s">
        <v>631</v>
      </c>
      <c r="I100" s="94" t="s">
        <v>1946</v>
      </c>
      <c r="J100" s="94" t="s">
        <v>733</v>
      </c>
      <c r="K100" s="97">
        <v>0.85</v>
      </c>
    </row>
    <row r="101" spans="1:11" ht="14.6" x14ac:dyDescent="0.4">
      <c r="A101" s="94"/>
      <c r="B101" s="94"/>
      <c r="C101" s="94"/>
      <c r="D101" s="94"/>
      <c r="E101" s="94" t="s">
        <v>544</v>
      </c>
      <c r="F101" s="95">
        <v>43993</v>
      </c>
      <c r="G101" s="94" t="s">
        <v>1928</v>
      </c>
      <c r="H101" s="94" t="s">
        <v>631</v>
      </c>
      <c r="I101" s="94" t="s">
        <v>1947</v>
      </c>
      <c r="J101" s="94" t="s">
        <v>733</v>
      </c>
      <c r="K101" s="97">
        <v>2</v>
      </c>
    </row>
    <row r="102" spans="1:11" ht="14.6" x14ac:dyDescent="0.4">
      <c r="A102" s="94"/>
      <c r="B102" s="94"/>
      <c r="C102" s="94"/>
      <c r="D102" s="94"/>
      <c r="E102" s="94" t="s">
        <v>544</v>
      </c>
      <c r="F102" s="95">
        <v>43993</v>
      </c>
      <c r="G102" s="94" t="s">
        <v>1928</v>
      </c>
      <c r="H102" s="94" t="s">
        <v>631</v>
      </c>
      <c r="I102" s="94" t="s">
        <v>1948</v>
      </c>
      <c r="J102" s="94" t="s">
        <v>733</v>
      </c>
      <c r="K102" s="97">
        <v>2.6</v>
      </c>
    </row>
    <row r="103" spans="1:11" ht="14.6" x14ac:dyDescent="0.4">
      <c r="A103" s="94"/>
      <c r="B103" s="94"/>
      <c r="C103" s="94"/>
      <c r="D103" s="94"/>
      <c r="E103" s="94" t="s">
        <v>544</v>
      </c>
      <c r="F103" s="95">
        <v>43993</v>
      </c>
      <c r="G103" s="94" t="s">
        <v>1928</v>
      </c>
      <c r="H103" s="94" t="s">
        <v>631</v>
      </c>
      <c r="I103" s="94" t="s">
        <v>1949</v>
      </c>
      <c r="J103" s="94" t="s">
        <v>733</v>
      </c>
      <c r="K103" s="97">
        <v>0.98</v>
      </c>
    </row>
    <row r="104" spans="1:11" ht="14.6" x14ac:dyDescent="0.4">
      <c r="A104" s="94"/>
      <c r="B104" s="94"/>
      <c r="C104" s="94"/>
      <c r="D104" s="94"/>
      <c r="E104" s="94" t="s">
        <v>544</v>
      </c>
      <c r="F104" s="95">
        <v>43994</v>
      </c>
      <c r="G104" s="94" t="s">
        <v>1929</v>
      </c>
      <c r="H104" s="94" t="s">
        <v>631</v>
      </c>
      <c r="I104" s="94" t="s">
        <v>1950</v>
      </c>
      <c r="J104" s="94" t="s">
        <v>733</v>
      </c>
      <c r="K104" s="97">
        <v>1204.03</v>
      </c>
    </row>
    <row r="105" spans="1:11" ht="14.6" x14ac:dyDescent="0.4">
      <c r="A105" s="94"/>
      <c r="B105" s="94"/>
      <c r="C105" s="94"/>
      <c r="D105" s="94"/>
      <c r="E105" s="94" t="s">
        <v>544</v>
      </c>
      <c r="F105" s="95">
        <v>43994</v>
      </c>
      <c r="G105" s="94" t="s">
        <v>1929</v>
      </c>
      <c r="H105" s="94" t="s">
        <v>631</v>
      </c>
      <c r="I105" s="94" t="s">
        <v>1951</v>
      </c>
      <c r="J105" s="94" t="s">
        <v>733</v>
      </c>
      <c r="K105" s="97">
        <v>305.05</v>
      </c>
    </row>
    <row r="106" spans="1:11" ht="14.6" x14ac:dyDescent="0.4">
      <c r="A106" s="94"/>
      <c r="B106" s="94"/>
      <c r="C106" s="94"/>
      <c r="D106" s="94"/>
      <c r="E106" s="94" t="s">
        <v>544</v>
      </c>
      <c r="F106" s="95">
        <v>43994</v>
      </c>
      <c r="G106" s="94" t="s">
        <v>1929</v>
      </c>
      <c r="H106" s="94" t="s">
        <v>631</v>
      </c>
      <c r="I106" s="94" t="s">
        <v>1952</v>
      </c>
      <c r="J106" s="94" t="s">
        <v>733</v>
      </c>
      <c r="K106" s="97">
        <v>406.33</v>
      </c>
    </row>
    <row r="107" spans="1:11" ht="14.6" x14ac:dyDescent="0.4">
      <c r="A107" s="94"/>
      <c r="B107" s="94"/>
      <c r="C107" s="94"/>
      <c r="D107" s="94"/>
      <c r="E107" s="94" t="s">
        <v>544</v>
      </c>
      <c r="F107" s="95">
        <v>43994</v>
      </c>
      <c r="G107" s="94" t="s">
        <v>1929</v>
      </c>
      <c r="H107" s="94" t="s">
        <v>631</v>
      </c>
      <c r="I107" s="94" t="s">
        <v>1953</v>
      </c>
      <c r="J107" s="94" t="s">
        <v>733</v>
      </c>
      <c r="K107" s="97">
        <v>326.83999999999997</v>
      </c>
    </row>
    <row r="108" spans="1:11" ht="14.6" x14ac:dyDescent="0.4">
      <c r="A108" s="94"/>
      <c r="B108" s="94"/>
      <c r="C108" s="94"/>
      <c r="D108" s="94"/>
      <c r="E108" s="94" t="s">
        <v>544</v>
      </c>
      <c r="F108" s="95">
        <v>43994</v>
      </c>
      <c r="G108" s="94" t="s">
        <v>1929</v>
      </c>
      <c r="H108" s="94" t="s">
        <v>631</v>
      </c>
      <c r="I108" s="94" t="s">
        <v>1954</v>
      </c>
      <c r="J108" s="94" t="s">
        <v>733</v>
      </c>
      <c r="K108" s="97">
        <v>74.260000000000005</v>
      </c>
    </row>
    <row r="109" spans="1:11" ht="14.6" x14ac:dyDescent="0.4">
      <c r="A109" s="94"/>
      <c r="B109" s="94"/>
      <c r="C109" s="94"/>
      <c r="D109" s="94"/>
      <c r="E109" s="94" t="s">
        <v>544</v>
      </c>
      <c r="F109" s="95">
        <v>43994</v>
      </c>
      <c r="G109" s="94" t="s">
        <v>1929</v>
      </c>
      <c r="H109" s="94" t="s">
        <v>631</v>
      </c>
      <c r="I109" s="94" t="s">
        <v>1955</v>
      </c>
      <c r="J109" s="94" t="s">
        <v>733</v>
      </c>
      <c r="K109" s="97">
        <v>74.260000000000005</v>
      </c>
    </row>
    <row r="110" spans="1:11" ht="14.6" x14ac:dyDescent="0.4">
      <c r="A110" s="94"/>
      <c r="B110" s="94"/>
      <c r="C110" s="94"/>
      <c r="D110" s="94"/>
      <c r="E110" s="94" t="s">
        <v>544</v>
      </c>
      <c r="F110" s="95">
        <v>43994</v>
      </c>
      <c r="G110" s="94" t="s">
        <v>1929</v>
      </c>
      <c r="H110" s="94" t="s">
        <v>631</v>
      </c>
      <c r="I110" s="94" t="s">
        <v>1956</v>
      </c>
      <c r="J110" s="94" t="s">
        <v>733</v>
      </c>
      <c r="K110" s="97">
        <v>74.260000000000005</v>
      </c>
    </row>
    <row r="111" spans="1:11" ht="14.6" x14ac:dyDescent="0.4">
      <c r="A111" s="94"/>
      <c r="B111" s="94"/>
      <c r="C111" s="94"/>
      <c r="D111" s="94"/>
      <c r="E111" s="94" t="s">
        <v>544</v>
      </c>
      <c r="F111" s="95">
        <v>43994</v>
      </c>
      <c r="G111" s="94" t="s">
        <v>1929</v>
      </c>
      <c r="H111" s="94" t="s">
        <v>631</v>
      </c>
      <c r="I111" s="94" t="s">
        <v>1957</v>
      </c>
      <c r="J111" s="94" t="s">
        <v>733</v>
      </c>
      <c r="K111" s="97">
        <v>9.35</v>
      </c>
    </row>
    <row r="112" spans="1:11" ht="14.6" x14ac:dyDescent="0.4">
      <c r="A112" s="94"/>
      <c r="B112" s="94"/>
      <c r="C112" s="94"/>
      <c r="D112" s="94"/>
      <c r="E112" s="94" t="s">
        <v>544</v>
      </c>
      <c r="F112" s="95">
        <v>43994</v>
      </c>
      <c r="G112" s="94" t="s">
        <v>1929</v>
      </c>
      <c r="H112" s="94" t="s">
        <v>631</v>
      </c>
      <c r="I112" s="94" t="s">
        <v>1958</v>
      </c>
      <c r="J112" s="94" t="s">
        <v>733</v>
      </c>
      <c r="K112" s="97">
        <v>38.75</v>
      </c>
    </row>
    <row r="113" spans="1:11" ht="14.6" x14ac:dyDescent="0.4">
      <c r="A113" s="94"/>
      <c r="B113" s="94"/>
      <c r="C113" s="94"/>
      <c r="D113" s="94"/>
      <c r="E113" s="94" t="s">
        <v>544</v>
      </c>
      <c r="F113" s="95">
        <v>43994</v>
      </c>
      <c r="G113" s="94" t="s">
        <v>1929</v>
      </c>
      <c r="H113" s="94" t="s">
        <v>631</v>
      </c>
      <c r="I113" s="94" t="s">
        <v>1959</v>
      </c>
      <c r="J113" s="94" t="s">
        <v>733</v>
      </c>
      <c r="K113" s="97">
        <v>297.04000000000002</v>
      </c>
    </row>
    <row r="114" spans="1:11" ht="14.6" x14ac:dyDescent="0.4">
      <c r="A114" s="94"/>
      <c r="B114" s="94"/>
      <c r="C114" s="94"/>
      <c r="D114" s="94"/>
      <c r="E114" s="94" t="s">
        <v>544</v>
      </c>
      <c r="F114" s="95">
        <v>43994</v>
      </c>
      <c r="G114" s="94" t="s">
        <v>1929</v>
      </c>
      <c r="H114" s="94" t="s">
        <v>631</v>
      </c>
      <c r="I114" s="94" t="s">
        <v>1960</v>
      </c>
      <c r="J114" s="94" t="s">
        <v>733</v>
      </c>
      <c r="K114" s="97">
        <v>259.91000000000003</v>
      </c>
    </row>
    <row r="115" spans="1:11" ht="14.6" x14ac:dyDescent="0.4">
      <c r="A115" s="94"/>
      <c r="B115" s="94"/>
      <c r="C115" s="94"/>
      <c r="D115" s="94"/>
      <c r="E115" s="94" t="s">
        <v>544</v>
      </c>
      <c r="F115" s="95">
        <v>44007</v>
      </c>
      <c r="G115" s="94" t="s">
        <v>1937</v>
      </c>
      <c r="H115" s="94" t="s">
        <v>651</v>
      </c>
      <c r="I115" s="94" t="s">
        <v>1571</v>
      </c>
      <c r="J115" s="94" t="s">
        <v>733</v>
      </c>
      <c r="K115" s="97">
        <v>0</v>
      </c>
    </row>
    <row r="116" spans="1:11" ht="14.6" x14ac:dyDescent="0.4">
      <c r="A116" s="94"/>
      <c r="B116" s="94"/>
      <c r="C116" s="94"/>
      <c r="D116" s="94"/>
      <c r="E116" s="94" t="s">
        <v>544</v>
      </c>
      <c r="F116" s="95">
        <v>44007</v>
      </c>
      <c r="G116" s="94" t="s">
        <v>1937</v>
      </c>
      <c r="H116" s="94" t="s">
        <v>651</v>
      </c>
      <c r="I116" s="94" t="s">
        <v>1572</v>
      </c>
      <c r="J116" s="94" t="s">
        <v>733</v>
      </c>
      <c r="K116" s="97">
        <v>0</v>
      </c>
    </row>
    <row r="117" spans="1:11" ht="14.6" x14ac:dyDescent="0.4">
      <c r="A117" s="94"/>
      <c r="B117" s="94"/>
      <c r="C117" s="94"/>
      <c r="D117" s="94"/>
      <c r="E117" s="94" t="s">
        <v>544</v>
      </c>
      <c r="F117" s="95">
        <v>44007</v>
      </c>
      <c r="G117" s="94" t="s">
        <v>1937</v>
      </c>
      <c r="H117" s="94" t="s">
        <v>651</v>
      </c>
      <c r="I117" s="94" t="s">
        <v>1573</v>
      </c>
      <c r="J117" s="94" t="s">
        <v>733</v>
      </c>
      <c r="K117" s="97">
        <v>0</v>
      </c>
    </row>
    <row r="118" spans="1:11" ht="14.6" x14ac:dyDescent="0.4">
      <c r="A118" s="94"/>
      <c r="B118" s="94"/>
      <c r="C118" s="94"/>
      <c r="D118" s="94"/>
      <c r="E118" s="94" t="s">
        <v>544</v>
      </c>
      <c r="F118" s="95">
        <v>44007</v>
      </c>
      <c r="G118" s="94" t="s">
        <v>1937</v>
      </c>
      <c r="H118" s="94" t="s">
        <v>651</v>
      </c>
      <c r="I118" s="94" t="s">
        <v>1574</v>
      </c>
      <c r="J118" s="94" t="s">
        <v>733</v>
      </c>
      <c r="K118" s="97">
        <v>0</v>
      </c>
    </row>
    <row r="119" spans="1:11" ht="14.6" x14ac:dyDescent="0.4">
      <c r="A119" s="94"/>
      <c r="B119" s="94"/>
      <c r="C119" s="94"/>
      <c r="D119" s="94"/>
      <c r="E119" s="94" t="s">
        <v>544</v>
      </c>
      <c r="F119" s="95">
        <v>44007</v>
      </c>
      <c r="G119" s="94" t="s">
        <v>1937</v>
      </c>
      <c r="H119" s="94" t="s">
        <v>651</v>
      </c>
      <c r="I119" s="94" t="s">
        <v>1575</v>
      </c>
      <c r="J119" s="94" t="s">
        <v>733</v>
      </c>
      <c r="K119" s="97">
        <v>0</v>
      </c>
    </row>
    <row r="120" spans="1:11" ht="14.6" x14ac:dyDescent="0.4">
      <c r="A120" s="94"/>
      <c r="B120" s="94"/>
      <c r="C120" s="94"/>
      <c r="D120" s="94"/>
      <c r="E120" s="94" t="s">
        <v>544</v>
      </c>
      <c r="F120" s="95">
        <v>44007</v>
      </c>
      <c r="G120" s="94" t="s">
        <v>1937</v>
      </c>
      <c r="H120" s="94" t="s">
        <v>651</v>
      </c>
      <c r="I120" s="94" t="s">
        <v>1576</v>
      </c>
      <c r="J120" s="94" t="s">
        <v>733</v>
      </c>
      <c r="K120" s="97">
        <v>0</v>
      </c>
    </row>
    <row r="121" spans="1:11" ht="14.6" x14ac:dyDescent="0.4">
      <c r="A121" s="94"/>
      <c r="B121" s="94"/>
      <c r="C121" s="94"/>
      <c r="D121" s="94"/>
      <c r="E121" s="94" t="s">
        <v>544</v>
      </c>
      <c r="F121" s="95">
        <v>44007</v>
      </c>
      <c r="G121" s="94" t="s">
        <v>1937</v>
      </c>
      <c r="H121" s="94" t="s">
        <v>651</v>
      </c>
      <c r="I121" s="94" t="s">
        <v>1577</v>
      </c>
      <c r="J121" s="94" t="s">
        <v>733</v>
      </c>
      <c r="K121" s="97">
        <v>0.5</v>
      </c>
    </row>
    <row r="122" spans="1:11" ht="14.6" x14ac:dyDescent="0.4">
      <c r="A122" s="94"/>
      <c r="B122" s="94"/>
      <c r="C122" s="94"/>
      <c r="D122" s="94"/>
      <c r="E122" s="94" t="s">
        <v>544</v>
      </c>
      <c r="F122" s="95">
        <v>44007</v>
      </c>
      <c r="G122" s="94" t="s">
        <v>1937</v>
      </c>
      <c r="H122" s="94" t="s">
        <v>651</v>
      </c>
      <c r="I122" s="94" t="s">
        <v>1578</v>
      </c>
      <c r="J122" s="94" t="s">
        <v>733</v>
      </c>
      <c r="K122" s="97">
        <v>100</v>
      </c>
    </row>
    <row r="123" spans="1:11" ht="14.6" x14ac:dyDescent="0.4">
      <c r="A123" s="94"/>
      <c r="B123" s="94"/>
      <c r="C123" s="94"/>
      <c r="D123" s="94"/>
      <c r="E123" s="94" t="s">
        <v>544</v>
      </c>
      <c r="F123" s="95">
        <v>44007</v>
      </c>
      <c r="G123" s="94" t="s">
        <v>1937</v>
      </c>
      <c r="H123" s="94" t="s">
        <v>651</v>
      </c>
      <c r="I123" s="94" t="s">
        <v>1961</v>
      </c>
      <c r="J123" s="94" t="s">
        <v>733</v>
      </c>
      <c r="K123" s="97">
        <v>50</v>
      </c>
    </row>
    <row r="124" spans="1:11" ht="14.6" x14ac:dyDescent="0.4">
      <c r="A124" s="94"/>
      <c r="B124" s="94"/>
      <c r="C124" s="94"/>
      <c r="D124" s="94"/>
      <c r="E124" s="94" t="s">
        <v>544</v>
      </c>
      <c r="F124" s="95">
        <v>44020</v>
      </c>
      <c r="G124" s="94" t="s">
        <v>1938</v>
      </c>
      <c r="H124" s="94" t="s">
        <v>581</v>
      </c>
      <c r="I124" s="94" t="s">
        <v>1962</v>
      </c>
      <c r="J124" s="94" t="s">
        <v>733</v>
      </c>
      <c r="K124" s="97">
        <v>229</v>
      </c>
    </row>
    <row r="125" spans="1:11" ht="14.6" x14ac:dyDescent="0.4">
      <c r="A125" s="94"/>
      <c r="B125" s="94"/>
      <c r="C125" s="94"/>
      <c r="D125" s="94"/>
      <c r="E125" s="94" t="s">
        <v>544</v>
      </c>
      <c r="F125" s="95">
        <v>44022</v>
      </c>
      <c r="G125" s="94" t="s">
        <v>2175</v>
      </c>
      <c r="H125" s="94" t="s">
        <v>631</v>
      </c>
      <c r="I125" s="94" t="s">
        <v>2183</v>
      </c>
      <c r="J125" s="94" t="s">
        <v>733</v>
      </c>
      <c r="K125" s="97">
        <v>2.5</v>
      </c>
    </row>
    <row r="126" spans="1:11" ht="14.6" x14ac:dyDescent="0.4">
      <c r="A126" s="94"/>
      <c r="B126" s="94"/>
      <c r="C126" s="94"/>
      <c r="D126" s="94"/>
      <c r="E126" s="94" t="s">
        <v>544</v>
      </c>
      <c r="F126" s="95">
        <v>44022</v>
      </c>
      <c r="G126" s="94" t="s">
        <v>2175</v>
      </c>
      <c r="H126" s="94" t="s">
        <v>631</v>
      </c>
      <c r="I126" s="94" t="s">
        <v>2184</v>
      </c>
      <c r="J126" s="94" t="s">
        <v>733</v>
      </c>
      <c r="K126" s="97">
        <v>0.63</v>
      </c>
    </row>
    <row r="127" spans="1:11" ht="14.6" x14ac:dyDescent="0.4">
      <c r="A127" s="94"/>
      <c r="B127" s="94"/>
      <c r="C127" s="94"/>
      <c r="D127" s="94"/>
      <c r="E127" s="94" t="s">
        <v>544</v>
      </c>
      <c r="F127" s="95">
        <v>44022</v>
      </c>
      <c r="G127" s="94" t="s">
        <v>2175</v>
      </c>
      <c r="H127" s="94" t="s">
        <v>631</v>
      </c>
      <c r="I127" s="94" t="s">
        <v>2185</v>
      </c>
      <c r="J127" s="94" t="s">
        <v>733</v>
      </c>
      <c r="K127" s="97">
        <v>0.99</v>
      </c>
    </row>
    <row r="128" spans="1:11" ht="14.6" x14ac:dyDescent="0.4">
      <c r="A128" s="94"/>
      <c r="B128" s="94"/>
      <c r="C128" s="94"/>
      <c r="D128" s="94"/>
      <c r="E128" s="94" t="s">
        <v>544</v>
      </c>
      <c r="F128" s="95">
        <v>44022</v>
      </c>
      <c r="G128" s="94" t="s">
        <v>2175</v>
      </c>
      <c r="H128" s="94" t="s">
        <v>631</v>
      </c>
      <c r="I128" s="94" t="s">
        <v>2186</v>
      </c>
      <c r="J128" s="94" t="s">
        <v>733</v>
      </c>
      <c r="K128" s="97">
        <v>0.68</v>
      </c>
    </row>
    <row r="129" spans="1:11" ht="14.6" x14ac:dyDescent="0.4">
      <c r="A129" s="94"/>
      <c r="B129" s="94"/>
      <c r="C129" s="94"/>
      <c r="D129" s="94"/>
      <c r="E129" s="94" t="s">
        <v>544</v>
      </c>
      <c r="F129" s="95">
        <v>44022</v>
      </c>
      <c r="G129" s="94" t="s">
        <v>2175</v>
      </c>
      <c r="H129" s="94" t="s">
        <v>631</v>
      </c>
      <c r="I129" s="94" t="s">
        <v>2187</v>
      </c>
      <c r="J129" s="94" t="s">
        <v>733</v>
      </c>
      <c r="K129" s="97">
        <v>0.15</v>
      </c>
    </row>
    <row r="130" spans="1:11" ht="14.6" x14ac:dyDescent="0.4">
      <c r="A130" s="94"/>
      <c r="B130" s="94"/>
      <c r="C130" s="94"/>
      <c r="D130" s="94"/>
      <c r="E130" s="94" t="s">
        <v>544</v>
      </c>
      <c r="F130" s="95">
        <v>44022</v>
      </c>
      <c r="G130" s="94" t="s">
        <v>2175</v>
      </c>
      <c r="H130" s="94" t="s">
        <v>631</v>
      </c>
      <c r="I130" s="94" t="s">
        <v>2188</v>
      </c>
      <c r="J130" s="94" t="s">
        <v>733</v>
      </c>
      <c r="K130" s="97">
        <v>0.15</v>
      </c>
    </row>
    <row r="131" spans="1:11" ht="14.6" x14ac:dyDescent="0.4">
      <c r="A131" s="94"/>
      <c r="B131" s="94"/>
      <c r="C131" s="94"/>
      <c r="D131" s="94"/>
      <c r="E131" s="94" t="s">
        <v>544</v>
      </c>
      <c r="F131" s="95">
        <v>44022</v>
      </c>
      <c r="G131" s="94" t="s">
        <v>2175</v>
      </c>
      <c r="H131" s="94" t="s">
        <v>631</v>
      </c>
      <c r="I131" s="94" t="s">
        <v>2189</v>
      </c>
      <c r="J131" s="94" t="s">
        <v>733</v>
      </c>
      <c r="K131" s="97">
        <v>0.15</v>
      </c>
    </row>
    <row r="132" spans="1:11" ht="14.6" x14ac:dyDescent="0.4">
      <c r="A132" s="94"/>
      <c r="B132" s="94"/>
      <c r="C132" s="94"/>
      <c r="D132" s="94"/>
      <c r="E132" s="94" t="s">
        <v>544</v>
      </c>
      <c r="F132" s="95">
        <v>44022</v>
      </c>
      <c r="G132" s="94" t="s">
        <v>2175</v>
      </c>
      <c r="H132" s="94" t="s">
        <v>631</v>
      </c>
      <c r="I132" s="94" t="s">
        <v>2190</v>
      </c>
      <c r="J132" s="94" t="s">
        <v>733</v>
      </c>
      <c r="K132" s="97">
        <v>0</v>
      </c>
    </row>
    <row r="133" spans="1:11" ht="14.6" x14ac:dyDescent="0.4">
      <c r="A133" s="94"/>
      <c r="B133" s="94"/>
      <c r="C133" s="94"/>
      <c r="D133" s="94"/>
      <c r="E133" s="94" t="s">
        <v>544</v>
      </c>
      <c r="F133" s="95">
        <v>44022</v>
      </c>
      <c r="G133" s="94" t="s">
        <v>2175</v>
      </c>
      <c r="H133" s="94" t="s">
        <v>631</v>
      </c>
      <c r="I133" s="94" t="s">
        <v>2191</v>
      </c>
      <c r="J133" s="94" t="s">
        <v>733</v>
      </c>
      <c r="K133" s="97">
        <v>0</v>
      </c>
    </row>
    <row r="134" spans="1:11" ht="14.6" x14ac:dyDescent="0.4">
      <c r="A134" s="94"/>
      <c r="B134" s="94"/>
      <c r="C134" s="94"/>
      <c r="D134" s="94"/>
      <c r="E134" s="94" t="s">
        <v>544</v>
      </c>
      <c r="F134" s="95">
        <v>44022</v>
      </c>
      <c r="G134" s="94" t="s">
        <v>2175</v>
      </c>
      <c r="H134" s="94" t="s">
        <v>631</v>
      </c>
      <c r="I134" s="94" t="s">
        <v>2192</v>
      </c>
      <c r="J134" s="94" t="s">
        <v>733</v>
      </c>
      <c r="K134" s="97">
        <v>0.6</v>
      </c>
    </row>
    <row r="135" spans="1:11" ht="14.6" x14ac:dyDescent="0.4">
      <c r="A135" s="94"/>
      <c r="B135" s="94"/>
      <c r="C135" s="94"/>
      <c r="D135" s="94"/>
      <c r="E135" s="94" t="s">
        <v>544</v>
      </c>
      <c r="F135" s="95">
        <v>44022</v>
      </c>
      <c r="G135" s="94" t="s">
        <v>2175</v>
      </c>
      <c r="H135" s="94" t="s">
        <v>631</v>
      </c>
      <c r="I135" s="94" t="s">
        <v>2193</v>
      </c>
      <c r="J135" s="94" t="s">
        <v>733</v>
      </c>
      <c r="K135" s="97">
        <v>0.53</v>
      </c>
    </row>
    <row r="136" spans="1:11" ht="14.6" x14ac:dyDescent="0.4">
      <c r="A136" s="94"/>
      <c r="B136" s="94"/>
      <c r="C136" s="94"/>
      <c r="D136" s="94"/>
      <c r="E136" s="94" t="s">
        <v>544</v>
      </c>
      <c r="F136" s="95">
        <v>44022</v>
      </c>
      <c r="G136" s="94" t="s">
        <v>2175</v>
      </c>
      <c r="H136" s="94" t="s">
        <v>631</v>
      </c>
      <c r="I136" s="94" t="s">
        <v>2564</v>
      </c>
      <c r="J136" s="94" t="s">
        <v>733</v>
      </c>
      <c r="K136" s="97">
        <v>0.68</v>
      </c>
    </row>
    <row r="137" spans="1:11" ht="14.6" x14ac:dyDescent="0.4">
      <c r="A137" s="94"/>
      <c r="B137" s="94"/>
      <c r="C137" s="94"/>
      <c r="D137" s="94"/>
      <c r="E137" s="94" t="s">
        <v>544</v>
      </c>
      <c r="F137" s="95">
        <v>44022</v>
      </c>
      <c r="G137" s="94" t="s">
        <v>2175</v>
      </c>
      <c r="H137" s="94" t="s">
        <v>631</v>
      </c>
      <c r="I137" s="94" t="s">
        <v>2194</v>
      </c>
      <c r="J137" s="94" t="s">
        <v>733</v>
      </c>
      <c r="K137" s="97">
        <v>0.6</v>
      </c>
    </row>
    <row r="138" spans="1:11" ht="14.6" x14ac:dyDescent="0.4">
      <c r="A138" s="94"/>
      <c r="B138" s="94"/>
      <c r="C138" s="94"/>
      <c r="D138" s="94"/>
      <c r="E138" s="94" t="s">
        <v>544</v>
      </c>
      <c r="F138" s="95">
        <v>44022</v>
      </c>
      <c r="G138" s="94" t="s">
        <v>2176</v>
      </c>
      <c r="H138" s="94" t="s">
        <v>631</v>
      </c>
      <c r="I138" s="94" t="s">
        <v>2195</v>
      </c>
      <c r="J138" s="94" t="s">
        <v>733</v>
      </c>
      <c r="K138" s="97">
        <v>381.25</v>
      </c>
    </row>
    <row r="139" spans="1:11" ht="14.6" x14ac:dyDescent="0.4">
      <c r="A139" s="94"/>
      <c r="B139" s="94"/>
      <c r="C139" s="94"/>
      <c r="D139" s="94"/>
      <c r="E139" s="94" t="s">
        <v>544</v>
      </c>
      <c r="F139" s="95">
        <v>44022</v>
      </c>
      <c r="G139" s="94" t="s">
        <v>2176</v>
      </c>
      <c r="H139" s="94" t="s">
        <v>631</v>
      </c>
      <c r="I139" s="94" t="s">
        <v>2196</v>
      </c>
      <c r="J139" s="94" t="s">
        <v>733</v>
      </c>
      <c r="K139" s="97">
        <v>27.3</v>
      </c>
    </row>
    <row r="140" spans="1:11" ht="14.6" x14ac:dyDescent="0.4">
      <c r="A140" s="94"/>
      <c r="B140" s="94"/>
      <c r="C140" s="94"/>
      <c r="D140" s="94"/>
      <c r="E140" s="94" t="s">
        <v>544</v>
      </c>
      <c r="F140" s="95">
        <v>44022</v>
      </c>
      <c r="G140" s="94" t="s">
        <v>2176</v>
      </c>
      <c r="H140" s="94" t="s">
        <v>631</v>
      </c>
      <c r="I140" s="94" t="s">
        <v>2197</v>
      </c>
      <c r="J140" s="94" t="s">
        <v>733</v>
      </c>
      <c r="K140" s="97">
        <v>63.65</v>
      </c>
    </row>
    <row r="141" spans="1:11" ht="14.6" x14ac:dyDescent="0.4">
      <c r="A141" s="94"/>
      <c r="B141" s="94"/>
      <c r="C141" s="94"/>
      <c r="D141" s="94"/>
      <c r="E141" s="94" t="s">
        <v>544</v>
      </c>
      <c r="F141" s="95">
        <v>44022</v>
      </c>
      <c r="G141" s="94" t="s">
        <v>2176</v>
      </c>
      <c r="H141" s="94" t="s">
        <v>631</v>
      </c>
      <c r="I141" s="94" t="s">
        <v>2198</v>
      </c>
      <c r="J141" s="94" t="s">
        <v>733</v>
      </c>
      <c r="K141" s="97">
        <v>29.25</v>
      </c>
    </row>
    <row r="142" spans="1:11" ht="14.6" x14ac:dyDescent="0.4">
      <c r="A142" s="94"/>
      <c r="B142" s="94"/>
      <c r="C142" s="94"/>
      <c r="D142" s="94"/>
      <c r="E142" s="94" t="s">
        <v>544</v>
      </c>
      <c r="F142" s="95">
        <v>44022</v>
      </c>
      <c r="G142" s="94" t="s">
        <v>2176</v>
      </c>
      <c r="H142" s="94" t="s">
        <v>631</v>
      </c>
      <c r="I142" s="94" t="s">
        <v>2199</v>
      </c>
      <c r="J142" s="94" t="s">
        <v>733</v>
      </c>
      <c r="K142" s="97">
        <v>8.6199999999999992</v>
      </c>
    </row>
    <row r="143" spans="1:11" ht="14.6" x14ac:dyDescent="0.4">
      <c r="A143" s="94"/>
      <c r="B143" s="94"/>
      <c r="C143" s="94"/>
      <c r="D143" s="94"/>
      <c r="E143" s="94" t="s">
        <v>544</v>
      </c>
      <c r="F143" s="95">
        <v>44022</v>
      </c>
      <c r="G143" s="94" t="s">
        <v>2176</v>
      </c>
      <c r="H143" s="94" t="s">
        <v>631</v>
      </c>
      <c r="I143" s="94" t="s">
        <v>2200</v>
      </c>
      <c r="J143" s="94" t="s">
        <v>733</v>
      </c>
      <c r="K143" s="97">
        <v>8.6199999999999992</v>
      </c>
    </row>
    <row r="144" spans="1:11" ht="14.6" x14ac:dyDescent="0.4">
      <c r="A144" s="94"/>
      <c r="B144" s="94"/>
      <c r="C144" s="94"/>
      <c r="D144" s="94"/>
      <c r="E144" s="94" t="s">
        <v>544</v>
      </c>
      <c r="F144" s="95">
        <v>44022</v>
      </c>
      <c r="G144" s="94" t="s">
        <v>2176</v>
      </c>
      <c r="H144" s="94" t="s">
        <v>631</v>
      </c>
      <c r="I144" s="94" t="s">
        <v>2201</v>
      </c>
      <c r="J144" s="94" t="s">
        <v>733</v>
      </c>
      <c r="K144" s="97">
        <v>8.6199999999999992</v>
      </c>
    </row>
    <row r="145" spans="1:11" ht="14.6" x14ac:dyDescent="0.4">
      <c r="A145" s="94"/>
      <c r="B145" s="94"/>
      <c r="C145" s="94"/>
      <c r="D145" s="94"/>
      <c r="E145" s="94" t="s">
        <v>544</v>
      </c>
      <c r="F145" s="95">
        <v>44022</v>
      </c>
      <c r="G145" s="94" t="s">
        <v>2176</v>
      </c>
      <c r="H145" s="94" t="s">
        <v>631</v>
      </c>
      <c r="I145" s="94" t="s">
        <v>2202</v>
      </c>
      <c r="J145" s="94" t="s">
        <v>733</v>
      </c>
      <c r="K145" s="97">
        <v>12.75</v>
      </c>
    </row>
    <row r="146" spans="1:11" ht="14.6" x14ac:dyDescent="0.4">
      <c r="A146" s="94"/>
      <c r="B146" s="94"/>
      <c r="C146" s="94"/>
      <c r="D146" s="94"/>
      <c r="E146" s="94" t="s">
        <v>544</v>
      </c>
      <c r="F146" s="95">
        <v>44022</v>
      </c>
      <c r="G146" s="94" t="s">
        <v>2176</v>
      </c>
      <c r="H146" s="94" t="s">
        <v>631</v>
      </c>
      <c r="I146" s="94" t="s">
        <v>2203</v>
      </c>
      <c r="J146" s="94" t="s">
        <v>733</v>
      </c>
      <c r="K146" s="97">
        <v>49.25</v>
      </c>
    </row>
    <row r="147" spans="1:11" ht="14.6" x14ac:dyDescent="0.4">
      <c r="A147" s="94"/>
      <c r="B147" s="94"/>
      <c r="C147" s="94"/>
      <c r="D147" s="94"/>
      <c r="E147" s="94" t="s">
        <v>544</v>
      </c>
      <c r="F147" s="95">
        <v>44022</v>
      </c>
      <c r="G147" s="94" t="s">
        <v>2176</v>
      </c>
      <c r="H147" s="94" t="s">
        <v>631</v>
      </c>
      <c r="I147" s="94" t="s">
        <v>2204</v>
      </c>
      <c r="J147" s="94" t="s">
        <v>733</v>
      </c>
      <c r="K147" s="97">
        <v>34.479999999999997</v>
      </c>
    </row>
    <row r="148" spans="1:11" ht="14.6" x14ac:dyDescent="0.4">
      <c r="A148" s="94"/>
      <c r="B148" s="94"/>
      <c r="C148" s="94"/>
      <c r="D148" s="94"/>
      <c r="E148" s="94" t="s">
        <v>544</v>
      </c>
      <c r="F148" s="95">
        <v>44022</v>
      </c>
      <c r="G148" s="94" t="s">
        <v>2176</v>
      </c>
      <c r="H148" s="94" t="s">
        <v>631</v>
      </c>
      <c r="I148" s="94" t="s">
        <v>2205</v>
      </c>
      <c r="J148" s="94" t="s">
        <v>733</v>
      </c>
      <c r="K148" s="97">
        <v>30.17</v>
      </c>
    </row>
    <row r="149" spans="1:11" ht="14.6" x14ac:dyDescent="0.4">
      <c r="A149" s="94"/>
      <c r="B149" s="94"/>
      <c r="C149" s="94"/>
      <c r="D149" s="94"/>
      <c r="E149" s="94" t="s">
        <v>544</v>
      </c>
      <c r="F149" s="95">
        <v>44022</v>
      </c>
      <c r="G149" s="94" t="s">
        <v>2176</v>
      </c>
      <c r="H149" s="94" t="s">
        <v>631</v>
      </c>
      <c r="I149" s="94" t="s">
        <v>2565</v>
      </c>
      <c r="J149" s="94" t="s">
        <v>733</v>
      </c>
      <c r="K149" s="97">
        <v>38.79</v>
      </c>
    </row>
    <row r="150" spans="1:11" ht="14.6" x14ac:dyDescent="0.4">
      <c r="A150" s="94"/>
      <c r="B150" s="94"/>
      <c r="C150" s="94"/>
      <c r="D150" s="94"/>
      <c r="E150" s="94" t="s">
        <v>544</v>
      </c>
      <c r="F150" s="95">
        <v>44040</v>
      </c>
      <c r="G150" s="94" t="s">
        <v>2182</v>
      </c>
      <c r="H150" s="94" t="s">
        <v>651</v>
      </c>
      <c r="I150" s="94" t="s">
        <v>2206</v>
      </c>
      <c r="J150" s="94" t="s">
        <v>733</v>
      </c>
      <c r="K150" s="97">
        <v>0.6</v>
      </c>
    </row>
    <row r="151" spans="1:11" ht="14.6" x14ac:dyDescent="0.4">
      <c r="A151" s="94"/>
      <c r="B151" s="94"/>
      <c r="C151" s="94"/>
      <c r="D151" s="94"/>
      <c r="E151" s="94" t="s">
        <v>544</v>
      </c>
      <c r="F151" s="95">
        <v>44040</v>
      </c>
      <c r="G151" s="94" t="s">
        <v>2182</v>
      </c>
      <c r="H151" s="94" t="s">
        <v>651</v>
      </c>
      <c r="I151" s="94" t="s">
        <v>1577</v>
      </c>
      <c r="J151" s="94" t="s">
        <v>733</v>
      </c>
      <c r="K151" s="97">
        <v>1.4</v>
      </c>
    </row>
    <row r="152" spans="1:11" ht="14.6" x14ac:dyDescent="0.4">
      <c r="A152" s="94"/>
      <c r="B152" s="94"/>
      <c r="C152" s="94"/>
      <c r="D152" s="94"/>
      <c r="E152" s="94" t="s">
        <v>544</v>
      </c>
      <c r="F152" s="95">
        <v>44040</v>
      </c>
      <c r="G152" s="94" t="s">
        <v>2182</v>
      </c>
      <c r="H152" s="94" t="s">
        <v>651</v>
      </c>
      <c r="I152" s="94" t="s">
        <v>1578</v>
      </c>
      <c r="J152" s="94" t="s">
        <v>733</v>
      </c>
      <c r="K152" s="97">
        <v>100</v>
      </c>
    </row>
    <row r="153" spans="1:11" ht="14.6" x14ac:dyDescent="0.4">
      <c r="A153" s="94"/>
      <c r="B153" s="94"/>
      <c r="C153" s="94"/>
      <c r="D153" s="94"/>
      <c r="E153" s="94" t="s">
        <v>544</v>
      </c>
      <c r="F153" s="95">
        <v>44043</v>
      </c>
      <c r="G153" s="94" t="s">
        <v>2282</v>
      </c>
      <c r="H153" s="94" t="s">
        <v>631</v>
      </c>
      <c r="I153" s="94" t="s">
        <v>2298</v>
      </c>
      <c r="J153" s="94" t="s">
        <v>733</v>
      </c>
      <c r="K153" s="97">
        <v>55.49</v>
      </c>
    </row>
    <row r="154" spans="1:11" ht="14.6" x14ac:dyDescent="0.4">
      <c r="A154" s="94"/>
      <c r="B154" s="94"/>
      <c r="C154" s="94"/>
      <c r="D154" s="94"/>
      <c r="E154" s="94" t="s">
        <v>544</v>
      </c>
      <c r="F154" s="95">
        <v>44043</v>
      </c>
      <c r="G154" s="94" t="s">
        <v>2282</v>
      </c>
      <c r="H154" s="94" t="s">
        <v>631</v>
      </c>
      <c r="I154" s="94" t="s">
        <v>2299</v>
      </c>
      <c r="J154" s="94" t="s">
        <v>733</v>
      </c>
      <c r="K154" s="97">
        <v>2.9</v>
      </c>
    </row>
    <row r="155" spans="1:11" ht="14.6" x14ac:dyDescent="0.4">
      <c r="A155" s="94"/>
      <c r="B155" s="94"/>
      <c r="C155" s="94"/>
      <c r="D155" s="94"/>
      <c r="E155" s="94" t="s">
        <v>544</v>
      </c>
      <c r="F155" s="95">
        <v>44043</v>
      </c>
      <c r="G155" s="94" t="s">
        <v>2282</v>
      </c>
      <c r="H155" s="94" t="s">
        <v>631</v>
      </c>
      <c r="I155" s="94" t="s">
        <v>2300</v>
      </c>
      <c r="J155" s="94" t="s">
        <v>733</v>
      </c>
      <c r="K155" s="97">
        <v>8.7899999999999991</v>
      </c>
    </row>
    <row r="156" spans="1:11" ht="14.6" x14ac:dyDescent="0.4">
      <c r="A156" s="94"/>
      <c r="B156" s="94"/>
      <c r="C156" s="94"/>
      <c r="D156" s="94"/>
      <c r="E156" s="94" t="s">
        <v>544</v>
      </c>
      <c r="F156" s="95">
        <v>44043</v>
      </c>
      <c r="G156" s="94" t="s">
        <v>2282</v>
      </c>
      <c r="H156" s="94" t="s">
        <v>631</v>
      </c>
      <c r="I156" s="94" t="s">
        <v>2301</v>
      </c>
      <c r="J156" s="94" t="s">
        <v>733</v>
      </c>
      <c r="K156" s="97">
        <v>4.7699999999999996</v>
      </c>
    </row>
    <row r="157" spans="1:11" ht="14.6" x14ac:dyDescent="0.4">
      <c r="A157" s="94"/>
      <c r="B157" s="94"/>
      <c r="C157" s="94"/>
      <c r="D157" s="94"/>
      <c r="E157" s="94" t="s">
        <v>544</v>
      </c>
      <c r="F157" s="95">
        <v>44043</v>
      </c>
      <c r="G157" s="94" t="s">
        <v>2282</v>
      </c>
      <c r="H157" s="94" t="s">
        <v>631</v>
      </c>
      <c r="I157" s="94" t="s">
        <v>2302</v>
      </c>
      <c r="J157" s="94" t="s">
        <v>733</v>
      </c>
      <c r="K157" s="97">
        <v>1.06</v>
      </c>
    </row>
    <row r="158" spans="1:11" ht="14.6" x14ac:dyDescent="0.4">
      <c r="A158" s="94"/>
      <c r="B158" s="94"/>
      <c r="C158" s="94"/>
      <c r="D158" s="94"/>
      <c r="E158" s="94" t="s">
        <v>544</v>
      </c>
      <c r="F158" s="95">
        <v>44043</v>
      </c>
      <c r="G158" s="94" t="s">
        <v>2282</v>
      </c>
      <c r="H158" s="94" t="s">
        <v>631</v>
      </c>
      <c r="I158" s="94" t="s">
        <v>2303</v>
      </c>
      <c r="J158" s="94" t="s">
        <v>733</v>
      </c>
      <c r="K158" s="97">
        <v>1.06</v>
      </c>
    </row>
    <row r="159" spans="1:11" ht="14.6" x14ac:dyDescent="0.4">
      <c r="A159" s="94"/>
      <c r="B159" s="94"/>
      <c r="C159" s="94"/>
      <c r="D159" s="94"/>
      <c r="E159" s="94" t="s">
        <v>544</v>
      </c>
      <c r="F159" s="95">
        <v>44043</v>
      </c>
      <c r="G159" s="94" t="s">
        <v>2282</v>
      </c>
      <c r="H159" s="94" t="s">
        <v>631</v>
      </c>
      <c r="I159" s="94" t="s">
        <v>2304</v>
      </c>
      <c r="J159" s="94" t="s">
        <v>733</v>
      </c>
      <c r="K159" s="97">
        <v>1.06</v>
      </c>
    </row>
    <row r="160" spans="1:11" ht="14.6" x14ac:dyDescent="0.4">
      <c r="A160" s="94"/>
      <c r="B160" s="94"/>
      <c r="C160" s="94"/>
      <c r="D160" s="94"/>
      <c r="E160" s="94" t="s">
        <v>544</v>
      </c>
      <c r="F160" s="95">
        <v>44043</v>
      </c>
      <c r="G160" s="94" t="s">
        <v>2282</v>
      </c>
      <c r="H160" s="94" t="s">
        <v>631</v>
      </c>
      <c r="I160" s="94" t="s">
        <v>2305</v>
      </c>
      <c r="J160" s="94" t="s">
        <v>733</v>
      </c>
      <c r="K160" s="97">
        <v>1.7</v>
      </c>
    </row>
    <row r="161" spans="1:11" ht="14.6" x14ac:dyDescent="0.4">
      <c r="A161" s="94"/>
      <c r="B161" s="94"/>
      <c r="C161" s="94"/>
      <c r="D161" s="94"/>
      <c r="E161" s="94" t="s">
        <v>544</v>
      </c>
      <c r="F161" s="95">
        <v>44043</v>
      </c>
      <c r="G161" s="94" t="s">
        <v>2282</v>
      </c>
      <c r="H161" s="94" t="s">
        <v>631</v>
      </c>
      <c r="I161" s="94" t="s">
        <v>2306</v>
      </c>
      <c r="J161" s="94" t="s">
        <v>733</v>
      </c>
      <c r="K161" s="97">
        <v>8.75</v>
      </c>
    </row>
    <row r="162" spans="1:11" ht="14.6" x14ac:dyDescent="0.4">
      <c r="A162" s="94"/>
      <c r="B162" s="94"/>
      <c r="C162" s="94"/>
      <c r="D162" s="94"/>
      <c r="E162" s="94" t="s">
        <v>544</v>
      </c>
      <c r="F162" s="95">
        <v>44043</v>
      </c>
      <c r="G162" s="94" t="s">
        <v>2282</v>
      </c>
      <c r="H162" s="94" t="s">
        <v>631</v>
      </c>
      <c r="I162" s="94" t="s">
        <v>2307</v>
      </c>
      <c r="J162" s="94" t="s">
        <v>733</v>
      </c>
      <c r="K162" s="97">
        <v>4.24</v>
      </c>
    </row>
    <row r="163" spans="1:11" ht="14.6" x14ac:dyDescent="0.4">
      <c r="A163" s="94"/>
      <c r="B163" s="94"/>
      <c r="C163" s="94"/>
      <c r="D163" s="94"/>
      <c r="E163" s="94" t="s">
        <v>544</v>
      </c>
      <c r="F163" s="95">
        <v>44043</v>
      </c>
      <c r="G163" s="94" t="s">
        <v>2282</v>
      </c>
      <c r="H163" s="94" t="s">
        <v>631</v>
      </c>
      <c r="I163" s="94" t="s">
        <v>2308</v>
      </c>
      <c r="J163" s="94" t="s">
        <v>733</v>
      </c>
      <c r="K163" s="97">
        <v>3.71</v>
      </c>
    </row>
    <row r="164" spans="1:11" ht="14.6" x14ac:dyDescent="0.4">
      <c r="A164" s="94"/>
      <c r="B164" s="94"/>
      <c r="C164" s="94"/>
      <c r="D164" s="94"/>
      <c r="E164" s="94" t="s">
        <v>544</v>
      </c>
      <c r="F164" s="95">
        <v>44043</v>
      </c>
      <c r="G164" s="94" t="s">
        <v>2282</v>
      </c>
      <c r="H164" s="94" t="s">
        <v>631</v>
      </c>
      <c r="I164" s="94" t="s">
        <v>2566</v>
      </c>
      <c r="J164" s="94" t="s">
        <v>733</v>
      </c>
      <c r="K164" s="97">
        <v>4.7699999999999996</v>
      </c>
    </row>
    <row r="165" spans="1:11" ht="14.6" x14ac:dyDescent="0.4">
      <c r="A165" s="94"/>
      <c r="B165" s="94"/>
      <c r="C165" s="94"/>
      <c r="D165" s="94"/>
      <c r="E165" s="94" t="s">
        <v>544</v>
      </c>
      <c r="F165" s="95">
        <v>44043</v>
      </c>
      <c r="G165" s="94" t="s">
        <v>2282</v>
      </c>
      <c r="H165" s="94" t="s">
        <v>631</v>
      </c>
      <c r="I165" s="94" t="s">
        <v>2290</v>
      </c>
      <c r="J165" s="94" t="s">
        <v>733</v>
      </c>
      <c r="K165" s="97">
        <v>2.76</v>
      </c>
    </row>
    <row r="166" spans="1:11" ht="14.6" x14ac:dyDescent="0.4">
      <c r="A166" s="94"/>
      <c r="B166" s="94"/>
      <c r="C166" s="94"/>
      <c r="D166" s="94"/>
      <c r="E166" s="94" t="s">
        <v>544</v>
      </c>
      <c r="F166" s="95">
        <v>44043</v>
      </c>
      <c r="G166" s="94" t="s">
        <v>2283</v>
      </c>
      <c r="H166" s="94" t="s">
        <v>631</v>
      </c>
      <c r="I166" s="94" t="s">
        <v>2309</v>
      </c>
      <c r="J166" s="94" t="s">
        <v>733</v>
      </c>
      <c r="K166" s="97">
        <v>12.1</v>
      </c>
    </row>
    <row r="167" spans="1:11" ht="14.6" x14ac:dyDescent="0.4">
      <c r="A167" s="94"/>
      <c r="B167" s="94"/>
      <c r="C167" s="94"/>
      <c r="D167" s="94"/>
      <c r="E167" s="94" t="s">
        <v>544</v>
      </c>
      <c r="F167" s="95">
        <v>44043</v>
      </c>
      <c r="G167" s="94" t="s">
        <v>2283</v>
      </c>
      <c r="H167" s="94" t="s">
        <v>631</v>
      </c>
      <c r="I167" s="94" t="s">
        <v>2310</v>
      </c>
      <c r="J167" s="94" t="s">
        <v>733</v>
      </c>
      <c r="K167" s="97">
        <v>3.95</v>
      </c>
    </row>
    <row r="168" spans="1:11" ht="14.6" x14ac:dyDescent="0.4">
      <c r="A168" s="94"/>
      <c r="B168" s="94"/>
      <c r="C168" s="94"/>
      <c r="D168" s="94"/>
      <c r="E168" s="94" t="s">
        <v>544</v>
      </c>
      <c r="F168" s="95">
        <v>44043</v>
      </c>
      <c r="G168" s="94" t="s">
        <v>2283</v>
      </c>
      <c r="H168" s="94" t="s">
        <v>631</v>
      </c>
      <c r="I168" s="94" t="s">
        <v>2311</v>
      </c>
      <c r="J168" s="94" t="s">
        <v>733</v>
      </c>
      <c r="K168" s="97">
        <v>4.8899999999999997</v>
      </c>
    </row>
    <row r="169" spans="1:11" ht="14.6" x14ac:dyDescent="0.4">
      <c r="A169" s="94"/>
      <c r="B169" s="94"/>
      <c r="C169" s="94"/>
      <c r="D169" s="94"/>
      <c r="E169" s="94" t="s">
        <v>544</v>
      </c>
      <c r="F169" s="95">
        <v>44043</v>
      </c>
      <c r="G169" s="94" t="s">
        <v>2283</v>
      </c>
      <c r="H169" s="94" t="s">
        <v>631</v>
      </c>
      <c r="I169" s="94" t="s">
        <v>2312</v>
      </c>
      <c r="J169" s="94" t="s">
        <v>733</v>
      </c>
      <c r="K169" s="97">
        <v>4.2300000000000004</v>
      </c>
    </row>
    <row r="170" spans="1:11" ht="14.6" x14ac:dyDescent="0.4">
      <c r="A170" s="94"/>
      <c r="B170" s="94"/>
      <c r="C170" s="94"/>
      <c r="D170" s="94"/>
      <c r="E170" s="94" t="s">
        <v>544</v>
      </c>
      <c r="F170" s="95">
        <v>44043</v>
      </c>
      <c r="G170" s="94" t="s">
        <v>2283</v>
      </c>
      <c r="H170" s="94" t="s">
        <v>631</v>
      </c>
      <c r="I170" s="94" t="s">
        <v>2313</v>
      </c>
      <c r="J170" s="94" t="s">
        <v>733</v>
      </c>
      <c r="K170" s="97">
        <v>0.94</v>
      </c>
    </row>
    <row r="171" spans="1:11" ht="14.6" x14ac:dyDescent="0.4">
      <c r="A171" s="94"/>
      <c r="B171" s="94"/>
      <c r="C171" s="94"/>
      <c r="D171" s="94"/>
      <c r="E171" s="94" t="s">
        <v>544</v>
      </c>
      <c r="F171" s="95">
        <v>44043</v>
      </c>
      <c r="G171" s="94" t="s">
        <v>2283</v>
      </c>
      <c r="H171" s="94" t="s">
        <v>631</v>
      </c>
      <c r="I171" s="94" t="s">
        <v>2314</v>
      </c>
      <c r="J171" s="94" t="s">
        <v>733</v>
      </c>
      <c r="K171" s="97">
        <v>0.94</v>
      </c>
    </row>
    <row r="172" spans="1:11" ht="14.6" x14ac:dyDescent="0.4">
      <c r="A172" s="94"/>
      <c r="B172" s="94"/>
      <c r="C172" s="94"/>
      <c r="D172" s="94"/>
      <c r="E172" s="94" t="s">
        <v>544</v>
      </c>
      <c r="F172" s="95">
        <v>44043</v>
      </c>
      <c r="G172" s="94" t="s">
        <v>2283</v>
      </c>
      <c r="H172" s="94" t="s">
        <v>631</v>
      </c>
      <c r="I172" s="94" t="s">
        <v>2315</v>
      </c>
      <c r="J172" s="94" t="s">
        <v>733</v>
      </c>
      <c r="K172" s="97">
        <v>0.94</v>
      </c>
    </row>
    <row r="173" spans="1:11" ht="14.6" x14ac:dyDescent="0.4">
      <c r="A173" s="94"/>
      <c r="B173" s="94"/>
      <c r="C173" s="94"/>
      <c r="D173" s="94"/>
      <c r="E173" s="94" t="s">
        <v>544</v>
      </c>
      <c r="F173" s="95">
        <v>44043</v>
      </c>
      <c r="G173" s="94" t="s">
        <v>2283</v>
      </c>
      <c r="H173" s="94" t="s">
        <v>631</v>
      </c>
      <c r="I173" s="94" t="s">
        <v>2316</v>
      </c>
      <c r="J173" s="94" t="s">
        <v>733</v>
      </c>
      <c r="K173" s="97">
        <v>3.76</v>
      </c>
    </row>
    <row r="174" spans="1:11" ht="14.6" x14ac:dyDescent="0.4">
      <c r="A174" s="94"/>
      <c r="B174" s="94"/>
      <c r="C174" s="94"/>
      <c r="D174" s="94"/>
      <c r="E174" s="94" t="s">
        <v>544</v>
      </c>
      <c r="F174" s="95">
        <v>44043</v>
      </c>
      <c r="G174" s="94" t="s">
        <v>2283</v>
      </c>
      <c r="H174" s="94" t="s">
        <v>631</v>
      </c>
      <c r="I174" s="94" t="s">
        <v>2317</v>
      </c>
      <c r="J174" s="94" t="s">
        <v>733</v>
      </c>
      <c r="K174" s="97">
        <v>3.29</v>
      </c>
    </row>
    <row r="175" spans="1:11" ht="14.6" x14ac:dyDescent="0.4">
      <c r="A175" s="94"/>
      <c r="B175" s="94"/>
      <c r="C175" s="94"/>
      <c r="D175" s="94"/>
      <c r="E175" s="94" t="s">
        <v>544</v>
      </c>
      <c r="F175" s="95">
        <v>44043</v>
      </c>
      <c r="G175" s="94" t="s">
        <v>2283</v>
      </c>
      <c r="H175" s="94" t="s">
        <v>631</v>
      </c>
      <c r="I175" s="94" t="s">
        <v>2567</v>
      </c>
      <c r="J175" s="94" t="s">
        <v>733</v>
      </c>
      <c r="K175" s="97">
        <v>4.2300000000000004</v>
      </c>
    </row>
    <row r="176" spans="1:11" ht="14.6" x14ac:dyDescent="0.4">
      <c r="A176" s="94"/>
      <c r="B176" s="94"/>
      <c r="C176" s="94"/>
      <c r="D176" s="94"/>
      <c r="E176" s="94" t="s">
        <v>544</v>
      </c>
      <c r="F176" s="95">
        <v>44043</v>
      </c>
      <c r="G176" s="94" t="s">
        <v>2283</v>
      </c>
      <c r="H176" s="94" t="s">
        <v>631</v>
      </c>
      <c r="I176" s="94" t="s">
        <v>2292</v>
      </c>
      <c r="J176" s="94" t="s">
        <v>733</v>
      </c>
      <c r="K176" s="97">
        <v>3.76</v>
      </c>
    </row>
    <row r="177" spans="1:11" ht="14.6" x14ac:dyDescent="0.4">
      <c r="A177" s="94"/>
      <c r="B177" s="94"/>
      <c r="C177" s="94"/>
      <c r="D177" s="94"/>
      <c r="E177" s="94" t="s">
        <v>544</v>
      </c>
      <c r="F177" s="95">
        <v>44060</v>
      </c>
      <c r="G177" s="94" t="s">
        <v>2295</v>
      </c>
      <c r="H177" s="94" t="s">
        <v>651</v>
      </c>
      <c r="I177" s="94" t="s">
        <v>2531</v>
      </c>
      <c r="J177" s="94" t="s">
        <v>733</v>
      </c>
      <c r="K177" s="97">
        <v>10787.59</v>
      </c>
    </row>
    <row r="178" spans="1:11" ht="14.6" x14ac:dyDescent="0.4">
      <c r="A178" s="94"/>
      <c r="B178" s="94"/>
      <c r="C178" s="94"/>
      <c r="D178" s="94"/>
      <c r="E178" s="94" t="s">
        <v>544</v>
      </c>
      <c r="F178" s="95">
        <v>44060</v>
      </c>
      <c r="G178" s="94" t="s">
        <v>2295</v>
      </c>
      <c r="H178" s="94" t="s">
        <v>651</v>
      </c>
      <c r="I178" s="94" t="s">
        <v>2530</v>
      </c>
      <c r="J178" s="94" t="s">
        <v>733</v>
      </c>
      <c r="K178" s="97">
        <v>34.770000000000003</v>
      </c>
    </row>
    <row r="179" spans="1:11" ht="14.6" x14ac:dyDescent="0.4">
      <c r="A179" s="94"/>
      <c r="B179" s="94"/>
      <c r="C179" s="94"/>
      <c r="D179" s="94"/>
      <c r="E179" s="94" t="s">
        <v>544</v>
      </c>
      <c r="F179" s="95">
        <v>44064</v>
      </c>
      <c r="G179" s="94" t="s">
        <v>2286</v>
      </c>
      <c r="H179" s="94" t="s">
        <v>631</v>
      </c>
      <c r="I179" s="94" t="s">
        <v>2318</v>
      </c>
      <c r="J179" s="94" t="s">
        <v>733</v>
      </c>
      <c r="K179" s="97">
        <v>0.32</v>
      </c>
    </row>
    <row r="180" spans="1:11" ht="14.6" x14ac:dyDescent="0.4">
      <c r="A180" s="94"/>
      <c r="B180" s="94"/>
      <c r="C180" s="94"/>
      <c r="D180" s="94"/>
      <c r="E180" s="94" t="s">
        <v>544</v>
      </c>
      <c r="F180" s="95">
        <v>44064</v>
      </c>
      <c r="G180" s="94" t="s">
        <v>2286</v>
      </c>
      <c r="H180" s="94" t="s">
        <v>631</v>
      </c>
      <c r="I180" s="94" t="s">
        <v>2319</v>
      </c>
      <c r="J180" s="94" t="s">
        <v>733</v>
      </c>
      <c r="K180" s="97">
        <v>0.08</v>
      </c>
    </row>
    <row r="181" spans="1:11" ht="14.6" x14ac:dyDescent="0.4">
      <c r="A181" s="94"/>
      <c r="B181" s="94"/>
      <c r="C181" s="94"/>
      <c r="D181" s="94"/>
      <c r="E181" s="94" t="s">
        <v>544</v>
      </c>
      <c r="F181" s="95">
        <v>44064</v>
      </c>
      <c r="G181" s="94" t="s">
        <v>2286</v>
      </c>
      <c r="H181" s="94" t="s">
        <v>631</v>
      </c>
      <c r="I181" s="94" t="s">
        <v>2320</v>
      </c>
      <c r="J181" s="94" t="s">
        <v>733</v>
      </c>
      <c r="K181" s="97">
        <v>0.1</v>
      </c>
    </row>
    <row r="182" spans="1:11" ht="14.6" x14ac:dyDescent="0.4">
      <c r="A182" s="94"/>
      <c r="B182" s="94"/>
      <c r="C182" s="94"/>
      <c r="D182" s="94"/>
      <c r="E182" s="94" t="s">
        <v>544</v>
      </c>
      <c r="F182" s="95">
        <v>44064</v>
      </c>
      <c r="G182" s="94" t="s">
        <v>2286</v>
      </c>
      <c r="H182" s="94" t="s">
        <v>631</v>
      </c>
      <c r="I182" s="94" t="s">
        <v>2321</v>
      </c>
      <c r="J182" s="94" t="s">
        <v>733</v>
      </c>
      <c r="K182" s="97">
        <v>0.09</v>
      </c>
    </row>
    <row r="183" spans="1:11" ht="14.6" x14ac:dyDescent="0.4">
      <c r="A183" s="94"/>
      <c r="B183" s="94"/>
      <c r="C183" s="94"/>
      <c r="D183" s="94"/>
      <c r="E183" s="94" t="s">
        <v>544</v>
      </c>
      <c r="F183" s="95">
        <v>44064</v>
      </c>
      <c r="G183" s="94" t="s">
        <v>2286</v>
      </c>
      <c r="H183" s="94" t="s">
        <v>631</v>
      </c>
      <c r="I183" s="94" t="s">
        <v>2322</v>
      </c>
      <c r="J183" s="94" t="s">
        <v>733</v>
      </c>
      <c r="K183" s="97">
        <v>0.02</v>
      </c>
    </row>
    <row r="184" spans="1:11" ht="14.6" x14ac:dyDescent="0.4">
      <c r="A184" s="94"/>
      <c r="B184" s="94"/>
      <c r="C184" s="94"/>
      <c r="D184" s="94"/>
      <c r="E184" s="94" t="s">
        <v>544</v>
      </c>
      <c r="F184" s="95">
        <v>44064</v>
      </c>
      <c r="G184" s="94" t="s">
        <v>2286</v>
      </c>
      <c r="H184" s="94" t="s">
        <v>631</v>
      </c>
      <c r="I184" s="94" t="s">
        <v>2323</v>
      </c>
      <c r="J184" s="94" t="s">
        <v>733</v>
      </c>
      <c r="K184" s="97">
        <v>0.02</v>
      </c>
    </row>
    <row r="185" spans="1:11" ht="14.6" x14ac:dyDescent="0.4">
      <c r="A185" s="94"/>
      <c r="B185" s="94"/>
      <c r="C185" s="94"/>
      <c r="D185" s="94"/>
      <c r="E185" s="94" t="s">
        <v>544</v>
      </c>
      <c r="F185" s="95">
        <v>44064</v>
      </c>
      <c r="G185" s="94" t="s">
        <v>2286</v>
      </c>
      <c r="H185" s="94" t="s">
        <v>631</v>
      </c>
      <c r="I185" s="94" t="s">
        <v>2324</v>
      </c>
      <c r="J185" s="94" t="s">
        <v>733</v>
      </c>
      <c r="K185" s="97">
        <v>0.02</v>
      </c>
    </row>
    <row r="186" spans="1:11" ht="14.6" x14ac:dyDescent="0.4">
      <c r="A186" s="94"/>
      <c r="B186" s="94"/>
      <c r="C186" s="94"/>
      <c r="D186" s="94"/>
      <c r="E186" s="94" t="s">
        <v>544</v>
      </c>
      <c r="F186" s="95">
        <v>44064</v>
      </c>
      <c r="G186" s="94" t="s">
        <v>2286</v>
      </c>
      <c r="H186" s="94" t="s">
        <v>631</v>
      </c>
      <c r="I186" s="94" t="s">
        <v>2325</v>
      </c>
      <c r="J186" s="94" t="s">
        <v>733</v>
      </c>
      <c r="K186" s="97">
        <v>0.08</v>
      </c>
    </row>
    <row r="187" spans="1:11" ht="14.6" x14ac:dyDescent="0.4">
      <c r="A187" s="94"/>
      <c r="B187" s="94"/>
      <c r="C187" s="94"/>
      <c r="D187" s="94"/>
      <c r="E187" s="94" t="s">
        <v>544</v>
      </c>
      <c r="F187" s="95">
        <v>44064</v>
      </c>
      <c r="G187" s="94" t="s">
        <v>2286</v>
      </c>
      <c r="H187" s="94" t="s">
        <v>631</v>
      </c>
      <c r="I187" s="94" t="s">
        <v>2326</v>
      </c>
      <c r="J187" s="94" t="s">
        <v>733</v>
      </c>
      <c r="K187" s="97">
        <v>7.0000000000000007E-2</v>
      </c>
    </row>
    <row r="188" spans="1:11" ht="14.6" x14ac:dyDescent="0.4">
      <c r="A188" s="94"/>
      <c r="B188" s="94"/>
      <c r="C188" s="94"/>
      <c r="D188" s="94"/>
      <c r="E188" s="94" t="s">
        <v>544</v>
      </c>
      <c r="F188" s="95">
        <v>44064</v>
      </c>
      <c r="G188" s="94" t="s">
        <v>2286</v>
      </c>
      <c r="H188" s="94" t="s">
        <v>631</v>
      </c>
      <c r="I188" s="94" t="s">
        <v>2327</v>
      </c>
      <c r="J188" s="94" t="s">
        <v>733</v>
      </c>
      <c r="K188" s="97">
        <v>0.09</v>
      </c>
    </row>
    <row r="189" spans="1:11" ht="14.6" x14ac:dyDescent="0.4">
      <c r="A189" s="94"/>
      <c r="B189" s="94"/>
      <c r="C189" s="94"/>
      <c r="D189" s="94"/>
      <c r="E189" s="94" t="s">
        <v>544</v>
      </c>
      <c r="F189" s="95">
        <v>44064</v>
      </c>
      <c r="G189" s="94" t="s">
        <v>2286</v>
      </c>
      <c r="H189" s="94" t="s">
        <v>631</v>
      </c>
      <c r="I189" s="94" t="s">
        <v>2328</v>
      </c>
      <c r="J189" s="94" t="s">
        <v>733</v>
      </c>
      <c r="K189" s="97">
        <v>0.08</v>
      </c>
    </row>
    <row r="190" spans="1:11" ht="14.6" x14ac:dyDescent="0.4">
      <c r="A190" s="94"/>
      <c r="B190" s="94"/>
      <c r="C190" s="94"/>
      <c r="D190" s="94"/>
      <c r="E190" s="94" t="s">
        <v>544</v>
      </c>
      <c r="F190" s="95">
        <v>44064</v>
      </c>
      <c r="G190" s="94" t="s">
        <v>2287</v>
      </c>
      <c r="H190" s="94" t="s">
        <v>631</v>
      </c>
      <c r="I190" s="94" t="s">
        <v>2329</v>
      </c>
      <c r="J190" s="94" t="s">
        <v>733</v>
      </c>
      <c r="K190" s="97">
        <v>14.02</v>
      </c>
    </row>
    <row r="191" spans="1:11" ht="14.6" x14ac:dyDescent="0.4">
      <c r="A191" s="94"/>
      <c r="B191" s="94"/>
      <c r="C191" s="94"/>
      <c r="D191" s="94"/>
      <c r="E191" s="94" t="s">
        <v>544</v>
      </c>
      <c r="F191" s="95">
        <v>44064</v>
      </c>
      <c r="G191" s="94" t="s">
        <v>2287</v>
      </c>
      <c r="H191" s="94" t="s">
        <v>631</v>
      </c>
      <c r="I191" s="94" t="s">
        <v>2330</v>
      </c>
      <c r="J191" s="94" t="s">
        <v>733</v>
      </c>
      <c r="K191" s="97">
        <v>0.59</v>
      </c>
    </row>
    <row r="192" spans="1:11" ht="14.6" x14ac:dyDescent="0.4">
      <c r="A192" s="94"/>
      <c r="B192" s="94"/>
      <c r="C192" s="94"/>
      <c r="D192" s="94"/>
      <c r="E192" s="94" t="s">
        <v>544</v>
      </c>
      <c r="F192" s="95">
        <v>44064</v>
      </c>
      <c r="G192" s="94" t="s">
        <v>2287</v>
      </c>
      <c r="H192" s="94" t="s">
        <v>631</v>
      </c>
      <c r="I192" s="94" t="s">
        <v>2331</v>
      </c>
      <c r="J192" s="94" t="s">
        <v>733</v>
      </c>
      <c r="K192" s="97">
        <v>0.88</v>
      </c>
    </row>
    <row r="193" spans="1:11" ht="14.6" x14ac:dyDescent="0.4">
      <c r="A193" s="94"/>
      <c r="B193" s="94"/>
      <c r="C193" s="94"/>
      <c r="D193" s="94"/>
      <c r="E193" s="94" t="s">
        <v>544</v>
      </c>
      <c r="F193" s="95">
        <v>44064</v>
      </c>
      <c r="G193" s="94" t="s">
        <v>2287</v>
      </c>
      <c r="H193" s="94" t="s">
        <v>631</v>
      </c>
      <c r="I193" s="94" t="s">
        <v>2332</v>
      </c>
      <c r="J193" s="94" t="s">
        <v>733</v>
      </c>
      <c r="K193" s="97">
        <v>1.04</v>
      </c>
    </row>
    <row r="194" spans="1:11" ht="14.6" x14ac:dyDescent="0.4">
      <c r="A194" s="94"/>
      <c r="B194" s="94"/>
      <c r="C194" s="94"/>
      <c r="D194" s="94"/>
      <c r="E194" s="94" t="s">
        <v>544</v>
      </c>
      <c r="F194" s="95">
        <v>44064</v>
      </c>
      <c r="G194" s="94" t="s">
        <v>2287</v>
      </c>
      <c r="H194" s="94" t="s">
        <v>631</v>
      </c>
      <c r="I194" s="94" t="s">
        <v>2333</v>
      </c>
      <c r="J194" s="94" t="s">
        <v>733</v>
      </c>
      <c r="K194" s="97">
        <v>0.23</v>
      </c>
    </row>
    <row r="195" spans="1:11" ht="14.6" x14ac:dyDescent="0.4">
      <c r="A195" s="94"/>
      <c r="B195" s="94"/>
      <c r="C195" s="94"/>
      <c r="D195" s="94"/>
      <c r="E195" s="94" t="s">
        <v>544</v>
      </c>
      <c r="F195" s="95">
        <v>44064</v>
      </c>
      <c r="G195" s="94" t="s">
        <v>2287</v>
      </c>
      <c r="H195" s="94" t="s">
        <v>631</v>
      </c>
      <c r="I195" s="94" t="s">
        <v>2334</v>
      </c>
      <c r="J195" s="94" t="s">
        <v>733</v>
      </c>
      <c r="K195" s="97">
        <v>0.23</v>
      </c>
    </row>
    <row r="196" spans="1:11" ht="14.6" x14ac:dyDescent="0.4">
      <c r="A196" s="94"/>
      <c r="B196" s="94"/>
      <c r="C196" s="94"/>
      <c r="D196" s="94"/>
      <c r="E196" s="94" t="s">
        <v>544</v>
      </c>
      <c r="F196" s="95">
        <v>44064</v>
      </c>
      <c r="G196" s="94" t="s">
        <v>2287</v>
      </c>
      <c r="H196" s="94" t="s">
        <v>631</v>
      </c>
      <c r="I196" s="94" t="s">
        <v>2335</v>
      </c>
      <c r="J196" s="94" t="s">
        <v>733</v>
      </c>
      <c r="K196" s="97">
        <v>0.23</v>
      </c>
    </row>
    <row r="197" spans="1:11" ht="14.6" x14ac:dyDescent="0.4">
      <c r="A197" s="94"/>
      <c r="B197" s="94"/>
      <c r="C197" s="94"/>
      <c r="D197" s="94"/>
      <c r="E197" s="94" t="s">
        <v>544</v>
      </c>
      <c r="F197" s="95">
        <v>44064</v>
      </c>
      <c r="G197" s="94" t="s">
        <v>2287</v>
      </c>
      <c r="H197" s="94" t="s">
        <v>631</v>
      </c>
      <c r="I197" s="94" t="s">
        <v>2336</v>
      </c>
      <c r="J197" s="94" t="s">
        <v>733</v>
      </c>
      <c r="K197" s="97">
        <v>0.92</v>
      </c>
    </row>
    <row r="198" spans="1:11" ht="14.6" x14ac:dyDescent="0.4">
      <c r="A198" s="94"/>
      <c r="B198" s="94"/>
      <c r="C198" s="94"/>
      <c r="D198" s="94"/>
      <c r="E198" s="94" t="s">
        <v>544</v>
      </c>
      <c r="F198" s="95">
        <v>44064</v>
      </c>
      <c r="G198" s="94" t="s">
        <v>2287</v>
      </c>
      <c r="H198" s="94" t="s">
        <v>631</v>
      </c>
      <c r="I198" s="94" t="s">
        <v>2337</v>
      </c>
      <c r="J198" s="94" t="s">
        <v>733</v>
      </c>
      <c r="K198" s="97">
        <v>0.81</v>
      </c>
    </row>
    <row r="199" spans="1:11" ht="14.6" x14ac:dyDescent="0.4">
      <c r="A199" s="94"/>
      <c r="B199" s="94"/>
      <c r="C199" s="94"/>
      <c r="D199" s="94"/>
      <c r="E199" s="94" t="s">
        <v>544</v>
      </c>
      <c r="F199" s="95">
        <v>44064</v>
      </c>
      <c r="G199" s="94" t="s">
        <v>2287</v>
      </c>
      <c r="H199" s="94" t="s">
        <v>631</v>
      </c>
      <c r="I199" s="94" t="s">
        <v>2338</v>
      </c>
      <c r="J199" s="94" t="s">
        <v>733</v>
      </c>
      <c r="K199" s="97">
        <v>1.04</v>
      </c>
    </row>
    <row r="200" spans="1:11" ht="14.6" x14ac:dyDescent="0.4">
      <c r="A200" s="94"/>
      <c r="B200" s="94"/>
      <c r="C200" s="94"/>
      <c r="D200" s="94"/>
      <c r="E200" s="94" t="s">
        <v>544</v>
      </c>
      <c r="F200" s="95">
        <v>44064</v>
      </c>
      <c r="G200" s="94" t="s">
        <v>2287</v>
      </c>
      <c r="H200" s="94" t="s">
        <v>631</v>
      </c>
      <c r="I200" s="94" t="s">
        <v>2339</v>
      </c>
      <c r="J200" s="94" t="s">
        <v>733</v>
      </c>
      <c r="K200" s="97">
        <v>0.56000000000000005</v>
      </c>
    </row>
    <row r="201" spans="1:11" ht="14.6" x14ac:dyDescent="0.4">
      <c r="A201" s="94"/>
      <c r="B201" s="94"/>
      <c r="C201" s="94"/>
      <c r="D201" s="94"/>
      <c r="E201" s="94" t="s">
        <v>544</v>
      </c>
      <c r="F201" s="95">
        <v>44064</v>
      </c>
      <c r="G201" s="94" t="s">
        <v>2287</v>
      </c>
      <c r="H201" s="94" t="s">
        <v>631</v>
      </c>
      <c r="I201" s="94" t="s">
        <v>1946</v>
      </c>
      <c r="J201" s="94" t="s">
        <v>733</v>
      </c>
      <c r="K201" s="97">
        <v>0.85</v>
      </c>
    </row>
    <row r="202" spans="1:11" ht="14.6" x14ac:dyDescent="0.4">
      <c r="A202" s="94"/>
      <c r="B202" s="94"/>
      <c r="C202" s="94"/>
      <c r="D202" s="94"/>
      <c r="E202" s="94" t="s">
        <v>544</v>
      </c>
      <c r="F202" s="95">
        <v>44064</v>
      </c>
      <c r="G202" s="94" t="s">
        <v>2287</v>
      </c>
      <c r="H202" s="94" t="s">
        <v>631</v>
      </c>
      <c r="I202" s="94" t="s">
        <v>2340</v>
      </c>
      <c r="J202" s="94" t="s">
        <v>733</v>
      </c>
      <c r="K202" s="97">
        <v>2</v>
      </c>
    </row>
    <row r="203" spans="1:11" ht="14.6" x14ac:dyDescent="0.4">
      <c r="A203" s="94"/>
      <c r="B203" s="94"/>
      <c r="C203" s="94"/>
      <c r="D203" s="94"/>
      <c r="E203" s="94" t="s">
        <v>544</v>
      </c>
      <c r="F203" s="95">
        <v>44067</v>
      </c>
      <c r="G203" s="94" t="s">
        <v>2296</v>
      </c>
      <c r="H203" s="94" t="s">
        <v>1558</v>
      </c>
      <c r="I203" s="94" t="s">
        <v>2341</v>
      </c>
      <c r="J203" s="94" t="s">
        <v>733</v>
      </c>
      <c r="K203" s="97">
        <v>248.5</v>
      </c>
    </row>
    <row r="204" spans="1:11" ht="14.6" x14ac:dyDescent="0.4">
      <c r="A204" s="94"/>
      <c r="B204" s="94"/>
      <c r="C204" s="94"/>
      <c r="D204" s="94"/>
      <c r="E204" s="94" t="s">
        <v>544</v>
      </c>
      <c r="F204" s="95">
        <v>44082</v>
      </c>
      <c r="G204" s="94" t="s">
        <v>2297</v>
      </c>
      <c r="H204" s="94" t="s">
        <v>652</v>
      </c>
      <c r="I204" s="94" t="s">
        <v>655</v>
      </c>
      <c r="J204" s="94" t="s">
        <v>733</v>
      </c>
      <c r="K204" s="97">
        <v>381.55</v>
      </c>
    </row>
    <row r="205" spans="1:11" ht="14.6" x14ac:dyDescent="0.4">
      <c r="A205" s="94"/>
      <c r="B205" s="94"/>
      <c r="C205" s="94"/>
      <c r="D205" s="94"/>
      <c r="E205" s="94" t="s">
        <v>544</v>
      </c>
      <c r="F205" s="95">
        <v>44104</v>
      </c>
      <c r="G205" s="94" t="s">
        <v>2563</v>
      </c>
      <c r="H205" s="94" t="s">
        <v>651</v>
      </c>
      <c r="I205" s="94" t="s">
        <v>653</v>
      </c>
      <c r="J205" s="94" t="s">
        <v>733</v>
      </c>
      <c r="K205" s="97">
        <v>57.09</v>
      </c>
    </row>
    <row r="206" spans="1:11" ht="14.6" x14ac:dyDescent="0.4">
      <c r="A206" s="94"/>
      <c r="B206" s="94"/>
      <c r="C206" s="94"/>
      <c r="D206" s="94"/>
      <c r="E206" s="94" t="s">
        <v>544</v>
      </c>
      <c r="F206" s="95">
        <v>44118</v>
      </c>
      <c r="G206" s="94" t="s">
        <v>2778</v>
      </c>
      <c r="H206" s="94" t="s">
        <v>651</v>
      </c>
      <c r="I206" s="94" t="s">
        <v>653</v>
      </c>
      <c r="J206" s="94" t="s">
        <v>733</v>
      </c>
      <c r="K206" s="97">
        <v>83</v>
      </c>
    </row>
    <row r="207" spans="1:11" ht="14.6" x14ac:dyDescent="0.4">
      <c r="A207" s="94"/>
      <c r="B207" s="94"/>
      <c r="C207" s="94"/>
      <c r="D207" s="94"/>
      <c r="E207" s="94" t="s">
        <v>544</v>
      </c>
      <c r="F207" s="95">
        <v>44132</v>
      </c>
      <c r="G207" s="94" t="s">
        <v>2779</v>
      </c>
      <c r="H207" s="94" t="s">
        <v>1558</v>
      </c>
      <c r="I207" s="94" t="s">
        <v>2780</v>
      </c>
      <c r="J207" s="94" t="s">
        <v>733</v>
      </c>
      <c r="K207" s="97">
        <v>0</v>
      </c>
    </row>
    <row r="208" spans="1:11" ht="14.6" x14ac:dyDescent="0.4">
      <c r="A208" s="94"/>
      <c r="B208" s="94"/>
      <c r="C208" s="94"/>
      <c r="D208" s="94"/>
      <c r="E208" s="94" t="s">
        <v>544</v>
      </c>
      <c r="F208" s="95">
        <v>44148</v>
      </c>
      <c r="G208" s="94" t="s">
        <v>3034</v>
      </c>
      <c r="H208" s="94" t="s">
        <v>651</v>
      </c>
      <c r="I208" s="94" t="s">
        <v>653</v>
      </c>
      <c r="J208" s="94" t="s">
        <v>733</v>
      </c>
      <c r="K208" s="97">
        <v>50</v>
      </c>
    </row>
    <row r="209" spans="1:11" ht="14.6" x14ac:dyDescent="0.4">
      <c r="A209" s="94"/>
      <c r="B209" s="94"/>
      <c r="C209" s="94"/>
      <c r="D209" s="94"/>
      <c r="E209" s="94" t="s">
        <v>544</v>
      </c>
      <c r="F209" s="95">
        <v>44148</v>
      </c>
      <c r="G209" s="94" t="s">
        <v>3029</v>
      </c>
      <c r="H209" s="94" t="s">
        <v>631</v>
      </c>
      <c r="I209" s="94" t="s">
        <v>3038</v>
      </c>
      <c r="J209" s="94" t="s">
        <v>733</v>
      </c>
      <c r="K209" s="97">
        <v>83.01</v>
      </c>
    </row>
    <row r="210" spans="1:11" ht="14.6" x14ac:dyDescent="0.4">
      <c r="A210" s="94"/>
      <c r="B210" s="94"/>
      <c r="C210" s="94"/>
      <c r="D210" s="94"/>
      <c r="E210" s="94" t="s">
        <v>544</v>
      </c>
      <c r="F210" s="95">
        <v>44148</v>
      </c>
      <c r="G210" s="94" t="s">
        <v>3029</v>
      </c>
      <c r="H210" s="94" t="s">
        <v>631</v>
      </c>
      <c r="I210" s="94" t="s">
        <v>3039</v>
      </c>
      <c r="J210" s="94" t="s">
        <v>733</v>
      </c>
      <c r="K210" s="97">
        <v>5.5</v>
      </c>
    </row>
    <row r="211" spans="1:11" ht="14.6" x14ac:dyDescent="0.4">
      <c r="A211" s="94"/>
      <c r="B211" s="94"/>
      <c r="C211" s="94"/>
      <c r="D211" s="94"/>
      <c r="E211" s="94" t="s">
        <v>544</v>
      </c>
      <c r="F211" s="95">
        <v>44148</v>
      </c>
      <c r="G211" s="94" t="s">
        <v>3029</v>
      </c>
      <c r="H211" s="94" t="s">
        <v>631</v>
      </c>
      <c r="I211" s="94" t="s">
        <v>3040</v>
      </c>
      <c r="J211" s="94" t="s">
        <v>733</v>
      </c>
      <c r="K211" s="97">
        <v>15.76</v>
      </c>
    </row>
    <row r="212" spans="1:11" ht="15" customHeight="1" x14ac:dyDescent="0.4">
      <c r="A212" s="94"/>
      <c r="B212" s="94"/>
      <c r="C212" s="94"/>
      <c r="D212" s="94"/>
      <c r="E212" s="94" t="s">
        <v>544</v>
      </c>
      <c r="F212" s="95">
        <v>44148</v>
      </c>
      <c r="G212" s="94" t="s">
        <v>3029</v>
      </c>
      <c r="H212" s="94" t="s">
        <v>631</v>
      </c>
      <c r="I212" s="94" t="s">
        <v>3041</v>
      </c>
      <c r="J212" s="94" t="s">
        <v>733</v>
      </c>
      <c r="K212" s="97">
        <v>5.9</v>
      </c>
    </row>
    <row r="213" spans="1:11" ht="15" customHeight="1" x14ac:dyDescent="0.4">
      <c r="A213" s="94"/>
      <c r="B213" s="94"/>
      <c r="C213" s="94"/>
      <c r="D213" s="94"/>
      <c r="E213" s="94" t="s">
        <v>544</v>
      </c>
      <c r="F213" s="95">
        <v>44148</v>
      </c>
      <c r="G213" s="94" t="s">
        <v>3029</v>
      </c>
      <c r="H213" s="94" t="s">
        <v>631</v>
      </c>
      <c r="I213" s="94" t="s">
        <v>3042</v>
      </c>
      <c r="J213" s="94" t="s">
        <v>733</v>
      </c>
      <c r="K213" s="97">
        <v>1.85</v>
      </c>
    </row>
    <row r="214" spans="1:11" ht="15" customHeight="1" x14ac:dyDescent="0.4">
      <c r="A214" s="94"/>
      <c r="B214" s="94"/>
      <c r="C214" s="94"/>
      <c r="D214" s="94"/>
      <c r="E214" s="94" t="s">
        <v>544</v>
      </c>
      <c r="F214" s="95">
        <v>44148</v>
      </c>
      <c r="G214" s="94" t="s">
        <v>3029</v>
      </c>
      <c r="H214" s="94" t="s">
        <v>631</v>
      </c>
      <c r="I214" s="94" t="s">
        <v>3043</v>
      </c>
      <c r="J214" s="94" t="s">
        <v>733</v>
      </c>
      <c r="K214" s="97">
        <v>1.85</v>
      </c>
    </row>
    <row r="215" spans="1:11" ht="15" customHeight="1" x14ac:dyDescent="0.4">
      <c r="A215" s="94"/>
      <c r="B215" s="94"/>
      <c r="C215" s="94"/>
      <c r="D215" s="94"/>
      <c r="E215" s="94" t="s">
        <v>544</v>
      </c>
      <c r="F215" s="95">
        <v>44148</v>
      </c>
      <c r="G215" s="94" t="s">
        <v>3029</v>
      </c>
      <c r="H215" s="94" t="s">
        <v>631</v>
      </c>
      <c r="I215" s="94" t="s">
        <v>3044</v>
      </c>
      <c r="J215" s="94" t="s">
        <v>733</v>
      </c>
      <c r="K215" s="97">
        <v>1.85</v>
      </c>
    </row>
    <row r="216" spans="1:11" ht="15" customHeight="1" x14ac:dyDescent="0.4">
      <c r="A216" s="94"/>
      <c r="B216" s="94"/>
      <c r="C216" s="94"/>
      <c r="D216" s="94"/>
      <c r="E216" s="94" t="s">
        <v>544</v>
      </c>
      <c r="F216" s="95">
        <v>44148</v>
      </c>
      <c r="G216" s="94" t="s">
        <v>3029</v>
      </c>
      <c r="H216" s="94" t="s">
        <v>631</v>
      </c>
      <c r="I216" s="94" t="s">
        <v>3045</v>
      </c>
      <c r="J216" s="94" t="s">
        <v>733</v>
      </c>
      <c r="K216" s="97">
        <v>7.4</v>
      </c>
    </row>
    <row r="217" spans="1:11" ht="15" customHeight="1" x14ac:dyDescent="0.4">
      <c r="A217" s="94"/>
      <c r="B217" s="94"/>
      <c r="C217" s="94"/>
      <c r="D217" s="94"/>
      <c r="E217" s="94" t="s">
        <v>544</v>
      </c>
      <c r="F217" s="95">
        <v>44148</v>
      </c>
      <c r="G217" s="94" t="s">
        <v>3029</v>
      </c>
      <c r="H217" s="94" t="s">
        <v>631</v>
      </c>
      <c r="I217" s="94" t="s">
        <v>3046</v>
      </c>
      <c r="J217" s="94" t="s">
        <v>733</v>
      </c>
      <c r="K217" s="97">
        <v>6.48</v>
      </c>
    </row>
    <row r="218" spans="1:11" ht="15" customHeight="1" x14ac:dyDescent="0.4">
      <c r="A218" s="94"/>
      <c r="B218" s="94"/>
      <c r="C218" s="94"/>
      <c r="D218" s="94"/>
      <c r="E218" s="94" t="s">
        <v>544</v>
      </c>
      <c r="F218" s="95">
        <v>44148</v>
      </c>
      <c r="G218" s="94" t="s">
        <v>3029</v>
      </c>
      <c r="H218" s="94" t="s">
        <v>631</v>
      </c>
      <c r="I218" s="94" t="s">
        <v>3047</v>
      </c>
      <c r="J218" s="94" t="s">
        <v>733</v>
      </c>
      <c r="K218" s="97">
        <v>8.33</v>
      </c>
    </row>
    <row r="219" spans="1:11" ht="15" customHeight="1" x14ac:dyDescent="0.4">
      <c r="A219" s="94"/>
      <c r="B219" s="94"/>
      <c r="C219" s="94"/>
      <c r="D219" s="94"/>
      <c r="E219" s="94" t="s">
        <v>544</v>
      </c>
      <c r="F219" s="95">
        <v>44148</v>
      </c>
      <c r="G219" s="94" t="s">
        <v>3029</v>
      </c>
      <c r="H219" s="94" t="s">
        <v>631</v>
      </c>
      <c r="I219" s="94" t="s">
        <v>3048</v>
      </c>
      <c r="J219" s="94" t="s">
        <v>733</v>
      </c>
      <c r="K219" s="97">
        <v>5.24</v>
      </c>
    </row>
    <row r="220" spans="1:11" ht="15" customHeight="1" x14ac:dyDescent="0.4">
      <c r="A220" s="94"/>
      <c r="B220" s="94"/>
      <c r="C220" s="94"/>
      <c r="D220" s="94"/>
      <c r="E220" s="94" t="s">
        <v>544</v>
      </c>
      <c r="F220" s="95">
        <v>44148</v>
      </c>
      <c r="G220" s="94" t="s">
        <v>3029</v>
      </c>
      <c r="H220" s="94" t="s">
        <v>631</v>
      </c>
      <c r="I220" s="94" t="s">
        <v>2305</v>
      </c>
      <c r="J220" s="94" t="s">
        <v>733</v>
      </c>
      <c r="K220" s="97">
        <v>1.7</v>
      </c>
    </row>
    <row r="221" spans="1:11" ht="15" customHeight="1" x14ac:dyDescent="0.4">
      <c r="A221" s="94"/>
      <c r="B221" s="94"/>
      <c r="C221" s="94"/>
      <c r="D221" s="94"/>
      <c r="E221" s="94" t="s">
        <v>544</v>
      </c>
      <c r="F221" s="95">
        <v>44148</v>
      </c>
      <c r="G221" s="94" t="s">
        <v>3029</v>
      </c>
      <c r="H221" s="94" t="s">
        <v>631</v>
      </c>
      <c r="I221" s="94" t="s">
        <v>3049</v>
      </c>
      <c r="J221" s="94" t="s">
        <v>733</v>
      </c>
      <c r="K221" s="97">
        <v>13</v>
      </c>
    </row>
    <row r="222" spans="1:11" ht="15" customHeight="1" x14ac:dyDescent="0.4">
      <c r="A222" s="94"/>
      <c r="B222" s="94"/>
      <c r="C222" s="94"/>
      <c r="D222" s="94"/>
      <c r="E222" s="94" t="s">
        <v>544</v>
      </c>
      <c r="F222" s="95">
        <v>44153</v>
      </c>
      <c r="G222" s="94" t="s">
        <v>3035</v>
      </c>
      <c r="H222" s="94" t="s">
        <v>581</v>
      </c>
      <c r="I222" s="94" t="s">
        <v>3050</v>
      </c>
      <c r="J222" s="94" t="s">
        <v>733</v>
      </c>
      <c r="K222" s="97">
        <v>75.39</v>
      </c>
    </row>
    <row r="223" spans="1:11" ht="15" customHeight="1" x14ac:dyDescent="0.4">
      <c r="A223" s="94"/>
      <c r="B223" s="94"/>
      <c r="C223" s="94"/>
      <c r="D223" s="94"/>
      <c r="E223" s="94" t="s">
        <v>544</v>
      </c>
      <c r="F223" s="95">
        <v>44165</v>
      </c>
      <c r="G223" s="94" t="s">
        <v>3031</v>
      </c>
      <c r="H223" s="94" t="s">
        <v>1558</v>
      </c>
      <c r="I223" s="94" t="s">
        <v>3051</v>
      </c>
      <c r="J223" s="94" t="s">
        <v>733</v>
      </c>
      <c r="K223" s="97">
        <v>0</v>
      </c>
    </row>
    <row r="224" spans="1:11" ht="15" customHeight="1" x14ac:dyDescent="0.4">
      <c r="A224" s="94"/>
      <c r="B224" s="94"/>
      <c r="C224" s="94"/>
      <c r="D224" s="94"/>
      <c r="E224" s="94" t="s">
        <v>544</v>
      </c>
      <c r="F224" s="95">
        <v>44180</v>
      </c>
      <c r="G224" s="94" t="s">
        <v>3036</v>
      </c>
      <c r="H224" s="94" t="s">
        <v>581</v>
      </c>
      <c r="I224" s="94" t="s">
        <v>3052</v>
      </c>
      <c r="J224" s="94" t="s">
        <v>733</v>
      </c>
      <c r="K224" s="97">
        <v>236.25</v>
      </c>
    </row>
    <row r="225" spans="1:11" ht="15" customHeight="1" thickBot="1" x14ac:dyDescent="0.45">
      <c r="A225" s="94"/>
      <c r="B225" s="94"/>
      <c r="C225" s="94"/>
      <c r="D225" s="94"/>
      <c r="E225" s="94" t="s">
        <v>544</v>
      </c>
      <c r="F225" s="95">
        <v>44182</v>
      </c>
      <c r="G225" s="94" t="s">
        <v>3037</v>
      </c>
      <c r="H225" s="94" t="s">
        <v>652</v>
      </c>
      <c r="I225" s="94" t="s">
        <v>655</v>
      </c>
      <c r="J225" s="94" t="s">
        <v>733</v>
      </c>
      <c r="K225" s="756">
        <v>234.87</v>
      </c>
    </row>
    <row r="226" spans="1:11" ht="15" customHeight="1" thickBot="1" x14ac:dyDescent="0.45">
      <c r="A226" s="94"/>
      <c r="B226" s="94"/>
      <c r="C226" s="94" t="s">
        <v>931</v>
      </c>
      <c r="D226" s="94"/>
      <c r="E226" s="94"/>
      <c r="F226" s="95"/>
      <c r="G226" s="94"/>
      <c r="H226" s="94"/>
      <c r="I226" s="94"/>
      <c r="J226" s="94"/>
      <c r="K226" s="757">
        <f>ROUND(SUM(K3:K225),5)</f>
        <v>67388.41</v>
      </c>
    </row>
    <row r="227" spans="1:11" ht="15" customHeight="1" thickBot="1" x14ac:dyDescent="0.45">
      <c r="A227" s="94"/>
      <c r="B227" s="94" t="s">
        <v>732</v>
      </c>
      <c r="C227" s="94"/>
      <c r="D227" s="94"/>
      <c r="E227" s="94"/>
      <c r="F227" s="95"/>
      <c r="G227" s="94"/>
      <c r="H227" s="94"/>
      <c r="I227" s="94"/>
      <c r="J227" s="94"/>
      <c r="K227" s="757">
        <f>K226</f>
        <v>67388.41</v>
      </c>
    </row>
    <row r="228" spans="1:11" ht="15" customHeight="1" thickBot="1" x14ac:dyDescent="0.45">
      <c r="A228" s="94" t="s">
        <v>98</v>
      </c>
      <c r="B228" s="94"/>
      <c r="C228" s="94"/>
      <c r="D228" s="94"/>
      <c r="E228" s="94"/>
      <c r="F228" s="95"/>
      <c r="G228" s="94"/>
      <c r="H228" s="94"/>
      <c r="I228" s="94"/>
      <c r="J228" s="94"/>
      <c r="K228" s="758">
        <f>K227</f>
        <v>67388.41</v>
      </c>
    </row>
    <row r="229" spans="1:11" ht="15" customHeight="1" thickTop="1" x14ac:dyDescent="0.4"/>
  </sheetData>
  <pageMargins left="0.7" right="0.7" top="0.75" bottom="0.75" header="0.1" footer="0"/>
  <pageSetup orientation="landscape" r:id="rId1"/>
  <headerFooter>
    <oddHeader>&amp;L&amp;"Arial,Bold"&amp;8 3:19 PM
&amp;"Arial,Bold"&amp;8 01/28/21
&amp;"Arial,Bold"&amp;8 Accrual Basis&amp;C&amp;"Arial,Bold"&amp;12 Williamson Central Appraisal District
&amp;"Arial,Bold"&amp;14 Account QuickReport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01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0197" r:id="rId4" name="FILTER"/>
      </mc:Fallback>
    </mc:AlternateContent>
    <mc:AlternateContent xmlns:mc="http://schemas.openxmlformats.org/markup-compatibility/2006">
      <mc:Choice Requires="x14">
        <control shapeId="501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489857</xdr:colOff>
                <xdr:row>1</xdr:row>
                <xdr:rowOff>38100</xdr:rowOff>
              </to>
            </anchor>
          </controlPr>
        </control>
      </mc:Choice>
      <mc:Fallback>
        <control shapeId="50198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58</vt:i4>
      </vt:variant>
    </vt:vector>
  </HeadingPairs>
  <TitlesOfParts>
    <vt:vector size="90" baseType="lpstr">
      <vt:lpstr>Summary</vt:lpstr>
      <vt:lpstr>4% Overview</vt:lpstr>
      <vt:lpstr>4% Personnel</vt:lpstr>
      <vt:lpstr>Budget-Services</vt:lpstr>
      <vt:lpstr>ARB Budget</vt:lpstr>
      <vt:lpstr>Recap chart</vt:lpstr>
      <vt:lpstr>6110</vt:lpstr>
      <vt:lpstr>6120</vt:lpstr>
      <vt:lpstr>6130</vt:lpstr>
      <vt:lpstr>6140</vt:lpstr>
      <vt:lpstr>6150</vt:lpstr>
      <vt:lpstr>6160</vt:lpstr>
      <vt:lpstr>6210</vt:lpstr>
      <vt:lpstr>6215</vt:lpstr>
      <vt:lpstr>6220</vt:lpstr>
      <vt:lpstr>6225</vt:lpstr>
      <vt:lpstr>6235</vt:lpstr>
      <vt:lpstr>6236</vt:lpstr>
      <vt:lpstr>6240</vt:lpstr>
      <vt:lpstr>6250</vt:lpstr>
      <vt:lpstr>6260</vt:lpstr>
      <vt:lpstr>6280</vt:lpstr>
      <vt:lpstr>6285</vt:lpstr>
      <vt:lpstr>6290</vt:lpstr>
      <vt:lpstr>6310</vt:lpstr>
      <vt:lpstr>6320</vt:lpstr>
      <vt:lpstr>6330</vt:lpstr>
      <vt:lpstr>6340</vt:lpstr>
      <vt:lpstr>6350</vt:lpstr>
      <vt:lpstr>Alert</vt:lpstr>
      <vt:lpstr>6810</vt:lpstr>
      <vt:lpstr>8010</vt:lpstr>
      <vt:lpstr>'4% Overview'!Print_Area</vt:lpstr>
      <vt:lpstr>'4% Personnel'!Print_Area</vt:lpstr>
      <vt:lpstr>'ARB Budget'!Print_Area</vt:lpstr>
      <vt:lpstr>'Budget-Services'!Print_Area</vt:lpstr>
      <vt:lpstr>'4% Personnel'!Print_Titles</vt:lpstr>
      <vt:lpstr>'6110'!Print_Titles</vt:lpstr>
      <vt:lpstr>'6120'!Print_Titles</vt:lpstr>
      <vt:lpstr>'6130'!Print_Titles</vt:lpstr>
      <vt:lpstr>'6140'!Print_Titles</vt:lpstr>
      <vt:lpstr>'6150'!Print_Titles</vt:lpstr>
      <vt:lpstr>'6160'!Print_Titles</vt:lpstr>
      <vt:lpstr>'6210'!Print_Titles</vt:lpstr>
      <vt:lpstr>'6215'!Print_Titles</vt:lpstr>
      <vt:lpstr>'6220'!Print_Titles</vt:lpstr>
      <vt:lpstr>'6225'!Print_Titles</vt:lpstr>
      <vt:lpstr>'6235'!Print_Titles</vt:lpstr>
      <vt:lpstr>'6236'!Print_Titles</vt:lpstr>
      <vt:lpstr>'6240'!Print_Titles</vt:lpstr>
      <vt:lpstr>'6250'!Print_Titles</vt:lpstr>
      <vt:lpstr>'6260'!Print_Titles</vt:lpstr>
      <vt:lpstr>'6280'!Print_Titles</vt:lpstr>
      <vt:lpstr>'6285'!Print_Titles</vt:lpstr>
      <vt:lpstr>'6290'!Print_Titles</vt:lpstr>
      <vt:lpstr>'6310'!Print_Titles</vt:lpstr>
      <vt:lpstr>'6320'!Print_Titles</vt:lpstr>
      <vt:lpstr>'6330'!Print_Titles</vt:lpstr>
      <vt:lpstr>'6340'!Print_Titles</vt:lpstr>
      <vt:lpstr>'6350'!Print_Titles</vt:lpstr>
      <vt:lpstr>'6810'!Print_Titles</vt:lpstr>
      <vt:lpstr>'8010'!Print_Titles</vt:lpstr>
      <vt:lpstr>'ARB Budget'!Print_Titles</vt:lpstr>
      <vt:lpstr>'Budget-Services'!Print_Titles</vt:lpstr>
      <vt:lpstr>'ARB Budget'!Z_1E23C528_1A93_4869_8FED_629E3BA1C1FB_.wvu.Cols</vt:lpstr>
      <vt:lpstr>'Budget-Services'!Z_1E23C528_1A93_4869_8FED_629E3BA1C1FB_.wvu.Cols</vt:lpstr>
      <vt:lpstr>'ARB Budget'!Z_1E23C528_1A93_4869_8FED_629E3BA1C1FB_.wvu.PrintArea</vt:lpstr>
      <vt:lpstr>'Budget-Services'!Z_1E23C528_1A93_4869_8FED_629E3BA1C1FB_.wvu.PrintArea</vt:lpstr>
      <vt:lpstr>'Budget-Services'!Z_1E23C528_1A93_4869_8FED_629E3BA1C1FB_.wvu.PrintTitles</vt:lpstr>
      <vt:lpstr>'ARB Budget'!Z_240D0F1E_8A4A_44D9_9D18_FC2DB01D505B_.wvu.Cols</vt:lpstr>
      <vt:lpstr>'Budget-Services'!Z_311A91B1_0912_4AA5_9366_B03CF50601A2_.wvu.PrintTitles</vt:lpstr>
      <vt:lpstr>'Budget-Services'!Z_34964384_DFBD_46D8_9B9F_2D86A517A166_.wvu.PrintTitles</vt:lpstr>
      <vt:lpstr>'Budget-Services'!Z_462CB3DC_B2E4_454C_83C1_B844BA7D19AA_.wvu.PrintTitles</vt:lpstr>
      <vt:lpstr>'Budget-Services'!Z_6D2BABDE_BF95_4644_811C_B4DB4C5FF4DD_.wvu.PrintTitles</vt:lpstr>
      <vt:lpstr>'Budget-Services'!Z_7B966C76_DF97_4627_BB3C_77955DB39D00_.wvu.PrintTitles</vt:lpstr>
      <vt:lpstr>'Budget-Services'!Z_867852E4_99EF_4389_8FD0_AFAB4495F746_.wvu.PrintTitles</vt:lpstr>
      <vt:lpstr>'ARB Budget'!Z_87C375DB_B8D6_4CDB_A372_B6AF8E723C83_.wvu.Cols</vt:lpstr>
      <vt:lpstr>'ARB Budget'!Z_8AFAE271_A818_42D9_A8EF_972712D95EDE_.wvu.Cols</vt:lpstr>
      <vt:lpstr>'Budget-Services'!Z_8AFAE271_A818_42D9_A8EF_972712D95EDE_.wvu.Cols</vt:lpstr>
      <vt:lpstr>'Budget-Services'!Z_8AFAE271_A818_42D9_A8EF_972712D95EDE_.wvu.PrintArea</vt:lpstr>
      <vt:lpstr>'Budget-Services'!Z_8AFAE271_A818_42D9_A8EF_972712D95EDE_.wvu.PrintTitles</vt:lpstr>
      <vt:lpstr>'ARB Budget'!Z_C064177C_B77C_40AF_A193_4D3DF85CE067_.wvu.Cols</vt:lpstr>
      <vt:lpstr>'Budget-Services'!Z_C064177C_B77C_40AF_A193_4D3DF85CE067_.wvu.Cols</vt:lpstr>
      <vt:lpstr>'ARB Budget'!Z_C064177C_B77C_40AF_A193_4D3DF85CE067_.wvu.PrintArea</vt:lpstr>
      <vt:lpstr>'Budget-Services'!Z_C064177C_B77C_40AF_A193_4D3DF85CE067_.wvu.PrintArea</vt:lpstr>
      <vt:lpstr>'Budget-Services'!Z_C064177C_B77C_40AF_A193_4D3DF85CE067_.wvu.PrintTitles</vt:lpstr>
      <vt:lpstr>'Budget-Services'!Z_C48E47E7_FA0B_4A20_94A3_280718E1E67E_.wvu.PrintTitles</vt:lpstr>
      <vt:lpstr>'Budget-Services'!Z_C67EED5A_831B_42B7_8FDB_8094D4B26582_.wvu.PrintTitles</vt:lpstr>
      <vt:lpstr>'Budget-Services'!Z_E4A729BB_04B9_4DDA_A845_D330ECD6C6DE_.wvu.PrintTitles</vt:lpstr>
      <vt:lpstr>'ARB Budget'!Z_FB8A7251_402B_4E68_AD89_100C31417887_.wvu.Cols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Gamboa</dc:creator>
  <cp:keywords/>
  <dc:description/>
  <cp:lastModifiedBy>Kimberly Gamboa</cp:lastModifiedBy>
  <cp:revision/>
  <cp:lastPrinted>2020-03-04T16:48:57Z</cp:lastPrinted>
  <dcterms:created xsi:type="dcterms:W3CDTF">2018-04-13T13:33:25Z</dcterms:created>
  <dcterms:modified xsi:type="dcterms:W3CDTF">2025-01-24T17:15:59Z</dcterms:modified>
  <cp:category/>
  <cp:contentStatus/>
</cp:coreProperties>
</file>